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3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Fund overview" sheetId="1" r:id="rId1"/>
    <sheet name="Operations and cost" sheetId="2" r:id="rId2"/>
    <sheet name="Pods and positioning" sheetId="3" r:id="rId3"/>
    <sheet name="Assumptions (edit)" sheetId="4" r:id="rId4"/>
    <sheet name="Pod by trading day" sheetId="5" r:id="rId5"/>
    <sheet name="Pod summary (leaderboard)" sheetId="6" r:id="rId6"/>
    <sheet name="Fund and null distribution" sheetId="7" r:id="rId7"/>
    <sheet name="Fund by trading day" sheetId="8" r:id="rId8"/>
    <sheet name="Fund by month" sheetId="9" r:id="rId9"/>
    <sheet name="Sector mix of picks (2026-09-23" sheetId="10" r:id="rId10"/>
    <sheet name="Pick overlap between LLM pods (" sheetId="11" r:id="rId11"/>
    <sheet name="Periods" sheetId="12" r:id="rId12"/>
    <sheet name="Pods" sheetId="13" r:id="rId13"/>
    <sheet name="Pods (A)" sheetId="14" r:id="rId14"/>
    <sheet name="Pods (B)" sheetId="15" r:id="rId15"/>
    <sheet name="Trading days" sheetId="16" r:id="rId16"/>
    <sheet name="Sectors" sheetId="17" r:id="rId17"/>
    <sheet name="Daily evaluations" sheetId="18" r:id="rId18"/>
    <sheet name="Picks for 2026-09-23" sheetId="19" r:id="rId19"/>
    <sheet name="Submissions" sheetId="20" r:id="rId20"/>
    <sheet name="Pick overlap (latest day)" sheetId="21" r:id="rId21"/>
    <sheet name="LLM usage" sheetId="22" r:id="rId22"/>
    <sheet name="External API calls" sheetId="23" r:id="rId23"/>
    <sheet name="Assumptions (edit) lines" sheetId="24" r:id="rId24"/>
    <sheet name="Pod by trading day lines" sheetId="25" r:id="rId25"/>
    <sheet name="Pod summary (leaderboard) lines" sheetId="26" r:id="rId26"/>
    <sheet name="Fund and null distribution line" sheetId="27" r:id="rId27"/>
    <sheet name="Fund by trading day lines" sheetId="28" r:id="rId28"/>
    <sheet name="Fund by month lines" sheetId="29" r:id="rId29"/>
    <sheet name="Sector mix of picks (2026-0 (2)" sheetId="30" r:id="rId30"/>
    <sheet name="Pick overlap between LLM po (2)" sheetId="31" r:id="rId31"/>
    <sheet name="Rules" sheetId="32" r:id="rId32"/>
    <sheet name="Notes" sheetId="33" r:id="rId33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sector-neutral excess by LLM pod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'Fund overview'!$A$19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'Fund overview'!$B$18:$CW$18</c:f>
            </c:strRef>
          </c:cat>
          <c:val>
            <c:numRef>
              <c:f>'Fund overview'!$B$19:$CW$19</c:f>
            </c:numRef>
          </c:val>
          <c:smooth val="0"/>
        </c:ser>
        <c:ser>
          <c:idx val="1"/>
          <c:order val="1"/>
          <c:tx>
            <c:strRef>
              <c:f>'Fund overview'!$A$20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'Fund overview'!$B$18:$CW$18</c:f>
            </c:strRef>
          </c:cat>
          <c:val>
            <c:numRef>
              <c:f>'Fund overview'!$B$20:$CW$20</c:f>
            </c:numRef>
          </c:val>
          <c:smooth val="0"/>
        </c:ser>
        <c:ser>
          <c:idx val="2"/>
          <c:order val="2"/>
          <c:tx>
            <c:strRef>
              <c:f>'Fund overview'!$A$21</c:f>
            </c:strRef>
          </c:tx>
          <c:spPr>
            <a:ln w="28575" cap="rnd">
              <a:solidFill>
                <a:srgbClr val="12B886"/>
              </a:solidFill>
              <a:round/>
            </a:ln>
          </c:spPr>
          <c:marker>
            <c:symbol val="circle"/>
            <c:size val="5"/>
          </c:marker>
          <c:cat>
            <c:strRef>
              <c:f>'Fund overview'!$B$18:$CW$18</c:f>
            </c:strRef>
          </c:cat>
          <c:val>
            <c:numRef>
              <c:f>'Fund overview'!$B$21:$CW$21</c:f>
            </c:numRef>
          </c:val>
          <c:smooth val="0"/>
        </c:ser>
        <c:ser>
          <c:idx val="3"/>
          <c:order val="3"/>
          <c:tx>
            <c:strRef>
              <c:f>'Fund overview'!$A$22</c:f>
            </c:strRef>
          </c:tx>
          <c:spPr>
            <a:ln w="28575" cap="rnd">
              <a:solidFill>
                <a:srgbClr val="F59F00"/>
              </a:solidFill>
              <a:round/>
            </a:ln>
          </c:spPr>
          <c:marker>
            <c:symbol val="circle"/>
            <c:size val="5"/>
          </c:marker>
          <c:cat>
            <c:strRef>
              <c:f>'Fund overview'!$B$18:$CW$18</c:f>
            </c:strRef>
          </c:cat>
          <c:val>
            <c:numRef>
              <c:f>'Fund overview'!$B$22:$CW$22</c:f>
            </c:numRef>
          </c:val>
          <c:smooth val="0"/>
        </c:ser>
        <c:ser>
          <c:idx val="4"/>
          <c:order val="4"/>
          <c:tx>
            <c:strRef>
              <c:f>'Fund overview'!$A$23</c:f>
            </c:strRef>
          </c:tx>
          <c:spPr>
            <a:ln w="28575" cap="rnd">
              <a:solidFill>
                <a:srgbClr val="7048E8"/>
              </a:solidFill>
              <a:round/>
            </a:ln>
          </c:spPr>
          <c:marker>
            <c:symbol val="circle"/>
            <c:size val="5"/>
          </c:marker>
          <c:cat>
            <c:strRef>
              <c:f>'Fund overview'!$B$18:$CW$18</c:f>
            </c:strRef>
          </c:cat>
          <c:val>
            <c:numRef>
              <c:f>'Fund overview'!$B$23:$CW$23</c:f>
            </c:numRef>
          </c:val>
          <c:smooth val="0"/>
        </c:ser>
        <c:ser>
          <c:idx val="5"/>
          <c:order val="5"/>
          <c:tx>
            <c:strRef>
              <c:f>'Fund overview'!$A$24</c:f>
            </c:strRef>
          </c:tx>
          <c:spPr>
            <a:ln w="28575" cap="rnd">
              <a:solidFill>
                <a:srgbClr val="E64980"/>
              </a:solidFill>
              <a:round/>
            </a:ln>
          </c:spPr>
          <c:marker>
            <c:symbol val="circle"/>
            <c:size val="5"/>
          </c:marker>
          <c:cat>
            <c:strRef>
              <c:f>'Fund overview'!$B$18:$CW$18</c:f>
            </c:strRef>
          </c:cat>
          <c:val>
            <c:numRef>
              <c:f>'Fund overview'!$B$24:$CW$24</c:f>
            </c:numRef>
          </c:val>
          <c:smooth val="0"/>
        </c:ser>
        <c:ser>
          <c:idx val="6"/>
          <c:order val="6"/>
          <c:tx>
            <c:strRef>
              <c:f>'Fund overview'!$A$25</c:f>
            </c:strRef>
          </c:tx>
          <c:spPr>
            <a:ln w="28575" cap="rnd">
              <a:solidFill>
                <a:srgbClr val="0CA678"/>
              </a:solidFill>
              <a:round/>
            </a:ln>
          </c:spPr>
          <c:marker>
            <c:symbol val="circle"/>
            <c:size val="5"/>
          </c:marker>
          <c:cat>
            <c:strRef>
              <c:f>'Fund overview'!$B$18:$CW$18</c:f>
            </c:strRef>
          </c:cat>
          <c:val>
            <c:numRef>
              <c:f>'Fund overview'!$B$25:$CW$25</c:f>
            </c:numRef>
          </c:val>
          <c:smooth val="0"/>
        </c:ser>
        <c:ser>
          <c:idx val="7"/>
          <c:order val="7"/>
          <c:tx>
            <c:strRef>
              <c:f>'Fund overview'!$A$26</c:f>
            </c:strRef>
          </c:tx>
          <c:spPr>
            <a:ln w="28575" cap="rnd">
              <a:solidFill>
                <a:srgbClr val="868E96"/>
              </a:solidFill>
              <a:round/>
            </a:ln>
          </c:spPr>
          <c:marker>
            <c:symbol val="circle"/>
            <c:size val="5"/>
          </c:marker>
          <c:cat>
            <c:strRef>
              <c:f>'Fund overview'!$B$18:$CW$18</c:f>
            </c:strRef>
          </c:cat>
          <c:val>
            <c:numRef>
              <c:f>'Fund overview'!$B$26:$CW$26</c:f>
            </c:numRef>
          </c:val>
          <c:smooth val="0"/>
        </c:ser>
        <c:ser>
          <c:idx val="8"/>
          <c:order val="8"/>
          <c:tx>
            <c:strRef>
              <c:f>'Fund overview'!$A$27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'Fund overview'!$B$18:$CW$18</c:f>
            </c:strRef>
          </c:cat>
          <c:val>
            <c:numRef>
              <c:f>'Fund overview'!$B$27:$CW$27</c:f>
            </c:numRef>
          </c:val>
          <c:smooth val="0"/>
        </c:ser>
        <c:ser>
          <c:idx val="9"/>
          <c:order val="9"/>
          <c:tx>
            <c:strRef>
              <c:f>'Fund overview'!$A$28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'Fund overview'!$B$18:$CW$18</c:f>
            </c:strRef>
          </c:cat>
          <c:val>
            <c:numRef>
              <c:f>'Fund overview'!$B$28:$CW$28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LLM pods vs random pods, cumulative average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'Fund overview'!$A$49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'Fund overview'!$B$48:$CW$48</c:f>
            </c:strRef>
          </c:cat>
          <c:val>
            <c:numRef>
              <c:f>'Fund overview'!$B$49:$CW$49</c:f>
            </c:numRef>
          </c:val>
          <c:smooth val="0"/>
        </c:ser>
        <c:ser>
          <c:idx val="1"/>
          <c:order val="1"/>
          <c:tx>
            <c:strRef>
              <c:f>'Fund overview'!$A$50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'Fund overview'!$B$48:$CW$48</c:f>
            </c:strRef>
          </c:cat>
          <c:val>
            <c:numRef>
              <c:f>'Fund overview'!$B$50:$CW$50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Daily average excess: LLM pods vs random (bps)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'Fund overview'!$A$71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'Fund overview'!$B$70:$CW$70</c:f>
            </c:strRef>
          </c:cat>
          <c:val>
            <c:numRef>
              <c:f>'Fund overview'!$B$71:$CW$71</c:f>
            </c:numRef>
          </c:val>
        </c:ser>
        <c:ser>
          <c:idx val="1"/>
          <c:order val="1"/>
          <c:tx>
            <c:strRef>
              <c:f>'Fund overview'!$A$72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'Fund overview'!$B$70:$CW$70</c:f>
            </c:strRef>
          </c:cat>
          <c:val>
            <c:numRef>
              <c:f>'Fund overview'!$B$72:$CW$72</c:f>
            </c:numRef>
          </c:val>
        </c:ser>
        <c:ser>
          <c:idx val="2"/>
          <c:order val="2"/>
          <c:tx>
            <c:strRef>
              <c:f>'Fund overview'!$A$73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'Fund overview'!$B$70:$CW$70</c:f>
            </c:strRef>
          </c:cat>
          <c:val>
            <c:numRef>
              <c:f>'Fund overview'!$B$73:$CW$73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LLM cost per trading day ($)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'Operations and cost'!$A$21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'Operations and cost'!$B$20:$CW$20</c:f>
            </c:strRef>
          </c:cat>
          <c:val>
            <c:numRef>
              <c:f>'Operations and cost'!$B$21:$CW$21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External API calls per day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'Operations and cost'!$A$42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'Operations and cost'!$B$41:$CW$41</c:f>
            </c:strRef>
          </c:cat>
          <c:val>
            <c:numRef>
              <c:f>'Operations and cost'!$B$42:$CW$42</c:f>
            </c:numRef>
          </c:val>
        </c:ser>
        <c:ser>
          <c:idx val="1"/>
          <c:order val="1"/>
          <c:tx>
            <c:strRef>
              <c:f>'Operations and cost'!$A$43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'Operations and cost'!$B$41:$CW$41</c:f>
            </c:strRef>
          </c:cat>
          <c:val>
            <c:numRef>
              <c:f>'Operations and cost'!$B$43:$CW$43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LLM pods submitting and average tool calls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'Operations and cost'!$A$64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'Operations and cost'!$B$63:$CW$63</c:f>
            </c:strRef>
          </c:cat>
          <c:val>
            <c:numRef>
              <c:f>'Operations and cost'!$B$64:$CW$64</c:f>
            </c:numRef>
          </c:val>
        </c:ser>
        <c:ser>
          <c:idx val="1"/>
          <c:order val="1"/>
          <c:tx>
            <c:strRef>
              <c:f>'Operations and cost'!$A$65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'Operations and cost'!$B$63:$CW$63</c:f>
            </c:strRef>
          </c:cat>
          <c:val>
            <c:numRef>
              <c:f>'Operations and cost'!$B$65:$CW$65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net P&amp;L per pod on the notional ($)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'Operations and cost'!$A$86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'Operations and cost'!$B$85:$CW$85</c:f>
            </c:strRef>
          </c:cat>
          <c:val>
            <c:numRef>
              <c:f>'Operations and cost'!$B$86:$CW$86</c:f>
            </c:numRef>
          </c:val>
          <c:smooth val="0"/>
        </c:ser>
        <c:ser>
          <c:idx val="1"/>
          <c:order val="1"/>
          <c:tx>
            <c:strRef>
              <c:f>'Operations and cost'!$A$87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'Operations and cost'!$B$85:$CW$85</c:f>
            </c:strRef>
          </c:cat>
          <c:val>
            <c:numRef>
              <c:f>'Operations and cost'!$B$87:$CW$87</c:f>
            </c:numRef>
          </c:val>
          <c:smooth val="0"/>
        </c:ser>
        <c:ser>
          <c:idx val="2"/>
          <c:order val="2"/>
          <c:tx>
            <c:strRef>
              <c:f>'Operations and cost'!$A$88</c:f>
            </c:strRef>
          </c:tx>
          <c:spPr>
            <a:ln w="28575" cap="rnd">
              <a:solidFill>
                <a:srgbClr val="12B886"/>
              </a:solidFill>
              <a:round/>
            </a:ln>
          </c:spPr>
          <c:marker>
            <c:symbol val="circle"/>
            <c:size val="5"/>
          </c:marker>
          <c:cat>
            <c:strRef>
              <c:f>'Operations and cost'!$B$85:$CW$85</c:f>
            </c:strRef>
          </c:cat>
          <c:val>
            <c:numRef>
              <c:f>'Operations and cost'!$B$88:$CW$88</c:f>
            </c:numRef>
          </c:val>
          <c:smooth val="0"/>
        </c:ser>
        <c:ser>
          <c:idx val="3"/>
          <c:order val="3"/>
          <c:tx>
            <c:strRef>
              <c:f>'Operations and cost'!$A$89</c:f>
            </c:strRef>
          </c:tx>
          <c:spPr>
            <a:ln w="28575" cap="rnd">
              <a:solidFill>
                <a:srgbClr val="F59F00"/>
              </a:solidFill>
              <a:round/>
            </a:ln>
          </c:spPr>
          <c:marker>
            <c:symbol val="circle"/>
            <c:size val="5"/>
          </c:marker>
          <c:cat>
            <c:strRef>
              <c:f>'Operations and cost'!$B$85:$CW$85</c:f>
            </c:strRef>
          </c:cat>
          <c:val>
            <c:numRef>
              <c:f>'Operations and cost'!$B$89:$CW$89</c:f>
            </c:numRef>
          </c:val>
          <c:smooth val="0"/>
        </c:ser>
        <c:ser>
          <c:idx val="4"/>
          <c:order val="4"/>
          <c:tx>
            <c:strRef>
              <c:f>'Operations and cost'!$A$90</c:f>
            </c:strRef>
          </c:tx>
          <c:spPr>
            <a:ln w="28575" cap="rnd">
              <a:solidFill>
                <a:srgbClr val="7048E8"/>
              </a:solidFill>
              <a:round/>
            </a:ln>
          </c:spPr>
          <c:marker>
            <c:symbol val="circle"/>
            <c:size val="5"/>
          </c:marker>
          <c:cat>
            <c:strRef>
              <c:f>'Operations and cost'!$B$85:$CW$85</c:f>
            </c:strRef>
          </c:cat>
          <c:val>
            <c:numRef>
              <c:f>'Operations and cost'!$B$90:$CW$90</c:f>
            </c:numRef>
          </c:val>
          <c:smooth val="0"/>
        </c:ser>
        <c:ser>
          <c:idx val="5"/>
          <c:order val="5"/>
          <c:tx>
            <c:strRef>
              <c:f>'Operations and cost'!$A$91</c:f>
            </c:strRef>
          </c:tx>
          <c:spPr>
            <a:ln w="28575" cap="rnd">
              <a:solidFill>
                <a:srgbClr val="E64980"/>
              </a:solidFill>
              <a:round/>
            </a:ln>
          </c:spPr>
          <c:marker>
            <c:symbol val="circle"/>
            <c:size val="5"/>
          </c:marker>
          <c:cat>
            <c:strRef>
              <c:f>'Operations and cost'!$B$85:$CW$85</c:f>
            </c:strRef>
          </c:cat>
          <c:val>
            <c:numRef>
              <c:f>'Operations and cost'!$B$91:$CW$91</c:f>
            </c:numRef>
          </c:val>
          <c:smooth val="0"/>
        </c:ser>
        <c:ser>
          <c:idx val="6"/>
          <c:order val="6"/>
          <c:tx>
            <c:strRef>
              <c:f>'Operations and cost'!$A$92</c:f>
            </c:strRef>
          </c:tx>
          <c:spPr>
            <a:ln w="28575" cap="rnd">
              <a:solidFill>
                <a:srgbClr val="0CA678"/>
              </a:solidFill>
              <a:round/>
            </a:ln>
          </c:spPr>
          <c:marker>
            <c:symbol val="circle"/>
            <c:size val="5"/>
          </c:marker>
          <c:cat>
            <c:strRef>
              <c:f>'Operations and cost'!$B$85:$CW$85</c:f>
            </c:strRef>
          </c:cat>
          <c:val>
            <c:numRef>
              <c:f>'Operations and cost'!$B$92:$CW$92</c:f>
            </c:numRef>
          </c:val>
          <c:smooth val="0"/>
        </c:ser>
        <c:ser>
          <c:idx val="7"/>
          <c:order val="7"/>
          <c:tx>
            <c:strRef>
              <c:f>'Operations and cost'!$A$93</c:f>
            </c:strRef>
          </c:tx>
          <c:spPr>
            <a:ln w="28575" cap="rnd">
              <a:solidFill>
                <a:srgbClr val="868E96"/>
              </a:solidFill>
              <a:round/>
            </a:ln>
          </c:spPr>
          <c:marker>
            <c:symbol val="circle"/>
            <c:size val="5"/>
          </c:marker>
          <c:cat>
            <c:strRef>
              <c:f>'Operations and cost'!$B$85:$CW$85</c:f>
            </c:strRef>
          </c:cat>
          <c:val>
            <c:numRef>
              <c:f>'Operations and cost'!$B$93:$CW$93</c:f>
            </c:numRef>
          </c:val>
          <c:smooth val="0"/>
        </c:ser>
        <c:ser>
          <c:idx val="8"/>
          <c:order val="8"/>
          <c:tx>
            <c:strRef>
              <c:f>'Operations and cost'!$A$94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'Operations and cost'!$B$85:$CW$85</c:f>
            </c:strRef>
          </c:cat>
          <c:val>
            <c:numRef>
              <c:f>'Operations and cost'!$B$94:$CW$94</c:f>
            </c:numRef>
          </c:val>
          <c:smooth val="0"/>
        </c:ser>
        <c:ser>
          <c:idx val="9"/>
          <c:order val="9"/>
          <c:tx>
            <c:strRef>
              <c:f>'Operations and cost'!$A$95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'Operations and cost'!$B$85:$CW$85</c:f>
            </c:strRef>
          </c:cat>
          <c:val>
            <c:numRef>
              <c:f>'Operations and cost'!$B$95:$CW$95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Sector mix of the 100 picks per LLM pod (2026-09-23)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'Pods and positioning'!$A$3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'Pods and positioning'!$B$2:$K$2</c:f>
            </c:strRef>
          </c:cat>
          <c:val>
            <c:numRef>
              <c:f>'Pods and positioning'!$B$3:$K$3</c:f>
            </c:numRef>
          </c:val>
        </c:ser>
        <c:ser>
          <c:idx val="1"/>
          <c:order val="1"/>
          <c:tx>
            <c:strRef>
              <c:f>'Pods and positioning'!$A$4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'Pods and positioning'!$B$2:$K$2</c:f>
            </c:strRef>
          </c:cat>
          <c:val>
            <c:numRef>
              <c:f>'Pods and positioning'!$B$4:$K$4</c:f>
            </c:numRef>
          </c:val>
        </c:ser>
        <c:ser>
          <c:idx val="2"/>
          <c:order val="2"/>
          <c:tx>
            <c:strRef>
              <c:f>'Pods and positioning'!$A$5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'Pods and positioning'!$B$2:$K$2</c:f>
            </c:strRef>
          </c:cat>
          <c:val>
            <c:numRef>
              <c:f>'Pods and positioning'!$B$5:$K$5</c:f>
            </c:numRef>
          </c:val>
        </c:ser>
        <c:ser>
          <c:idx val="3"/>
          <c:order val="3"/>
          <c:tx>
            <c:strRef>
              <c:f>'Pods and positioning'!$A$6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'Pods and positioning'!$B$2:$K$2</c:f>
            </c:strRef>
          </c:cat>
          <c:val>
            <c:numRef>
              <c:f>'Pods and positioning'!$B$6:$K$6</c:f>
            </c:numRef>
          </c:val>
        </c:ser>
        <c:ser>
          <c:idx val="4"/>
          <c:order val="4"/>
          <c:tx>
            <c:strRef>
              <c:f>'Pods and positioning'!$A$7</c:f>
            </c:strRef>
          </c:tx>
          <c:spPr>
            <a:solidFill>
              <a:srgbClr val="7048E8"/>
            </a:solidFill>
          </c:spPr>
          <c:invertIfNegative val="0"/>
          <c:cat>
            <c:strRef>
              <c:f>'Pods and positioning'!$B$2:$K$2</c:f>
            </c:strRef>
          </c:cat>
          <c:val>
            <c:numRef>
              <c:f>'Pods and positioning'!$B$7:$K$7</c:f>
            </c:numRef>
          </c:val>
        </c:ser>
        <c:ser>
          <c:idx val="5"/>
          <c:order val="5"/>
          <c:tx>
            <c:strRef>
              <c:f>'Pods and positioning'!$A$8</c:f>
            </c:strRef>
          </c:tx>
          <c:spPr>
            <a:solidFill>
              <a:srgbClr val="E64980"/>
            </a:solidFill>
          </c:spPr>
          <c:invertIfNegative val="0"/>
          <c:cat>
            <c:strRef>
              <c:f>'Pods and positioning'!$B$2:$K$2</c:f>
            </c:strRef>
          </c:cat>
          <c:val>
            <c:numRef>
              <c:f>'Pods and positioning'!$B$8:$K$8</c:f>
            </c:numRef>
          </c:val>
        </c:ser>
        <c:ser>
          <c:idx val="6"/>
          <c:order val="6"/>
          <c:tx>
            <c:strRef>
              <c:f>'Pods and positioning'!$A$9</c:f>
            </c:strRef>
          </c:tx>
          <c:spPr>
            <a:solidFill>
              <a:srgbClr val="0CA678"/>
            </a:solidFill>
          </c:spPr>
          <c:invertIfNegative val="0"/>
          <c:cat>
            <c:strRef>
              <c:f>'Pods and positioning'!$B$2:$K$2</c:f>
            </c:strRef>
          </c:cat>
          <c:val>
            <c:numRef>
              <c:f>'Pods and positioning'!$B$9:$K$9</c:f>
            </c:numRef>
          </c:val>
        </c:ser>
        <c:ser>
          <c:idx val="7"/>
          <c:order val="7"/>
          <c:tx>
            <c:strRef>
              <c:f>'Pods and positioning'!$A$10</c:f>
            </c:strRef>
          </c:tx>
          <c:spPr>
            <a:solidFill>
              <a:srgbClr val="868E96"/>
            </a:solidFill>
          </c:spPr>
          <c:invertIfNegative val="0"/>
          <c:cat>
            <c:strRef>
              <c:f>'Pods and positioning'!$B$2:$K$2</c:f>
            </c:strRef>
          </c:cat>
          <c:val>
            <c:numRef>
              <c:f>'Pods and positioning'!$B$10:$K$10</c:f>
            </c:numRef>
          </c:val>
        </c:ser>
        <c:ser>
          <c:idx val="8"/>
          <c:order val="8"/>
          <c:tx>
            <c:strRef>
              <c:f>'Pods and positioning'!$A$11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'Pods and positioning'!$B$2:$K$2</c:f>
            </c:strRef>
          </c:cat>
          <c:val>
            <c:numRef>
              <c:f>'Pods and positioning'!$B$11:$K$11</c:f>
            </c:numRef>
          </c:val>
        </c:ser>
        <c:ser>
          <c:idx val="9"/>
          <c:order val="9"/>
          <c:tx>
            <c:strRef>
              <c:f>'Pods and positioning'!$A$12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'Pods and positioning'!$B$2:$K$2</c:f>
            </c:strRef>
          </c:cat>
          <c:val>
            <c:numRef>
              <c:f>'Pods and positioning'!$B$12:$K$12</c:f>
            </c:numRef>
          </c:val>
        </c:ser>
        <c:ser>
          <c:idx val="10"/>
          <c:order val="10"/>
          <c:tx>
            <c:strRef>
              <c:f>'Pods and positioning'!$A$13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'Pods and positioning'!$B$2:$K$2</c:f>
            </c:strRef>
          </c:cat>
          <c:val>
            <c:numRef>
              <c:f>'Pods and positioning'!$B$13:$K$13</c:f>
            </c:numRef>
          </c:val>
        </c:ser>
        <c:gapWidth val="60"/>
        <c:overlap val="10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Running t-stat by LLM pod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'Pods and positioning'!$A$47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positioning'!$B$46:$CW$46</c:f>
            </c:strRef>
          </c:cat>
          <c:val>
            <c:numRef>
              <c:f>'Pods and positioning'!$B$47:$CW$47</c:f>
            </c:numRef>
          </c:val>
          <c:smooth val="0"/>
        </c:ser>
        <c:ser>
          <c:idx val="1"/>
          <c:order val="1"/>
          <c:tx>
            <c:strRef>
              <c:f>'Pods and positioning'!$A$48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positioning'!$B$46:$CW$46</c:f>
            </c:strRef>
          </c:cat>
          <c:val>
            <c:numRef>
              <c:f>'Pods and positioning'!$B$48:$CW$48</c:f>
            </c:numRef>
          </c:val>
          <c:smooth val="0"/>
        </c:ser>
        <c:ser>
          <c:idx val="2"/>
          <c:order val="2"/>
          <c:tx>
            <c:strRef>
              <c:f>'Pods and positioning'!$A$49</c:f>
            </c:strRef>
          </c:tx>
          <c:spPr>
            <a:ln w="28575" cap="rnd">
              <a:solidFill>
                <a:srgbClr val="12B886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positioning'!$B$46:$CW$46</c:f>
            </c:strRef>
          </c:cat>
          <c:val>
            <c:numRef>
              <c:f>'Pods and positioning'!$B$49:$CW$49</c:f>
            </c:numRef>
          </c:val>
          <c:smooth val="0"/>
        </c:ser>
        <c:ser>
          <c:idx val="3"/>
          <c:order val="3"/>
          <c:tx>
            <c:strRef>
              <c:f>'Pods and positioning'!$A$50</c:f>
            </c:strRef>
          </c:tx>
          <c:spPr>
            <a:ln w="28575" cap="rnd">
              <a:solidFill>
                <a:srgbClr val="F59F00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positioning'!$B$46:$CW$46</c:f>
            </c:strRef>
          </c:cat>
          <c:val>
            <c:numRef>
              <c:f>'Pods and positioning'!$B$50:$CW$50</c:f>
            </c:numRef>
          </c:val>
          <c:smooth val="0"/>
        </c:ser>
        <c:ser>
          <c:idx val="4"/>
          <c:order val="4"/>
          <c:tx>
            <c:strRef>
              <c:f>'Pods and positioning'!$A$51</c:f>
            </c:strRef>
          </c:tx>
          <c:spPr>
            <a:ln w="28575" cap="rnd">
              <a:solidFill>
                <a:srgbClr val="7048E8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positioning'!$B$46:$CW$46</c:f>
            </c:strRef>
          </c:cat>
          <c:val>
            <c:numRef>
              <c:f>'Pods and positioning'!$B$51:$CW$51</c:f>
            </c:numRef>
          </c:val>
          <c:smooth val="0"/>
        </c:ser>
        <c:ser>
          <c:idx val="5"/>
          <c:order val="5"/>
          <c:tx>
            <c:strRef>
              <c:f>'Pods and positioning'!$A$52</c:f>
            </c:strRef>
          </c:tx>
          <c:spPr>
            <a:ln w="28575" cap="rnd">
              <a:solidFill>
                <a:srgbClr val="E64980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positioning'!$B$46:$CW$46</c:f>
            </c:strRef>
          </c:cat>
          <c:val>
            <c:numRef>
              <c:f>'Pods and positioning'!$B$52:$CW$52</c:f>
            </c:numRef>
          </c:val>
          <c:smooth val="0"/>
        </c:ser>
        <c:ser>
          <c:idx val="6"/>
          <c:order val="6"/>
          <c:tx>
            <c:strRef>
              <c:f>'Pods and positioning'!$A$53</c:f>
            </c:strRef>
          </c:tx>
          <c:spPr>
            <a:ln w="28575" cap="rnd">
              <a:solidFill>
                <a:srgbClr val="0CA678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positioning'!$B$46:$CW$46</c:f>
            </c:strRef>
          </c:cat>
          <c:val>
            <c:numRef>
              <c:f>'Pods and positioning'!$B$53:$CW$53</c:f>
            </c:numRef>
          </c:val>
          <c:smooth val="0"/>
        </c:ser>
        <c:ser>
          <c:idx val="7"/>
          <c:order val="7"/>
          <c:tx>
            <c:strRef>
              <c:f>'Pods and positioning'!$A$54</c:f>
            </c:strRef>
          </c:tx>
          <c:spPr>
            <a:ln w="28575" cap="rnd">
              <a:solidFill>
                <a:srgbClr val="868E96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positioning'!$B$46:$CW$46</c:f>
            </c:strRef>
          </c:cat>
          <c:val>
            <c:numRef>
              <c:f>'Pods and positioning'!$B$54:$CW$54</c:f>
            </c:numRef>
          </c:val>
          <c:smooth val="0"/>
        </c:ser>
        <c:ser>
          <c:idx val="8"/>
          <c:order val="8"/>
          <c:tx>
            <c:strRef>
              <c:f>'Pods and positioning'!$A$55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positioning'!$B$46:$CW$46</c:f>
            </c:strRef>
          </c:cat>
          <c:val>
            <c:numRef>
              <c:f>'Pods and positioning'!$B$55:$CW$55</c:f>
            </c:numRef>
          </c:val>
          <c:smooth val="0"/>
        </c:ser>
        <c:ser>
          <c:idx val="9"/>
          <c:order val="9"/>
          <c:tx>
            <c:strRef>
              <c:f>'Pods and positioning'!$A$56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positioning'!$B$46:$CW$46</c:f>
            </c:strRef>
          </c:cat>
          <c:val>
            <c:numRef>
              <c:f>'Pods and positioning'!$B$56:$CW$56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excess, realized then projected at the running mean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'Pods and positioning'!$A$77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positioning'!$B$76:$CW$76</c:f>
            </c:strRef>
          </c:cat>
          <c:val>
            <c:numRef>
              <c:f>'Pods and positioning'!$B$77:$CW$77</c:f>
            </c:numRef>
          </c:val>
          <c:smooth val="0"/>
        </c:ser>
        <c:ser>
          <c:idx val="1"/>
          <c:order val="1"/>
          <c:tx>
            <c:strRef>
              <c:f>'Pods and positioning'!$A$78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positioning'!$B$76:$CW$76</c:f>
            </c:strRef>
          </c:cat>
          <c:val>
            <c:numRef>
              <c:f>'Pods and positioning'!$B$78:$CW$78</c:f>
            </c:numRef>
          </c:val>
          <c:smooth val="0"/>
        </c:ser>
        <c:ser>
          <c:idx val="2"/>
          <c:order val="2"/>
          <c:tx>
            <c:strRef>
              <c:f>'Pods and positioning'!$A$79</c:f>
            </c:strRef>
          </c:tx>
          <c:spPr>
            <a:ln w="28575" cap="rnd">
              <a:solidFill>
                <a:srgbClr val="12B886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positioning'!$B$76:$CW$76</c:f>
            </c:strRef>
          </c:cat>
          <c:val>
            <c:numRef>
              <c:f>'Pods and positioning'!$B$79:$CW$79</c:f>
            </c:numRef>
          </c:val>
          <c:smooth val="0"/>
        </c:ser>
        <c:ser>
          <c:idx val="3"/>
          <c:order val="3"/>
          <c:tx>
            <c:strRef>
              <c:f>'Pods and positioning'!$A$80</c:f>
            </c:strRef>
          </c:tx>
          <c:spPr>
            <a:ln w="28575" cap="rnd">
              <a:solidFill>
                <a:srgbClr val="F59F00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positioning'!$B$76:$CW$76</c:f>
            </c:strRef>
          </c:cat>
          <c:val>
            <c:numRef>
              <c:f>'Pods and positioning'!$B$80:$CW$80</c:f>
            </c:numRef>
          </c:val>
          <c:smooth val="0"/>
        </c:ser>
        <c:ser>
          <c:idx val="4"/>
          <c:order val="4"/>
          <c:tx>
            <c:strRef>
              <c:f>'Pods and positioning'!$A$81</c:f>
            </c:strRef>
          </c:tx>
          <c:spPr>
            <a:ln w="28575" cap="rnd">
              <a:solidFill>
                <a:srgbClr val="7048E8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positioning'!$B$76:$CW$76</c:f>
            </c:strRef>
          </c:cat>
          <c:val>
            <c:numRef>
              <c:f>'Pods and positioning'!$B$81:$CW$81</c:f>
            </c:numRef>
          </c:val>
          <c:smooth val="0"/>
        </c:ser>
        <c:ser>
          <c:idx val="5"/>
          <c:order val="5"/>
          <c:tx>
            <c:strRef>
              <c:f>'Pods and positioning'!$A$82</c:f>
            </c:strRef>
          </c:tx>
          <c:spPr>
            <a:ln w="28575" cap="rnd">
              <a:solidFill>
                <a:srgbClr val="E64980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positioning'!$B$76:$CW$76</c:f>
            </c:strRef>
          </c:cat>
          <c:val>
            <c:numRef>
              <c:f>'Pods and positioning'!$B$82:$CW$82</c:f>
            </c:numRef>
          </c:val>
          <c:smooth val="0"/>
        </c:ser>
        <c:ser>
          <c:idx val="6"/>
          <c:order val="6"/>
          <c:tx>
            <c:strRef>
              <c:f>'Pods and positioning'!$A$83</c:f>
            </c:strRef>
          </c:tx>
          <c:spPr>
            <a:ln w="28575" cap="rnd">
              <a:solidFill>
                <a:srgbClr val="0CA678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positioning'!$B$76:$CW$76</c:f>
            </c:strRef>
          </c:cat>
          <c:val>
            <c:numRef>
              <c:f>'Pods and positioning'!$B$83:$CW$83</c:f>
            </c:numRef>
          </c:val>
          <c:smooth val="0"/>
        </c:ser>
        <c:ser>
          <c:idx val="7"/>
          <c:order val="7"/>
          <c:tx>
            <c:strRef>
              <c:f>'Pods and positioning'!$A$84</c:f>
            </c:strRef>
          </c:tx>
          <c:spPr>
            <a:ln w="28575" cap="rnd">
              <a:solidFill>
                <a:srgbClr val="868E96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positioning'!$B$76:$CW$76</c:f>
            </c:strRef>
          </c:cat>
          <c:val>
            <c:numRef>
              <c:f>'Pods and positioning'!$B$84:$CW$84</c:f>
            </c:numRef>
          </c:val>
          <c:smooth val="0"/>
        </c:ser>
        <c:ser>
          <c:idx val="8"/>
          <c:order val="8"/>
          <c:tx>
            <c:strRef>
              <c:f>'Pods and positioning'!$A$85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positioning'!$B$76:$CW$76</c:f>
            </c:strRef>
          </c:cat>
          <c:val>
            <c:numRef>
              <c:f>'Pods and positioning'!$B$85:$CW$85</c:f>
            </c:numRef>
          </c:val>
          <c:smooth val="0"/>
        </c:ser>
        <c:ser>
          <c:idx val="9"/>
          <c:order val="9"/>
          <c:tx>
            <c:strRef>
              <c:f>'Pods and positioning'!$A$86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'Pods and positioning'!$B$76:$CW$76</c:f>
            </c:strRef>
          </c:cat>
          <c:val>
            <c:numRef>
              <c:f>'Pods and positioning'!$B$86:$CW$86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Relationship Id="rId3" Type="http://schemas.openxmlformats.org/officeDocument/2006/relationships/chart" Target="../charts/chart6.xml"/><Relationship Id="rId4" Type="http://schemas.openxmlformats.org/officeDocument/2006/relationships/chart" Target="../charts/chart7.xml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chart" Target="../charts/chart9.xml"/><Relationship Id="rId3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29</xdr:row>
      <xdr:rowOff>0</xdr:rowOff>
    </xdr:from>
    <xdr:to>
      <xdr:col>102</xdr:col>
      <xdr:colOff>0</xdr:colOff>
      <xdr:row>45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51</xdr:row>
      <xdr:rowOff>0</xdr:rowOff>
    </xdr:from>
    <xdr:to>
      <xdr:col>102</xdr:col>
      <xdr:colOff>0</xdr:colOff>
      <xdr:row>67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74</xdr:row>
      <xdr:rowOff>0</xdr:rowOff>
    </xdr:from>
    <xdr:to>
      <xdr:col>102</xdr:col>
      <xdr:colOff>0</xdr:colOff>
      <xdr:row>90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22</xdr:row>
      <xdr:rowOff>0</xdr:rowOff>
    </xdr:from>
    <xdr:to>
      <xdr:col>102</xdr:col>
      <xdr:colOff>0</xdr:colOff>
      <xdr:row>38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102</xdr:col>
      <xdr:colOff>0</xdr:colOff>
      <xdr:row>60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66</xdr:row>
      <xdr:rowOff>0</xdr:rowOff>
    </xdr:from>
    <xdr:to>
      <xdr:col>102</xdr:col>
      <xdr:colOff>0</xdr:colOff>
      <xdr:row>82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0</xdr:col>
      <xdr:colOff>0</xdr:colOff>
      <xdr:row>96</xdr:row>
      <xdr:rowOff>0</xdr:rowOff>
    </xdr:from>
    <xdr:to>
      <xdr:col>102</xdr:col>
      <xdr:colOff>0</xdr:colOff>
      <xdr:row>112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14</xdr:row>
      <xdr:rowOff>0</xdr:rowOff>
    </xdr:from>
    <xdr:to>
      <xdr:col>12</xdr:col>
      <xdr:colOff>0</xdr:colOff>
      <xdr:row>30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57</xdr:row>
      <xdr:rowOff>0</xdr:rowOff>
    </xdr:from>
    <xdr:to>
      <xdr:col>102</xdr:col>
      <xdr:colOff>0</xdr:colOff>
      <xdr:row>73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87</xdr:row>
      <xdr:rowOff>0</xdr:rowOff>
    </xdr:from>
    <xdr:to>
      <xdr:col>102</xdr:col>
      <xdr:colOff>0</xdr:colOff>
      <xdr:row>103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Evaluated trading days</t>
        </is>
      </c>
    </row>
    <row r="2">
      <c r="A2" s="1" t="inlineStr">
        <is>
          <t xml:space="preserve">line</t>
        </is>
      </c>
      <c r="B2" s="1" t="inlineStr">
        <is>
          <t xml:space="preserve">value</t>
        </is>
      </c>
    </row>
    <row r="3">
      <c r="A3" s="0" t="inlineStr">
        <is>
          <t xml:space="preserve">Evaluated trading days</t>
        </is>
      </c>
      <c r="B3" s="4">
        <f>'Fund and null distribution'!B2</f>
        <v>1</v>
      </c>
    </row>
    <row r="5">
      <c r="A5" s="1" t="inlineStr">
        <is>
          <t xml:space="preserve">LLM pods: mean excess (bps/day)</t>
        </is>
      </c>
    </row>
    <row r="6">
      <c r="A6" s="1" t="inlineStr">
        <is>
          <t xml:space="preserve">line</t>
        </is>
      </c>
      <c r="B6" s="1" t="inlineStr">
        <is>
          <t xml:space="preserve">value</t>
        </is>
      </c>
    </row>
    <row r="7">
      <c r="A7" s="0" t="inlineStr">
        <is>
          <t xml:space="preserve">LLM pods: mean excess, bps/day</t>
        </is>
      </c>
      <c r="B7" s="8">
        <f>'Fund and null distribution'!B5</f>
        <v>1.3032000000000004</v>
      </c>
    </row>
    <row r="9">
      <c r="A9" s="1" t="inlineStr">
        <is>
          <t xml:space="preserve">Best random pod (bps/day)</t>
        </is>
      </c>
    </row>
    <row r="10">
      <c r="A10" s="1" t="inlineStr">
        <is>
          <t xml:space="preserve">line</t>
        </is>
      </c>
      <c r="B10" s="1" t="inlineStr">
        <is>
          <t xml:space="preserve">value</t>
        </is>
      </c>
    </row>
    <row r="11">
      <c r="A11" s="0" t="inlineStr">
        <is>
          <t xml:space="preserve">Random pods: best mean, bps/day</t>
        </is>
      </c>
      <c r="B11" s="8">
        <f>'Fund and null distribution'!B11</f>
        <v>13.888</v>
      </c>
    </row>
    <row r="13">
      <c r="A13" s="1" t="inlineStr">
        <is>
          <t xml:space="preserve">Pods meeting the skill bar</t>
        </is>
      </c>
    </row>
    <row r="14">
      <c r="A14" s="1" t="inlineStr">
        <is>
          <t xml:space="preserve">line</t>
        </is>
      </c>
      <c r="B14" s="1" t="inlineStr">
        <is>
          <t xml:space="preserve">value</t>
        </is>
      </c>
    </row>
    <row r="15">
      <c r="A15" s="0" t="inlineStr">
        <is>
          <t xml:space="preserve">Pods meeting the skill bar</t>
        </is>
      </c>
      <c r="B15" s="4">
        <f>'Fund and null distribution'!B14</f>
        <v>0</v>
      </c>
    </row>
    <row r="17">
      <c r="A17" s="1" t="inlineStr">
        <is>
          <t xml:space="preserve">Cumulative sector-neutral excess by LLM pod (bps)</t>
        </is>
      </c>
    </row>
    <row r="18">
      <c r="A18" s="1" t="inlineStr">
        <is>
          <t xml:space="preserve">pod</t>
        </is>
      </c>
      <c r="B18" s="1" t="inlineStr">
        <is>
          <t xml:space="preserve">09-22</t>
        </is>
      </c>
      <c r="C18" s="1" t="inlineStr">
        <is>
          <t xml:space="preserve">09-23</t>
        </is>
      </c>
      <c r="D18" s="1" t="inlineStr">
        <is>
          <t xml:space="preserve">09-24</t>
        </is>
      </c>
      <c r="E18" s="1" t="inlineStr">
        <is>
          <t xml:space="preserve">09-25</t>
        </is>
      </c>
      <c r="F18" s="1" t="inlineStr">
        <is>
          <t xml:space="preserve">09-28</t>
        </is>
      </c>
      <c r="G18" s="1" t="inlineStr">
        <is>
          <t xml:space="preserve">09-29</t>
        </is>
      </c>
      <c r="H18" s="1" t="inlineStr">
        <is>
          <t xml:space="preserve">09-30</t>
        </is>
      </c>
      <c r="I18" s="1" t="inlineStr">
        <is>
          <t xml:space="preserve">10-01</t>
        </is>
      </c>
      <c r="J18" s="1" t="inlineStr">
        <is>
          <t xml:space="preserve">10-02</t>
        </is>
      </c>
      <c r="K18" s="1" t="inlineStr">
        <is>
          <t xml:space="preserve">10-05</t>
        </is>
      </c>
      <c r="L18" s="1" t="inlineStr">
        <is>
          <t xml:space="preserve">10-06</t>
        </is>
      </c>
      <c r="M18" s="1" t="inlineStr">
        <is>
          <t xml:space="preserve">10-07</t>
        </is>
      </c>
      <c r="N18" s="1" t="inlineStr">
        <is>
          <t xml:space="preserve">10-08</t>
        </is>
      </c>
      <c r="O18" s="1" t="inlineStr">
        <is>
          <t xml:space="preserve">10-09</t>
        </is>
      </c>
      <c r="P18" s="1" t="inlineStr">
        <is>
          <t xml:space="preserve">10-12</t>
        </is>
      </c>
      <c r="Q18" s="1" t="inlineStr">
        <is>
          <t xml:space="preserve">10-13</t>
        </is>
      </c>
      <c r="R18" s="1" t="inlineStr">
        <is>
          <t xml:space="preserve">10-14</t>
        </is>
      </c>
      <c r="S18" s="1" t="inlineStr">
        <is>
          <t xml:space="preserve">10-15</t>
        </is>
      </c>
      <c r="T18" s="1" t="inlineStr">
        <is>
          <t xml:space="preserve">10-16</t>
        </is>
      </c>
      <c r="U18" s="1" t="inlineStr">
        <is>
          <t xml:space="preserve">10-19</t>
        </is>
      </c>
      <c r="V18" s="1" t="inlineStr">
        <is>
          <t xml:space="preserve">10-20</t>
        </is>
      </c>
      <c r="W18" s="1" t="inlineStr">
        <is>
          <t xml:space="preserve">10-21</t>
        </is>
      </c>
      <c r="X18" s="1" t="inlineStr">
        <is>
          <t xml:space="preserve">10-22</t>
        </is>
      </c>
      <c r="Y18" s="1" t="inlineStr">
        <is>
          <t xml:space="preserve">10-23</t>
        </is>
      </c>
      <c r="Z18" s="1" t="inlineStr">
        <is>
          <t xml:space="preserve">10-26</t>
        </is>
      </c>
      <c r="AA18" s="1" t="inlineStr">
        <is>
          <t xml:space="preserve">10-27</t>
        </is>
      </c>
      <c r="AB18" s="1" t="inlineStr">
        <is>
          <t xml:space="preserve">10-28</t>
        </is>
      </c>
      <c r="AC18" s="1" t="inlineStr">
        <is>
          <t xml:space="preserve">10-29</t>
        </is>
      </c>
      <c r="AD18" s="1" t="inlineStr">
        <is>
          <t xml:space="preserve">10-30</t>
        </is>
      </c>
      <c r="AE18" s="1" t="inlineStr">
        <is>
          <t xml:space="preserve">11-02</t>
        </is>
      </c>
      <c r="AF18" s="1" t="inlineStr">
        <is>
          <t xml:space="preserve">11-03</t>
        </is>
      </c>
      <c r="AG18" s="1" t="inlineStr">
        <is>
          <t xml:space="preserve">11-04</t>
        </is>
      </c>
      <c r="AH18" s="1" t="inlineStr">
        <is>
          <t xml:space="preserve">11-05</t>
        </is>
      </c>
      <c r="AI18" s="1" t="inlineStr">
        <is>
          <t xml:space="preserve">11-06</t>
        </is>
      </c>
      <c r="AJ18" s="1" t="inlineStr">
        <is>
          <t xml:space="preserve">11-09</t>
        </is>
      </c>
      <c r="AK18" s="1" t="inlineStr">
        <is>
          <t xml:space="preserve">11-10</t>
        </is>
      </c>
      <c r="AL18" s="1" t="inlineStr">
        <is>
          <t xml:space="preserve">11-11</t>
        </is>
      </c>
      <c r="AM18" s="1" t="inlineStr">
        <is>
          <t xml:space="preserve">11-12</t>
        </is>
      </c>
      <c r="AN18" s="1" t="inlineStr">
        <is>
          <t xml:space="preserve">11-13</t>
        </is>
      </c>
      <c r="AO18" s="1" t="inlineStr">
        <is>
          <t xml:space="preserve">11-16</t>
        </is>
      </c>
      <c r="AP18" s="1" t="inlineStr">
        <is>
          <t xml:space="preserve">11-17</t>
        </is>
      </c>
      <c r="AQ18" s="1" t="inlineStr">
        <is>
          <t xml:space="preserve">11-18</t>
        </is>
      </c>
      <c r="AR18" s="1" t="inlineStr">
        <is>
          <t xml:space="preserve">11-19</t>
        </is>
      </c>
      <c r="AS18" s="1" t="inlineStr">
        <is>
          <t xml:space="preserve">11-20</t>
        </is>
      </c>
      <c r="AT18" s="1" t="inlineStr">
        <is>
          <t xml:space="preserve">11-23</t>
        </is>
      </c>
      <c r="AU18" s="1" t="inlineStr">
        <is>
          <t xml:space="preserve">11-24</t>
        </is>
      </c>
      <c r="AV18" s="1" t="inlineStr">
        <is>
          <t xml:space="preserve">11-25</t>
        </is>
      </c>
      <c r="AW18" s="1" t="inlineStr">
        <is>
          <t xml:space="preserve">11-27</t>
        </is>
      </c>
      <c r="AX18" s="1" t="inlineStr">
        <is>
          <t xml:space="preserve">11-30</t>
        </is>
      </c>
      <c r="AY18" s="1" t="inlineStr">
        <is>
          <t xml:space="preserve">12-01</t>
        </is>
      </c>
      <c r="AZ18" s="1" t="inlineStr">
        <is>
          <t xml:space="preserve">12-02</t>
        </is>
      </c>
      <c r="BA18" s="1" t="inlineStr">
        <is>
          <t xml:space="preserve">12-03</t>
        </is>
      </c>
      <c r="BB18" s="1" t="inlineStr">
        <is>
          <t xml:space="preserve">12-04</t>
        </is>
      </c>
      <c r="BC18" s="1" t="inlineStr">
        <is>
          <t xml:space="preserve">12-07</t>
        </is>
      </c>
      <c r="BD18" s="1" t="inlineStr">
        <is>
          <t xml:space="preserve">12-08</t>
        </is>
      </c>
      <c r="BE18" s="1" t="inlineStr">
        <is>
          <t xml:space="preserve">12-09</t>
        </is>
      </c>
      <c r="BF18" s="1" t="inlineStr">
        <is>
          <t xml:space="preserve">12-10</t>
        </is>
      </c>
      <c r="BG18" s="1" t="inlineStr">
        <is>
          <t xml:space="preserve">12-11</t>
        </is>
      </c>
      <c r="BH18" s="1" t="inlineStr">
        <is>
          <t xml:space="preserve">12-14</t>
        </is>
      </c>
      <c r="BI18" s="1" t="inlineStr">
        <is>
          <t xml:space="preserve">12-15</t>
        </is>
      </c>
      <c r="BJ18" s="1" t="inlineStr">
        <is>
          <t xml:space="preserve">12-16</t>
        </is>
      </c>
      <c r="BK18" s="1" t="inlineStr">
        <is>
          <t xml:space="preserve">12-17</t>
        </is>
      </c>
      <c r="BL18" s="1" t="inlineStr">
        <is>
          <t xml:space="preserve">12-18</t>
        </is>
      </c>
      <c r="BM18" s="1" t="inlineStr">
        <is>
          <t xml:space="preserve">12-21</t>
        </is>
      </c>
      <c r="BN18" s="1" t="inlineStr">
        <is>
          <t xml:space="preserve">12-22</t>
        </is>
      </c>
      <c r="BO18" s="1" t="inlineStr">
        <is>
          <t xml:space="preserve">12-23</t>
        </is>
      </c>
      <c r="BP18" s="1" t="inlineStr">
        <is>
          <t xml:space="preserve">12-24</t>
        </is>
      </c>
      <c r="BQ18" s="1" t="inlineStr">
        <is>
          <t xml:space="preserve">12-28</t>
        </is>
      </c>
      <c r="BR18" s="1" t="inlineStr">
        <is>
          <t xml:space="preserve">12-29</t>
        </is>
      </c>
      <c r="BS18" s="1" t="inlineStr">
        <is>
          <t xml:space="preserve">12-30</t>
        </is>
      </c>
      <c r="BT18" s="1" t="inlineStr">
        <is>
          <t xml:space="preserve">12-31</t>
        </is>
      </c>
      <c r="BU18" s="1" t="inlineStr">
        <is>
          <t xml:space="preserve">01-04</t>
        </is>
      </c>
      <c r="BV18" s="1" t="inlineStr">
        <is>
          <t xml:space="preserve">01-05</t>
        </is>
      </c>
      <c r="BW18" s="1" t="inlineStr">
        <is>
          <t xml:space="preserve">01-06</t>
        </is>
      </c>
      <c r="BX18" s="1" t="inlineStr">
        <is>
          <t xml:space="preserve">01-07</t>
        </is>
      </c>
      <c r="BY18" s="1" t="inlineStr">
        <is>
          <t xml:space="preserve">01-08</t>
        </is>
      </c>
      <c r="BZ18" s="1" t="inlineStr">
        <is>
          <t xml:space="preserve">01-11</t>
        </is>
      </c>
      <c r="CA18" s="1" t="inlineStr">
        <is>
          <t xml:space="preserve">01-12</t>
        </is>
      </c>
      <c r="CB18" s="1" t="inlineStr">
        <is>
          <t xml:space="preserve">01-13</t>
        </is>
      </c>
      <c r="CC18" s="1" t="inlineStr">
        <is>
          <t xml:space="preserve">01-14</t>
        </is>
      </c>
      <c r="CD18" s="1" t="inlineStr">
        <is>
          <t xml:space="preserve">01-15</t>
        </is>
      </c>
      <c r="CE18" s="1" t="inlineStr">
        <is>
          <t xml:space="preserve">01-19</t>
        </is>
      </c>
      <c r="CF18" s="1" t="inlineStr">
        <is>
          <t xml:space="preserve">01-20</t>
        </is>
      </c>
      <c r="CG18" s="1" t="inlineStr">
        <is>
          <t xml:space="preserve">01-21</t>
        </is>
      </c>
      <c r="CH18" s="1" t="inlineStr">
        <is>
          <t xml:space="preserve">01-22</t>
        </is>
      </c>
      <c r="CI18" s="1" t="inlineStr">
        <is>
          <t xml:space="preserve">01-25</t>
        </is>
      </c>
      <c r="CJ18" s="1" t="inlineStr">
        <is>
          <t xml:space="preserve">01-26</t>
        </is>
      </c>
      <c r="CK18" s="1" t="inlineStr">
        <is>
          <t xml:space="preserve">01-27</t>
        </is>
      </c>
      <c r="CL18" s="1" t="inlineStr">
        <is>
          <t xml:space="preserve">01-28</t>
        </is>
      </c>
      <c r="CM18" s="1" t="inlineStr">
        <is>
          <t xml:space="preserve">01-29</t>
        </is>
      </c>
      <c r="CN18" s="1" t="inlineStr">
        <is>
          <t xml:space="preserve">02-01</t>
        </is>
      </c>
      <c r="CO18" s="1" t="inlineStr">
        <is>
          <t xml:space="preserve">02-02</t>
        </is>
      </c>
      <c r="CP18" s="1" t="inlineStr">
        <is>
          <t xml:space="preserve">02-03</t>
        </is>
      </c>
      <c r="CQ18" s="1" t="inlineStr">
        <is>
          <t xml:space="preserve">02-04</t>
        </is>
      </c>
      <c r="CR18" s="1" t="inlineStr">
        <is>
          <t xml:space="preserve">02-05</t>
        </is>
      </c>
      <c r="CS18" s="1" t="inlineStr">
        <is>
          <t xml:space="preserve">02-08</t>
        </is>
      </c>
      <c r="CT18" s="1" t="inlineStr">
        <is>
          <t xml:space="preserve">02-09</t>
        </is>
      </c>
      <c r="CU18" s="1" t="inlineStr">
        <is>
          <t xml:space="preserve">02-10</t>
        </is>
      </c>
      <c r="CV18" s="1" t="inlineStr">
        <is>
          <t xml:space="preserve">02-11</t>
        </is>
      </c>
      <c r="CW18" s="1" t="inlineStr">
        <is>
          <t xml:space="preserve">02-12</t>
        </is>
      </c>
    </row>
    <row r="19">
      <c r="A19" s="0" t="inlineStr">
        <is>
          <t xml:space="preserve">Retail Attention Overnight</t>
        </is>
      </c>
      <c r="B19" s="8">
        <f>'Pod by trading day'!C182</f>
        <v>-19.56</v>
      </c>
      <c r="C19" s="8">
        <f>'Pod by trading day'!D182</f>
      </c>
      <c r="D19" s="8">
        <f>'Pod by trading day'!E182</f>
      </c>
      <c r="E19" s="8">
        <f>'Pod by trading day'!F182</f>
      </c>
      <c r="F19" s="8">
        <f>'Pod by trading day'!G182</f>
      </c>
      <c r="G19" s="8">
        <f>'Pod by trading day'!H182</f>
      </c>
      <c r="H19" s="8">
        <f>'Pod by trading day'!I182</f>
      </c>
      <c r="I19" s="8">
        <f>'Pod by trading day'!J182</f>
      </c>
      <c r="J19" s="8">
        <f>'Pod by trading day'!K182</f>
      </c>
      <c r="K19" s="8">
        <f>'Pod by trading day'!L182</f>
      </c>
      <c r="L19" s="8">
        <f>'Pod by trading day'!M182</f>
      </c>
      <c r="M19" s="8">
        <f>'Pod by trading day'!N182</f>
      </c>
      <c r="N19" s="8">
        <f>'Pod by trading day'!O182</f>
      </c>
      <c r="O19" s="8">
        <f>'Pod by trading day'!P182</f>
      </c>
      <c r="P19" s="8">
        <f>'Pod by trading day'!Q182</f>
      </c>
      <c r="Q19" s="8">
        <f>'Pod by trading day'!R182</f>
      </c>
      <c r="R19" s="8">
        <f>'Pod by trading day'!S182</f>
      </c>
      <c r="S19" s="8">
        <f>'Pod by trading day'!T182</f>
      </c>
      <c r="T19" s="8">
        <f>'Pod by trading day'!U182</f>
      </c>
      <c r="U19" s="8">
        <f>'Pod by trading day'!V182</f>
      </c>
      <c r="V19" s="8">
        <f>'Pod by trading day'!W182</f>
      </c>
      <c r="W19" s="8">
        <f>'Pod by trading day'!X182</f>
      </c>
      <c r="X19" s="8">
        <f>'Pod by trading day'!Y182</f>
      </c>
      <c r="Y19" s="8">
        <f>'Pod by trading day'!Z182</f>
      </c>
      <c r="Z19" s="8">
        <f>'Pod by trading day'!AA182</f>
      </c>
      <c r="AA19" s="8">
        <f>'Pod by trading day'!AB182</f>
      </c>
      <c r="AB19" s="8">
        <f>'Pod by trading day'!AC182</f>
      </c>
      <c r="AC19" s="8">
        <f>'Pod by trading day'!AD182</f>
      </c>
      <c r="AD19" s="8">
        <f>'Pod by trading day'!AE182</f>
      </c>
      <c r="AE19" s="8">
        <f>'Pod by trading day'!AF182</f>
      </c>
      <c r="AF19" s="8">
        <f>'Pod by trading day'!AG182</f>
      </c>
      <c r="AG19" s="8">
        <f>'Pod by trading day'!AH182</f>
      </c>
      <c r="AH19" s="8">
        <f>'Pod by trading day'!AI182</f>
      </c>
      <c r="AI19" s="8">
        <f>'Pod by trading day'!AJ182</f>
      </c>
      <c r="AJ19" s="8">
        <f>'Pod by trading day'!AK182</f>
      </c>
      <c r="AK19" s="8">
        <f>'Pod by trading day'!AL182</f>
      </c>
      <c r="AL19" s="8">
        <f>'Pod by trading day'!AM182</f>
      </c>
      <c r="AM19" s="8">
        <f>'Pod by trading day'!AN182</f>
      </c>
      <c r="AN19" s="8">
        <f>'Pod by trading day'!AO182</f>
      </c>
      <c r="AO19" s="8">
        <f>'Pod by trading day'!AP182</f>
      </c>
      <c r="AP19" s="8">
        <f>'Pod by trading day'!AQ182</f>
      </c>
      <c r="AQ19" s="8">
        <f>'Pod by trading day'!AR182</f>
      </c>
      <c r="AR19" s="8">
        <f>'Pod by trading day'!AS182</f>
      </c>
      <c r="AS19" s="8">
        <f>'Pod by trading day'!AT182</f>
      </c>
      <c r="AT19" s="8">
        <f>'Pod by trading day'!AU182</f>
      </c>
      <c r="AU19" s="8">
        <f>'Pod by trading day'!AV182</f>
      </c>
      <c r="AV19" s="8">
        <f>'Pod by trading day'!AW182</f>
      </c>
      <c r="AW19" s="8">
        <f>'Pod by trading day'!AX182</f>
      </c>
      <c r="AX19" s="8">
        <f>'Pod by trading day'!AY182</f>
      </c>
      <c r="AY19" s="8">
        <f>'Pod by trading day'!AZ182</f>
      </c>
      <c r="AZ19" s="8">
        <f>'Pod by trading day'!BA182</f>
      </c>
      <c r="BA19" s="8">
        <f>'Pod by trading day'!BB182</f>
      </c>
      <c r="BB19" s="8">
        <f>'Pod by trading day'!BC182</f>
      </c>
      <c r="BC19" s="8">
        <f>'Pod by trading day'!BD182</f>
      </c>
      <c r="BD19" s="8">
        <f>'Pod by trading day'!BE182</f>
      </c>
      <c r="BE19" s="8">
        <f>'Pod by trading day'!BF182</f>
      </c>
      <c r="BF19" s="8">
        <f>'Pod by trading day'!BG182</f>
      </c>
      <c r="BG19" s="8">
        <f>'Pod by trading day'!BH182</f>
      </c>
      <c r="BH19" s="8">
        <f>'Pod by trading day'!BI182</f>
      </c>
      <c r="BI19" s="8">
        <f>'Pod by trading day'!BJ182</f>
      </c>
      <c r="BJ19" s="8">
        <f>'Pod by trading day'!BK182</f>
      </c>
      <c r="BK19" s="8">
        <f>'Pod by trading day'!BL182</f>
      </c>
      <c r="BL19" s="8">
        <f>'Pod by trading day'!BM182</f>
      </c>
      <c r="BM19" s="8">
        <f>'Pod by trading day'!BN182</f>
      </c>
      <c r="BN19" s="8">
        <f>'Pod by trading day'!BO182</f>
      </c>
      <c r="BO19" s="8">
        <f>'Pod by trading day'!BP182</f>
      </c>
      <c r="BP19" s="8">
        <f>'Pod by trading day'!BQ182</f>
      </c>
      <c r="BQ19" s="8">
        <f>'Pod by trading day'!BR182</f>
      </c>
      <c r="BR19" s="8">
        <f>'Pod by trading day'!BS182</f>
      </c>
      <c r="BS19" s="8">
        <f>'Pod by trading day'!BT182</f>
      </c>
      <c r="BT19" s="8">
        <f>'Pod by trading day'!BU182</f>
      </c>
      <c r="BU19" s="8">
        <f>'Pod by trading day'!BV182</f>
      </c>
      <c r="BV19" s="8">
        <f>'Pod by trading day'!BW182</f>
      </c>
      <c r="BW19" s="8">
        <f>'Pod by trading day'!BX182</f>
      </c>
      <c r="BX19" s="8">
        <f>'Pod by trading day'!BY182</f>
      </c>
      <c r="BY19" s="8">
        <f>'Pod by trading day'!BZ182</f>
      </c>
      <c r="BZ19" s="8">
        <f>'Pod by trading day'!CA182</f>
      </c>
      <c r="CA19" s="8">
        <f>'Pod by trading day'!CB182</f>
      </c>
      <c r="CB19" s="8">
        <f>'Pod by trading day'!CC182</f>
      </c>
      <c r="CC19" s="8">
        <f>'Pod by trading day'!CD182</f>
      </c>
      <c r="CD19" s="8">
        <f>'Pod by trading day'!CE182</f>
      </c>
      <c r="CE19" s="8">
        <f>'Pod by trading day'!CF182</f>
      </c>
      <c r="CF19" s="8">
        <f>'Pod by trading day'!CG182</f>
      </c>
      <c r="CG19" s="8">
        <f>'Pod by trading day'!CH182</f>
      </c>
      <c r="CH19" s="8">
        <f>'Pod by trading day'!CI182</f>
      </c>
      <c r="CI19" s="8">
        <f>'Pod by trading day'!CJ182</f>
      </c>
      <c r="CJ19" s="8">
        <f>'Pod by trading day'!CK182</f>
      </c>
      <c r="CK19" s="8">
        <f>'Pod by trading day'!CL182</f>
      </c>
      <c r="CL19" s="8">
        <f>'Pod by trading day'!CM182</f>
      </c>
      <c r="CM19" s="8">
        <f>'Pod by trading day'!CN182</f>
      </c>
      <c r="CN19" s="8">
        <f>'Pod by trading day'!CO182</f>
      </c>
      <c r="CO19" s="8">
        <f>'Pod by trading day'!CP182</f>
      </c>
      <c r="CP19" s="8">
        <f>'Pod by trading day'!CQ182</f>
      </c>
      <c r="CQ19" s="8">
        <f>'Pod by trading day'!CR182</f>
      </c>
      <c r="CR19" s="8">
        <f>'Pod by trading day'!CS182</f>
      </c>
      <c r="CS19" s="8">
        <f>'Pod by trading day'!CT182</f>
      </c>
      <c r="CT19" s="8">
        <f>'Pod by trading day'!CU182</f>
      </c>
      <c r="CU19" s="8">
        <f>'Pod by trading day'!CV182</f>
      </c>
      <c r="CV19" s="8">
        <f>'Pod by trading day'!CW182</f>
      </c>
      <c r="CW19" s="8">
        <f>'Pod by trading day'!CX182</f>
      </c>
    </row>
    <row r="20">
      <c r="A20" s="0" t="inlineStr">
        <is>
          <t xml:space="preserve">Post-Earnings Drift, Overnight Leg</t>
        </is>
      </c>
      <c r="B20" s="8">
        <f>'Pod by trading day'!C183</f>
        <v>11.704</v>
      </c>
      <c r="C20" s="8">
        <f>'Pod by trading day'!D183</f>
      </c>
      <c r="D20" s="8">
        <f>'Pod by trading day'!E183</f>
      </c>
      <c r="E20" s="8">
        <f>'Pod by trading day'!F183</f>
      </c>
      <c r="F20" s="8">
        <f>'Pod by trading day'!G183</f>
      </c>
      <c r="G20" s="8">
        <f>'Pod by trading day'!H183</f>
      </c>
      <c r="H20" s="8">
        <f>'Pod by trading day'!I183</f>
      </c>
      <c r="I20" s="8">
        <f>'Pod by trading day'!J183</f>
      </c>
      <c r="J20" s="8">
        <f>'Pod by trading day'!K183</f>
      </c>
      <c r="K20" s="8">
        <f>'Pod by trading day'!L183</f>
      </c>
      <c r="L20" s="8">
        <f>'Pod by trading day'!M183</f>
      </c>
      <c r="M20" s="8">
        <f>'Pod by trading day'!N183</f>
      </c>
      <c r="N20" s="8">
        <f>'Pod by trading day'!O183</f>
      </c>
      <c r="O20" s="8">
        <f>'Pod by trading day'!P183</f>
      </c>
      <c r="P20" s="8">
        <f>'Pod by trading day'!Q183</f>
      </c>
      <c r="Q20" s="8">
        <f>'Pod by trading day'!R183</f>
      </c>
      <c r="R20" s="8">
        <f>'Pod by trading day'!S183</f>
      </c>
      <c r="S20" s="8">
        <f>'Pod by trading day'!T183</f>
      </c>
      <c r="T20" s="8">
        <f>'Pod by trading day'!U183</f>
      </c>
      <c r="U20" s="8">
        <f>'Pod by trading day'!V183</f>
      </c>
      <c r="V20" s="8">
        <f>'Pod by trading day'!W183</f>
      </c>
      <c r="W20" s="8">
        <f>'Pod by trading day'!X183</f>
      </c>
      <c r="X20" s="8">
        <f>'Pod by trading day'!Y183</f>
      </c>
      <c r="Y20" s="8">
        <f>'Pod by trading day'!Z183</f>
      </c>
      <c r="Z20" s="8">
        <f>'Pod by trading day'!AA183</f>
      </c>
      <c r="AA20" s="8">
        <f>'Pod by trading day'!AB183</f>
      </c>
      <c r="AB20" s="8">
        <f>'Pod by trading day'!AC183</f>
      </c>
      <c r="AC20" s="8">
        <f>'Pod by trading day'!AD183</f>
      </c>
      <c r="AD20" s="8">
        <f>'Pod by trading day'!AE183</f>
      </c>
      <c r="AE20" s="8">
        <f>'Pod by trading day'!AF183</f>
      </c>
      <c r="AF20" s="8">
        <f>'Pod by trading day'!AG183</f>
      </c>
      <c r="AG20" s="8">
        <f>'Pod by trading day'!AH183</f>
      </c>
      <c r="AH20" s="8">
        <f>'Pod by trading day'!AI183</f>
      </c>
      <c r="AI20" s="8">
        <f>'Pod by trading day'!AJ183</f>
      </c>
      <c r="AJ20" s="8">
        <f>'Pod by trading day'!AK183</f>
      </c>
      <c r="AK20" s="8">
        <f>'Pod by trading day'!AL183</f>
      </c>
      <c r="AL20" s="8">
        <f>'Pod by trading day'!AM183</f>
      </c>
      <c r="AM20" s="8">
        <f>'Pod by trading day'!AN183</f>
      </c>
      <c r="AN20" s="8">
        <f>'Pod by trading day'!AO183</f>
      </c>
      <c r="AO20" s="8">
        <f>'Pod by trading day'!AP183</f>
      </c>
      <c r="AP20" s="8">
        <f>'Pod by trading day'!AQ183</f>
      </c>
      <c r="AQ20" s="8">
        <f>'Pod by trading day'!AR183</f>
      </c>
      <c r="AR20" s="8">
        <f>'Pod by trading day'!AS183</f>
      </c>
      <c r="AS20" s="8">
        <f>'Pod by trading day'!AT183</f>
      </c>
      <c r="AT20" s="8">
        <f>'Pod by trading day'!AU183</f>
      </c>
      <c r="AU20" s="8">
        <f>'Pod by trading day'!AV183</f>
      </c>
      <c r="AV20" s="8">
        <f>'Pod by trading day'!AW183</f>
      </c>
      <c r="AW20" s="8">
        <f>'Pod by trading day'!AX183</f>
      </c>
      <c r="AX20" s="8">
        <f>'Pod by trading day'!AY183</f>
      </c>
      <c r="AY20" s="8">
        <f>'Pod by trading day'!AZ183</f>
      </c>
      <c r="AZ20" s="8">
        <f>'Pod by trading day'!BA183</f>
      </c>
      <c r="BA20" s="8">
        <f>'Pod by trading day'!BB183</f>
      </c>
      <c r="BB20" s="8">
        <f>'Pod by trading day'!BC183</f>
      </c>
      <c r="BC20" s="8">
        <f>'Pod by trading day'!BD183</f>
      </c>
      <c r="BD20" s="8">
        <f>'Pod by trading day'!BE183</f>
      </c>
      <c r="BE20" s="8">
        <f>'Pod by trading day'!BF183</f>
      </c>
      <c r="BF20" s="8">
        <f>'Pod by trading day'!BG183</f>
      </c>
      <c r="BG20" s="8">
        <f>'Pod by trading day'!BH183</f>
      </c>
      <c r="BH20" s="8">
        <f>'Pod by trading day'!BI183</f>
      </c>
      <c r="BI20" s="8">
        <f>'Pod by trading day'!BJ183</f>
      </c>
      <c r="BJ20" s="8">
        <f>'Pod by trading day'!BK183</f>
      </c>
      <c r="BK20" s="8">
        <f>'Pod by trading day'!BL183</f>
      </c>
      <c r="BL20" s="8">
        <f>'Pod by trading day'!BM183</f>
      </c>
      <c r="BM20" s="8">
        <f>'Pod by trading day'!BN183</f>
      </c>
      <c r="BN20" s="8">
        <f>'Pod by trading day'!BO183</f>
      </c>
      <c r="BO20" s="8">
        <f>'Pod by trading day'!BP183</f>
      </c>
      <c r="BP20" s="8">
        <f>'Pod by trading day'!BQ183</f>
      </c>
      <c r="BQ20" s="8">
        <f>'Pod by trading day'!BR183</f>
      </c>
      <c r="BR20" s="8">
        <f>'Pod by trading day'!BS183</f>
      </c>
      <c r="BS20" s="8">
        <f>'Pod by trading day'!BT183</f>
      </c>
      <c r="BT20" s="8">
        <f>'Pod by trading day'!BU183</f>
      </c>
      <c r="BU20" s="8">
        <f>'Pod by trading day'!BV183</f>
      </c>
      <c r="BV20" s="8">
        <f>'Pod by trading day'!BW183</f>
      </c>
      <c r="BW20" s="8">
        <f>'Pod by trading day'!BX183</f>
      </c>
      <c r="BX20" s="8">
        <f>'Pod by trading day'!BY183</f>
      </c>
      <c r="BY20" s="8">
        <f>'Pod by trading day'!BZ183</f>
      </c>
      <c r="BZ20" s="8">
        <f>'Pod by trading day'!CA183</f>
      </c>
      <c r="CA20" s="8">
        <f>'Pod by trading day'!CB183</f>
      </c>
      <c r="CB20" s="8">
        <f>'Pod by trading day'!CC183</f>
      </c>
      <c r="CC20" s="8">
        <f>'Pod by trading day'!CD183</f>
      </c>
      <c r="CD20" s="8">
        <f>'Pod by trading day'!CE183</f>
      </c>
      <c r="CE20" s="8">
        <f>'Pod by trading day'!CF183</f>
      </c>
      <c r="CF20" s="8">
        <f>'Pod by trading day'!CG183</f>
      </c>
      <c r="CG20" s="8">
        <f>'Pod by trading day'!CH183</f>
      </c>
      <c r="CH20" s="8">
        <f>'Pod by trading day'!CI183</f>
      </c>
      <c r="CI20" s="8">
        <f>'Pod by trading day'!CJ183</f>
      </c>
      <c r="CJ20" s="8">
        <f>'Pod by trading day'!CK183</f>
      </c>
      <c r="CK20" s="8">
        <f>'Pod by trading day'!CL183</f>
      </c>
      <c r="CL20" s="8">
        <f>'Pod by trading day'!CM183</f>
      </c>
      <c r="CM20" s="8">
        <f>'Pod by trading day'!CN183</f>
      </c>
      <c r="CN20" s="8">
        <f>'Pod by trading day'!CO183</f>
      </c>
      <c r="CO20" s="8">
        <f>'Pod by trading day'!CP183</f>
      </c>
      <c r="CP20" s="8">
        <f>'Pod by trading day'!CQ183</f>
      </c>
      <c r="CQ20" s="8">
        <f>'Pod by trading day'!CR183</f>
      </c>
      <c r="CR20" s="8">
        <f>'Pod by trading day'!CS183</f>
      </c>
      <c r="CS20" s="8">
        <f>'Pod by trading day'!CT183</f>
      </c>
      <c r="CT20" s="8">
        <f>'Pod by trading day'!CU183</f>
      </c>
      <c r="CU20" s="8">
        <f>'Pod by trading day'!CV183</f>
      </c>
      <c r="CV20" s="8">
        <f>'Pod by trading day'!CW183</f>
      </c>
      <c r="CW20" s="8">
        <f>'Pod by trading day'!CX183</f>
      </c>
    </row>
    <row r="21">
      <c r="A21" s="0" t="inlineStr">
        <is>
          <t xml:space="preserve">Intraday-to-Overnight Reversal</t>
        </is>
      </c>
      <c r="B21" s="8">
        <f>'Pod by trading day'!C184</f>
        <v>4.098</v>
      </c>
      <c r="C21" s="8">
        <f>'Pod by trading day'!D184</f>
      </c>
      <c r="D21" s="8">
        <f>'Pod by trading day'!E184</f>
      </c>
      <c r="E21" s="8">
        <f>'Pod by trading day'!F184</f>
      </c>
      <c r="F21" s="8">
        <f>'Pod by trading day'!G184</f>
      </c>
      <c r="G21" s="8">
        <f>'Pod by trading day'!H184</f>
      </c>
      <c r="H21" s="8">
        <f>'Pod by trading day'!I184</f>
      </c>
      <c r="I21" s="8">
        <f>'Pod by trading day'!J184</f>
      </c>
      <c r="J21" s="8">
        <f>'Pod by trading day'!K184</f>
      </c>
      <c r="K21" s="8">
        <f>'Pod by trading day'!L184</f>
      </c>
      <c r="L21" s="8">
        <f>'Pod by trading day'!M184</f>
      </c>
      <c r="M21" s="8">
        <f>'Pod by trading day'!N184</f>
      </c>
      <c r="N21" s="8">
        <f>'Pod by trading day'!O184</f>
      </c>
      <c r="O21" s="8">
        <f>'Pod by trading day'!P184</f>
      </c>
      <c r="P21" s="8">
        <f>'Pod by trading day'!Q184</f>
      </c>
      <c r="Q21" s="8">
        <f>'Pod by trading day'!R184</f>
      </c>
      <c r="R21" s="8">
        <f>'Pod by trading day'!S184</f>
      </c>
      <c r="S21" s="8">
        <f>'Pod by trading day'!T184</f>
      </c>
      <c r="T21" s="8">
        <f>'Pod by trading day'!U184</f>
      </c>
      <c r="U21" s="8">
        <f>'Pod by trading day'!V184</f>
      </c>
      <c r="V21" s="8">
        <f>'Pod by trading day'!W184</f>
      </c>
      <c r="W21" s="8">
        <f>'Pod by trading day'!X184</f>
      </c>
      <c r="X21" s="8">
        <f>'Pod by trading day'!Y184</f>
      </c>
      <c r="Y21" s="8">
        <f>'Pod by trading day'!Z184</f>
      </c>
      <c r="Z21" s="8">
        <f>'Pod by trading day'!AA184</f>
      </c>
      <c r="AA21" s="8">
        <f>'Pod by trading day'!AB184</f>
      </c>
      <c r="AB21" s="8">
        <f>'Pod by trading day'!AC184</f>
      </c>
      <c r="AC21" s="8">
        <f>'Pod by trading day'!AD184</f>
      </c>
      <c r="AD21" s="8">
        <f>'Pod by trading day'!AE184</f>
      </c>
      <c r="AE21" s="8">
        <f>'Pod by trading day'!AF184</f>
      </c>
      <c r="AF21" s="8">
        <f>'Pod by trading day'!AG184</f>
      </c>
      <c r="AG21" s="8">
        <f>'Pod by trading day'!AH184</f>
      </c>
      <c r="AH21" s="8">
        <f>'Pod by trading day'!AI184</f>
      </c>
      <c r="AI21" s="8">
        <f>'Pod by trading day'!AJ184</f>
      </c>
      <c r="AJ21" s="8">
        <f>'Pod by trading day'!AK184</f>
      </c>
      <c r="AK21" s="8">
        <f>'Pod by trading day'!AL184</f>
      </c>
      <c r="AL21" s="8">
        <f>'Pod by trading day'!AM184</f>
      </c>
      <c r="AM21" s="8">
        <f>'Pod by trading day'!AN184</f>
      </c>
      <c r="AN21" s="8">
        <f>'Pod by trading day'!AO184</f>
      </c>
      <c r="AO21" s="8">
        <f>'Pod by trading day'!AP184</f>
      </c>
      <c r="AP21" s="8">
        <f>'Pod by trading day'!AQ184</f>
      </c>
      <c r="AQ21" s="8">
        <f>'Pod by trading day'!AR184</f>
      </c>
      <c r="AR21" s="8">
        <f>'Pod by trading day'!AS184</f>
      </c>
      <c r="AS21" s="8">
        <f>'Pod by trading day'!AT184</f>
      </c>
      <c r="AT21" s="8">
        <f>'Pod by trading day'!AU184</f>
      </c>
      <c r="AU21" s="8">
        <f>'Pod by trading day'!AV184</f>
      </c>
      <c r="AV21" s="8">
        <f>'Pod by trading day'!AW184</f>
      </c>
      <c r="AW21" s="8">
        <f>'Pod by trading day'!AX184</f>
      </c>
      <c r="AX21" s="8">
        <f>'Pod by trading day'!AY184</f>
      </c>
      <c r="AY21" s="8">
        <f>'Pod by trading day'!AZ184</f>
      </c>
      <c r="AZ21" s="8">
        <f>'Pod by trading day'!BA184</f>
      </c>
      <c r="BA21" s="8">
        <f>'Pod by trading day'!BB184</f>
      </c>
      <c r="BB21" s="8">
        <f>'Pod by trading day'!BC184</f>
      </c>
      <c r="BC21" s="8">
        <f>'Pod by trading day'!BD184</f>
      </c>
      <c r="BD21" s="8">
        <f>'Pod by trading day'!BE184</f>
      </c>
      <c r="BE21" s="8">
        <f>'Pod by trading day'!BF184</f>
      </c>
      <c r="BF21" s="8">
        <f>'Pod by trading day'!BG184</f>
      </c>
      <c r="BG21" s="8">
        <f>'Pod by trading day'!BH184</f>
      </c>
      <c r="BH21" s="8">
        <f>'Pod by trading day'!BI184</f>
      </c>
      <c r="BI21" s="8">
        <f>'Pod by trading day'!BJ184</f>
      </c>
      <c r="BJ21" s="8">
        <f>'Pod by trading day'!BK184</f>
      </c>
      <c r="BK21" s="8">
        <f>'Pod by trading day'!BL184</f>
      </c>
      <c r="BL21" s="8">
        <f>'Pod by trading day'!BM184</f>
      </c>
      <c r="BM21" s="8">
        <f>'Pod by trading day'!BN184</f>
      </c>
      <c r="BN21" s="8">
        <f>'Pod by trading day'!BO184</f>
      </c>
      <c r="BO21" s="8">
        <f>'Pod by trading day'!BP184</f>
      </c>
      <c r="BP21" s="8">
        <f>'Pod by trading day'!BQ184</f>
      </c>
      <c r="BQ21" s="8">
        <f>'Pod by trading day'!BR184</f>
      </c>
      <c r="BR21" s="8">
        <f>'Pod by trading day'!BS184</f>
      </c>
      <c r="BS21" s="8">
        <f>'Pod by trading day'!BT184</f>
      </c>
      <c r="BT21" s="8">
        <f>'Pod by trading day'!BU184</f>
      </c>
      <c r="BU21" s="8">
        <f>'Pod by trading day'!BV184</f>
      </c>
      <c r="BV21" s="8">
        <f>'Pod by trading day'!BW184</f>
      </c>
      <c r="BW21" s="8">
        <f>'Pod by trading day'!BX184</f>
      </c>
      <c r="BX21" s="8">
        <f>'Pod by trading day'!BY184</f>
      </c>
      <c r="BY21" s="8">
        <f>'Pod by trading day'!BZ184</f>
      </c>
      <c r="BZ21" s="8">
        <f>'Pod by trading day'!CA184</f>
      </c>
      <c r="CA21" s="8">
        <f>'Pod by trading day'!CB184</f>
      </c>
      <c r="CB21" s="8">
        <f>'Pod by trading day'!CC184</f>
      </c>
      <c r="CC21" s="8">
        <f>'Pod by trading day'!CD184</f>
      </c>
      <c r="CD21" s="8">
        <f>'Pod by trading day'!CE184</f>
      </c>
      <c r="CE21" s="8">
        <f>'Pod by trading day'!CF184</f>
      </c>
      <c r="CF21" s="8">
        <f>'Pod by trading day'!CG184</f>
      </c>
      <c r="CG21" s="8">
        <f>'Pod by trading day'!CH184</f>
      </c>
      <c r="CH21" s="8">
        <f>'Pod by trading day'!CI184</f>
      </c>
      <c r="CI21" s="8">
        <f>'Pod by trading day'!CJ184</f>
      </c>
      <c r="CJ21" s="8">
        <f>'Pod by trading day'!CK184</f>
      </c>
      <c r="CK21" s="8">
        <f>'Pod by trading day'!CL184</f>
      </c>
      <c r="CL21" s="8">
        <f>'Pod by trading day'!CM184</f>
      </c>
      <c r="CM21" s="8">
        <f>'Pod by trading day'!CN184</f>
      </c>
      <c r="CN21" s="8">
        <f>'Pod by trading day'!CO184</f>
      </c>
      <c r="CO21" s="8">
        <f>'Pod by trading day'!CP184</f>
      </c>
      <c r="CP21" s="8">
        <f>'Pod by trading day'!CQ184</f>
      </c>
      <c r="CQ21" s="8">
        <f>'Pod by trading day'!CR184</f>
      </c>
      <c r="CR21" s="8">
        <f>'Pod by trading day'!CS184</f>
      </c>
      <c r="CS21" s="8">
        <f>'Pod by trading day'!CT184</f>
      </c>
      <c r="CT21" s="8">
        <f>'Pod by trading day'!CU184</f>
      </c>
      <c r="CU21" s="8">
        <f>'Pod by trading day'!CV184</f>
      </c>
      <c r="CV21" s="8">
        <f>'Pod by trading day'!CW184</f>
      </c>
      <c r="CW21" s="8">
        <f>'Pod by trading day'!CX184</f>
      </c>
    </row>
    <row r="22">
      <c r="A22" s="0" t="inlineStr">
        <is>
          <t xml:space="preserve">Analyst Revision Momentum</t>
        </is>
      </c>
      <c r="B22" s="8">
        <f>'Pod by trading day'!C185</f>
        <v>-2.965</v>
      </c>
      <c r="C22" s="8">
        <f>'Pod by trading day'!D185</f>
      </c>
      <c r="D22" s="8">
        <f>'Pod by trading day'!E185</f>
      </c>
      <c r="E22" s="8">
        <f>'Pod by trading day'!F185</f>
      </c>
      <c r="F22" s="8">
        <f>'Pod by trading day'!G185</f>
      </c>
      <c r="G22" s="8">
        <f>'Pod by trading day'!H185</f>
      </c>
      <c r="H22" s="8">
        <f>'Pod by trading day'!I185</f>
      </c>
      <c r="I22" s="8">
        <f>'Pod by trading day'!J185</f>
      </c>
      <c r="J22" s="8">
        <f>'Pod by trading day'!K185</f>
      </c>
      <c r="K22" s="8">
        <f>'Pod by trading day'!L185</f>
      </c>
      <c r="L22" s="8">
        <f>'Pod by trading day'!M185</f>
      </c>
      <c r="M22" s="8">
        <f>'Pod by trading day'!N185</f>
      </c>
      <c r="N22" s="8">
        <f>'Pod by trading day'!O185</f>
      </c>
      <c r="O22" s="8">
        <f>'Pod by trading day'!P185</f>
      </c>
      <c r="P22" s="8">
        <f>'Pod by trading day'!Q185</f>
      </c>
      <c r="Q22" s="8">
        <f>'Pod by trading day'!R185</f>
      </c>
      <c r="R22" s="8">
        <f>'Pod by trading day'!S185</f>
      </c>
      <c r="S22" s="8">
        <f>'Pod by trading day'!T185</f>
      </c>
      <c r="T22" s="8">
        <f>'Pod by trading day'!U185</f>
      </c>
      <c r="U22" s="8">
        <f>'Pod by trading day'!V185</f>
      </c>
      <c r="V22" s="8">
        <f>'Pod by trading day'!W185</f>
      </c>
      <c r="W22" s="8">
        <f>'Pod by trading day'!X185</f>
      </c>
      <c r="X22" s="8">
        <f>'Pod by trading day'!Y185</f>
      </c>
      <c r="Y22" s="8">
        <f>'Pod by trading day'!Z185</f>
      </c>
      <c r="Z22" s="8">
        <f>'Pod by trading day'!AA185</f>
      </c>
      <c r="AA22" s="8">
        <f>'Pod by trading day'!AB185</f>
      </c>
      <c r="AB22" s="8">
        <f>'Pod by trading day'!AC185</f>
      </c>
      <c r="AC22" s="8">
        <f>'Pod by trading day'!AD185</f>
      </c>
      <c r="AD22" s="8">
        <f>'Pod by trading day'!AE185</f>
      </c>
      <c r="AE22" s="8">
        <f>'Pod by trading day'!AF185</f>
      </c>
      <c r="AF22" s="8">
        <f>'Pod by trading day'!AG185</f>
      </c>
      <c r="AG22" s="8">
        <f>'Pod by trading day'!AH185</f>
      </c>
      <c r="AH22" s="8">
        <f>'Pod by trading day'!AI185</f>
      </c>
      <c r="AI22" s="8">
        <f>'Pod by trading day'!AJ185</f>
      </c>
      <c r="AJ22" s="8">
        <f>'Pod by trading day'!AK185</f>
      </c>
      <c r="AK22" s="8">
        <f>'Pod by trading day'!AL185</f>
      </c>
      <c r="AL22" s="8">
        <f>'Pod by trading day'!AM185</f>
      </c>
      <c r="AM22" s="8">
        <f>'Pod by trading day'!AN185</f>
      </c>
      <c r="AN22" s="8">
        <f>'Pod by trading day'!AO185</f>
      </c>
      <c r="AO22" s="8">
        <f>'Pod by trading day'!AP185</f>
      </c>
      <c r="AP22" s="8">
        <f>'Pod by trading day'!AQ185</f>
      </c>
      <c r="AQ22" s="8">
        <f>'Pod by trading day'!AR185</f>
      </c>
      <c r="AR22" s="8">
        <f>'Pod by trading day'!AS185</f>
      </c>
      <c r="AS22" s="8">
        <f>'Pod by trading day'!AT185</f>
      </c>
      <c r="AT22" s="8">
        <f>'Pod by trading day'!AU185</f>
      </c>
      <c r="AU22" s="8">
        <f>'Pod by trading day'!AV185</f>
      </c>
      <c r="AV22" s="8">
        <f>'Pod by trading day'!AW185</f>
      </c>
      <c r="AW22" s="8">
        <f>'Pod by trading day'!AX185</f>
      </c>
      <c r="AX22" s="8">
        <f>'Pod by trading day'!AY185</f>
      </c>
      <c r="AY22" s="8">
        <f>'Pod by trading day'!AZ185</f>
      </c>
      <c r="AZ22" s="8">
        <f>'Pod by trading day'!BA185</f>
      </c>
      <c r="BA22" s="8">
        <f>'Pod by trading day'!BB185</f>
      </c>
      <c r="BB22" s="8">
        <f>'Pod by trading day'!BC185</f>
      </c>
      <c r="BC22" s="8">
        <f>'Pod by trading day'!BD185</f>
      </c>
      <c r="BD22" s="8">
        <f>'Pod by trading day'!BE185</f>
      </c>
      <c r="BE22" s="8">
        <f>'Pod by trading day'!BF185</f>
      </c>
      <c r="BF22" s="8">
        <f>'Pod by trading day'!BG185</f>
      </c>
      <c r="BG22" s="8">
        <f>'Pod by trading day'!BH185</f>
      </c>
      <c r="BH22" s="8">
        <f>'Pod by trading day'!BI185</f>
      </c>
      <c r="BI22" s="8">
        <f>'Pod by trading day'!BJ185</f>
      </c>
      <c r="BJ22" s="8">
        <f>'Pod by trading day'!BK185</f>
      </c>
      <c r="BK22" s="8">
        <f>'Pod by trading day'!BL185</f>
      </c>
      <c r="BL22" s="8">
        <f>'Pod by trading day'!BM185</f>
      </c>
      <c r="BM22" s="8">
        <f>'Pod by trading day'!BN185</f>
      </c>
      <c r="BN22" s="8">
        <f>'Pod by trading day'!BO185</f>
      </c>
      <c r="BO22" s="8">
        <f>'Pod by trading day'!BP185</f>
      </c>
      <c r="BP22" s="8">
        <f>'Pod by trading day'!BQ185</f>
      </c>
      <c r="BQ22" s="8">
        <f>'Pod by trading day'!BR185</f>
      </c>
      <c r="BR22" s="8">
        <f>'Pod by trading day'!BS185</f>
      </c>
      <c r="BS22" s="8">
        <f>'Pod by trading day'!BT185</f>
      </c>
      <c r="BT22" s="8">
        <f>'Pod by trading day'!BU185</f>
      </c>
      <c r="BU22" s="8">
        <f>'Pod by trading day'!BV185</f>
      </c>
      <c r="BV22" s="8">
        <f>'Pod by trading day'!BW185</f>
      </c>
      <c r="BW22" s="8">
        <f>'Pod by trading day'!BX185</f>
      </c>
      <c r="BX22" s="8">
        <f>'Pod by trading day'!BY185</f>
      </c>
      <c r="BY22" s="8">
        <f>'Pod by trading day'!BZ185</f>
      </c>
      <c r="BZ22" s="8">
        <f>'Pod by trading day'!CA185</f>
      </c>
      <c r="CA22" s="8">
        <f>'Pod by trading day'!CB185</f>
      </c>
      <c r="CB22" s="8">
        <f>'Pod by trading day'!CC185</f>
      </c>
      <c r="CC22" s="8">
        <f>'Pod by trading day'!CD185</f>
      </c>
      <c r="CD22" s="8">
        <f>'Pod by trading day'!CE185</f>
      </c>
      <c r="CE22" s="8">
        <f>'Pod by trading day'!CF185</f>
      </c>
      <c r="CF22" s="8">
        <f>'Pod by trading day'!CG185</f>
      </c>
      <c r="CG22" s="8">
        <f>'Pod by trading day'!CH185</f>
      </c>
      <c r="CH22" s="8">
        <f>'Pod by trading day'!CI185</f>
      </c>
      <c r="CI22" s="8">
        <f>'Pod by trading day'!CJ185</f>
      </c>
      <c r="CJ22" s="8">
        <f>'Pod by trading day'!CK185</f>
      </c>
      <c r="CK22" s="8">
        <f>'Pod by trading day'!CL185</f>
      </c>
      <c r="CL22" s="8">
        <f>'Pod by trading day'!CM185</f>
      </c>
      <c r="CM22" s="8">
        <f>'Pod by trading day'!CN185</f>
      </c>
      <c r="CN22" s="8">
        <f>'Pod by trading day'!CO185</f>
      </c>
      <c r="CO22" s="8">
        <f>'Pod by trading day'!CP185</f>
      </c>
      <c r="CP22" s="8">
        <f>'Pod by trading day'!CQ185</f>
      </c>
      <c r="CQ22" s="8">
        <f>'Pod by trading day'!CR185</f>
      </c>
      <c r="CR22" s="8">
        <f>'Pod by trading day'!CS185</f>
      </c>
      <c r="CS22" s="8">
        <f>'Pod by trading day'!CT185</f>
      </c>
      <c r="CT22" s="8">
        <f>'Pod by trading day'!CU185</f>
      </c>
      <c r="CU22" s="8">
        <f>'Pod by trading day'!CV185</f>
      </c>
      <c r="CV22" s="8">
        <f>'Pod by trading day'!CW185</f>
      </c>
      <c r="CW22" s="8">
        <f>'Pod by trading day'!CX185</f>
      </c>
    </row>
    <row r="23">
      <c r="A23" s="0" t="inlineStr">
        <is>
          <t xml:space="preserve">Clustered Insider Buying</t>
        </is>
      </c>
      <c r="B23" s="8">
        <f>'Pod by trading day'!C186</f>
        <v>2.143</v>
      </c>
      <c r="C23" s="8">
        <f>'Pod by trading day'!D186</f>
      </c>
      <c r="D23" s="8">
        <f>'Pod by trading day'!E186</f>
      </c>
      <c r="E23" s="8">
        <f>'Pod by trading day'!F186</f>
      </c>
      <c r="F23" s="8">
        <f>'Pod by trading day'!G186</f>
      </c>
      <c r="G23" s="8">
        <f>'Pod by trading day'!H186</f>
      </c>
      <c r="H23" s="8">
        <f>'Pod by trading day'!I186</f>
      </c>
      <c r="I23" s="8">
        <f>'Pod by trading day'!J186</f>
      </c>
      <c r="J23" s="8">
        <f>'Pod by trading day'!K186</f>
      </c>
      <c r="K23" s="8">
        <f>'Pod by trading day'!L186</f>
      </c>
      <c r="L23" s="8">
        <f>'Pod by trading day'!M186</f>
      </c>
      <c r="M23" s="8">
        <f>'Pod by trading day'!N186</f>
      </c>
      <c r="N23" s="8">
        <f>'Pod by trading day'!O186</f>
      </c>
      <c r="O23" s="8">
        <f>'Pod by trading day'!P186</f>
      </c>
      <c r="P23" s="8">
        <f>'Pod by trading day'!Q186</f>
      </c>
      <c r="Q23" s="8">
        <f>'Pod by trading day'!R186</f>
      </c>
      <c r="R23" s="8">
        <f>'Pod by trading day'!S186</f>
      </c>
      <c r="S23" s="8">
        <f>'Pod by trading day'!T186</f>
      </c>
      <c r="T23" s="8">
        <f>'Pod by trading day'!U186</f>
      </c>
      <c r="U23" s="8">
        <f>'Pod by trading day'!V186</f>
      </c>
      <c r="V23" s="8">
        <f>'Pod by trading day'!W186</f>
      </c>
      <c r="W23" s="8">
        <f>'Pod by trading day'!X186</f>
      </c>
      <c r="X23" s="8">
        <f>'Pod by trading day'!Y186</f>
      </c>
      <c r="Y23" s="8">
        <f>'Pod by trading day'!Z186</f>
      </c>
      <c r="Z23" s="8">
        <f>'Pod by trading day'!AA186</f>
      </c>
      <c r="AA23" s="8">
        <f>'Pod by trading day'!AB186</f>
      </c>
      <c r="AB23" s="8">
        <f>'Pod by trading day'!AC186</f>
      </c>
      <c r="AC23" s="8">
        <f>'Pod by trading day'!AD186</f>
      </c>
      <c r="AD23" s="8">
        <f>'Pod by trading day'!AE186</f>
      </c>
      <c r="AE23" s="8">
        <f>'Pod by trading day'!AF186</f>
      </c>
      <c r="AF23" s="8">
        <f>'Pod by trading day'!AG186</f>
      </c>
      <c r="AG23" s="8">
        <f>'Pod by trading day'!AH186</f>
      </c>
      <c r="AH23" s="8">
        <f>'Pod by trading day'!AI186</f>
      </c>
      <c r="AI23" s="8">
        <f>'Pod by trading day'!AJ186</f>
      </c>
      <c r="AJ23" s="8">
        <f>'Pod by trading day'!AK186</f>
      </c>
      <c r="AK23" s="8">
        <f>'Pod by trading day'!AL186</f>
      </c>
      <c r="AL23" s="8">
        <f>'Pod by trading day'!AM186</f>
      </c>
      <c r="AM23" s="8">
        <f>'Pod by trading day'!AN186</f>
      </c>
      <c r="AN23" s="8">
        <f>'Pod by trading day'!AO186</f>
      </c>
      <c r="AO23" s="8">
        <f>'Pod by trading day'!AP186</f>
      </c>
      <c r="AP23" s="8">
        <f>'Pod by trading day'!AQ186</f>
      </c>
      <c r="AQ23" s="8">
        <f>'Pod by trading day'!AR186</f>
      </c>
      <c r="AR23" s="8">
        <f>'Pod by trading day'!AS186</f>
      </c>
      <c r="AS23" s="8">
        <f>'Pod by trading day'!AT186</f>
      </c>
      <c r="AT23" s="8">
        <f>'Pod by trading day'!AU186</f>
      </c>
      <c r="AU23" s="8">
        <f>'Pod by trading day'!AV186</f>
      </c>
      <c r="AV23" s="8">
        <f>'Pod by trading day'!AW186</f>
      </c>
      <c r="AW23" s="8">
        <f>'Pod by trading day'!AX186</f>
      </c>
      <c r="AX23" s="8">
        <f>'Pod by trading day'!AY186</f>
      </c>
      <c r="AY23" s="8">
        <f>'Pod by trading day'!AZ186</f>
      </c>
      <c r="AZ23" s="8">
        <f>'Pod by trading day'!BA186</f>
      </c>
      <c r="BA23" s="8">
        <f>'Pod by trading day'!BB186</f>
      </c>
      <c r="BB23" s="8">
        <f>'Pod by trading day'!BC186</f>
      </c>
      <c r="BC23" s="8">
        <f>'Pod by trading day'!BD186</f>
      </c>
      <c r="BD23" s="8">
        <f>'Pod by trading day'!BE186</f>
      </c>
      <c r="BE23" s="8">
        <f>'Pod by trading day'!BF186</f>
      </c>
      <c r="BF23" s="8">
        <f>'Pod by trading day'!BG186</f>
      </c>
      <c r="BG23" s="8">
        <f>'Pod by trading day'!BH186</f>
      </c>
      <c r="BH23" s="8">
        <f>'Pod by trading day'!BI186</f>
      </c>
      <c r="BI23" s="8">
        <f>'Pod by trading day'!BJ186</f>
      </c>
      <c r="BJ23" s="8">
        <f>'Pod by trading day'!BK186</f>
      </c>
      <c r="BK23" s="8">
        <f>'Pod by trading day'!BL186</f>
      </c>
      <c r="BL23" s="8">
        <f>'Pod by trading day'!BM186</f>
      </c>
      <c r="BM23" s="8">
        <f>'Pod by trading day'!BN186</f>
      </c>
      <c r="BN23" s="8">
        <f>'Pod by trading day'!BO186</f>
      </c>
      <c r="BO23" s="8">
        <f>'Pod by trading day'!BP186</f>
      </c>
      <c r="BP23" s="8">
        <f>'Pod by trading day'!BQ186</f>
      </c>
      <c r="BQ23" s="8">
        <f>'Pod by trading day'!BR186</f>
      </c>
      <c r="BR23" s="8">
        <f>'Pod by trading day'!BS186</f>
      </c>
      <c r="BS23" s="8">
        <f>'Pod by trading day'!BT186</f>
      </c>
      <c r="BT23" s="8">
        <f>'Pod by trading day'!BU186</f>
      </c>
      <c r="BU23" s="8">
        <f>'Pod by trading day'!BV186</f>
      </c>
      <c r="BV23" s="8">
        <f>'Pod by trading day'!BW186</f>
      </c>
      <c r="BW23" s="8">
        <f>'Pod by trading day'!BX186</f>
      </c>
      <c r="BX23" s="8">
        <f>'Pod by trading day'!BY186</f>
      </c>
      <c r="BY23" s="8">
        <f>'Pod by trading day'!BZ186</f>
      </c>
      <c r="BZ23" s="8">
        <f>'Pod by trading day'!CA186</f>
      </c>
      <c r="CA23" s="8">
        <f>'Pod by trading day'!CB186</f>
      </c>
      <c r="CB23" s="8">
        <f>'Pod by trading day'!CC186</f>
      </c>
      <c r="CC23" s="8">
        <f>'Pod by trading day'!CD186</f>
      </c>
      <c r="CD23" s="8">
        <f>'Pod by trading day'!CE186</f>
      </c>
      <c r="CE23" s="8">
        <f>'Pod by trading day'!CF186</f>
      </c>
      <c r="CF23" s="8">
        <f>'Pod by trading day'!CG186</f>
      </c>
      <c r="CG23" s="8">
        <f>'Pod by trading day'!CH186</f>
      </c>
      <c r="CH23" s="8">
        <f>'Pod by trading day'!CI186</f>
      </c>
      <c r="CI23" s="8">
        <f>'Pod by trading day'!CJ186</f>
      </c>
      <c r="CJ23" s="8">
        <f>'Pod by trading day'!CK186</f>
      </c>
      <c r="CK23" s="8">
        <f>'Pod by trading day'!CL186</f>
      </c>
      <c r="CL23" s="8">
        <f>'Pod by trading day'!CM186</f>
      </c>
      <c r="CM23" s="8">
        <f>'Pod by trading day'!CN186</f>
      </c>
      <c r="CN23" s="8">
        <f>'Pod by trading day'!CO186</f>
      </c>
      <c r="CO23" s="8">
        <f>'Pod by trading day'!CP186</f>
      </c>
      <c r="CP23" s="8">
        <f>'Pod by trading day'!CQ186</f>
      </c>
      <c r="CQ23" s="8">
        <f>'Pod by trading day'!CR186</f>
      </c>
      <c r="CR23" s="8">
        <f>'Pod by trading day'!CS186</f>
      </c>
      <c r="CS23" s="8">
        <f>'Pod by trading day'!CT186</f>
      </c>
      <c r="CT23" s="8">
        <f>'Pod by trading day'!CU186</f>
      </c>
      <c r="CU23" s="8">
        <f>'Pod by trading day'!CV186</f>
      </c>
      <c r="CV23" s="8">
        <f>'Pod by trading day'!CW186</f>
      </c>
      <c r="CW23" s="8">
        <f>'Pod by trading day'!CX186</f>
      </c>
    </row>
    <row r="24">
      <c r="A24" s="0" t="inlineStr">
        <is>
          <t xml:space="preserve">Same-Month Seasonality</t>
        </is>
      </c>
      <c r="B24" s="8">
        <f>'Pod by trading day'!C187</f>
        <v>-21.574</v>
      </c>
      <c r="C24" s="8">
        <f>'Pod by trading day'!D187</f>
      </c>
      <c r="D24" s="8">
        <f>'Pod by trading day'!E187</f>
      </c>
      <c r="E24" s="8">
        <f>'Pod by trading day'!F187</f>
      </c>
      <c r="F24" s="8">
        <f>'Pod by trading day'!G187</f>
      </c>
      <c r="G24" s="8">
        <f>'Pod by trading day'!H187</f>
      </c>
      <c r="H24" s="8">
        <f>'Pod by trading day'!I187</f>
      </c>
      <c r="I24" s="8">
        <f>'Pod by trading day'!J187</f>
      </c>
      <c r="J24" s="8">
        <f>'Pod by trading day'!K187</f>
      </c>
      <c r="K24" s="8">
        <f>'Pod by trading day'!L187</f>
      </c>
      <c r="L24" s="8">
        <f>'Pod by trading day'!M187</f>
      </c>
      <c r="M24" s="8">
        <f>'Pod by trading day'!N187</f>
      </c>
      <c r="N24" s="8">
        <f>'Pod by trading day'!O187</f>
      </c>
      <c r="O24" s="8">
        <f>'Pod by trading day'!P187</f>
      </c>
      <c r="P24" s="8">
        <f>'Pod by trading day'!Q187</f>
      </c>
      <c r="Q24" s="8">
        <f>'Pod by trading day'!R187</f>
      </c>
      <c r="R24" s="8">
        <f>'Pod by trading day'!S187</f>
      </c>
      <c r="S24" s="8">
        <f>'Pod by trading day'!T187</f>
      </c>
      <c r="T24" s="8">
        <f>'Pod by trading day'!U187</f>
      </c>
      <c r="U24" s="8">
        <f>'Pod by trading day'!V187</f>
      </c>
      <c r="V24" s="8">
        <f>'Pod by trading day'!W187</f>
      </c>
      <c r="W24" s="8">
        <f>'Pod by trading day'!X187</f>
      </c>
      <c r="X24" s="8">
        <f>'Pod by trading day'!Y187</f>
      </c>
      <c r="Y24" s="8">
        <f>'Pod by trading day'!Z187</f>
      </c>
      <c r="Z24" s="8">
        <f>'Pod by trading day'!AA187</f>
      </c>
      <c r="AA24" s="8">
        <f>'Pod by trading day'!AB187</f>
      </c>
      <c r="AB24" s="8">
        <f>'Pod by trading day'!AC187</f>
      </c>
      <c r="AC24" s="8">
        <f>'Pod by trading day'!AD187</f>
      </c>
      <c r="AD24" s="8">
        <f>'Pod by trading day'!AE187</f>
      </c>
      <c r="AE24" s="8">
        <f>'Pod by trading day'!AF187</f>
      </c>
      <c r="AF24" s="8">
        <f>'Pod by trading day'!AG187</f>
      </c>
      <c r="AG24" s="8">
        <f>'Pod by trading day'!AH187</f>
      </c>
      <c r="AH24" s="8">
        <f>'Pod by trading day'!AI187</f>
      </c>
      <c r="AI24" s="8">
        <f>'Pod by trading day'!AJ187</f>
      </c>
      <c r="AJ24" s="8">
        <f>'Pod by trading day'!AK187</f>
      </c>
      <c r="AK24" s="8">
        <f>'Pod by trading day'!AL187</f>
      </c>
      <c r="AL24" s="8">
        <f>'Pod by trading day'!AM187</f>
      </c>
      <c r="AM24" s="8">
        <f>'Pod by trading day'!AN187</f>
      </c>
      <c r="AN24" s="8">
        <f>'Pod by trading day'!AO187</f>
      </c>
      <c r="AO24" s="8">
        <f>'Pod by trading day'!AP187</f>
      </c>
      <c r="AP24" s="8">
        <f>'Pod by trading day'!AQ187</f>
      </c>
      <c r="AQ24" s="8">
        <f>'Pod by trading day'!AR187</f>
      </c>
      <c r="AR24" s="8">
        <f>'Pod by trading day'!AS187</f>
      </c>
      <c r="AS24" s="8">
        <f>'Pod by trading day'!AT187</f>
      </c>
      <c r="AT24" s="8">
        <f>'Pod by trading day'!AU187</f>
      </c>
      <c r="AU24" s="8">
        <f>'Pod by trading day'!AV187</f>
      </c>
      <c r="AV24" s="8">
        <f>'Pod by trading day'!AW187</f>
      </c>
      <c r="AW24" s="8">
        <f>'Pod by trading day'!AX187</f>
      </c>
      <c r="AX24" s="8">
        <f>'Pod by trading day'!AY187</f>
      </c>
      <c r="AY24" s="8">
        <f>'Pod by trading day'!AZ187</f>
      </c>
      <c r="AZ24" s="8">
        <f>'Pod by trading day'!BA187</f>
      </c>
      <c r="BA24" s="8">
        <f>'Pod by trading day'!BB187</f>
      </c>
      <c r="BB24" s="8">
        <f>'Pod by trading day'!BC187</f>
      </c>
      <c r="BC24" s="8">
        <f>'Pod by trading day'!BD187</f>
      </c>
      <c r="BD24" s="8">
        <f>'Pod by trading day'!BE187</f>
      </c>
      <c r="BE24" s="8">
        <f>'Pod by trading day'!BF187</f>
      </c>
      <c r="BF24" s="8">
        <f>'Pod by trading day'!BG187</f>
      </c>
      <c r="BG24" s="8">
        <f>'Pod by trading day'!BH187</f>
      </c>
      <c r="BH24" s="8">
        <f>'Pod by trading day'!BI187</f>
      </c>
      <c r="BI24" s="8">
        <f>'Pod by trading day'!BJ187</f>
      </c>
      <c r="BJ24" s="8">
        <f>'Pod by trading day'!BK187</f>
      </c>
      <c r="BK24" s="8">
        <f>'Pod by trading day'!BL187</f>
      </c>
      <c r="BL24" s="8">
        <f>'Pod by trading day'!BM187</f>
      </c>
      <c r="BM24" s="8">
        <f>'Pod by trading day'!BN187</f>
      </c>
      <c r="BN24" s="8">
        <f>'Pod by trading day'!BO187</f>
      </c>
      <c r="BO24" s="8">
        <f>'Pod by trading day'!BP187</f>
      </c>
      <c r="BP24" s="8">
        <f>'Pod by trading day'!BQ187</f>
      </c>
      <c r="BQ24" s="8">
        <f>'Pod by trading day'!BR187</f>
      </c>
      <c r="BR24" s="8">
        <f>'Pod by trading day'!BS187</f>
      </c>
      <c r="BS24" s="8">
        <f>'Pod by trading day'!BT187</f>
      </c>
      <c r="BT24" s="8">
        <f>'Pod by trading day'!BU187</f>
      </c>
      <c r="BU24" s="8">
        <f>'Pod by trading day'!BV187</f>
      </c>
      <c r="BV24" s="8">
        <f>'Pod by trading day'!BW187</f>
      </c>
      <c r="BW24" s="8">
        <f>'Pod by trading day'!BX187</f>
      </c>
      <c r="BX24" s="8">
        <f>'Pod by trading day'!BY187</f>
      </c>
      <c r="BY24" s="8">
        <f>'Pod by trading day'!BZ187</f>
      </c>
      <c r="BZ24" s="8">
        <f>'Pod by trading day'!CA187</f>
      </c>
      <c r="CA24" s="8">
        <f>'Pod by trading day'!CB187</f>
      </c>
      <c r="CB24" s="8">
        <f>'Pod by trading day'!CC187</f>
      </c>
      <c r="CC24" s="8">
        <f>'Pod by trading day'!CD187</f>
      </c>
      <c r="CD24" s="8">
        <f>'Pod by trading day'!CE187</f>
      </c>
      <c r="CE24" s="8">
        <f>'Pod by trading day'!CF187</f>
      </c>
      <c r="CF24" s="8">
        <f>'Pod by trading day'!CG187</f>
      </c>
      <c r="CG24" s="8">
        <f>'Pod by trading day'!CH187</f>
      </c>
      <c r="CH24" s="8">
        <f>'Pod by trading day'!CI187</f>
      </c>
      <c r="CI24" s="8">
        <f>'Pod by trading day'!CJ187</f>
      </c>
      <c r="CJ24" s="8">
        <f>'Pod by trading day'!CK187</f>
      </c>
      <c r="CK24" s="8">
        <f>'Pod by trading day'!CL187</f>
      </c>
      <c r="CL24" s="8">
        <f>'Pod by trading day'!CM187</f>
      </c>
      <c r="CM24" s="8">
        <f>'Pod by trading day'!CN187</f>
      </c>
      <c r="CN24" s="8">
        <f>'Pod by trading day'!CO187</f>
      </c>
      <c r="CO24" s="8">
        <f>'Pod by trading day'!CP187</f>
      </c>
      <c r="CP24" s="8">
        <f>'Pod by trading day'!CQ187</f>
      </c>
      <c r="CQ24" s="8">
        <f>'Pod by trading day'!CR187</f>
      </c>
      <c r="CR24" s="8">
        <f>'Pod by trading day'!CS187</f>
      </c>
      <c r="CS24" s="8">
        <f>'Pod by trading day'!CT187</f>
      </c>
      <c r="CT24" s="8">
        <f>'Pod by trading day'!CU187</f>
      </c>
      <c r="CU24" s="8">
        <f>'Pod by trading day'!CV187</f>
      </c>
      <c r="CV24" s="8">
        <f>'Pod by trading day'!CW187</f>
      </c>
      <c r="CW24" s="8">
        <f>'Pod by trading day'!CX187</f>
      </c>
    </row>
    <row r="25">
      <c r="A25" s="0" t="inlineStr">
        <is>
          <t xml:space="preserve">Quality at a Reasonable Price</t>
        </is>
      </c>
      <c r="B25" s="8">
        <f>'Pod by trading day'!C188</f>
        <v>-0.086</v>
      </c>
      <c r="C25" s="8">
        <f>'Pod by trading day'!D188</f>
      </c>
      <c r="D25" s="8">
        <f>'Pod by trading day'!E188</f>
      </c>
      <c r="E25" s="8">
        <f>'Pod by trading day'!F188</f>
      </c>
      <c r="F25" s="8">
        <f>'Pod by trading day'!G188</f>
      </c>
      <c r="G25" s="8">
        <f>'Pod by trading day'!H188</f>
      </c>
      <c r="H25" s="8">
        <f>'Pod by trading day'!I188</f>
      </c>
      <c r="I25" s="8">
        <f>'Pod by trading day'!J188</f>
      </c>
      <c r="J25" s="8">
        <f>'Pod by trading day'!K188</f>
      </c>
      <c r="K25" s="8">
        <f>'Pod by trading day'!L188</f>
      </c>
      <c r="L25" s="8">
        <f>'Pod by trading day'!M188</f>
      </c>
      <c r="M25" s="8">
        <f>'Pod by trading day'!N188</f>
      </c>
      <c r="N25" s="8">
        <f>'Pod by trading day'!O188</f>
      </c>
      <c r="O25" s="8">
        <f>'Pod by trading day'!P188</f>
      </c>
      <c r="P25" s="8">
        <f>'Pod by trading day'!Q188</f>
      </c>
      <c r="Q25" s="8">
        <f>'Pod by trading day'!R188</f>
      </c>
      <c r="R25" s="8">
        <f>'Pod by trading day'!S188</f>
      </c>
      <c r="S25" s="8">
        <f>'Pod by trading day'!T188</f>
      </c>
      <c r="T25" s="8">
        <f>'Pod by trading day'!U188</f>
      </c>
      <c r="U25" s="8">
        <f>'Pod by trading day'!V188</f>
      </c>
      <c r="V25" s="8">
        <f>'Pod by trading day'!W188</f>
      </c>
      <c r="W25" s="8">
        <f>'Pod by trading day'!X188</f>
      </c>
      <c r="X25" s="8">
        <f>'Pod by trading day'!Y188</f>
      </c>
      <c r="Y25" s="8">
        <f>'Pod by trading day'!Z188</f>
      </c>
      <c r="Z25" s="8">
        <f>'Pod by trading day'!AA188</f>
      </c>
      <c r="AA25" s="8">
        <f>'Pod by trading day'!AB188</f>
      </c>
      <c r="AB25" s="8">
        <f>'Pod by trading day'!AC188</f>
      </c>
      <c r="AC25" s="8">
        <f>'Pod by trading day'!AD188</f>
      </c>
      <c r="AD25" s="8">
        <f>'Pod by trading day'!AE188</f>
      </c>
      <c r="AE25" s="8">
        <f>'Pod by trading day'!AF188</f>
      </c>
      <c r="AF25" s="8">
        <f>'Pod by trading day'!AG188</f>
      </c>
      <c r="AG25" s="8">
        <f>'Pod by trading day'!AH188</f>
      </c>
      <c r="AH25" s="8">
        <f>'Pod by trading day'!AI188</f>
      </c>
      <c r="AI25" s="8">
        <f>'Pod by trading day'!AJ188</f>
      </c>
      <c r="AJ25" s="8">
        <f>'Pod by trading day'!AK188</f>
      </c>
      <c r="AK25" s="8">
        <f>'Pod by trading day'!AL188</f>
      </c>
      <c r="AL25" s="8">
        <f>'Pod by trading day'!AM188</f>
      </c>
      <c r="AM25" s="8">
        <f>'Pod by trading day'!AN188</f>
      </c>
      <c r="AN25" s="8">
        <f>'Pod by trading day'!AO188</f>
      </c>
      <c r="AO25" s="8">
        <f>'Pod by trading day'!AP188</f>
      </c>
      <c r="AP25" s="8">
        <f>'Pod by trading day'!AQ188</f>
      </c>
      <c r="AQ25" s="8">
        <f>'Pod by trading day'!AR188</f>
      </c>
      <c r="AR25" s="8">
        <f>'Pod by trading day'!AS188</f>
      </c>
      <c r="AS25" s="8">
        <f>'Pod by trading day'!AT188</f>
      </c>
      <c r="AT25" s="8">
        <f>'Pod by trading day'!AU188</f>
      </c>
      <c r="AU25" s="8">
        <f>'Pod by trading day'!AV188</f>
      </c>
      <c r="AV25" s="8">
        <f>'Pod by trading day'!AW188</f>
      </c>
      <c r="AW25" s="8">
        <f>'Pod by trading day'!AX188</f>
      </c>
      <c r="AX25" s="8">
        <f>'Pod by trading day'!AY188</f>
      </c>
      <c r="AY25" s="8">
        <f>'Pod by trading day'!AZ188</f>
      </c>
      <c r="AZ25" s="8">
        <f>'Pod by trading day'!BA188</f>
      </c>
      <c r="BA25" s="8">
        <f>'Pod by trading day'!BB188</f>
      </c>
      <c r="BB25" s="8">
        <f>'Pod by trading day'!BC188</f>
      </c>
      <c r="BC25" s="8">
        <f>'Pod by trading day'!BD188</f>
      </c>
      <c r="BD25" s="8">
        <f>'Pod by trading day'!BE188</f>
      </c>
      <c r="BE25" s="8">
        <f>'Pod by trading day'!BF188</f>
      </c>
      <c r="BF25" s="8">
        <f>'Pod by trading day'!BG188</f>
      </c>
      <c r="BG25" s="8">
        <f>'Pod by trading day'!BH188</f>
      </c>
      <c r="BH25" s="8">
        <f>'Pod by trading day'!BI188</f>
      </c>
      <c r="BI25" s="8">
        <f>'Pod by trading day'!BJ188</f>
      </c>
      <c r="BJ25" s="8">
        <f>'Pod by trading day'!BK188</f>
      </c>
      <c r="BK25" s="8">
        <f>'Pod by trading day'!BL188</f>
      </c>
      <c r="BL25" s="8">
        <f>'Pod by trading day'!BM188</f>
      </c>
      <c r="BM25" s="8">
        <f>'Pod by trading day'!BN188</f>
      </c>
      <c r="BN25" s="8">
        <f>'Pod by trading day'!BO188</f>
      </c>
      <c r="BO25" s="8">
        <f>'Pod by trading day'!BP188</f>
      </c>
      <c r="BP25" s="8">
        <f>'Pod by trading day'!BQ188</f>
      </c>
      <c r="BQ25" s="8">
        <f>'Pod by trading day'!BR188</f>
      </c>
      <c r="BR25" s="8">
        <f>'Pod by trading day'!BS188</f>
      </c>
      <c r="BS25" s="8">
        <f>'Pod by trading day'!BT188</f>
      </c>
      <c r="BT25" s="8">
        <f>'Pod by trading day'!BU188</f>
      </c>
      <c r="BU25" s="8">
        <f>'Pod by trading day'!BV188</f>
      </c>
      <c r="BV25" s="8">
        <f>'Pod by trading day'!BW188</f>
      </c>
      <c r="BW25" s="8">
        <f>'Pod by trading day'!BX188</f>
      </c>
      <c r="BX25" s="8">
        <f>'Pod by trading day'!BY188</f>
      </c>
      <c r="BY25" s="8">
        <f>'Pod by trading day'!BZ188</f>
      </c>
      <c r="BZ25" s="8">
        <f>'Pod by trading day'!CA188</f>
      </c>
      <c r="CA25" s="8">
        <f>'Pod by trading day'!CB188</f>
      </c>
      <c r="CB25" s="8">
        <f>'Pod by trading day'!CC188</f>
      </c>
      <c r="CC25" s="8">
        <f>'Pod by trading day'!CD188</f>
      </c>
      <c r="CD25" s="8">
        <f>'Pod by trading day'!CE188</f>
      </c>
      <c r="CE25" s="8">
        <f>'Pod by trading day'!CF188</f>
      </c>
      <c r="CF25" s="8">
        <f>'Pod by trading day'!CG188</f>
      </c>
      <c r="CG25" s="8">
        <f>'Pod by trading day'!CH188</f>
      </c>
      <c r="CH25" s="8">
        <f>'Pod by trading day'!CI188</f>
      </c>
      <c r="CI25" s="8">
        <f>'Pod by trading day'!CJ188</f>
      </c>
      <c r="CJ25" s="8">
        <f>'Pod by trading day'!CK188</f>
      </c>
      <c r="CK25" s="8">
        <f>'Pod by trading day'!CL188</f>
      </c>
      <c r="CL25" s="8">
        <f>'Pod by trading day'!CM188</f>
      </c>
      <c r="CM25" s="8">
        <f>'Pod by trading day'!CN188</f>
      </c>
      <c r="CN25" s="8">
        <f>'Pod by trading day'!CO188</f>
      </c>
      <c r="CO25" s="8">
        <f>'Pod by trading day'!CP188</f>
      </c>
      <c r="CP25" s="8">
        <f>'Pod by trading day'!CQ188</f>
      </c>
      <c r="CQ25" s="8">
        <f>'Pod by trading day'!CR188</f>
      </c>
      <c r="CR25" s="8">
        <f>'Pod by trading day'!CS188</f>
      </c>
      <c r="CS25" s="8">
        <f>'Pod by trading day'!CT188</f>
      </c>
      <c r="CT25" s="8">
        <f>'Pod by trading day'!CU188</f>
      </c>
      <c r="CU25" s="8">
        <f>'Pod by trading day'!CV188</f>
      </c>
      <c r="CV25" s="8">
        <f>'Pod by trading day'!CW188</f>
      </c>
      <c r="CW25" s="8">
        <f>'Pod by trading day'!CX188</f>
      </c>
    </row>
    <row r="26">
      <c r="A26" s="0" t="inlineStr">
        <is>
          <t xml:space="preserve">Residual Momentum</t>
        </is>
      </c>
      <c r="B26" s="8">
        <f>'Pod by trading day'!C189</f>
        <v>13.936</v>
      </c>
      <c r="C26" s="8">
        <f>'Pod by trading day'!D189</f>
      </c>
      <c r="D26" s="8">
        <f>'Pod by trading day'!E189</f>
      </c>
      <c r="E26" s="8">
        <f>'Pod by trading day'!F189</f>
      </c>
      <c r="F26" s="8">
        <f>'Pod by trading day'!G189</f>
      </c>
      <c r="G26" s="8">
        <f>'Pod by trading day'!H189</f>
      </c>
      <c r="H26" s="8">
        <f>'Pod by trading day'!I189</f>
      </c>
      <c r="I26" s="8">
        <f>'Pod by trading day'!J189</f>
      </c>
      <c r="J26" s="8">
        <f>'Pod by trading day'!K189</f>
      </c>
      <c r="K26" s="8">
        <f>'Pod by trading day'!L189</f>
      </c>
      <c r="L26" s="8">
        <f>'Pod by trading day'!M189</f>
      </c>
      <c r="M26" s="8">
        <f>'Pod by trading day'!N189</f>
      </c>
      <c r="N26" s="8">
        <f>'Pod by trading day'!O189</f>
      </c>
      <c r="O26" s="8">
        <f>'Pod by trading day'!P189</f>
      </c>
      <c r="P26" s="8">
        <f>'Pod by trading day'!Q189</f>
      </c>
      <c r="Q26" s="8">
        <f>'Pod by trading day'!R189</f>
      </c>
      <c r="R26" s="8">
        <f>'Pod by trading day'!S189</f>
      </c>
      <c r="S26" s="8">
        <f>'Pod by trading day'!T189</f>
      </c>
      <c r="T26" s="8">
        <f>'Pod by trading day'!U189</f>
      </c>
      <c r="U26" s="8">
        <f>'Pod by trading day'!V189</f>
      </c>
      <c r="V26" s="8">
        <f>'Pod by trading day'!W189</f>
      </c>
      <c r="W26" s="8">
        <f>'Pod by trading day'!X189</f>
      </c>
      <c r="X26" s="8">
        <f>'Pod by trading day'!Y189</f>
      </c>
      <c r="Y26" s="8">
        <f>'Pod by trading day'!Z189</f>
      </c>
      <c r="Z26" s="8">
        <f>'Pod by trading day'!AA189</f>
      </c>
      <c r="AA26" s="8">
        <f>'Pod by trading day'!AB189</f>
      </c>
      <c r="AB26" s="8">
        <f>'Pod by trading day'!AC189</f>
      </c>
      <c r="AC26" s="8">
        <f>'Pod by trading day'!AD189</f>
      </c>
      <c r="AD26" s="8">
        <f>'Pod by trading day'!AE189</f>
      </c>
      <c r="AE26" s="8">
        <f>'Pod by trading day'!AF189</f>
      </c>
      <c r="AF26" s="8">
        <f>'Pod by trading day'!AG189</f>
      </c>
      <c r="AG26" s="8">
        <f>'Pod by trading day'!AH189</f>
      </c>
      <c r="AH26" s="8">
        <f>'Pod by trading day'!AI189</f>
      </c>
      <c r="AI26" s="8">
        <f>'Pod by trading day'!AJ189</f>
      </c>
      <c r="AJ26" s="8">
        <f>'Pod by trading day'!AK189</f>
      </c>
      <c r="AK26" s="8">
        <f>'Pod by trading day'!AL189</f>
      </c>
      <c r="AL26" s="8">
        <f>'Pod by trading day'!AM189</f>
      </c>
      <c r="AM26" s="8">
        <f>'Pod by trading day'!AN189</f>
      </c>
      <c r="AN26" s="8">
        <f>'Pod by trading day'!AO189</f>
      </c>
      <c r="AO26" s="8">
        <f>'Pod by trading day'!AP189</f>
      </c>
      <c r="AP26" s="8">
        <f>'Pod by trading day'!AQ189</f>
      </c>
      <c r="AQ26" s="8">
        <f>'Pod by trading day'!AR189</f>
      </c>
      <c r="AR26" s="8">
        <f>'Pod by trading day'!AS189</f>
      </c>
      <c r="AS26" s="8">
        <f>'Pod by trading day'!AT189</f>
      </c>
      <c r="AT26" s="8">
        <f>'Pod by trading day'!AU189</f>
      </c>
      <c r="AU26" s="8">
        <f>'Pod by trading day'!AV189</f>
      </c>
      <c r="AV26" s="8">
        <f>'Pod by trading day'!AW189</f>
      </c>
      <c r="AW26" s="8">
        <f>'Pod by trading day'!AX189</f>
      </c>
      <c r="AX26" s="8">
        <f>'Pod by trading day'!AY189</f>
      </c>
      <c r="AY26" s="8">
        <f>'Pod by trading day'!AZ189</f>
      </c>
      <c r="AZ26" s="8">
        <f>'Pod by trading day'!BA189</f>
      </c>
      <c r="BA26" s="8">
        <f>'Pod by trading day'!BB189</f>
      </c>
      <c r="BB26" s="8">
        <f>'Pod by trading day'!BC189</f>
      </c>
      <c r="BC26" s="8">
        <f>'Pod by trading day'!BD189</f>
      </c>
      <c r="BD26" s="8">
        <f>'Pod by trading day'!BE189</f>
      </c>
      <c r="BE26" s="8">
        <f>'Pod by trading day'!BF189</f>
      </c>
      <c r="BF26" s="8">
        <f>'Pod by trading day'!BG189</f>
      </c>
      <c r="BG26" s="8">
        <f>'Pod by trading day'!BH189</f>
      </c>
      <c r="BH26" s="8">
        <f>'Pod by trading day'!BI189</f>
      </c>
      <c r="BI26" s="8">
        <f>'Pod by trading day'!BJ189</f>
      </c>
      <c r="BJ26" s="8">
        <f>'Pod by trading day'!BK189</f>
      </c>
      <c r="BK26" s="8">
        <f>'Pod by trading day'!BL189</f>
      </c>
      <c r="BL26" s="8">
        <f>'Pod by trading day'!BM189</f>
      </c>
      <c r="BM26" s="8">
        <f>'Pod by trading day'!BN189</f>
      </c>
      <c r="BN26" s="8">
        <f>'Pod by trading day'!BO189</f>
      </c>
      <c r="BO26" s="8">
        <f>'Pod by trading day'!BP189</f>
      </c>
      <c r="BP26" s="8">
        <f>'Pod by trading day'!BQ189</f>
      </c>
      <c r="BQ26" s="8">
        <f>'Pod by trading day'!BR189</f>
      </c>
      <c r="BR26" s="8">
        <f>'Pod by trading day'!BS189</f>
      </c>
      <c r="BS26" s="8">
        <f>'Pod by trading day'!BT189</f>
      </c>
      <c r="BT26" s="8">
        <f>'Pod by trading day'!BU189</f>
      </c>
      <c r="BU26" s="8">
        <f>'Pod by trading day'!BV189</f>
      </c>
      <c r="BV26" s="8">
        <f>'Pod by trading day'!BW189</f>
      </c>
      <c r="BW26" s="8">
        <f>'Pod by trading day'!BX189</f>
      </c>
      <c r="BX26" s="8">
        <f>'Pod by trading day'!BY189</f>
      </c>
      <c r="BY26" s="8">
        <f>'Pod by trading day'!BZ189</f>
      </c>
      <c r="BZ26" s="8">
        <f>'Pod by trading day'!CA189</f>
      </c>
      <c r="CA26" s="8">
        <f>'Pod by trading day'!CB189</f>
      </c>
      <c r="CB26" s="8">
        <f>'Pod by trading day'!CC189</f>
      </c>
      <c r="CC26" s="8">
        <f>'Pod by trading day'!CD189</f>
      </c>
      <c r="CD26" s="8">
        <f>'Pod by trading day'!CE189</f>
      </c>
      <c r="CE26" s="8">
        <f>'Pod by trading day'!CF189</f>
      </c>
      <c r="CF26" s="8">
        <f>'Pod by trading day'!CG189</f>
      </c>
      <c r="CG26" s="8">
        <f>'Pod by trading day'!CH189</f>
      </c>
      <c r="CH26" s="8">
        <f>'Pod by trading day'!CI189</f>
      </c>
      <c r="CI26" s="8">
        <f>'Pod by trading day'!CJ189</f>
      </c>
      <c r="CJ26" s="8">
        <f>'Pod by trading day'!CK189</f>
      </c>
      <c r="CK26" s="8">
        <f>'Pod by trading day'!CL189</f>
      </c>
      <c r="CL26" s="8">
        <f>'Pod by trading day'!CM189</f>
      </c>
      <c r="CM26" s="8">
        <f>'Pod by trading day'!CN189</f>
      </c>
      <c r="CN26" s="8">
        <f>'Pod by trading day'!CO189</f>
      </c>
      <c r="CO26" s="8">
        <f>'Pod by trading day'!CP189</f>
      </c>
      <c r="CP26" s="8">
        <f>'Pod by trading day'!CQ189</f>
      </c>
      <c r="CQ26" s="8">
        <f>'Pod by trading day'!CR189</f>
      </c>
      <c r="CR26" s="8">
        <f>'Pod by trading day'!CS189</f>
      </c>
      <c r="CS26" s="8">
        <f>'Pod by trading day'!CT189</f>
      </c>
      <c r="CT26" s="8">
        <f>'Pod by trading day'!CU189</f>
      </c>
      <c r="CU26" s="8">
        <f>'Pod by trading day'!CV189</f>
      </c>
      <c r="CV26" s="8">
        <f>'Pod by trading day'!CW189</f>
      </c>
      <c r="CW26" s="8">
        <f>'Pod by trading day'!CX189</f>
      </c>
    </row>
    <row r="27">
      <c r="A27" s="0" t="inlineStr">
        <is>
          <t xml:space="preserve">Overnight Return Persistence</t>
        </is>
      </c>
      <c r="B27" s="8">
        <f>'Pod by trading day'!C190</f>
        <v>8.172</v>
      </c>
      <c r="C27" s="8">
        <f>'Pod by trading day'!D190</f>
      </c>
      <c r="D27" s="8">
        <f>'Pod by trading day'!E190</f>
      </c>
      <c r="E27" s="8">
        <f>'Pod by trading day'!F190</f>
      </c>
      <c r="F27" s="8">
        <f>'Pod by trading day'!G190</f>
      </c>
      <c r="G27" s="8">
        <f>'Pod by trading day'!H190</f>
      </c>
      <c r="H27" s="8">
        <f>'Pod by trading day'!I190</f>
      </c>
      <c r="I27" s="8">
        <f>'Pod by trading day'!J190</f>
      </c>
      <c r="J27" s="8">
        <f>'Pod by trading day'!K190</f>
      </c>
      <c r="K27" s="8">
        <f>'Pod by trading day'!L190</f>
      </c>
      <c r="L27" s="8">
        <f>'Pod by trading day'!M190</f>
      </c>
      <c r="M27" s="8">
        <f>'Pod by trading day'!N190</f>
      </c>
      <c r="N27" s="8">
        <f>'Pod by trading day'!O190</f>
      </c>
      <c r="O27" s="8">
        <f>'Pod by trading day'!P190</f>
      </c>
      <c r="P27" s="8">
        <f>'Pod by trading day'!Q190</f>
      </c>
      <c r="Q27" s="8">
        <f>'Pod by trading day'!R190</f>
      </c>
      <c r="R27" s="8">
        <f>'Pod by trading day'!S190</f>
      </c>
      <c r="S27" s="8">
        <f>'Pod by trading day'!T190</f>
      </c>
      <c r="T27" s="8">
        <f>'Pod by trading day'!U190</f>
      </c>
      <c r="U27" s="8">
        <f>'Pod by trading day'!V190</f>
      </c>
      <c r="V27" s="8">
        <f>'Pod by trading day'!W190</f>
      </c>
      <c r="W27" s="8">
        <f>'Pod by trading day'!X190</f>
      </c>
      <c r="X27" s="8">
        <f>'Pod by trading day'!Y190</f>
      </c>
      <c r="Y27" s="8">
        <f>'Pod by trading day'!Z190</f>
      </c>
      <c r="Z27" s="8">
        <f>'Pod by trading day'!AA190</f>
      </c>
      <c r="AA27" s="8">
        <f>'Pod by trading day'!AB190</f>
      </c>
      <c r="AB27" s="8">
        <f>'Pod by trading day'!AC190</f>
      </c>
      <c r="AC27" s="8">
        <f>'Pod by trading day'!AD190</f>
      </c>
      <c r="AD27" s="8">
        <f>'Pod by trading day'!AE190</f>
      </c>
      <c r="AE27" s="8">
        <f>'Pod by trading day'!AF190</f>
      </c>
      <c r="AF27" s="8">
        <f>'Pod by trading day'!AG190</f>
      </c>
      <c r="AG27" s="8">
        <f>'Pod by trading day'!AH190</f>
      </c>
      <c r="AH27" s="8">
        <f>'Pod by trading day'!AI190</f>
      </c>
      <c r="AI27" s="8">
        <f>'Pod by trading day'!AJ190</f>
      </c>
      <c r="AJ27" s="8">
        <f>'Pod by trading day'!AK190</f>
      </c>
      <c r="AK27" s="8">
        <f>'Pod by trading day'!AL190</f>
      </c>
      <c r="AL27" s="8">
        <f>'Pod by trading day'!AM190</f>
      </c>
      <c r="AM27" s="8">
        <f>'Pod by trading day'!AN190</f>
      </c>
      <c r="AN27" s="8">
        <f>'Pod by trading day'!AO190</f>
      </c>
      <c r="AO27" s="8">
        <f>'Pod by trading day'!AP190</f>
      </c>
      <c r="AP27" s="8">
        <f>'Pod by trading day'!AQ190</f>
      </c>
      <c r="AQ27" s="8">
        <f>'Pod by trading day'!AR190</f>
      </c>
      <c r="AR27" s="8">
        <f>'Pod by trading day'!AS190</f>
      </c>
      <c r="AS27" s="8">
        <f>'Pod by trading day'!AT190</f>
      </c>
      <c r="AT27" s="8">
        <f>'Pod by trading day'!AU190</f>
      </c>
      <c r="AU27" s="8">
        <f>'Pod by trading day'!AV190</f>
      </c>
      <c r="AV27" s="8">
        <f>'Pod by trading day'!AW190</f>
      </c>
      <c r="AW27" s="8">
        <f>'Pod by trading day'!AX190</f>
      </c>
      <c r="AX27" s="8">
        <f>'Pod by trading day'!AY190</f>
      </c>
      <c r="AY27" s="8">
        <f>'Pod by trading day'!AZ190</f>
      </c>
      <c r="AZ27" s="8">
        <f>'Pod by trading day'!BA190</f>
      </c>
      <c r="BA27" s="8">
        <f>'Pod by trading day'!BB190</f>
      </c>
      <c r="BB27" s="8">
        <f>'Pod by trading day'!BC190</f>
      </c>
      <c r="BC27" s="8">
        <f>'Pod by trading day'!BD190</f>
      </c>
      <c r="BD27" s="8">
        <f>'Pod by trading day'!BE190</f>
      </c>
      <c r="BE27" s="8">
        <f>'Pod by trading day'!BF190</f>
      </c>
      <c r="BF27" s="8">
        <f>'Pod by trading day'!BG190</f>
      </c>
      <c r="BG27" s="8">
        <f>'Pod by trading day'!BH190</f>
      </c>
      <c r="BH27" s="8">
        <f>'Pod by trading day'!BI190</f>
      </c>
      <c r="BI27" s="8">
        <f>'Pod by trading day'!BJ190</f>
      </c>
      <c r="BJ27" s="8">
        <f>'Pod by trading day'!BK190</f>
      </c>
      <c r="BK27" s="8">
        <f>'Pod by trading day'!BL190</f>
      </c>
      <c r="BL27" s="8">
        <f>'Pod by trading day'!BM190</f>
      </c>
      <c r="BM27" s="8">
        <f>'Pod by trading day'!BN190</f>
      </c>
      <c r="BN27" s="8">
        <f>'Pod by trading day'!BO190</f>
      </c>
      <c r="BO27" s="8">
        <f>'Pod by trading day'!BP190</f>
      </c>
      <c r="BP27" s="8">
        <f>'Pod by trading day'!BQ190</f>
      </c>
      <c r="BQ27" s="8">
        <f>'Pod by trading day'!BR190</f>
      </c>
      <c r="BR27" s="8">
        <f>'Pod by trading day'!BS190</f>
      </c>
      <c r="BS27" s="8">
        <f>'Pod by trading day'!BT190</f>
      </c>
      <c r="BT27" s="8">
        <f>'Pod by trading day'!BU190</f>
      </c>
      <c r="BU27" s="8">
        <f>'Pod by trading day'!BV190</f>
      </c>
      <c r="BV27" s="8">
        <f>'Pod by trading day'!BW190</f>
      </c>
      <c r="BW27" s="8">
        <f>'Pod by trading day'!BX190</f>
      </c>
      <c r="BX27" s="8">
        <f>'Pod by trading day'!BY190</f>
      </c>
      <c r="BY27" s="8">
        <f>'Pod by trading day'!BZ190</f>
      </c>
      <c r="BZ27" s="8">
        <f>'Pod by trading day'!CA190</f>
      </c>
      <c r="CA27" s="8">
        <f>'Pod by trading day'!CB190</f>
      </c>
      <c r="CB27" s="8">
        <f>'Pod by trading day'!CC190</f>
      </c>
      <c r="CC27" s="8">
        <f>'Pod by trading day'!CD190</f>
      </c>
      <c r="CD27" s="8">
        <f>'Pod by trading day'!CE190</f>
      </c>
      <c r="CE27" s="8">
        <f>'Pod by trading day'!CF190</f>
      </c>
      <c r="CF27" s="8">
        <f>'Pod by trading day'!CG190</f>
      </c>
      <c r="CG27" s="8">
        <f>'Pod by trading day'!CH190</f>
      </c>
      <c r="CH27" s="8">
        <f>'Pod by trading day'!CI190</f>
      </c>
      <c r="CI27" s="8">
        <f>'Pod by trading day'!CJ190</f>
      </c>
      <c r="CJ27" s="8">
        <f>'Pod by trading day'!CK190</f>
      </c>
      <c r="CK27" s="8">
        <f>'Pod by trading day'!CL190</f>
      </c>
      <c r="CL27" s="8">
        <f>'Pod by trading day'!CM190</f>
      </c>
      <c r="CM27" s="8">
        <f>'Pod by trading day'!CN190</f>
      </c>
      <c r="CN27" s="8">
        <f>'Pod by trading day'!CO190</f>
      </c>
      <c r="CO27" s="8">
        <f>'Pod by trading day'!CP190</f>
      </c>
      <c r="CP27" s="8">
        <f>'Pod by trading day'!CQ190</f>
      </c>
      <c r="CQ27" s="8">
        <f>'Pod by trading day'!CR190</f>
      </c>
      <c r="CR27" s="8">
        <f>'Pod by trading day'!CS190</f>
      </c>
      <c r="CS27" s="8">
        <f>'Pod by trading day'!CT190</f>
      </c>
      <c r="CT27" s="8">
        <f>'Pod by trading day'!CU190</f>
      </c>
      <c r="CU27" s="8">
        <f>'Pod by trading day'!CV190</f>
      </c>
      <c r="CV27" s="8">
        <f>'Pod by trading day'!CW190</f>
      </c>
      <c r="CW27" s="8">
        <f>'Pod by trading day'!CX190</f>
      </c>
    </row>
    <row r="28">
      <c r="A28" s="0" t="inlineStr">
        <is>
          <t xml:space="preserve">52-Week-High Anchoring</t>
        </is>
      </c>
      <c r="B28" s="8">
        <f>'Pod by trading day'!C191</f>
        <v>17.164</v>
      </c>
      <c r="C28" s="8">
        <f>'Pod by trading day'!D191</f>
      </c>
      <c r="D28" s="8">
        <f>'Pod by trading day'!E191</f>
      </c>
      <c r="E28" s="8">
        <f>'Pod by trading day'!F191</f>
      </c>
      <c r="F28" s="8">
        <f>'Pod by trading day'!G191</f>
      </c>
      <c r="G28" s="8">
        <f>'Pod by trading day'!H191</f>
      </c>
      <c r="H28" s="8">
        <f>'Pod by trading day'!I191</f>
      </c>
      <c r="I28" s="8">
        <f>'Pod by trading day'!J191</f>
      </c>
      <c r="J28" s="8">
        <f>'Pod by trading day'!K191</f>
      </c>
      <c r="K28" s="8">
        <f>'Pod by trading day'!L191</f>
      </c>
      <c r="L28" s="8">
        <f>'Pod by trading day'!M191</f>
      </c>
      <c r="M28" s="8">
        <f>'Pod by trading day'!N191</f>
      </c>
      <c r="N28" s="8">
        <f>'Pod by trading day'!O191</f>
      </c>
      <c r="O28" s="8">
        <f>'Pod by trading day'!P191</f>
      </c>
      <c r="P28" s="8">
        <f>'Pod by trading day'!Q191</f>
      </c>
      <c r="Q28" s="8">
        <f>'Pod by trading day'!R191</f>
      </c>
      <c r="R28" s="8">
        <f>'Pod by trading day'!S191</f>
      </c>
      <c r="S28" s="8">
        <f>'Pod by trading day'!T191</f>
      </c>
      <c r="T28" s="8">
        <f>'Pod by trading day'!U191</f>
      </c>
      <c r="U28" s="8">
        <f>'Pod by trading day'!V191</f>
      </c>
      <c r="V28" s="8">
        <f>'Pod by trading day'!W191</f>
      </c>
      <c r="W28" s="8">
        <f>'Pod by trading day'!X191</f>
      </c>
      <c r="X28" s="8">
        <f>'Pod by trading day'!Y191</f>
      </c>
      <c r="Y28" s="8">
        <f>'Pod by trading day'!Z191</f>
      </c>
      <c r="Z28" s="8">
        <f>'Pod by trading day'!AA191</f>
      </c>
      <c r="AA28" s="8">
        <f>'Pod by trading day'!AB191</f>
      </c>
      <c r="AB28" s="8">
        <f>'Pod by trading day'!AC191</f>
      </c>
      <c r="AC28" s="8">
        <f>'Pod by trading day'!AD191</f>
      </c>
      <c r="AD28" s="8">
        <f>'Pod by trading day'!AE191</f>
      </c>
      <c r="AE28" s="8">
        <f>'Pod by trading day'!AF191</f>
      </c>
      <c r="AF28" s="8">
        <f>'Pod by trading day'!AG191</f>
      </c>
      <c r="AG28" s="8">
        <f>'Pod by trading day'!AH191</f>
      </c>
      <c r="AH28" s="8">
        <f>'Pod by trading day'!AI191</f>
      </c>
      <c r="AI28" s="8">
        <f>'Pod by trading day'!AJ191</f>
      </c>
      <c r="AJ28" s="8">
        <f>'Pod by trading day'!AK191</f>
      </c>
      <c r="AK28" s="8">
        <f>'Pod by trading day'!AL191</f>
      </c>
      <c r="AL28" s="8">
        <f>'Pod by trading day'!AM191</f>
      </c>
      <c r="AM28" s="8">
        <f>'Pod by trading day'!AN191</f>
      </c>
      <c r="AN28" s="8">
        <f>'Pod by trading day'!AO191</f>
      </c>
      <c r="AO28" s="8">
        <f>'Pod by trading day'!AP191</f>
      </c>
      <c r="AP28" s="8">
        <f>'Pod by trading day'!AQ191</f>
      </c>
      <c r="AQ28" s="8">
        <f>'Pod by trading day'!AR191</f>
      </c>
      <c r="AR28" s="8">
        <f>'Pod by trading day'!AS191</f>
      </c>
      <c r="AS28" s="8">
        <f>'Pod by trading day'!AT191</f>
      </c>
      <c r="AT28" s="8">
        <f>'Pod by trading day'!AU191</f>
      </c>
      <c r="AU28" s="8">
        <f>'Pod by trading day'!AV191</f>
      </c>
      <c r="AV28" s="8">
        <f>'Pod by trading day'!AW191</f>
      </c>
      <c r="AW28" s="8">
        <f>'Pod by trading day'!AX191</f>
      </c>
      <c r="AX28" s="8">
        <f>'Pod by trading day'!AY191</f>
      </c>
      <c r="AY28" s="8">
        <f>'Pod by trading day'!AZ191</f>
      </c>
      <c r="AZ28" s="8">
        <f>'Pod by trading day'!BA191</f>
      </c>
      <c r="BA28" s="8">
        <f>'Pod by trading day'!BB191</f>
      </c>
      <c r="BB28" s="8">
        <f>'Pod by trading day'!BC191</f>
      </c>
      <c r="BC28" s="8">
        <f>'Pod by trading day'!BD191</f>
      </c>
      <c r="BD28" s="8">
        <f>'Pod by trading day'!BE191</f>
      </c>
      <c r="BE28" s="8">
        <f>'Pod by trading day'!BF191</f>
      </c>
      <c r="BF28" s="8">
        <f>'Pod by trading day'!BG191</f>
      </c>
      <c r="BG28" s="8">
        <f>'Pod by trading day'!BH191</f>
      </c>
      <c r="BH28" s="8">
        <f>'Pod by trading day'!BI191</f>
      </c>
      <c r="BI28" s="8">
        <f>'Pod by trading day'!BJ191</f>
      </c>
      <c r="BJ28" s="8">
        <f>'Pod by trading day'!BK191</f>
      </c>
      <c r="BK28" s="8">
        <f>'Pod by trading day'!BL191</f>
      </c>
      <c r="BL28" s="8">
        <f>'Pod by trading day'!BM191</f>
      </c>
      <c r="BM28" s="8">
        <f>'Pod by trading day'!BN191</f>
      </c>
      <c r="BN28" s="8">
        <f>'Pod by trading day'!BO191</f>
      </c>
      <c r="BO28" s="8">
        <f>'Pod by trading day'!BP191</f>
      </c>
      <c r="BP28" s="8">
        <f>'Pod by trading day'!BQ191</f>
      </c>
      <c r="BQ28" s="8">
        <f>'Pod by trading day'!BR191</f>
      </c>
      <c r="BR28" s="8">
        <f>'Pod by trading day'!BS191</f>
      </c>
      <c r="BS28" s="8">
        <f>'Pod by trading day'!BT191</f>
      </c>
      <c r="BT28" s="8">
        <f>'Pod by trading day'!BU191</f>
      </c>
      <c r="BU28" s="8">
        <f>'Pod by trading day'!BV191</f>
      </c>
      <c r="BV28" s="8">
        <f>'Pod by trading day'!BW191</f>
      </c>
      <c r="BW28" s="8">
        <f>'Pod by trading day'!BX191</f>
      </c>
      <c r="BX28" s="8">
        <f>'Pod by trading day'!BY191</f>
      </c>
      <c r="BY28" s="8">
        <f>'Pod by trading day'!BZ191</f>
      </c>
      <c r="BZ28" s="8">
        <f>'Pod by trading day'!CA191</f>
      </c>
      <c r="CA28" s="8">
        <f>'Pod by trading day'!CB191</f>
      </c>
      <c r="CB28" s="8">
        <f>'Pod by trading day'!CC191</f>
      </c>
      <c r="CC28" s="8">
        <f>'Pod by trading day'!CD191</f>
      </c>
      <c r="CD28" s="8">
        <f>'Pod by trading day'!CE191</f>
      </c>
      <c r="CE28" s="8">
        <f>'Pod by trading day'!CF191</f>
      </c>
      <c r="CF28" s="8">
        <f>'Pod by trading day'!CG191</f>
      </c>
      <c r="CG28" s="8">
        <f>'Pod by trading day'!CH191</f>
      </c>
      <c r="CH28" s="8">
        <f>'Pod by trading day'!CI191</f>
      </c>
      <c r="CI28" s="8">
        <f>'Pod by trading day'!CJ191</f>
      </c>
      <c r="CJ28" s="8">
        <f>'Pod by trading day'!CK191</f>
      </c>
      <c r="CK28" s="8">
        <f>'Pod by trading day'!CL191</f>
      </c>
      <c r="CL28" s="8">
        <f>'Pod by trading day'!CM191</f>
      </c>
      <c r="CM28" s="8">
        <f>'Pod by trading day'!CN191</f>
      </c>
      <c r="CN28" s="8">
        <f>'Pod by trading day'!CO191</f>
      </c>
      <c r="CO28" s="8">
        <f>'Pod by trading day'!CP191</f>
      </c>
      <c r="CP28" s="8">
        <f>'Pod by trading day'!CQ191</f>
      </c>
      <c r="CQ28" s="8">
        <f>'Pod by trading day'!CR191</f>
      </c>
      <c r="CR28" s="8">
        <f>'Pod by trading day'!CS191</f>
      </c>
      <c r="CS28" s="8">
        <f>'Pod by trading day'!CT191</f>
      </c>
      <c r="CT28" s="8">
        <f>'Pod by trading day'!CU191</f>
      </c>
      <c r="CU28" s="8">
        <f>'Pod by trading day'!CV191</f>
      </c>
      <c r="CV28" s="8">
        <f>'Pod by trading day'!CW191</f>
      </c>
      <c r="CW28" s="8">
        <f>'Pod by trading day'!CX191</f>
      </c>
    </row>
    <row r="47">
      <c r="A47" s="1" t="inlineStr">
        <is>
          <t xml:space="preserve">LLM pods vs random pods, cumulative average (bps)</t>
        </is>
      </c>
    </row>
    <row r="48">
      <c r="A48" s="1" t="inlineStr">
        <is>
          <t xml:space="preserve">line</t>
        </is>
      </c>
      <c r="B48" s="1" t="inlineStr">
        <is>
          <t xml:space="preserve">09-22</t>
        </is>
      </c>
      <c r="C48" s="1" t="inlineStr">
        <is>
          <t xml:space="preserve">09-23</t>
        </is>
      </c>
      <c r="D48" s="1" t="inlineStr">
        <is>
          <t xml:space="preserve">09-24</t>
        </is>
      </c>
      <c r="E48" s="1" t="inlineStr">
        <is>
          <t xml:space="preserve">09-25</t>
        </is>
      </c>
      <c r="F48" s="1" t="inlineStr">
        <is>
          <t xml:space="preserve">09-28</t>
        </is>
      </c>
      <c r="G48" s="1" t="inlineStr">
        <is>
          <t xml:space="preserve">09-29</t>
        </is>
      </c>
      <c r="H48" s="1" t="inlineStr">
        <is>
          <t xml:space="preserve">09-30</t>
        </is>
      </c>
      <c r="I48" s="1" t="inlineStr">
        <is>
          <t xml:space="preserve">10-01</t>
        </is>
      </c>
      <c r="J48" s="1" t="inlineStr">
        <is>
          <t xml:space="preserve">10-02</t>
        </is>
      </c>
      <c r="K48" s="1" t="inlineStr">
        <is>
          <t xml:space="preserve">10-05</t>
        </is>
      </c>
      <c r="L48" s="1" t="inlineStr">
        <is>
          <t xml:space="preserve">10-06</t>
        </is>
      </c>
      <c r="M48" s="1" t="inlineStr">
        <is>
          <t xml:space="preserve">10-07</t>
        </is>
      </c>
      <c r="N48" s="1" t="inlineStr">
        <is>
          <t xml:space="preserve">10-08</t>
        </is>
      </c>
      <c r="O48" s="1" t="inlineStr">
        <is>
          <t xml:space="preserve">10-09</t>
        </is>
      </c>
      <c r="P48" s="1" t="inlineStr">
        <is>
          <t xml:space="preserve">10-12</t>
        </is>
      </c>
      <c r="Q48" s="1" t="inlineStr">
        <is>
          <t xml:space="preserve">10-13</t>
        </is>
      </c>
      <c r="R48" s="1" t="inlineStr">
        <is>
          <t xml:space="preserve">10-14</t>
        </is>
      </c>
      <c r="S48" s="1" t="inlineStr">
        <is>
          <t xml:space="preserve">10-15</t>
        </is>
      </c>
      <c r="T48" s="1" t="inlineStr">
        <is>
          <t xml:space="preserve">10-16</t>
        </is>
      </c>
      <c r="U48" s="1" t="inlineStr">
        <is>
          <t xml:space="preserve">10-19</t>
        </is>
      </c>
      <c r="V48" s="1" t="inlineStr">
        <is>
          <t xml:space="preserve">10-20</t>
        </is>
      </c>
      <c r="W48" s="1" t="inlineStr">
        <is>
          <t xml:space="preserve">10-21</t>
        </is>
      </c>
      <c r="X48" s="1" t="inlineStr">
        <is>
          <t xml:space="preserve">10-22</t>
        </is>
      </c>
      <c r="Y48" s="1" t="inlineStr">
        <is>
          <t xml:space="preserve">10-23</t>
        </is>
      </c>
      <c r="Z48" s="1" t="inlineStr">
        <is>
          <t xml:space="preserve">10-26</t>
        </is>
      </c>
      <c r="AA48" s="1" t="inlineStr">
        <is>
          <t xml:space="preserve">10-27</t>
        </is>
      </c>
      <c r="AB48" s="1" t="inlineStr">
        <is>
          <t xml:space="preserve">10-28</t>
        </is>
      </c>
      <c r="AC48" s="1" t="inlineStr">
        <is>
          <t xml:space="preserve">10-29</t>
        </is>
      </c>
      <c r="AD48" s="1" t="inlineStr">
        <is>
          <t xml:space="preserve">10-30</t>
        </is>
      </c>
      <c r="AE48" s="1" t="inlineStr">
        <is>
          <t xml:space="preserve">11-02</t>
        </is>
      </c>
      <c r="AF48" s="1" t="inlineStr">
        <is>
          <t xml:space="preserve">11-03</t>
        </is>
      </c>
      <c r="AG48" s="1" t="inlineStr">
        <is>
          <t xml:space="preserve">11-04</t>
        </is>
      </c>
      <c r="AH48" s="1" t="inlineStr">
        <is>
          <t xml:space="preserve">11-05</t>
        </is>
      </c>
      <c r="AI48" s="1" t="inlineStr">
        <is>
          <t xml:space="preserve">11-06</t>
        </is>
      </c>
      <c r="AJ48" s="1" t="inlineStr">
        <is>
          <t xml:space="preserve">11-09</t>
        </is>
      </c>
      <c r="AK48" s="1" t="inlineStr">
        <is>
          <t xml:space="preserve">11-10</t>
        </is>
      </c>
      <c r="AL48" s="1" t="inlineStr">
        <is>
          <t xml:space="preserve">11-11</t>
        </is>
      </c>
      <c r="AM48" s="1" t="inlineStr">
        <is>
          <t xml:space="preserve">11-12</t>
        </is>
      </c>
      <c r="AN48" s="1" t="inlineStr">
        <is>
          <t xml:space="preserve">11-13</t>
        </is>
      </c>
      <c r="AO48" s="1" t="inlineStr">
        <is>
          <t xml:space="preserve">11-16</t>
        </is>
      </c>
      <c r="AP48" s="1" t="inlineStr">
        <is>
          <t xml:space="preserve">11-17</t>
        </is>
      </c>
      <c r="AQ48" s="1" t="inlineStr">
        <is>
          <t xml:space="preserve">11-18</t>
        </is>
      </c>
      <c r="AR48" s="1" t="inlineStr">
        <is>
          <t xml:space="preserve">11-19</t>
        </is>
      </c>
      <c r="AS48" s="1" t="inlineStr">
        <is>
          <t xml:space="preserve">11-20</t>
        </is>
      </c>
      <c r="AT48" s="1" t="inlineStr">
        <is>
          <t xml:space="preserve">11-23</t>
        </is>
      </c>
      <c r="AU48" s="1" t="inlineStr">
        <is>
          <t xml:space="preserve">11-24</t>
        </is>
      </c>
      <c r="AV48" s="1" t="inlineStr">
        <is>
          <t xml:space="preserve">11-25</t>
        </is>
      </c>
      <c r="AW48" s="1" t="inlineStr">
        <is>
          <t xml:space="preserve">11-27</t>
        </is>
      </c>
      <c r="AX48" s="1" t="inlineStr">
        <is>
          <t xml:space="preserve">11-30</t>
        </is>
      </c>
      <c r="AY48" s="1" t="inlineStr">
        <is>
          <t xml:space="preserve">12-01</t>
        </is>
      </c>
      <c r="AZ48" s="1" t="inlineStr">
        <is>
          <t xml:space="preserve">12-02</t>
        </is>
      </c>
      <c r="BA48" s="1" t="inlineStr">
        <is>
          <t xml:space="preserve">12-03</t>
        </is>
      </c>
      <c r="BB48" s="1" t="inlineStr">
        <is>
          <t xml:space="preserve">12-04</t>
        </is>
      </c>
      <c r="BC48" s="1" t="inlineStr">
        <is>
          <t xml:space="preserve">12-07</t>
        </is>
      </c>
      <c r="BD48" s="1" t="inlineStr">
        <is>
          <t xml:space="preserve">12-08</t>
        </is>
      </c>
      <c r="BE48" s="1" t="inlineStr">
        <is>
          <t xml:space="preserve">12-09</t>
        </is>
      </c>
      <c r="BF48" s="1" t="inlineStr">
        <is>
          <t xml:space="preserve">12-10</t>
        </is>
      </c>
      <c r="BG48" s="1" t="inlineStr">
        <is>
          <t xml:space="preserve">12-11</t>
        </is>
      </c>
      <c r="BH48" s="1" t="inlineStr">
        <is>
          <t xml:space="preserve">12-14</t>
        </is>
      </c>
      <c r="BI48" s="1" t="inlineStr">
        <is>
          <t xml:space="preserve">12-15</t>
        </is>
      </c>
      <c r="BJ48" s="1" t="inlineStr">
        <is>
          <t xml:space="preserve">12-16</t>
        </is>
      </c>
      <c r="BK48" s="1" t="inlineStr">
        <is>
          <t xml:space="preserve">12-17</t>
        </is>
      </c>
      <c r="BL48" s="1" t="inlineStr">
        <is>
          <t xml:space="preserve">12-18</t>
        </is>
      </c>
      <c r="BM48" s="1" t="inlineStr">
        <is>
          <t xml:space="preserve">12-21</t>
        </is>
      </c>
      <c r="BN48" s="1" t="inlineStr">
        <is>
          <t xml:space="preserve">12-22</t>
        </is>
      </c>
      <c r="BO48" s="1" t="inlineStr">
        <is>
          <t xml:space="preserve">12-23</t>
        </is>
      </c>
      <c r="BP48" s="1" t="inlineStr">
        <is>
          <t xml:space="preserve">12-24</t>
        </is>
      </c>
      <c r="BQ48" s="1" t="inlineStr">
        <is>
          <t xml:space="preserve">12-28</t>
        </is>
      </c>
      <c r="BR48" s="1" t="inlineStr">
        <is>
          <t xml:space="preserve">12-29</t>
        </is>
      </c>
      <c r="BS48" s="1" t="inlineStr">
        <is>
          <t xml:space="preserve">12-30</t>
        </is>
      </c>
      <c r="BT48" s="1" t="inlineStr">
        <is>
          <t xml:space="preserve">12-31</t>
        </is>
      </c>
      <c r="BU48" s="1" t="inlineStr">
        <is>
          <t xml:space="preserve">01-04</t>
        </is>
      </c>
      <c r="BV48" s="1" t="inlineStr">
        <is>
          <t xml:space="preserve">01-05</t>
        </is>
      </c>
      <c r="BW48" s="1" t="inlineStr">
        <is>
          <t xml:space="preserve">01-06</t>
        </is>
      </c>
      <c r="BX48" s="1" t="inlineStr">
        <is>
          <t xml:space="preserve">01-07</t>
        </is>
      </c>
      <c r="BY48" s="1" t="inlineStr">
        <is>
          <t xml:space="preserve">01-08</t>
        </is>
      </c>
      <c r="BZ48" s="1" t="inlineStr">
        <is>
          <t xml:space="preserve">01-11</t>
        </is>
      </c>
      <c r="CA48" s="1" t="inlineStr">
        <is>
          <t xml:space="preserve">01-12</t>
        </is>
      </c>
      <c r="CB48" s="1" t="inlineStr">
        <is>
          <t xml:space="preserve">01-13</t>
        </is>
      </c>
      <c r="CC48" s="1" t="inlineStr">
        <is>
          <t xml:space="preserve">01-14</t>
        </is>
      </c>
      <c r="CD48" s="1" t="inlineStr">
        <is>
          <t xml:space="preserve">01-15</t>
        </is>
      </c>
      <c r="CE48" s="1" t="inlineStr">
        <is>
          <t xml:space="preserve">01-19</t>
        </is>
      </c>
      <c r="CF48" s="1" t="inlineStr">
        <is>
          <t xml:space="preserve">01-20</t>
        </is>
      </c>
      <c r="CG48" s="1" t="inlineStr">
        <is>
          <t xml:space="preserve">01-21</t>
        </is>
      </c>
      <c r="CH48" s="1" t="inlineStr">
        <is>
          <t xml:space="preserve">01-22</t>
        </is>
      </c>
      <c r="CI48" s="1" t="inlineStr">
        <is>
          <t xml:space="preserve">01-25</t>
        </is>
      </c>
      <c r="CJ48" s="1" t="inlineStr">
        <is>
          <t xml:space="preserve">01-26</t>
        </is>
      </c>
      <c r="CK48" s="1" t="inlineStr">
        <is>
          <t xml:space="preserve">01-27</t>
        </is>
      </c>
      <c r="CL48" s="1" t="inlineStr">
        <is>
          <t xml:space="preserve">01-28</t>
        </is>
      </c>
      <c r="CM48" s="1" t="inlineStr">
        <is>
          <t xml:space="preserve">01-29</t>
        </is>
      </c>
      <c r="CN48" s="1" t="inlineStr">
        <is>
          <t xml:space="preserve">02-01</t>
        </is>
      </c>
      <c r="CO48" s="1" t="inlineStr">
        <is>
          <t xml:space="preserve">02-02</t>
        </is>
      </c>
      <c r="CP48" s="1" t="inlineStr">
        <is>
          <t xml:space="preserve">02-03</t>
        </is>
      </c>
      <c r="CQ48" s="1" t="inlineStr">
        <is>
          <t xml:space="preserve">02-04</t>
        </is>
      </c>
      <c r="CR48" s="1" t="inlineStr">
        <is>
          <t xml:space="preserve">02-05</t>
        </is>
      </c>
      <c r="CS48" s="1" t="inlineStr">
        <is>
          <t xml:space="preserve">02-08</t>
        </is>
      </c>
      <c r="CT48" s="1" t="inlineStr">
        <is>
          <t xml:space="preserve">02-09</t>
        </is>
      </c>
      <c r="CU48" s="1" t="inlineStr">
        <is>
          <t xml:space="preserve">02-10</t>
        </is>
      </c>
      <c r="CV48" s="1" t="inlineStr">
        <is>
          <t xml:space="preserve">02-11</t>
        </is>
      </c>
      <c r="CW48" s="1" t="inlineStr">
        <is>
          <t xml:space="preserve">02-12</t>
        </is>
      </c>
    </row>
    <row r="49">
      <c r="A49" s="0" t="inlineStr">
        <is>
          <t xml:space="preserve">LLM pods: cumulative average excess, bps</t>
        </is>
      </c>
      <c r="B49" s="8">
        <f>'Fund by trading day'!B7</f>
        <v>1.3032000000000004</v>
      </c>
      <c r="C49" s="8">
        <f>'Fund by trading day'!C7</f>
      </c>
      <c r="D49" s="8">
        <f>'Fund by trading day'!D7</f>
      </c>
      <c r="E49" s="8">
        <f>'Fund by trading day'!E7</f>
      </c>
      <c r="F49" s="8">
        <f>'Fund by trading day'!F7</f>
      </c>
      <c r="G49" s="8">
        <f>'Fund by trading day'!G7</f>
      </c>
      <c r="H49" s="8">
        <f>'Fund by trading day'!H7</f>
      </c>
      <c r="I49" s="8">
        <f>'Fund by trading day'!I7</f>
      </c>
      <c r="J49" s="8">
        <f>'Fund by trading day'!J7</f>
      </c>
      <c r="K49" s="8">
        <f>'Fund by trading day'!K7</f>
      </c>
      <c r="L49" s="8">
        <f>'Fund by trading day'!L7</f>
      </c>
      <c r="M49" s="8">
        <f>'Fund by trading day'!M7</f>
      </c>
      <c r="N49" s="8">
        <f>'Fund by trading day'!N7</f>
      </c>
      <c r="O49" s="8">
        <f>'Fund by trading day'!O7</f>
      </c>
      <c r="P49" s="8">
        <f>'Fund by trading day'!P7</f>
      </c>
      <c r="Q49" s="8">
        <f>'Fund by trading day'!Q7</f>
      </c>
      <c r="R49" s="8">
        <f>'Fund by trading day'!R7</f>
      </c>
      <c r="S49" s="8">
        <f>'Fund by trading day'!S7</f>
      </c>
      <c r="T49" s="8">
        <f>'Fund by trading day'!T7</f>
      </c>
      <c r="U49" s="8">
        <f>'Fund by trading day'!U7</f>
      </c>
      <c r="V49" s="8">
        <f>'Fund by trading day'!V7</f>
      </c>
      <c r="W49" s="8">
        <f>'Fund by trading day'!W7</f>
      </c>
      <c r="X49" s="8">
        <f>'Fund by trading day'!X7</f>
      </c>
      <c r="Y49" s="8">
        <f>'Fund by trading day'!Y7</f>
      </c>
      <c r="Z49" s="8">
        <f>'Fund by trading day'!Z7</f>
      </c>
      <c r="AA49" s="8">
        <f>'Fund by trading day'!AA7</f>
      </c>
      <c r="AB49" s="8">
        <f>'Fund by trading day'!AB7</f>
      </c>
      <c r="AC49" s="8">
        <f>'Fund by trading day'!AC7</f>
      </c>
      <c r="AD49" s="8">
        <f>'Fund by trading day'!AD7</f>
      </c>
      <c r="AE49" s="8">
        <f>'Fund by trading day'!AE7</f>
      </c>
      <c r="AF49" s="8">
        <f>'Fund by trading day'!AF7</f>
      </c>
      <c r="AG49" s="8">
        <f>'Fund by trading day'!AG7</f>
      </c>
      <c r="AH49" s="8">
        <f>'Fund by trading day'!AH7</f>
      </c>
      <c r="AI49" s="8">
        <f>'Fund by trading day'!AI7</f>
      </c>
      <c r="AJ49" s="8">
        <f>'Fund by trading day'!AJ7</f>
      </c>
      <c r="AK49" s="8">
        <f>'Fund by trading day'!AK7</f>
      </c>
      <c r="AL49" s="8">
        <f>'Fund by trading day'!AL7</f>
      </c>
      <c r="AM49" s="8">
        <f>'Fund by trading day'!AM7</f>
      </c>
      <c r="AN49" s="8">
        <f>'Fund by trading day'!AN7</f>
      </c>
      <c r="AO49" s="8">
        <f>'Fund by trading day'!AO7</f>
      </c>
      <c r="AP49" s="8">
        <f>'Fund by trading day'!AP7</f>
      </c>
      <c r="AQ49" s="8">
        <f>'Fund by trading day'!AQ7</f>
      </c>
      <c r="AR49" s="8">
        <f>'Fund by trading day'!AR7</f>
      </c>
      <c r="AS49" s="8">
        <f>'Fund by trading day'!AS7</f>
      </c>
      <c r="AT49" s="8">
        <f>'Fund by trading day'!AT7</f>
      </c>
      <c r="AU49" s="8">
        <f>'Fund by trading day'!AU7</f>
      </c>
      <c r="AV49" s="8">
        <f>'Fund by trading day'!AV7</f>
      </c>
      <c r="AW49" s="8">
        <f>'Fund by trading day'!AW7</f>
      </c>
      <c r="AX49" s="8">
        <f>'Fund by trading day'!AX7</f>
      </c>
      <c r="AY49" s="8">
        <f>'Fund by trading day'!AY7</f>
      </c>
      <c r="AZ49" s="8">
        <f>'Fund by trading day'!AZ7</f>
      </c>
      <c r="BA49" s="8">
        <f>'Fund by trading day'!BA7</f>
      </c>
      <c r="BB49" s="8">
        <f>'Fund by trading day'!BB7</f>
      </c>
      <c r="BC49" s="8">
        <f>'Fund by trading day'!BC7</f>
      </c>
      <c r="BD49" s="8">
        <f>'Fund by trading day'!BD7</f>
      </c>
      <c r="BE49" s="8">
        <f>'Fund by trading day'!BE7</f>
      </c>
      <c r="BF49" s="8">
        <f>'Fund by trading day'!BF7</f>
      </c>
      <c r="BG49" s="8">
        <f>'Fund by trading day'!BG7</f>
      </c>
      <c r="BH49" s="8">
        <f>'Fund by trading day'!BH7</f>
      </c>
      <c r="BI49" s="8">
        <f>'Fund by trading day'!BI7</f>
      </c>
      <c r="BJ49" s="8">
        <f>'Fund by trading day'!BJ7</f>
      </c>
      <c r="BK49" s="8">
        <f>'Fund by trading day'!BK7</f>
      </c>
      <c r="BL49" s="8">
        <f>'Fund by trading day'!BL7</f>
      </c>
      <c r="BM49" s="8">
        <f>'Fund by trading day'!BM7</f>
      </c>
      <c r="BN49" s="8">
        <f>'Fund by trading day'!BN7</f>
      </c>
      <c r="BO49" s="8">
        <f>'Fund by trading day'!BO7</f>
      </c>
      <c r="BP49" s="8">
        <f>'Fund by trading day'!BP7</f>
      </c>
      <c r="BQ49" s="8">
        <f>'Fund by trading day'!BQ7</f>
      </c>
      <c r="BR49" s="8">
        <f>'Fund by trading day'!BR7</f>
      </c>
      <c r="BS49" s="8">
        <f>'Fund by trading day'!BS7</f>
      </c>
      <c r="BT49" s="8">
        <f>'Fund by trading day'!BT7</f>
      </c>
      <c r="BU49" s="8">
        <f>'Fund by trading day'!BU7</f>
      </c>
      <c r="BV49" s="8">
        <f>'Fund by trading day'!BV7</f>
      </c>
      <c r="BW49" s="8">
        <f>'Fund by trading day'!BW7</f>
      </c>
      <c r="BX49" s="8">
        <f>'Fund by trading day'!BX7</f>
      </c>
      <c r="BY49" s="8">
        <f>'Fund by trading day'!BY7</f>
      </c>
      <c r="BZ49" s="8">
        <f>'Fund by trading day'!BZ7</f>
      </c>
      <c r="CA49" s="8">
        <f>'Fund by trading day'!CA7</f>
      </c>
      <c r="CB49" s="8">
        <f>'Fund by trading day'!CB7</f>
      </c>
      <c r="CC49" s="8">
        <f>'Fund by trading day'!CC7</f>
      </c>
      <c r="CD49" s="8">
        <f>'Fund by trading day'!CD7</f>
      </c>
      <c r="CE49" s="8">
        <f>'Fund by trading day'!CE7</f>
      </c>
      <c r="CF49" s="8">
        <f>'Fund by trading day'!CF7</f>
      </c>
      <c r="CG49" s="8">
        <f>'Fund by trading day'!CG7</f>
      </c>
      <c r="CH49" s="8">
        <f>'Fund by trading day'!CH7</f>
      </c>
      <c r="CI49" s="8">
        <f>'Fund by trading day'!CI7</f>
      </c>
      <c r="CJ49" s="8">
        <f>'Fund by trading day'!CJ7</f>
      </c>
      <c r="CK49" s="8">
        <f>'Fund by trading day'!CK7</f>
      </c>
      <c r="CL49" s="8">
        <f>'Fund by trading day'!CL7</f>
      </c>
      <c r="CM49" s="8">
        <f>'Fund by trading day'!CM7</f>
      </c>
      <c r="CN49" s="8">
        <f>'Fund by trading day'!CN7</f>
      </c>
      <c r="CO49" s="8">
        <f>'Fund by trading day'!CO7</f>
      </c>
      <c r="CP49" s="8">
        <f>'Fund by trading day'!CP7</f>
      </c>
      <c r="CQ49" s="8">
        <f>'Fund by trading day'!CQ7</f>
      </c>
      <c r="CR49" s="8">
        <f>'Fund by trading day'!CR7</f>
      </c>
      <c r="CS49" s="8">
        <f>'Fund by trading day'!CS7</f>
      </c>
      <c r="CT49" s="8">
        <f>'Fund by trading day'!CT7</f>
      </c>
      <c r="CU49" s="8">
        <f>'Fund by trading day'!CU7</f>
      </c>
      <c r="CV49" s="8">
        <f>'Fund by trading day'!CV7</f>
      </c>
      <c r="CW49" s="8">
        <f>'Fund by trading day'!CW7</f>
      </c>
    </row>
    <row r="50">
      <c r="A50" s="0" t="inlineStr">
        <is>
          <t xml:space="preserve">Random pods: cumulative average, bps</t>
        </is>
      </c>
      <c r="B50" s="8">
        <f>'Fund by trading day'!B8</f>
        <v>0.82685</v>
      </c>
      <c r="C50" s="8">
        <f>'Fund by trading day'!C8</f>
      </c>
      <c r="D50" s="8">
        <f>'Fund by trading day'!D8</f>
      </c>
      <c r="E50" s="8">
        <f>'Fund by trading day'!E8</f>
      </c>
      <c r="F50" s="8">
        <f>'Fund by trading day'!F8</f>
      </c>
      <c r="G50" s="8">
        <f>'Fund by trading day'!G8</f>
      </c>
      <c r="H50" s="8">
        <f>'Fund by trading day'!H8</f>
      </c>
      <c r="I50" s="8">
        <f>'Fund by trading day'!I8</f>
      </c>
      <c r="J50" s="8">
        <f>'Fund by trading day'!J8</f>
      </c>
      <c r="K50" s="8">
        <f>'Fund by trading day'!K8</f>
      </c>
      <c r="L50" s="8">
        <f>'Fund by trading day'!L8</f>
      </c>
      <c r="M50" s="8">
        <f>'Fund by trading day'!M8</f>
      </c>
      <c r="N50" s="8">
        <f>'Fund by trading day'!N8</f>
      </c>
      <c r="O50" s="8">
        <f>'Fund by trading day'!O8</f>
      </c>
      <c r="P50" s="8">
        <f>'Fund by trading day'!P8</f>
      </c>
      <c r="Q50" s="8">
        <f>'Fund by trading day'!Q8</f>
      </c>
      <c r="R50" s="8">
        <f>'Fund by trading day'!R8</f>
      </c>
      <c r="S50" s="8">
        <f>'Fund by trading day'!S8</f>
      </c>
      <c r="T50" s="8">
        <f>'Fund by trading day'!T8</f>
      </c>
      <c r="U50" s="8">
        <f>'Fund by trading day'!U8</f>
      </c>
      <c r="V50" s="8">
        <f>'Fund by trading day'!V8</f>
      </c>
      <c r="W50" s="8">
        <f>'Fund by trading day'!W8</f>
      </c>
      <c r="X50" s="8">
        <f>'Fund by trading day'!X8</f>
      </c>
      <c r="Y50" s="8">
        <f>'Fund by trading day'!Y8</f>
      </c>
      <c r="Z50" s="8">
        <f>'Fund by trading day'!Z8</f>
      </c>
      <c r="AA50" s="8">
        <f>'Fund by trading day'!AA8</f>
      </c>
      <c r="AB50" s="8">
        <f>'Fund by trading day'!AB8</f>
      </c>
      <c r="AC50" s="8">
        <f>'Fund by trading day'!AC8</f>
      </c>
      <c r="AD50" s="8">
        <f>'Fund by trading day'!AD8</f>
      </c>
      <c r="AE50" s="8">
        <f>'Fund by trading day'!AE8</f>
      </c>
      <c r="AF50" s="8">
        <f>'Fund by trading day'!AF8</f>
      </c>
      <c r="AG50" s="8">
        <f>'Fund by trading day'!AG8</f>
      </c>
      <c r="AH50" s="8">
        <f>'Fund by trading day'!AH8</f>
      </c>
      <c r="AI50" s="8">
        <f>'Fund by trading day'!AI8</f>
      </c>
      <c r="AJ50" s="8">
        <f>'Fund by trading day'!AJ8</f>
      </c>
      <c r="AK50" s="8">
        <f>'Fund by trading day'!AK8</f>
      </c>
      <c r="AL50" s="8">
        <f>'Fund by trading day'!AL8</f>
      </c>
      <c r="AM50" s="8">
        <f>'Fund by trading day'!AM8</f>
      </c>
      <c r="AN50" s="8">
        <f>'Fund by trading day'!AN8</f>
      </c>
      <c r="AO50" s="8">
        <f>'Fund by trading day'!AO8</f>
      </c>
      <c r="AP50" s="8">
        <f>'Fund by trading day'!AP8</f>
      </c>
      <c r="AQ50" s="8">
        <f>'Fund by trading day'!AQ8</f>
      </c>
      <c r="AR50" s="8">
        <f>'Fund by trading day'!AR8</f>
      </c>
      <c r="AS50" s="8">
        <f>'Fund by trading day'!AS8</f>
      </c>
      <c r="AT50" s="8">
        <f>'Fund by trading day'!AT8</f>
      </c>
      <c r="AU50" s="8">
        <f>'Fund by trading day'!AU8</f>
      </c>
      <c r="AV50" s="8">
        <f>'Fund by trading day'!AV8</f>
      </c>
      <c r="AW50" s="8">
        <f>'Fund by trading day'!AW8</f>
      </c>
      <c r="AX50" s="8">
        <f>'Fund by trading day'!AX8</f>
      </c>
      <c r="AY50" s="8">
        <f>'Fund by trading day'!AY8</f>
      </c>
      <c r="AZ50" s="8">
        <f>'Fund by trading day'!AZ8</f>
      </c>
      <c r="BA50" s="8">
        <f>'Fund by trading day'!BA8</f>
      </c>
      <c r="BB50" s="8">
        <f>'Fund by trading day'!BB8</f>
      </c>
      <c r="BC50" s="8">
        <f>'Fund by trading day'!BC8</f>
      </c>
      <c r="BD50" s="8">
        <f>'Fund by trading day'!BD8</f>
      </c>
      <c r="BE50" s="8">
        <f>'Fund by trading day'!BE8</f>
      </c>
      <c r="BF50" s="8">
        <f>'Fund by trading day'!BF8</f>
      </c>
      <c r="BG50" s="8">
        <f>'Fund by trading day'!BG8</f>
      </c>
      <c r="BH50" s="8">
        <f>'Fund by trading day'!BH8</f>
      </c>
      <c r="BI50" s="8">
        <f>'Fund by trading day'!BI8</f>
      </c>
      <c r="BJ50" s="8">
        <f>'Fund by trading day'!BJ8</f>
      </c>
      <c r="BK50" s="8">
        <f>'Fund by trading day'!BK8</f>
      </c>
      <c r="BL50" s="8">
        <f>'Fund by trading day'!BL8</f>
      </c>
      <c r="BM50" s="8">
        <f>'Fund by trading day'!BM8</f>
      </c>
      <c r="BN50" s="8">
        <f>'Fund by trading day'!BN8</f>
      </c>
      <c r="BO50" s="8">
        <f>'Fund by trading day'!BO8</f>
      </c>
      <c r="BP50" s="8">
        <f>'Fund by trading day'!BP8</f>
      </c>
      <c r="BQ50" s="8">
        <f>'Fund by trading day'!BQ8</f>
      </c>
      <c r="BR50" s="8">
        <f>'Fund by trading day'!BR8</f>
      </c>
      <c r="BS50" s="8">
        <f>'Fund by trading day'!BS8</f>
      </c>
      <c r="BT50" s="8">
        <f>'Fund by trading day'!BT8</f>
      </c>
      <c r="BU50" s="8">
        <f>'Fund by trading day'!BU8</f>
      </c>
      <c r="BV50" s="8">
        <f>'Fund by trading day'!BV8</f>
      </c>
      <c r="BW50" s="8">
        <f>'Fund by trading day'!BW8</f>
      </c>
      <c r="BX50" s="8">
        <f>'Fund by trading day'!BX8</f>
      </c>
      <c r="BY50" s="8">
        <f>'Fund by trading day'!BY8</f>
      </c>
      <c r="BZ50" s="8">
        <f>'Fund by trading day'!BZ8</f>
      </c>
      <c r="CA50" s="8">
        <f>'Fund by trading day'!CA8</f>
      </c>
      <c r="CB50" s="8">
        <f>'Fund by trading day'!CB8</f>
      </c>
      <c r="CC50" s="8">
        <f>'Fund by trading day'!CC8</f>
      </c>
      <c r="CD50" s="8">
        <f>'Fund by trading day'!CD8</f>
      </c>
      <c r="CE50" s="8">
        <f>'Fund by trading day'!CE8</f>
      </c>
      <c r="CF50" s="8">
        <f>'Fund by trading day'!CF8</f>
      </c>
      <c r="CG50" s="8">
        <f>'Fund by trading day'!CG8</f>
      </c>
      <c r="CH50" s="8">
        <f>'Fund by trading day'!CH8</f>
      </c>
      <c r="CI50" s="8">
        <f>'Fund by trading day'!CI8</f>
      </c>
      <c r="CJ50" s="8">
        <f>'Fund by trading day'!CJ8</f>
      </c>
      <c r="CK50" s="8">
        <f>'Fund by trading day'!CK8</f>
      </c>
      <c r="CL50" s="8">
        <f>'Fund by trading day'!CL8</f>
      </c>
      <c r="CM50" s="8">
        <f>'Fund by trading day'!CM8</f>
      </c>
      <c r="CN50" s="8">
        <f>'Fund by trading day'!CN8</f>
      </c>
      <c r="CO50" s="8">
        <f>'Fund by trading day'!CO8</f>
      </c>
      <c r="CP50" s="8">
        <f>'Fund by trading day'!CP8</f>
      </c>
      <c r="CQ50" s="8">
        <f>'Fund by trading day'!CQ8</f>
      </c>
      <c r="CR50" s="8">
        <f>'Fund by trading day'!CR8</f>
      </c>
      <c r="CS50" s="8">
        <f>'Fund by trading day'!CS8</f>
      </c>
      <c r="CT50" s="8">
        <f>'Fund by trading day'!CT8</f>
      </c>
      <c r="CU50" s="8">
        <f>'Fund by trading day'!CU8</f>
      </c>
      <c r="CV50" s="8">
        <f>'Fund by trading day'!CV8</f>
      </c>
      <c r="CW50" s="8">
        <f>'Fund by trading day'!CW8</f>
      </c>
    </row>
    <row r="69">
      <c r="A69" s="1" t="inlineStr">
        <is>
          <t xml:space="preserve">Daily average excess: LLM pods vs random (bps)</t>
        </is>
      </c>
    </row>
    <row r="70">
      <c r="A70" s="1" t="inlineStr">
        <is>
          <t xml:space="preserve">line</t>
        </is>
      </c>
      <c r="B70" s="1" t="inlineStr">
        <is>
          <t xml:space="preserve">09-22</t>
        </is>
      </c>
      <c r="C70" s="1" t="inlineStr">
        <is>
          <t xml:space="preserve">09-23</t>
        </is>
      </c>
      <c r="D70" s="1" t="inlineStr">
        <is>
          <t xml:space="preserve">09-24</t>
        </is>
      </c>
      <c r="E70" s="1" t="inlineStr">
        <is>
          <t xml:space="preserve">09-25</t>
        </is>
      </c>
      <c r="F70" s="1" t="inlineStr">
        <is>
          <t xml:space="preserve">09-28</t>
        </is>
      </c>
      <c r="G70" s="1" t="inlineStr">
        <is>
          <t xml:space="preserve">09-29</t>
        </is>
      </c>
      <c r="H70" s="1" t="inlineStr">
        <is>
          <t xml:space="preserve">09-30</t>
        </is>
      </c>
      <c r="I70" s="1" t="inlineStr">
        <is>
          <t xml:space="preserve">10-01</t>
        </is>
      </c>
      <c r="J70" s="1" t="inlineStr">
        <is>
          <t xml:space="preserve">10-02</t>
        </is>
      </c>
      <c r="K70" s="1" t="inlineStr">
        <is>
          <t xml:space="preserve">10-05</t>
        </is>
      </c>
      <c r="L70" s="1" t="inlineStr">
        <is>
          <t xml:space="preserve">10-06</t>
        </is>
      </c>
      <c r="M70" s="1" t="inlineStr">
        <is>
          <t xml:space="preserve">10-07</t>
        </is>
      </c>
      <c r="N70" s="1" t="inlineStr">
        <is>
          <t xml:space="preserve">10-08</t>
        </is>
      </c>
      <c r="O70" s="1" t="inlineStr">
        <is>
          <t xml:space="preserve">10-09</t>
        </is>
      </c>
      <c r="P70" s="1" t="inlineStr">
        <is>
          <t xml:space="preserve">10-12</t>
        </is>
      </c>
      <c r="Q70" s="1" t="inlineStr">
        <is>
          <t xml:space="preserve">10-13</t>
        </is>
      </c>
      <c r="R70" s="1" t="inlineStr">
        <is>
          <t xml:space="preserve">10-14</t>
        </is>
      </c>
      <c r="S70" s="1" t="inlineStr">
        <is>
          <t xml:space="preserve">10-15</t>
        </is>
      </c>
      <c r="T70" s="1" t="inlineStr">
        <is>
          <t xml:space="preserve">10-16</t>
        </is>
      </c>
      <c r="U70" s="1" t="inlineStr">
        <is>
          <t xml:space="preserve">10-19</t>
        </is>
      </c>
      <c r="V70" s="1" t="inlineStr">
        <is>
          <t xml:space="preserve">10-20</t>
        </is>
      </c>
      <c r="W70" s="1" t="inlineStr">
        <is>
          <t xml:space="preserve">10-21</t>
        </is>
      </c>
      <c r="X70" s="1" t="inlineStr">
        <is>
          <t xml:space="preserve">10-22</t>
        </is>
      </c>
      <c r="Y70" s="1" t="inlineStr">
        <is>
          <t xml:space="preserve">10-23</t>
        </is>
      </c>
      <c r="Z70" s="1" t="inlineStr">
        <is>
          <t xml:space="preserve">10-26</t>
        </is>
      </c>
      <c r="AA70" s="1" t="inlineStr">
        <is>
          <t xml:space="preserve">10-27</t>
        </is>
      </c>
      <c r="AB70" s="1" t="inlineStr">
        <is>
          <t xml:space="preserve">10-28</t>
        </is>
      </c>
      <c r="AC70" s="1" t="inlineStr">
        <is>
          <t xml:space="preserve">10-29</t>
        </is>
      </c>
      <c r="AD70" s="1" t="inlineStr">
        <is>
          <t xml:space="preserve">10-30</t>
        </is>
      </c>
      <c r="AE70" s="1" t="inlineStr">
        <is>
          <t xml:space="preserve">11-02</t>
        </is>
      </c>
      <c r="AF70" s="1" t="inlineStr">
        <is>
          <t xml:space="preserve">11-03</t>
        </is>
      </c>
      <c r="AG70" s="1" t="inlineStr">
        <is>
          <t xml:space="preserve">11-04</t>
        </is>
      </c>
      <c r="AH70" s="1" t="inlineStr">
        <is>
          <t xml:space="preserve">11-05</t>
        </is>
      </c>
      <c r="AI70" s="1" t="inlineStr">
        <is>
          <t xml:space="preserve">11-06</t>
        </is>
      </c>
      <c r="AJ70" s="1" t="inlineStr">
        <is>
          <t xml:space="preserve">11-09</t>
        </is>
      </c>
      <c r="AK70" s="1" t="inlineStr">
        <is>
          <t xml:space="preserve">11-10</t>
        </is>
      </c>
      <c r="AL70" s="1" t="inlineStr">
        <is>
          <t xml:space="preserve">11-11</t>
        </is>
      </c>
      <c r="AM70" s="1" t="inlineStr">
        <is>
          <t xml:space="preserve">11-12</t>
        </is>
      </c>
      <c r="AN70" s="1" t="inlineStr">
        <is>
          <t xml:space="preserve">11-13</t>
        </is>
      </c>
      <c r="AO70" s="1" t="inlineStr">
        <is>
          <t xml:space="preserve">11-16</t>
        </is>
      </c>
      <c r="AP70" s="1" t="inlineStr">
        <is>
          <t xml:space="preserve">11-17</t>
        </is>
      </c>
      <c r="AQ70" s="1" t="inlineStr">
        <is>
          <t xml:space="preserve">11-18</t>
        </is>
      </c>
      <c r="AR70" s="1" t="inlineStr">
        <is>
          <t xml:space="preserve">11-19</t>
        </is>
      </c>
      <c r="AS70" s="1" t="inlineStr">
        <is>
          <t xml:space="preserve">11-20</t>
        </is>
      </c>
      <c r="AT70" s="1" t="inlineStr">
        <is>
          <t xml:space="preserve">11-23</t>
        </is>
      </c>
      <c r="AU70" s="1" t="inlineStr">
        <is>
          <t xml:space="preserve">11-24</t>
        </is>
      </c>
      <c r="AV70" s="1" t="inlineStr">
        <is>
          <t xml:space="preserve">11-25</t>
        </is>
      </c>
      <c r="AW70" s="1" t="inlineStr">
        <is>
          <t xml:space="preserve">11-27</t>
        </is>
      </c>
      <c r="AX70" s="1" t="inlineStr">
        <is>
          <t xml:space="preserve">11-30</t>
        </is>
      </c>
      <c r="AY70" s="1" t="inlineStr">
        <is>
          <t xml:space="preserve">12-01</t>
        </is>
      </c>
      <c r="AZ70" s="1" t="inlineStr">
        <is>
          <t xml:space="preserve">12-02</t>
        </is>
      </c>
      <c r="BA70" s="1" t="inlineStr">
        <is>
          <t xml:space="preserve">12-03</t>
        </is>
      </c>
      <c r="BB70" s="1" t="inlineStr">
        <is>
          <t xml:space="preserve">12-04</t>
        </is>
      </c>
      <c r="BC70" s="1" t="inlineStr">
        <is>
          <t xml:space="preserve">12-07</t>
        </is>
      </c>
      <c r="BD70" s="1" t="inlineStr">
        <is>
          <t xml:space="preserve">12-08</t>
        </is>
      </c>
      <c r="BE70" s="1" t="inlineStr">
        <is>
          <t xml:space="preserve">12-09</t>
        </is>
      </c>
      <c r="BF70" s="1" t="inlineStr">
        <is>
          <t xml:space="preserve">12-10</t>
        </is>
      </c>
      <c r="BG70" s="1" t="inlineStr">
        <is>
          <t xml:space="preserve">12-11</t>
        </is>
      </c>
      <c r="BH70" s="1" t="inlineStr">
        <is>
          <t xml:space="preserve">12-14</t>
        </is>
      </c>
      <c r="BI70" s="1" t="inlineStr">
        <is>
          <t xml:space="preserve">12-15</t>
        </is>
      </c>
      <c r="BJ70" s="1" t="inlineStr">
        <is>
          <t xml:space="preserve">12-16</t>
        </is>
      </c>
      <c r="BK70" s="1" t="inlineStr">
        <is>
          <t xml:space="preserve">12-17</t>
        </is>
      </c>
      <c r="BL70" s="1" t="inlineStr">
        <is>
          <t xml:space="preserve">12-18</t>
        </is>
      </c>
      <c r="BM70" s="1" t="inlineStr">
        <is>
          <t xml:space="preserve">12-21</t>
        </is>
      </c>
      <c r="BN70" s="1" t="inlineStr">
        <is>
          <t xml:space="preserve">12-22</t>
        </is>
      </c>
      <c r="BO70" s="1" t="inlineStr">
        <is>
          <t xml:space="preserve">12-23</t>
        </is>
      </c>
      <c r="BP70" s="1" t="inlineStr">
        <is>
          <t xml:space="preserve">12-24</t>
        </is>
      </c>
      <c r="BQ70" s="1" t="inlineStr">
        <is>
          <t xml:space="preserve">12-28</t>
        </is>
      </c>
      <c r="BR70" s="1" t="inlineStr">
        <is>
          <t xml:space="preserve">12-29</t>
        </is>
      </c>
      <c r="BS70" s="1" t="inlineStr">
        <is>
          <t xml:space="preserve">12-30</t>
        </is>
      </c>
      <c r="BT70" s="1" t="inlineStr">
        <is>
          <t xml:space="preserve">12-31</t>
        </is>
      </c>
      <c r="BU70" s="1" t="inlineStr">
        <is>
          <t xml:space="preserve">01-04</t>
        </is>
      </c>
      <c r="BV70" s="1" t="inlineStr">
        <is>
          <t xml:space="preserve">01-05</t>
        </is>
      </c>
      <c r="BW70" s="1" t="inlineStr">
        <is>
          <t xml:space="preserve">01-06</t>
        </is>
      </c>
      <c r="BX70" s="1" t="inlineStr">
        <is>
          <t xml:space="preserve">01-07</t>
        </is>
      </c>
      <c r="BY70" s="1" t="inlineStr">
        <is>
          <t xml:space="preserve">01-08</t>
        </is>
      </c>
      <c r="BZ70" s="1" t="inlineStr">
        <is>
          <t xml:space="preserve">01-11</t>
        </is>
      </c>
      <c r="CA70" s="1" t="inlineStr">
        <is>
          <t xml:space="preserve">01-12</t>
        </is>
      </c>
      <c r="CB70" s="1" t="inlineStr">
        <is>
          <t xml:space="preserve">01-13</t>
        </is>
      </c>
      <c r="CC70" s="1" t="inlineStr">
        <is>
          <t xml:space="preserve">01-14</t>
        </is>
      </c>
      <c r="CD70" s="1" t="inlineStr">
        <is>
          <t xml:space="preserve">01-15</t>
        </is>
      </c>
      <c r="CE70" s="1" t="inlineStr">
        <is>
          <t xml:space="preserve">01-19</t>
        </is>
      </c>
      <c r="CF70" s="1" t="inlineStr">
        <is>
          <t xml:space="preserve">01-20</t>
        </is>
      </c>
      <c r="CG70" s="1" t="inlineStr">
        <is>
          <t xml:space="preserve">01-21</t>
        </is>
      </c>
      <c r="CH70" s="1" t="inlineStr">
        <is>
          <t xml:space="preserve">01-22</t>
        </is>
      </c>
      <c r="CI70" s="1" t="inlineStr">
        <is>
          <t xml:space="preserve">01-25</t>
        </is>
      </c>
      <c r="CJ70" s="1" t="inlineStr">
        <is>
          <t xml:space="preserve">01-26</t>
        </is>
      </c>
      <c r="CK70" s="1" t="inlineStr">
        <is>
          <t xml:space="preserve">01-27</t>
        </is>
      </c>
      <c r="CL70" s="1" t="inlineStr">
        <is>
          <t xml:space="preserve">01-28</t>
        </is>
      </c>
      <c r="CM70" s="1" t="inlineStr">
        <is>
          <t xml:space="preserve">01-29</t>
        </is>
      </c>
      <c r="CN70" s="1" t="inlineStr">
        <is>
          <t xml:space="preserve">02-01</t>
        </is>
      </c>
      <c r="CO70" s="1" t="inlineStr">
        <is>
          <t xml:space="preserve">02-02</t>
        </is>
      </c>
      <c r="CP70" s="1" t="inlineStr">
        <is>
          <t xml:space="preserve">02-03</t>
        </is>
      </c>
      <c r="CQ70" s="1" t="inlineStr">
        <is>
          <t xml:space="preserve">02-04</t>
        </is>
      </c>
      <c r="CR70" s="1" t="inlineStr">
        <is>
          <t xml:space="preserve">02-05</t>
        </is>
      </c>
      <c r="CS70" s="1" t="inlineStr">
        <is>
          <t xml:space="preserve">02-08</t>
        </is>
      </c>
      <c r="CT70" s="1" t="inlineStr">
        <is>
          <t xml:space="preserve">02-09</t>
        </is>
      </c>
      <c r="CU70" s="1" t="inlineStr">
        <is>
          <t xml:space="preserve">02-10</t>
        </is>
      </c>
      <c r="CV70" s="1" t="inlineStr">
        <is>
          <t xml:space="preserve">02-11</t>
        </is>
      </c>
      <c r="CW70" s="1" t="inlineStr">
        <is>
          <t xml:space="preserve">02-12</t>
        </is>
      </c>
    </row>
    <row r="71">
      <c r="A71" s="0" t="inlineStr">
        <is>
          <t xml:space="preserve">LLM pods: average excess, bps</t>
        </is>
      </c>
      <c r="B71" s="8">
        <f>'Fund by trading day'!B2</f>
        <v>1.3032000000000004</v>
      </c>
      <c r="C71" s="8">
        <f>'Fund by trading day'!C2</f>
      </c>
      <c r="D71" s="8">
        <f>'Fund by trading day'!D2</f>
      </c>
      <c r="E71" s="8">
        <f>'Fund by trading day'!E2</f>
      </c>
      <c r="F71" s="8">
        <f>'Fund by trading day'!F2</f>
      </c>
      <c r="G71" s="8">
        <f>'Fund by trading day'!G2</f>
      </c>
      <c r="H71" s="8">
        <f>'Fund by trading day'!H2</f>
      </c>
      <c r="I71" s="8">
        <f>'Fund by trading day'!I2</f>
      </c>
      <c r="J71" s="8">
        <f>'Fund by trading day'!J2</f>
      </c>
      <c r="K71" s="8">
        <f>'Fund by trading day'!K2</f>
      </c>
      <c r="L71" s="8">
        <f>'Fund by trading day'!L2</f>
      </c>
      <c r="M71" s="8">
        <f>'Fund by trading day'!M2</f>
      </c>
      <c r="N71" s="8">
        <f>'Fund by trading day'!N2</f>
      </c>
      <c r="O71" s="8">
        <f>'Fund by trading day'!O2</f>
      </c>
      <c r="P71" s="8">
        <f>'Fund by trading day'!P2</f>
      </c>
      <c r="Q71" s="8">
        <f>'Fund by trading day'!Q2</f>
      </c>
      <c r="R71" s="8">
        <f>'Fund by trading day'!R2</f>
      </c>
      <c r="S71" s="8">
        <f>'Fund by trading day'!S2</f>
      </c>
      <c r="T71" s="8">
        <f>'Fund by trading day'!T2</f>
      </c>
      <c r="U71" s="8">
        <f>'Fund by trading day'!U2</f>
      </c>
      <c r="V71" s="8">
        <f>'Fund by trading day'!V2</f>
      </c>
      <c r="W71" s="8">
        <f>'Fund by trading day'!W2</f>
      </c>
      <c r="X71" s="8">
        <f>'Fund by trading day'!X2</f>
      </c>
      <c r="Y71" s="8">
        <f>'Fund by trading day'!Y2</f>
      </c>
      <c r="Z71" s="8">
        <f>'Fund by trading day'!Z2</f>
      </c>
      <c r="AA71" s="8">
        <f>'Fund by trading day'!AA2</f>
      </c>
      <c r="AB71" s="8">
        <f>'Fund by trading day'!AB2</f>
      </c>
      <c r="AC71" s="8">
        <f>'Fund by trading day'!AC2</f>
      </c>
      <c r="AD71" s="8">
        <f>'Fund by trading day'!AD2</f>
      </c>
      <c r="AE71" s="8">
        <f>'Fund by trading day'!AE2</f>
      </c>
      <c r="AF71" s="8">
        <f>'Fund by trading day'!AF2</f>
      </c>
      <c r="AG71" s="8">
        <f>'Fund by trading day'!AG2</f>
      </c>
      <c r="AH71" s="8">
        <f>'Fund by trading day'!AH2</f>
      </c>
      <c r="AI71" s="8">
        <f>'Fund by trading day'!AI2</f>
      </c>
      <c r="AJ71" s="8">
        <f>'Fund by trading day'!AJ2</f>
      </c>
      <c r="AK71" s="8">
        <f>'Fund by trading day'!AK2</f>
      </c>
      <c r="AL71" s="8">
        <f>'Fund by trading day'!AL2</f>
      </c>
      <c r="AM71" s="8">
        <f>'Fund by trading day'!AM2</f>
      </c>
      <c r="AN71" s="8">
        <f>'Fund by trading day'!AN2</f>
      </c>
      <c r="AO71" s="8">
        <f>'Fund by trading day'!AO2</f>
      </c>
      <c r="AP71" s="8">
        <f>'Fund by trading day'!AP2</f>
      </c>
      <c r="AQ71" s="8">
        <f>'Fund by trading day'!AQ2</f>
      </c>
      <c r="AR71" s="8">
        <f>'Fund by trading day'!AR2</f>
      </c>
      <c r="AS71" s="8">
        <f>'Fund by trading day'!AS2</f>
      </c>
      <c r="AT71" s="8">
        <f>'Fund by trading day'!AT2</f>
      </c>
      <c r="AU71" s="8">
        <f>'Fund by trading day'!AU2</f>
      </c>
      <c r="AV71" s="8">
        <f>'Fund by trading day'!AV2</f>
      </c>
      <c r="AW71" s="8">
        <f>'Fund by trading day'!AW2</f>
      </c>
      <c r="AX71" s="8">
        <f>'Fund by trading day'!AX2</f>
      </c>
      <c r="AY71" s="8">
        <f>'Fund by trading day'!AY2</f>
      </c>
      <c r="AZ71" s="8">
        <f>'Fund by trading day'!AZ2</f>
      </c>
      <c r="BA71" s="8">
        <f>'Fund by trading day'!BA2</f>
      </c>
      <c r="BB71" s="8">
        <f>'Fund by trading day'!BB2</f>
      </c>
      <c r="BC71" s="8">
        <f>'Fund by trading day'!BC2</f>
      </c>
      <c r="BD71" s="8">
        <f>'Fund by trading day'!BD2</f>
      </c>
      <c r="BE71" s="8">
        <f>'Fund by trading day'!BE2</f>
      </c>
      <c r="BF71" s="8">
        <f>'Fund by trading day'!BF2</f>
      </c>
      <c r="BG71" s="8">
        <f>'Fund by trading day'!BG2</f>
      </c>
      <c r="BH71" s="8">
        <f>'Fund by trading day'!BH2</f>
      </c>
      <c r="BI71" s="8">
        <f>'Fund by trading day'!BI2</f>
      </c>
      <c r="BJ71" s="8">
        <f>'Fund by trading day'!BJ2</f>
      </c>
      <c r="BK71" s="8">
        <f>'Fund by trading day'!BK2</f>
      </c>
      <c r="BL71" s="8">
        <f>'Fund by trading day'!BL2</f>
      </c>
      <c r="BM71" s="8">
        <f>'Fund by trading day'!BM2</f>
      </c>
      <c r="BN71" s="8">
        <f>'Fund by trading day'!BN2</f>
      </c>
      <c r="BO71" s="8">
        <f>'Fund by trading day'!BO2</f>
      </c>
      <c r="BP71" s="8">
        <f>'Fund by trading day'!BP2</f>
      </c>
      <c r="BQ71" s="8">
        <f>'Fund by trading day'!BQ2</f>
      </c>
      <c r="BR71" s="8">
        <f>'Fund by trading day'!BR2</f>
      </c>
      <c r="BS71" s="8">
        <f>'Fund by trading day'!BS2</f>
      </c>
      <c r="BT71" s="8">
        <f>'Fund by trading day'!BT2</f>
      </c>
      <c r="BU71" s="8">
        <f>'Fund by trading day'!BU2</f>
      </c>
      <c r="BV71" s="8">
        <f>'Fund by trading day'!BV2</f>
      </c>
      <c r="BW71" s="8">
        <f>'Fund by trading day'!BW2</f>
      </c>
      <c r="BX71" s="8">
        <f>'Fund by trading day'!BX2</f>
      </c>
      <c r="BY71" s="8">
        <f>'Fund by trading day'!BY2</f>
      </c>
      <c r="BZ71" s="8">
        <f>'Fund by trading day'!BZ2</f>
      </c>
      <c r="CA71" s="8">
        <f>'Fund by trading day'!CA2</f>
      </c>
      <c r="CB71" s="8">
        <f>'Fund by trading day'!CB2</f>
      </c>
      <c r="CC71" s="8">
        <f>'Fund by trading day'!CC2</f>
      </c>
      <c r="CD71" s="8">
        <f>'Fund by trading day'!CD2</f>
      </c>
      <c r="CE71" s="8">
        <f>'Fund by trading day'!CE2</f>
      </c>
      <c r="CF71" s="8">
        <f>'Fund by trading day'!CF2</f>
      </c>
      <c r="CG71" s="8">
        <f>'Fund by trading day'!CG2</f>
      </c>
      <c r="CH71" s="8">
        <f>'Fund by trading day'!CH2</f>
      </c>
      <c r="CI71" s="8">
        <f>'Fund by trading day'!CI2</f>
      </c>
      <c r="CJ71" s="8">
        <f>'Fund by trading day'!CJ2</f>
      </c>
      <c r="CK71" s="8">
        <f>'Fund by trading day'!CK2</f>
      </c>
      <c r="CL71" s="8">
        <f>'Fund by trading day'!CL2</f>
      </c>
      <c r="CM71" s="8">
        <f>'Fund by trading day'!CM2</f>
      </c>
      <c r="CN71" s="8">
        <f>'Fund by trading day'!CN2</f>
      </c>
      <c r="CO71" s="8">
        <f>'Fund by trading day'!CO2</f>
      </c>
      <c r="CP71" s="8">
        <f>'Fund by trading day'!CP2</f>
      </c>
      <c r="CQ71" s="8">
        <f>'Fund by trading day'!CQ2</f>
      </c>
      <c r="CR71" s="8">
        <f>'Fund by trading day'!CR2</f>
      </c>
      <c r="CS71" s="8">
        <f>'Fund by trading day'!CS2</f>
      </c>
      <c r="CT71" s="8">
        <f>'Fund by trading day'!CT2</f>
      </c>
      <c r="CU71" s="8">
        <f>'Fund by trading day'!CU2</f>
      </c>
      <c r="CV71" s="8">
        <f>'Fund by trading day'!CV2</f>
      </c>
      <c r="CW71" s="8">
        <f>'Fund by trading day'!CW2</f>
      </c>
    </row>
    <row r="72">
      <c r="A72" s="0" t="inlineStr">
        <is>
          <t xml:space="preserve">Random pods: average, bps</t>
        </is>
      </c>
      <c r="B72" s="8">
        <f>'Fund by trading day'!B5</f>
        <v>0.82685</v>
      </c>
      <c r="C72" s="8">
        <f>'Fund by trading day'!C5</f>
      </c>
      <c r="D72" s="8">
        <f>'Fund by trading day'!D5</f>
      </c>
      <c r="E72" s="8">
        <f>'Fund by trading day'!E5</f>
      </c>
      <c r="F72" s="8">
        <f>'Fund by trading day'!F5</f>
      </c>
      <c r="G72" s="8">
        <f>'Fund by trading day'!G5</f>
      </c>
      <c r="H72" s="8">
        <f>'Fund by trading day'!H5</f>
      </c>
      <c r="I72" s="8">
        <f>'Fund by trading day'!I5</f>
      </c>
      <c r="J72" s="8">
        <f>'Fund by trading day'!J5</f>
      </c>
      <c r="K72" s="8">
        <f>'Fund by trading day'!K5</f>
      </c>
      <c r="L72" s="8">
        <f>'Fund by trading day'!L5</f>
      </c>
      <c r="M72" s="8">
        <f>'Fund by trading day'!M5</f>
      </c>
      <c r="N72" s="8">
        <f>'Fund by trading day'!N5</f>
      </c>
      <c r="O72" s="8">
        <f>'Fund by trading day'!O5</f>
      </c>
      <c r="P72" s="8">
        <f>'Fund by trading day'!P5</f>
      </c>
      <c r="Q72" s="8">
        <f>'Fund by trading day'!Q5</f>
      </c>
      <c r="R72" s="8">
        <f>'Fund by trading day'!R5</f>
      </c>
      <c r="S72" s="8">
        <f>'Fund by trading day'!S5</f>
      </c>
      <c r="T72" s="8">
        <f>'Fund by trading day'!T5</f>
      </c>
      <c r="U72" s="8">
        <f>'Fund by trading day'!U5</f>
      </c>
      <c r="V72" s="8">
        <f>'Fund by trading day'!V5</f>
      </c>
      <c r="W72" s="8">
        <f>'Fund by trading day'!W5</f>
      </c>
      <c r="X72" s="8">
        <f>'Fund by trading day'!X5</f>
      </c>
      <c r="Y72" s="8">
        <f>'Fund by trading day'!Y5</f>
      </c>
      <c r="Z72" s="8">
        <f>'Fund by trading day'!Z5</f>
      </c>
      <c r="AA72" s="8">
        <f>'Fund by trading day'!AA5</f>
      </c>
      <c r="AB72" s="8">
        <f>'Fund by trading day'!AB5</f>
      </c>
      <c r="AC72" s="8">
        <f>'Fund by trading day'!AC5</f>
      </c>
      <c r="AD72" s="8">
        <f>'Fund by trading day'!AD5</f>
      </c>
      <c r="AE72" s="8">
        <f>'Fund by trading day'!AE5</f>
      </c>
      <c r="AF72" s="8">
        <f>'Fund by trading day'!AF5</f>
      </c>
      <c r="AG72" s="8">
        <f>'Fund by trading day'!AG5</f>
      </c>
      <c r="AH72" s="8">
        <f>'Fund by trading day'!AH5</f>
      </c>
      <c r="AI72" s="8">
        <f>'Fund by trading day'!AI5</f>
      </c>
      <c r="AJ72" s="8">
        <f>'Fund by trading day'!AJ5</f>
      </c>
      <c r="AK72" s="8">
        <f>'Fund by trading day'!AK5</f>
      </c>
      <c r="AL72" s="8">
        <f>'Fund by trading day'!AL5</f>
      </c>
      <c r="AM72" s="8">
        <f>'Fund by trading day'!AM5</f>
      </c>
      <c r="AN72" s="8">
        <f>'Fund by trading day'!AN5</f>
      </c>
      <c r="AO72" s="8">
        <f>'Fund by trading day'!AO5</f>
      </c>
      <c r="AP72" s="8">
        <f>'Fund by trading day'!AP5</f>
      </c>
      <c r="AQ72" s="8">
        <f>'Fund by trading day'!AQ5</f>
      </c>
      <c r="AR72" s="8">
        <f>'Fund by trading day'!AR5</f>
      </c>
      <c r="AS72" s="8">
        <f>'Fund by trading day'!AS5</f>
      </c>
      <c r="AT72" s="8">
        <f>'Fund by trading day'!AT5</f>
      </c>
      <c r="AU72" s="8">
        <f>'Fund by trading day'!AU5</f>
      </c>
      <c r="AV72" s="8">
        <f>'Fund by trading day'!AV5</f>
      </c>
      <c r="AW72" s="8">
        <f>'Fund by trading day'!AW5</f>
      </c>
      <c r="AX72" s="8">
        <f>'Fund by trading day'!AX5</f>
      </c>
      <c r="AY72" s="8">
        <f>'Fund by trading day'!AY5</f>
      </c>
      <c r="AZ72" s="8">
        <f>'Fund by trading day'!AZ5</f>
      </c>
      <c r="BA72" s="8">
        <f>'Fund by trading day'!BA5</f>
      </c>
      <c r="BB72" s="8">
        <f>'Fund by trading day'!BB5</f>
      </c>
      <c r="BC72" s="8">
        <f>'Fund by trading day'!BC5</f>
      </c>
      <c r="BD72" s="8">
        <f>'Fund by trading day'!BD5</f>
      </c>
      <c r="BE72" s="8">
        <f>'Fund by trading day'!BE5</f>
      </c>
      <c r="BF72" s="8">
        <f>'Fund by trading day'!BF5</f>
      </c>
      <c r="BG72" s="8">
        <f>'Fund by trading day'!BG5</f>
      </c>
      <c r="BH72" s="8">
        <f>'Fund by trading day'!BH5</f>
      </c>
      <c r="BI72" s="8">
        <f>'Fund by trading day'!BI5</f>
      </c>
      <c r="BJ72" s="8">
        <f>'Fund by trading day'!BJ5</f>
      </c>
      <c r="BK72" s="8">
        <f>'Fund by trading day'!BK5</f>
      </c>
      <c r="BL72" s="8">
        <f>'Fund by trading day'!BL5</f>
      </c>
      <c r="BM72" s="8">
        <f>'Fund by trading day'!BM5</f>
      </c>
      <c r="BN72" s="8">
        <f>'Fund by trading day'!BN5</f>
      </c>
      <c r="BO72" s="8">
        <f>'Fund by trading day'!BO5</f>
      </c>
      <c r="BP72" s="8">
        <f>'Fund by trading day'!BP5</f>
      </c>
      <c r="BQ72" s="8">
        <f>'Fund by trading day'!BQ5</f>
      </c>
      <c r="BR72" s="8">
        <f>'Fund by trading day'!BR5</f>
      </c>
      <c r="BS72" s="8">
        <f>'Fund by trading day'!BS5</f>
      </c>
      <c r="BT72" s="8">
        <f>'Fund by trading day'!BT5</f>
      </c>
      <c r="BU72" s="8">
        <f>'Fund by trading day'!BU5</f>
      </c>
      <c r="BV72" s="8">
        <f>'Fund by trading day'!BV5</f>
      </c>
      <c r="BW72" s="8">
        <f>'Fund by trading day'!BW5</f>
      </c>
      <c r="BX72" s="8">
        <f>'Fund by trading day'!BX5</f>
      </c>
      <c r="BY72" s="8">
        <f>'Fund by trading day'!BY5</f>
      </c>
      <c r="BZ72" s="8">
        <f>'Fund by trading day'!BZ5</f>
      </c>
      <c r="CA72" s="8">
        <f>'Fund by trading day'!CA5</f>
      </c>
      <c r="CB72" s="8">
        <f>'Fund by trading day'!CB5</f>
      </c>
      <c r="CC72" s="8">
        <f>'Fund by trading day'!CC5</f>
      </c>
      <c r="CD72" s="8">
        <f>'Fund by trading day'!CD5</f>
      </c>
      <c r="CE72" s="8">
        <f>'Fund by trading day'!CE5</f>
      </c>
      <c r="CF72" s="8">
        <f>'Fund by trading day'!CF5</f>
      </c>
      <c r="CG72" s="8">
        <f>'Fund by trading day'!CG5</f>
      </c>
      <c r="CH72" s="8">
        <f>'Fund by trading day'!CH5</f>
      </c>
      <c r="CI72" s="8">
        <f>'Fund by trading day'!CI5</f>
      </c>
      <c r="CJ72" s="8">
        <f>'Fund by trading day'!CJ5</f>
      </c>
      <c r="CK72" s="8">
        <f>'Fund by trading day'!CK5</f>
      </c>
      <c r="CL72" s="8">
        <f>'Fund by trading day'!CL5</f>
      </c>
      <c r="CM72" s="8">
        <f>'Fund by trading day'!CM5</f>
      </c>
      <c r="CN72" s="8">
        <f>'Fund by trading day'!CN5</f>
      </c>
      <c r="CO72" s="8">
        <f>'Fund by trading day'!CO5</f>
      </c>
      <c r="CP72" s="8">
        <f>'Fund by trading day'!CP5</f>
      </c>
      <c r="CQ72" s="8">
        <f>'Fund by trading day'!CQ5</f>
      </c>
      <c r="CR72" s="8">
        <f>'Fund by trading day'!CR5</f>
      </c>
      <c r="CS72" s="8">
        <f>'Fund by trading day'!CS5</f>
      </c>
      <c r="CT72" s="8">
        <f>'Fund by trading day'!CT5</f>
      </c>
      <c r="CU72" s="8">
        <f>'Fund by trading day'!CU5</f>
      </c>
      <c r="CV72" s="8">
        <f>'Fund by trading day'!CV5</f>
      </c>
      <c r="CW72" s="8">
        <f>'Fund by trading day'!CW5</f>
      </c>
    </row>
    <row r="73">
      <c r="A73" s="0" t="inlineStr">
        <is>
          <t xml:space="preserve">Random pods: best, bps</t>
        </is>
      </c>
      <c r="B73" s="8">
        <f>'Fund by trading day'!B6</f>
        <v>13.888</v>
      </c>
      <c r="C73" s="8">
        <f>'Fund by trading day'!C6</f>
      </c>
      <c r="D73" s="8">
        <f>'Fund by trading day'!D6</f>
      </c>
      <c r="E73" s="8">
        <f>'Fund by trading day'!E6</f>
      </c>
      <c r="F73" s="8">
        <f>'Fund by trading day'!F6</f>
      </c>
      <c r="G73" s="8">
        <f>'Fund by trading day'!G6</f>
      </c>
      <c r="H73" s="8">
        <f>'Fund by trading day'!H6</f>
      </c>
      <c r="I73" s="8">
        <f>'Fund by trading day'!I6</f>
      </c>
      <c r="J73" s="8">
        <f>'Fund by trading day'!J6</f>
      </c>
      <c r="K73" s="8">
        <f>'Fund by trading day'!K6</f>
      </c>
      <c r="L73" s="8">
        <f>'Fund by trading day'!L6</f>
      </c>
      <c r="M73" s="8">
        <f>'Fund by trading day'!M6</f>
      </c>
      <c r="N73" s="8">
        <f>'Fund by trading day'!N6</f>
      </c>
      <c r="O73" s="8">
        <f>'Fund by trading day'!O6</f>
      </c>
      <c r="P73" s="8">
        <f>'Fund by trading day'!P6</f>
      </c>
      <c r="Q73" s="8">
        <f>'Fund by trading day'!Q6</f>
      </c>
      <c r="R73" s="8">
        <f>'Fund by trading day'!R6</f>
      </c>
      <c r="S73" s="8">
        <f>'Fund by trading day'!S6</f>
      </c>
      <c r="T73" s="8">
        <f>'Fund by trading day'!T6</f>
      </c>
      <c r="U73" s="8">
        <f>'Fund by trading day'!U6</f>
      </c>
      <c r="V73" s="8">
        <f>'Fund by trading day'!V6</f>
      </c>
      <c r="W73" s="8">
        <f>'Fund by trading day'!W6</f>
      </c>
      <c r="X73" s="8">
        <f>'Fund by trading day'!X6</f>
      </c>
      <c r="Y73" s="8">
        <f>'Fund by trading day'!Y6</f>
      </c>
      <c r="Z73" s="8">
        <f>'Fund by trading day'!Z6</f>
      </c>
      <c r="AA73" s="8">
        <f>'Fund by trading day'!AA6</f>
      </c>
      <c r="AB73" s="8">
        <f>'Fund by trading day'!AB6</f>
      </c>
      <c r="AC73" s="8">
        <f>'Fund by trading day'!AC6</f>
      </c>
      <c r="AD73" s="8">
        <f>'Fund by trading day'!AD6</f>
      </c>
      <c r="AE73" s="8">
        <f>'Fund by trading day'!AE6</f>
      </c>
      <c r="AF73" s="8">
        <f>'Fund by trading day'!AF6</f>
      </c>
      <c r="AG73" s="8">
        <f>'Fund by trading day'!AG6</f>
      </c>
      <c r="AH73" s="8">
        <f>'Fund by trading day'!AH6</f>
      </c>
      <c r="AI73" s="8">
        <f>'Fund by trading day'!AI6</f>
      </c>
      <c r="AJ73" s="8">
        <f>'Fund by trading day'!AJ6</f>
      </c>
      <c r="AK73" s="8">
        <f>'Fund by trading day'!AK6</f>
      </c>
      <c r="AL73" s="8">
        <f>'Fund by trading day'!AL6</f>
      </c>
      <c r="AM73" s="8">
        <f>'Fund by trading day'!AM6</f>
      </c>
      <c r="AN73" s="8">
        <f>'Fund by trading day'!AN6</f>
      </c>
      <c r="AO73" s="8">
        <f>'Fund by trading day'!AO6</f>
      </c>
      <c r="AP73" s="8">
        <f>'Fund by trading day'!AP6</f>
      </c>
      <c r="AQ73" s="8">
        <f>'Fund by trading day'!AQ6</f>
      </c>
      <c r="AR73" s="8">
        <f>'Fund by trading day'!AR6</f>
      </c>
      <c r="AS73" s="8">
        <f>'Fund by trading day'!AS6</f>
      </c>
      <c r="AT73" s="8">
        <f>'Fund by trading day'!AT6</f>
      </c>
      <c r="AU73" s="8">
        <f>'Fund by trading day'!AU6</f>
      </c>
      <c r="AV73" s="8">
        <f>'Fund by trading day'!AV6</f>
      </c>
      <c r="AW73" s="8">
        <f>'Fund by trading day'!AW6</f>
      </c>
      <c r="AX73" s="8">
        <f>'Fund by trading day'!AX6</f>
      </c>
      <c r="AY73" s="8">
        <f>'Fund by trading day'!AY6</f>
      </c>
      <c r="AZ73" s="8">
        <f>'Fund by trading day'!AZ6</f>
      </c>
      <c r="BA73" s="8">
        <f>'Fund by trading day'!BA6</f>
      </c>
      <c r="BB73" s="8">
        <f>'Fund by trading day'!BB6</f>
      </c>
      <c r="BC73" s="8">
        <f>'Fund by trading day'!BC6</f>
      </c>
      <c r="BD73" s="8">
        <f>'Fund by trading day'!BD6</f>
      </c>
      <c r="BE73" s="8">
        <f>'Fund by trading day'!BE6</f>
      </c>
      <c r="BF73" s="8">
        <f>'Fund by trading day'!BF6</f>
      </c>
      <c r="BG73" s="8">
        <f>'Fund by trading day'!BG6</f>
      </c>
      <c r="BH73" s="8">
        <f>'Fund by trading day'!BH6</f>
      </c>
      <c r="BI73" s="8">
        <f>'Fund by trading day'!BI6</f>
      </c>
      <c r="BJ73" s="8">
        <f>'Fund by trading day'!BJ6</f>
      </c>
      <c r="BK73" s="8">
        <f>'Fund by trading day'!BK6</f>
      </c>
      <c r="BL73" s="8">
        <f>'Fund by trading day'!BL6</f>
      </c>
      <c r="BM73" s="8">
        <f>'Fund by trading day'!BM6</f>
      </c>
      <c r="BN73" s="8">
        <f>'Fund by trading day'!BN6</f>
      </c>
      <c r="BO73" s="8">
        <f>'Fund by trading day'!BO6</f>
      </c>
      <c r="BP73" s="8">
        <f>'Fund by trading day'!BP6</f>
      </c>
      <c r="BQ73" s="8">
        <f>'Fund by trading day'!BQ6</f>
      </c>
      <c r="BR73" s="8">
        <f>'Fund by trading day'!BR6</f>
      </c>
      <c r="BS73" s="8">
        <f>'Fund by trading day'!BS6</f>
      </c>
      <c r="BT73" s="8">
        <f>'Fund by trading day'!BT6</f>
      </c>
      <c r="BU73" s="8">
        <f>'Fund by trading day'!BU6</f>
      </c>
      <c r="BV73" s="8">
        <f>'Fund by trading day'!BV6</f>
      </c>
      <c r="BW73" s="8">
        <f>'Fund by trading day'!BW6</f>
      </c>
      <c r="BX73" s="8">
        <f>'Fund by trading day'!BX6</f>
      </c>
      <c r="BY73" s="8">
        <f>'Fund by trading day'!BY6</f>
      </c>
      <c r="BZ73" s="8">
        <f>'Fund by trading day'!BZ6</f>
      </c>
      <c r="CA73" s="8">
        <f>'Fund by trading day'!CA6</f>
      </c>
      <c r="CB73" s="8">
        <f>'Fund by trading day'!CB6</f>
      </c>
      <c r="CC73" s="8">
        <f>'Fund by trading day'!CC6</f>
      </c>
      <c r="CD73" s="8">
        <f>'Fund by trading day'!CD6</f>
      </c>
      <c r="CE73" s="8">
        <f>'Fund by trading day'!CE6</f>
      </c>
      <c r="CF73" s="8">
        <f>'Fund by trading day'!CF6</f>
      </c>
      <c r="CG73" s="8">
        <f>'Fund by trading day'!CG6</f>
      </c>
      <c r="CH73" s="8">
        <f>'Fund by trading day'!CH6</f>
      </c>
      <c r="CI73" s="8">
        <f>'Fund by trading day'!CI6</f>
      </c>
      <c r="CJ73" s="8">
        <f>'Fund by trading day'!CJ6</f>
      </c>
      <c r="CK73" s="8">
        <f>'Fund by trading day'!CK6</f>
      </c>
      <c r="CL73" s="8">
        <f>'Fund by trading day'!CL6</f>
      </c>
      <c r="CM73" s="8">
        <f>'Fund by trading day'!CM6</f>
      </c>
      <c r="CN73" s="8">
        <f>'Fund by trading day'!CN6</f>
      </c>
      <c r="CO73" s="8">
        <f>'Fund by trading day'!CO6</f>
      </c>
      <c r="CP73" s="8">
        <f>'Fund by trading day'!CP6</f>
      </c>
      <c r="CQ73" s="8">
        <f>'Fund by trading day'!CQ6</f>
      </c>
      <c r="CR73" s="8">
        <f>'Fund by trading day'!CR6</f>
      </c>
      <c r="CS73" s="8">
        <f>'Fund by trading day'!CS6</f>
      </c>
      <c r="CT73" s="8">
        <f>'Fund by trading day'!CT6</f>
      </c>
      <c r="CU73" s="8">
        <f>'Fund by trading day'!CU6</f>
      </c>
      <c r="CV73" s="8">
        <f>'Fund by trading day'!CV6</f>
      </c>
      <c r="CW73" s="8">
        <f>'Fund by trading day'!CW6</f>
      </c>
    </row>
    <row r="92">
      <c r="A92" s="1" t="inlineStr">
        <is>
          <t xml:space="preserve">Leaderboard: skill is t-stat &gt;= 3 and z vs random &gt;= 2.33</t>
        </is>
      </c>
    </row>
    <row r="93">
      <c r="A93" s="1" t="inlineStr">
        <is>
          <t xml:space="preserve">pod</t>
        </is>
      </c>
      <c r="B93" s="1" t="inlineStr">
        <is>
          <t xml:space="preserve">Evaluated days</t>
        </is>
      </c>
      <c r="C93" s="1" t="inlineStr">
        <is>
          <t xml:space="preserve">Mean sector-neutral excess, bps/day</t>
        </is>
      </c>
      <c r="D93" s="1" t="inlineStr">
        <is>
          <t xml:space="preserve">Cumulative excess, bps</t>
        </is>
      </c>
      <c r="E93" s="1" t="inlineStr">
        <is>
          <t xml:space="preserve">t-stat</t>
        </is>
      </c>
      <c r="F93" s="1" t="inlineStr">
        <is>
          <t xml:space="preserve">Mean net of costs, bps/day</t>
        </is>
      </c>
      <c r="G93" s="1" t="inlineStr">
        <is>
          <t xml:space="preserve">Hit rate</t>
        </is>
      </c>
      <c r="H93" s="1" t="inlineStr">
        <is>
          <t xml:space="preserve">Mean IC</t>
        </is>
      </c>
      <c r="I93" s="1" t="inlineStr">
        <is>
          <t xml:space="preserve">Close-to-close sector-neutral excess, bps/day</t>
        </is>
      </c>
      <c r="J93" s="1" t="inlineStr">
        <is>
          <t xml:space="preserve">z-score vs random pods</t>
        </is>
      </c>
      <c r="K93" s="1" t="inlineStr">
        <is>
          <t xml:space="preserve">Days needed to reach the t threshold at this mean and sd</t>
        </is>
      </c>
      <c r="L93" s="1" t="inlineStr">
        <is>
          <t xml:space="preserve">Projected cumulative excess at horizon, bps</t>
        </is>
      </c>
      <c r="M93" s="1" t="inlineStr">
        <is>
          <t xml:space="preserve">Meets the skill bar (1 = yes)</t>
        </is>
      </c>
    </row>
    <row r="94">
      <c r="A94" s="0" t="inlineStr">
        <is>
          <t xml:space="preserve">worst 100 by yesterday's close-to-close return</t>
        </is>
      </c>
      <c r="B94" s="8">
        <f>'Pod summary (leaderboard)'!B2</f>
        <v>1</v>
      </c>
      <c r="C94" s="8">
        <f>'Pod summary (leaderboard)'!B3</f>
        <v>13.654</v>
      </c>
      <c r="D94" s="8">
        <f>'Pod summary (leaderboard)'!B4</f>
        <v>13.654</v>
      </c>
      <c r="E94" s="8">
        <f>'Pod summary (leaderboard)'!B11</f>
      </c>
      <c r="F94" s="8">
        <f>'Pod summary (leaderboard)'!B5</f>
        <v>27.378999999999998</v>
      </c>
      <c r="G94" s="12">
        <f>'Pod summary (leaderboard)'!B6</f>
        <v>0.67</v>
      </c>
      <c r="H94" s="8">
        <f>'Pod summary (leaderboard)'!B7</f>
        <v>0.0962</v>
      </c>
      <c r="I94" s="8">
        <f>'Pod summary (leaderboard)'!B8</f>
      </c>
      <c r="J94" s="8">
        <f>'Pod summary (leaderboard)'!B13</f>
        <v>2.023856411055993</v>
      </c>
      <c r="K94" s="8">
        <f>'Pod summary (leaderboard)'!B14</f>
      </c>
      <c r="L94" s="8">
        <f>'Pod summary (leaderboard)'!B15</f>
        <v>1365.4</v>
      </c>
      <c r="M94" s="8">
        <f>'Pod summary (leaderboard)'!B16</f>
        <v>0</v>
      </c>
    </row>
    <row r="95">
      <c r="A95" s="0" t="inlineStr">
        <is>
          <t xml:space="preserve">lowest 100 by 60-day volatility</t>
        </is>
      </c>
      <c r="B95" s="8">
        <f>'Pod summary (leaderboard)'!C2</f>
        <v>1</v>
      </c>
      <c r="C95" s="8">
        <f>'Pod summary (leaderboard)'!C3</f>
        <v>12.648</v>
      </c>
      <c r="D95" s="8">
        <f>'Pod summary (leaderboard)'!C4</f>
        <v>12.648</v>
      </c>
      <c r="E95" s="8">
        <f>'Pod summary (leaderboard)'!C11</f>
      </c>
      <c r="F95" s="8">
        <f>'Pod summary (leaderboard)'!C5</f>
        <v>-14.709</v>
      </c>
      <c r="G95" s="12">
        <f>'Pod summary (leaderboard)'!C6</f>
        <v>0.44</v>
      </c>
      <c r="H95" s="8">
        <f>'Pod summary (leaderboard)'!C7</f>
        <v>-0.0239</v>
      </c>
      <c r="I95" s="8">
        <f>'Pod summary (leaderboard)'!C8</f>
      </c>
      <c r="J95" s="8">
        <f>'Pod summary (leaderboard)'!C13</f>
        <v>1.8651306185360392</v>
      </c>
      <c r="K95" s="8">
        <f>'Pod summary (leaderboard)'!C14</f>
      </c>
      <c r="L95" s="8">
        <f>'Pod summary (leaderboard)'!C15</f>
        <v>1264.8</v>
      </c>
      <c r="M95" s="8">
        <f>'Pod summary (leaderboard)'!C16</f>
        <v>0</v>
      </c>
    </row>
    <row r="96">
      <c r="A96" s="0" t="inlineStr">
        <is>
          <t xml:space="preserve">largest 100 by market cap</t>
        </is>
      </c>
      <c r="B96" s="8">
        <f>'Pod summary (leaderboard)'!D2</f>
        <v>1</v>
      </c>
      <c r="C96" s="8">
        <f>'Pod summary (leaderboard)'!D3</f>
        <v>4.751</v>
      </c>
      <c r="D96" s="8">
        <f>'Pod summary (leaderboard)'!D4</f>
        <v>4.751</v>
      </c>
      <c r="E96" s="8">
        <f>'Pod summary (leaderboard)'!D11</f>
      </c>
      <c r="F96" s="8">
        <f>'Pod summary (leaderboard)'!D5</f>
        <v>4.964</v>
      </c>
      <c r="G96" s="12">
        <f>'Pod summary (leaderboard)'!D6</f>
        <v>0.64</v>
      </c>
      <c r="H96" s="8">
        <f>'Pod summary (leaderboard)'!D7</f>
        <v>0.0763</v>
      </c>
      <c r="I96" s="8">
        <f>'Pod summary (leaderboard)'!D8</f>
      </c>
      <c r="J96" s="8">
        <f>'Pod summary (leaderboard)'!D13</f>
        <v>0.6191489251661809</v>
      </c>
      <c r="K96" s="8">
        <f>'Pod summary (leaderboard)'!D14</f>
      </c>
      <c r="L96" s="8">
        <f>'Pod summary (leaderboard)'!D15</f>
        <v>475.1</v>
      </c>
      <c r="M96" s="8">
        <f>'Pod summary (leaderboard)'!D16</f>
        <v>0</v>
      </c>
    </row>
    <row r="97">
      <c r="A97" s="0" t="inlineStr">
        <is>
          <t xml:space="preserve">top 100 by 12-1 month return</t>
        </is>
      </c>
      <c r="B97" s="8">
        <f>'Pod summary (leaderboard)'!E2</f>
        <v>1</v>
      </c>
      <c r="C97" s="8">
        <f>'Pod summary (leaderboard)'!E3</f>
        <v>-23.532</v>
      </c>
      <c r="D97" s="8">
        <f>'Pod summary (leaderboard)'!E4</f>
        <v>-23.532</v>
      </c>
      <c r="E97" s="8">
        <f>'Pod summary (leaderboard)'!E11</f>
      </c>
      <c r="F97" s="8">
        <f>'Pod summary (leaderboard)'!E5</f>
        <v>-12.603</v>
      </c>
      <c r="G97" s="12">
        <f>'Pod summary (leaderboard)'!E6</f>
        <v>0.51</v>
      </c>
      <c r="H97" s="8">
        <f>'Pod summary (leaderboard)'!E7</f>
        <v>0.0517</v>
      </c>
      <c r="I97" s="8">
        <f>'Pod summary (leaderboard)'!E8</f>
      </c>
      <c r="J97" s="8">
        <f>'Pod summary (leaderboard)'!E13</f>
        <v>-3.843317863941038</v>
      </c>
      <c r="K97" s="8">
        <f>'Pod summary (leaderboard)'!E14</f>
      </c>
      <c r="L97" s="8">
        <f>'Pod summary (leaderboard)'!E15</f>
        <v>-2353.2</v>
      </c>
      <c r="M97" s="8">
        <f>'Pod summary (leaderboard)'!E16</f>
        <v>0</v>
      </c>
    </row>
    <row r="98">
      <c r="A98" s="0" t="inlineStr">
        <is>
          <t xml:space="preserve">best 100 by yesterday's close-to-close return</t>
        </is>
      </c>
      <c r="B98" s="8">
        <f>'Pod summary (leaderboard)'!F2</f>
        <v>1</v>
      </c>
      <c r="C98" s="8">
        <f>'Pod summary (leaderboard)'!F3</f>
        <v>-14.463</v>
      </c>
      <c r="D98" s="8">
        <f>'Pod summary (leaderboard)'!F4</f>
        <v>-14.463</v>
      </c>
      <c r="E98" s="8">
        <f>'Pod summary (leaderboard)'!F11</f>
      </c>
      <c r="F98" s="8">
        <f>'Pod summary (leaderboard)'!F5</f>
        <v>-5.67</v>
      </c>
      <c r="G98" s="12">
        <f>'Pod summary (leaderboard)'!F6</f>
        <v>0.5758</v>
      </c>
      <c r="H98" s="8">
        <f>'Pod summary (leaderboard)'!F7</f>
        <v>-0.0962</v>
      </c>
      <c r="I98" s="8">
        <f>'Pod summary (leaderboard)'!F8</f>
      </c>
      <c r="J98" s="8">
        <f>'Pod summary (leaderboard)'!F13</f>
        <v>-2.412419044494255</v>
      </c>
      <c r="K98" s="8">
        <f>'Pod summary (leaderboard)'!F14</f>
      </c>
      <c r="L98" s="8">
        <f>'Pod summary (leaderboard)'!F15</f>
        <v>-1446.3</v>
      </c>
      <c r="M98" s="8">
        <f>'Pod summary (leaderboard)'!F16</f>
        <v>0</v>
      </c>
    </row>
    <row r="99">
      <c r="A99" s="0" t="inlineStr">
        <is>
          <t xml:space="preserve">Retail Attention Overnight</t>
        </is>
      </c>
      <c r="B99" s="8">
        <f>'Pod summary (leaderboard)'!G2</f>
        <v>1</v>
      </c>
      <c r="C99" s="8">
        <f>'Pod summary (leaderboard)'!G3</f>
        <v>-19.56</v>
      </c>
      <c r="D99" s="8">
        <f>'Pod summary (leaderboard)'!G4</f>
        <v>-19.56</v>
      </c>
      <c r="E99" s="8">
        <f>'Pod summary (leaderboard)'!G11</f>
      </c>
      <c r="F99" s="8">
        <f>'Pod summary (leaderboard)'!G5</f>
        <v>-27.227</v>
      </c>
      <c r="G99" s="12">
        <f>'Pod summary (leaderboard)'!G6</f>
        <v>0.404</v>
      </c>
      <c r="H99" s="8">
        <f>'Pod summary (leaderboard)'!G7</f>
        <v>-0.0688</v>
      </c>
      <c r="I99" s="8">
        <f>'Pod summary (leaderboard)'!G8</f>
      </c>
      <c r="J99" s="8">
        <f>'Pod summary (leaderboard)'!G13</f>
        <v>-3.216619207987501</v>
      </c>
      <c r="K99" s="8">
        <f>'Pod summary (leaderboard)'!G14</f>
      </c>
      <c r="L99" s="8">
        <f>'Pod summary (leaderboard)'!G15</f>
        <v>-1955.9999999999998</v>
      </c>
      <c r="M99" s="8">
        <f>'Pod summary (leaderboard)'!G16</f>
        <v>0</v>
      </c>
    </row>
    <row r="100">
      <c r="A100" s="0" t="inlineStr">
        <is>
          <t xml:space="preserve">Post-Earnings Drift, Overnight Leg</t>
        </is>
      </c>
      <c r="B100" s="8">
        <f>'Pod summary (leaderboard)'!H2</f>
        <v>1</v>
      </c>
      <c r="C100" s="8">
        <f>'Pod summary (leaderboard)'!H3</f>
        <v>11.704</v>
      </c>
      <c r="D100" s="8">
        <f>'Pod summary (leaderboard)'!H4</f>
        <v>11.704</v>
      </c>
      <c r="E100" s="8">
        <f>'Pod summary (leaderboard)'!H11</f>
      </c>
      <c r="F100" s="8">
        <f>'Pod summary (leaderboard)'!H5</f>
        <v>5.228999999999999</v>
      </c>
      <c r="G100" s="12">
        <f>'Pod summary (leaderboard)'!H6</f>
        <v>0.53</v>
      </c>
      <c r="H100" s="8">
        <f>'Pod summary (leaderboard)'!H7</f>
        <v>-0.1282</v>
      </c>
      <c r="I100" s="8">
        <f>'Pod summary (leaderboard)'!H8</f>
      </c>
      <c r="J100" s="8">
        <f>'Pod summary (leaderboard)'!H13</f>
        <v>1.716187131320496</v>
      </c>
      <c r="K100" s="8">
        <f>'Pod summary (leaderboard)'!H14</f>
      </c>
      <c r="L100" s="8">
        <f>'Pod summary (leaderboard)'!H15</f>
        <v>1170.4</v>
      </c>
      <c r="M100" s="8">
        <f>'Pod summary (leaderboard)'!H16</f>
        <v>0</v>
      </c>
    </row>
    <row r="101">
      <c r="A101" s="0" t="inlineStr">
        <is>
          <t xml:space="preserve">Intraday-to-Overnight Reversal</t>
        </is>
      </c>
      <c r="B101" s="8">
        <f>'Pod summary (leaderboard)'!I2</f>
        <v>1</v>
      </c>
      <c r="C101" s="8">
        <f>'Pod summary (leaderboard)'!I3</f>
        <v>4.098</v>
      </c>
      <c r="D101" s="8">
        <f>'Pod summary (leaderboard)'!I4</f>
        <v>4.098</v>
      </c>
      <c r="E101" s="8">
        <f>'Pod summary (leaderboard)'!I11</f>
      </c>
      <c r="F101" s="8">
        <f>'Pod summary (leaderboard)'!I5</f>
        <v>-7.452999999999999</v>
      </c>
      <c r="G101" s="12">
        <f>'Pod summary (leaderboard)'!I6</f>
        <v>0.53</v>
      </c>
      <c r="H101" s="8">
        <f>'Pod summary (leaderboard)'!I7</f>
        <v>0.0638</v>
      </c>
      <c r="I101" s="8">
        <f>'Pod summary (leaderboard)'!I8</f>
      </c>
      <c r="J101" s="8">
        <f>'Pod summary (leaderboard)'!I13</f>
        <v>0.5161191612342424</v>
      </c>
      <c r="K101" s="8">
        <f>'Pod summary (leaderboard)'!I14</f>
      </c>
      <c r="L101" s="8">
        <f>'Pod summary (leaderboard)'!I15</f>
        <v>409.8</v>
      </c>
      <c r="M101" s="8">
        <f>'Pod summary (leaderboard)'!I16</f>
        <v>0</v>
      </c>
    </row>
    <row r="102">
      <c r="A102" s="0" t="inlineStr">
        <is>
          <t xml:space="preserve">Analyst Revision Momentum</t>
        </is>
      </c>
      <c r="B102" s="8">
        <f>'Pod summary (leaderboard)'!J2</f>
        <v>1</v>
      </c>
      <c r="C102" s="8">
        <f>'Pod summary (leaderboard)'!J3</f>
        <v>-2.965</v>
      </c>
      <c r="D102" s="8">
        <f>'Pod summary (leaderboard)'!J4</f>
        <v>-2.965</v>
      </c>
      <c r="E102" s="8">
        <f>'Pod summary (leaderboard)'!J11</f>
      </c>
      <c r="F102" s="8">
        <f>'Pod summary (leaderboard)'!J5</f>
        <v>-16.285</v>
      </c>
      <c r="G102" s="12">
        <f>'Pod summary (leaderboard)'!J6</f>
        <v>0.49</v>
      </c>
      <c r="H102" s="8">
        <f>'Pod summary (leaderboard)'!J7</f>
        <v>0.074</v>
      </c>
      <c r="I102" s="8">
        <f>'Pod summary (leaderboard)'!J8</f>
      </c>
      <c r="J102" s="8">
        <f>'Pod summary (leaderboard)'!J13</f>
        <v>-0.5982747478795108</v>
      </c>
      <c r="K102" s="8">
        <f>'Pod summary (leaderboard)'!J14</f>
      </c>
      <c r="L102" s="8">
        <f>'Pod summary (leaderboard)'!J15</f>
        <v>-296.5</v>
      </c>
      <c r="M102" s="8">
        <f>'Pod summary (leaderboard)'!J16</f>
        <v>0</v>
      </c>
    </row>
    <row r="103">
      <c r="A103" s="0" t="inlineStr">
        <is>
          <t xml:space="preserve">Clustered Insider Buying</t>
        </is>
      </c>
      <c r="B103" s="8">
        <f>'Pod summary (leaderboard)'!K2</f>
        <v>1</v>
      </c>
      <c r="C103" s="8">
        <f>'Pod summary (leaderboard)'!K3</f>
        <v>2.143</v>
      </c>
      <c r="D103" s="8">
        <f>'Pod summary (leaderboard)'!K4</f>
        <v>2.143</v>
      </c>
      <c r="E103" s="8">
        <f>'Pod summary (leaderboard)'!K11</f>
      </c>
      <c r="F103" s="8">
        <f>'Pod summary (leaderboard)'!K5</f>
        <v>4.195</v>
      </c>
      <c r="G103" s="12">
        <f>'Pod summary (leaderboard)'!K6</f>
        <v>0.53</v>
      </c>
      <c r="H103" s="8">
        <f>'Pod summary (leaderboard)'!K7</f>
        <v>-0.0244</v>
      </c>
      <c r="I103" s="8">
        <f>'Pod summary (leaderboard)'!K8</f>
      </c>
      <c r="J103" s="8">
        <f>'Pod summary (leaderboard)'!K13</f>
        <v>0.20766098590967952</v>
      </c>
      <c r="K103" s="8">
        <f>'Pod summary (leaderboard)'!K14</f>
      </c>
      <c r="L103" s="8">
        <f>'Pod summary (leaderboard)'!K15</f>
        <v>214.29999999999998</v>
      </c>
      <c r="M103" s="8">
        <f>'Pod summary (leaderboard)'!K16</f>
        <v>0</v>
      </c>
    </row>
    <row r="104">
      <c r="A104" s="0" t="inlineStr">
        <is>
          <t xml:space="preserve">Same-Month Seasonality</t>
        </is>
      </c>
      <c r="B104" s="8">
        <f>'Pod summary (leaderboard)'!L2</f>
        <v>1</v>
      </c>
      <c r="C104" s="8">
        <f>'Pod summary (leaderboard)'!L3</f>
        <v>-21.574</v>
      </c>
      <c r="D104" s="8">
        <f>'Pod summary (leaderboard)'!L4</f>
        <v>-21.574</v>
      </c>
      <c r="E104" s="8">
        <f>'Pod summary (leaderboard)'!L11</f>
      </c>
      <c r="F104" s="8">
        <f>'Pod summary (leaderboard)'!L5</f>
        <v>-18.298000000000002</v>
      </c>
      <c r="G104" s="12">
        <f>'Pod summary (leaderboard)'!L6</f>
        <v>0.5</v>
      </c>
      <c r="H104" s="8">
        <f>'Pod summary (leaderboard)'!L7</f>
        <v>0.0123</v>
      </c>
      <c r="I104" s="8">
        <f>'Pod summary (leaderboard)'!L8</f>
      </c>
      <c r="J104" s="8">
        <f>'Pod summary (leaderboard)'!L13</f>
        <v>-3.534386351263036</v>
      </c>
      <c r="K104" s="8">
        <f>'Pod summary (leaderboard)'!L14</f>
      </c>
      <c r="L104" s="8">
        <f>'Pod summary (leaderboard)'!L15</f>
        <v>-2157.4</v>
      </c>
      <c r="M104" s="8">
        <f>'Pod summary (leaderboard)'!L16</f>
        <v>0</v>
      </c>
    </row>
    <row r="105">
      <c r="A105" s="0" t="inlineStr">
        <is>
          <t xml:space="preserve">Quality at a Reasonable Price</t>
        </is>
      </c>
      <c r="B105" s="8">
        <f>'Pod summary (leaderboard)'!M2</f>
        <v>1</v>
      </c>
      <c r="C105" s="8">
        <f>'Pod summary (leaderboard)'!M3</f>
        <v>-0.086</v>
      </c>
      <c r="D105" s="8">
        <f>'Pod summary (leaderboard)'!M4</f>
        <v>-0.086</v>
      </c>
      <c r="E105" s="8">
        <f>'Pod summary (leaderboard)'!M11</f>
      </c>
      <c r="F105" s="8">
        <f>'Pod summary (leaderboard)'!M5</f>
        <v>0.1899999999999995</v>
      </c>
      <c r="G105" s="12">
        <f>'Pod summary (leaderboard)'!M6</f>
        <v>0.63</v>
      </c>
      <c r="H105" s="8">
        <f>'Pod summary (leaderboard)'!M7</f>
        <v>0.1021</v>
      </c>
      <c r="I105" s="8">
        <f>'Pod summary (leaderboard)'!M8</f>
      </c>
      <c r="J105" s="8">
        <f>'Pod summary (leaderboard)'!M13</f>
        <v>-0.1440286676956661</v>
      </c>
      <c r="K105" s="8">
        <f>'Pod summary (leaderboard)'!M14</f>
      </c>
      <c r="L105" s="8">
        <f>'Pod summary (leaderboard)'!M15</f>
        <v>-8.6</v>
      </c>
      <c r="M105" s="8">
        <f>'Pod summary (leaderboard)'!M16</f>
        <v>0</v>
      </c>
    </row>
    <row r="106">
      <c r="A106" s="0" t="inlineStr">
        <is>
          <t xml:space="preserve">Residual Momentum</t>
        </is>
      </c>
      <c r="B106" s="8">
        <f>'Pod summary (leaderboard)'!N2</f>
        <v>1</v>
      </c>
      <c r="C106" s="8">
        <f>'Pod summary (leaderboard)'!N3</f>
        <v>13.936</v>
      </c>
      <c r="D106" s="8">
        <f>'Pod summary (leaderboard)'!N4</f>
        <v>13.936</v>
      </c>
      <c r="E106" s="8">
        <f>'Pod summary (leaderboard)'!N11</f>
      </c>
      <c r="F106" s="8">
        <f>'Pod summary (leaderboard)'!N5</f>
        <v>4.833</v>
      </c>
      <c r="G106" s="12">
        <f>'Pod summary (leaderboard)'!N6</f>
        <v>0.53</v>
      </c>
      <c r="H106" s="8">
        <f>'Pod summary (leaderboard)'!N7</f>
        <v>0.1171</v>
      </c>
      <c r="I106" s="8">
        <f>'Pod summary (leaderboard)'!N8</f>
      </c>
      <c r="J106" s="8">
        <f>'Pod summary (leaderboard)'!N13</f>
        <v>2.0683501222792806</v>
      </c>
      <c r="K106" s="8">
        <f>'Pod summary (leaderboard)'!N14</f>
      </c>
      <c r="L106" s="8">
        <f>'Pod summary (leaderboard)'!N15</f>
        <v>1393.6</v>
      </c>
      <c r="M106" s="8">
        <f>'Pod summary (leaderboard)'!N16</f>
        <v>0</v>
      </c>
    </row>
    <row r="107">
      <c r="A107" s="0" t="inlineStr">
        <is>
          <t xml:space="preserve">Overnight Return Persistence</t>
        </is>
      </c>
      <c r="B107" s="8">
        <f>'Pod summary (leaderboard)'!O2</f>
        <v>1</v>
      </c>
      <c r="C107" s="8">
        <f>'Pod summary (leaderboard)'!O3</f>
        <v>8.172</v>
      </c>
      <c r="D107" s="8">
        <f>'Pod summary (leaderboard)'!O4</f>
        <v>8.172</v>
      </c>
      <c r="E107" s="8">
        <f>'Pod summary (leaderboard)'!O11</f>
      </c>
      <c r="F107" s="8">
        <f>'Pod summary (leaderboard)'!O5</f>
        <v>-8.522</v>
      </c>
      <c r="G107" s="12">
        <f>'Pod summary (leaderboard)'!O6</f>
        <v>0.56</v>
      </c>
      <c r="H107" s="8">
        <f>'Pod summary (leaderboard)'!O7</f>
        <v>0.0133</v>
      </c>
      <c r="I107" s="8">
        <f>'Pod summary (leaderboard)'!O8</f>
      </c>
      <c r="J107" s="8">
        <f>'Pod summary (leaderboard)'!O13</f>
        <v>1.1589112872047127</v>
      </c>
      <c r="K107" s="8">
        <f>'Pod summary (leaderboard)'!O14</f>
      </c>
      <c r="L107" s="8">
        <f>'Pod summary (leaderboard)'!O15</f>
        <v>817.2</v>
      </c>
      <c r="M107" s="8">
        <f>'Pod summary (leaderboard)'!O16</f>
        <v>0</v>
      </c>
    </row>
    <row r="108">
      <c r="A108" s="0" t="inlineStr">
        <is>
          <t xml:space="preserve">52-Week-High Anchoring</t>
        </is>
      </c>
      <c r="B108" s="8">
        <f>'Pod summary (leaderboard)'!P2</f>
        <v>1</v>
      </c>
      <c r="C108" s="8">
        <f>'Pod summary (leaderboard)'!P3</f>
        <v>17.164</v>
      </c>
      <c r="D108" s="8">
        <f>'Pod summary (leaderboard)'!P4</f>
        <v>17.164</v>
      </c>
      <c r="E108" s="8">
        <f>'Pod summary (leaderboard)'!P11</f>
      </c>
      <c r="F108" s="8">
        <f>'Pod summary (leaderboard)'!P5</f>
        <v>29.110999999999997</v>
      </c>
      <c r="G108" s="12">
        <f>'Pod summary (leaderboard)'!P6</f>
        <v>0.78</v>
      </c>
      <c r="H108" s="8">
        <f>'Pod summary (leaderboard)'!P7</f>
        <v>0.149</v>
      </c>
      <c r="I108" s="8">
        <f>'Pod summary (leaderboard)'!P8</f>
      </c>
      <c r="J108" s="8">
        <f>'Pod summary (leaderboard)'!P13</f>
        <v>2.577661114579889</v>
      </c>
      <c r="K108" s="8">
        <f>'Pod summary (leaderboard)'!P14</f>
      </c>
      <c r="L108" s="8">
        <f>'Pod summary (leaderboard)'!P15</f>
        <v>1716.4</v>
      </c>
      <c r="M108" s="8">
        <f>'Pod summary (leaderboard)'!P16</f>
        <v>0</v>
      </c>
    </row>
    <row r="109">
      <c r="A109" s="0" t="inlineStr">
        <is>
          <t xml:space="preserve">Random 1</t>
        </is>
      </c>
      <c r="B109" s="8">
        <f>'Pod summary (leaderboard)'!Q2</f>
        <v>1</v>
      </c>
      <c r="C109" s="8">
        <f>'Pod summary (leaderboard)'!Q3</f>
        <v>-4.097</v>
      </c>
      <c r="D109" s="8">
        <f>'Pod summary (leaderboard)'!Q4</f>
        <v>-4.097</v>
      </c>
      <c r="E109" s="8">
        <f>'Pod summary (leaderboard)'!Q11</f>
      </c>
      <c r="F109" s="8">
        <f>'Pod summary (leaderboard)'!Q5</f>
        <v>-12.933</v>
      </c>
      <c r="G109" s="12">
        <f>'Pod summary (leaderboard)'!Q6</f>
        <v>0.48</v>
      </c>
      <c r="H109" s="8">
        <f>'Pod summary (leaderboard)'!Q7</f>
        <v>0.0364</v>
      </c>
      <c r="I109" s="8">
        <f>'Pod summary (leaderboard)'!Q8</f>
      </c>
      <c r="J109" s="8">
        <f>'Pod summary (leaderboard)'!Q13</f>
        <v>-0.7768807092439127</v>
      </c>
      <c r="K109" s="8">
        <f>'Pod summary (leaderboard)'!Q14</f>
      </c>
      <c r="L109" s="8">
        <f>'Pod summary (leaderboard)'!Q15</f>
        <v>-409.70000000000005</v>
      </c>
      <c r="M109" s="8">
        <f>'Pod summary (leaderboard)'!Q16</f>
        <v>0</v>
      </c>
    </row>
    <row r="110">
      <c r="A110" s="0" t="inlineStr">
        <is>
          <t xml:space="preserve">Random 2</t>
        </is>
      </c>
      <c r="B110" s="8">
        <f>'Pod summary (leaderboard)'!R2</f>
        <v>1</v>
      </c>
      <c r="C110" s="8">
        <f>'Pod summary (leaderboard)'!R3</f>
        <v>0.703</v>
      </c>
      <c r="D110" s="8">
        <f>'Pod summary (leaderboard)'!R4</f>
        <v>0.703</v>
      </c>
      <c r="E110" s="8">
        <f>'Pod summary (leaderboard)'!R11</f>
      </c>
      <c r="F110" s="8">
        <f>'Pod summary (leaderboard)'!R5</f>
        <v>-12.049</v>
      </c>
      <c r="G110" s="12">
        <f>'Pod summary (leaderboard)'!R6</f>
        <v>0.49</v>
      </c>
      <c r="H110" s="8">
        <f>'Pod summary (leaderboard)'!R7</f>
        <v>0.0008</v>
      </c>
      <c r="I110" s="8">
        <f>'Pod summary (leaderboard)'!R8</f>
      </c>
      <c r="J110" s="8">
        <f>'Pod summary (leaderboard)'!R13</f>
        <v>-0.01954094374114942</v>
      </c>
      <c r="K110" s="8">
        <f>'Pod summary (leaderboard)'!R14</f>
      </c>
      <c r="L110" s="8">
        <f>'Pod summary (leaderboard)'!R15</f>
        <v>70.3</v>
      </c>
      <c r="M110" s="8">
        <f>'Pod summary (leaderboard)'!R16</f>
        <v>0</v>
      </c>
    </row>
    <row r="111">
      <c r="A111" s="0" t="inlineStr">
        <is>
          <t xml:space="preserve">Random 3</t>
        </is>
      </c>
      <c r="B111" s="8">
        <f>'Pod summary (leaderboard)'!S2</f>
        <v>1</v>
      </c>
      <c r="C111" s="8">
        <f>'Pod summary (leaderboard)'!S3</f>
        <v>4.62</v>
      </c>
      <c r="D111" s="8">
        <f>'Pod summary (leaderboard)'!S4</f>
        <v>4.62</v>
      </c>
      <c r="E111" s="8">
        <f>'Pod summary (leaderboard)'!S11</f>
      </c>
      <c r="F111" s="8">
        <f>'Pod summary (leaderboard)'!S5</f>
        <v>-4.1</v>
      </c>
      <c r="G111" s="12">
        <f>'Pod summary (leaderboard)'!S6</f>
        <v>0.55</v>
      </c>
      <c r="H111" s="8">
        <f>'Pod summary (leaderboard)'!S7</f>
        <v>0.0242</v>
      </c>
      <c r="I111" s="8">
        <f>'Pod summary (leaderboard)'!S8</f>
      </c>
      <c r="J111" s="8">
        <f>'Pod summary (leaderboard)'!S13</f>
        <v>0.5984798607326679</v>
      </c>
      <c r="K111" s="8">
        <f>'Pod summary (leaderboard)'!S14</f>
      </c>
      <c r="L111" s="8">
        <f>'Pod summary (leaderboard)'!S15</f>
        <v>462</v>
      </c>
      <c r="M111" s="8">
        <f>'Pod summary (leaderboard)'!S16</f>
        <v>0</v>
      </c>
    </row>
    <row r="112">
      <c r="A112" s="0" t="inlineStr">
        <is>
          <t xml:space="preserve">Random 4</t>
        </is>
      </c>
      <c r="B112" s="8">
        <f>'Pod summary (leaderboard)'!T2</f>
        <v>1</v>
      </c>
      <c r="C112" s="8">
        <f>'Pod summary (leaderboard)'!T3</f>
        <v>-1.755</v>
      </c>
      <c r="D112" s="8">
        <f>'Pod summary (leaderboard)'!T4</f>
        <v>-1.755</v>
      </c>
      <c r="E112" s="8">
        <f>'Pod summary (leaderboard)'!T11</f>
      </c>
      <c r="F112" s="8">
        <f>'Pod summary (leaderboard)'!T5</f>
        <v>-15.497</v>
      </c>
      <c r="G112" s="12">
        <f>'Pod summary (leaderboard)'!T6</f>
        <v>0.47</v>
      </c>
      <c r="H112" s="8">
        <f>'Pod summary (leaderboard)'!T7</f>
        <v>-0.0556</v>
      </c>
      <c r="I112" s="8">
        <f>'Pod summary (leaderboard)'!T8</f>
      </c>
      <c r="J112" s="8">
        <f>'Pod summary (leaderboard)'!T13</f>
        <v>-0.40736201532568933</v>
      </c>
      <c r="K112" s="8">
        <f>'Pod summary (leaderboard)'!T14</f>
      </c>
      <c r="L112" s="8">
        <f>'Pod summary (leaderboard)'!T15</f>
        <v>-175.5</v>
      </c>
      <c r="M112" s="8">
        <f>'Pod summary (leaderboard)'!T16</f>
        <v>0</v>
      </c>
    </row>
    <row r="113">
      <c r="A113" s="0" t="inlineStr">
        <is>
          <t xml:space="preserve">Random 5</t>
        </is>
      </c>
      <c r="B113" s="8">
        <f>'Pod summary (leaderboard)'!U2</f>
        <v>1</v>
      </c>
      <c r="C113" s="8">
        <f>'Pod summary (leaderboard)'!U3</f>
        <v>8.485</v>
      </c>
      <c r="D113" s="8">
        <f>'Pod summary (leaderboard)'!U4</f>
        <v>8.485</v>
      </c>
      <c r="E113" s="8">
        <f>'Pod summary (leaderboard)'!U11</f>
      </c>
      <c r="F113" s="8">
        <f>'Pod summary (leaderboard)'!U5</f>
        <v>-7.258</v>
      </c>
      <c r="G113" s="12">
        <f>'Pod summary (leaderboard)'!U6</f>
        <v>0.45</v>
      </c>
      <c r="H113" s="8">
        <f>'Pod summary (leaderboard)'!U7</f>
        <v>0.0179</v>
      </c>
      <c r="I113" s="8">
        <f>'Pod summary (leaderboard)'!U8</f>
      </c>
      <c r="J113" s="8">
        <f>'Pod summary (leaderboard)'!U13</f>
        <v>1.2082961510802053</v>
      </c>
      <c r="K113" s="8">
        <f>'Pod summary (leaderboard)'!U14</f>
      </c>
      <c r="L113" s="8">
        <f>'Pod summary (leaderboard)'!U15</f>
        <v>848.5</v>
      </c>
      <c r="M113" s="8">
        <f>'Pod summary (leaderboard)'!U16</f>
        <v>0</v>
      </c>
    </row>
    <row r="114">
      <c r="A114" s="0" t="inlineStr">
        <is>
          <t xml:space="preserve">Random 6</t>
        </is>
      </c>
      <c r="B114" s="8">
        <f>'Pod summary (leaderboard)'!V2</f>
        <v>1</v>
      </c>
      <c r="C114" s="8">
        <f>'Pod summary (leaderboard)'!V3</f>
        <v>-3.004</v>
      </c>
      <c r="D114" s="8">
        <f>'Pod summary (leaderboard)'!V4</f>
        <v>-3.004</v>
      </c>
      <c r="E114" s="8">
        <f>'Pod summary (leaderboard)'!V11</f>
      </c>
      <c r="F114" s="8">
        <f>'Pod summary (leaderboard)'!V5</f>
        <v>-13.953</v>
      </c>
      <c r="G114" s="12">
        <f>'Pod summary (leaderboard)'!V6</f>
        <v>0.52</v>
      </c>
      <c r="H114" s="8">
        <f>'Pod summary (leaderboard)'!V7</f>
        <v>-0.0092</v>
      </c>
      <c r="I114" s="8">
        <f>'Pod summary (leaderboard)'!V8</f>
      </c>
      <c r="J114" s="8">
        <f>'Pod summary (leaderboard)'!V13</f>
        <v>-0.6044281334742209</v>
      </c>
      <c r="K114" s="8">
        <f>'Pod summary (leaderboard)'!V14</f>
      </c>
      <c r="L114" s="8">
        <f>'Pod summary (leaderboard)'!V15</f>
        <v>-300.4</v>
      </c>
      <c r="M114" s="8">
        <f>'Pod summary (leaderboard)'!V16</f>
        <v>0</v>
      </c>
    </row>
    <row r="115">
      <c r="A115" s="0" t="inlineStr">
        <is>
          <t xml:space="preserve">Random 7</t>
        </is>
      </c>
      <c r="B115" s="8">
        <f>'Pod summary (leaderboard)'!W2</f>
        <v>1</v>
      </c>
      <c r="C115" s="8">
        <f>'Pod summary (leaderboard)'!W3</f>
        <v>-3.263</v>
      </c>
      <c r="D115" s="8">
        <f>'Pod summary (leaderboard)'!W4</f>
        <v>-3.263</v>
      </c>
      <c r="E115" s="8">
        <f>'Pod summary (leaderboard)'!W11</f>
      </c>
      <c r="F115" s="8">
        <f>'Pod summary (leaderboard)'!W5</f>
        <v>-9.805</v>
      </c>
      <c r="G115" s="12">
        <f>'Pod summary (leaderboard)'!W6</f>
        <v>0.52</v>
      </c>
      <c r="H115" s="8">
        <f>'Pod summary (leaderboard)'!W7</f>
        <v>0.0337</v>
      </c>
      <c r="I115" s="8">
        <f>'Pod summary (leaderboard)'!W8</f>
      </c>
      <c r="J115" s="8">
        <f>'Pod summary (leaderboard)'!W13</f>
        <v>-0.6452929249878075</v>
      </c>
      <c r="K115" s="8">
        <f>'Pod summary (leaderboard)'!W14</f>
      </c>
      <c r="L115" s="8">
        <f>'Pod summary (leaderboard)'!W15</f>
        <v>-326.3</v>
      </c>
      <c r="M115" s="8">
        <f>'Pod summary (leaderboard)'!W16</f>
        <v>0</v>
      </c>
    </row>
    <row r="116">
      <c r="A116" s="0" t="inlineStr">
        <is>
          <t xml:space="preserve">Random 8</t>
        </is>
      </c>
      <c r="B116" s="8">
        <f>'Pod summary (leaderboard)'!X2</f>
        <v>1</v>
      </c>
      <c r="C116" s="8">
        <f>'Pod summary (leaderboard)'!X3</f>
        <v>3.133</v>
      </c>
      <c r="D116" s="8">
        <f>'Pod summary (leaderboard)'!X4</f>
        <v>3.133</v>
      </c>
      <c r="E116" s="8">
        <f>'Pod summary (leaderboard)'!X11</f>
      </c>
      <c r="F116" s="8">
        <f>'Pod summary (leaderboard)'!X5</f>
        <v>-4.538</v>
      </c>
      <c r="G116" s="12">
        <f>'Pod summary (leaderboard)'!X6</f>
        <v>0.5</v>
      </c>
      <c r="H116" s="8">
        <f>'Pod summary (leaderboard)'!X7</f>
        <v>-0.021</v>
      </c>
      <c r="I116" s="8">
        <f>'Pod summary (leaderboard)'!X8</f>
      </c>
      <c r="J116" s="8">
        <f>'Pod summary (leaderboard)'!X13</f>
        <v>0.3638623125446244</v>
      </c>
      <c r="K116" s="8">
        <f>'Pod summary (leaderboard)'!X14</f>
      </c>
      <c r="L116" s="8">
        <f>'Pod summary (leaderboard)'!X15</f>
        <v>313.3</v>
      </c>
      <c r="M116" s="8">
        <f>'Pod summary (leaderboard)'!X16</f>
        <v>0</v>
      </c>
    </row>
    <row r="117">
      <c r="A117" s="0" t="inlineStr">
        <is>
          <t xml:space="preserve">Random 9</t>
        </is>
      </c>
      <c r="B117" s="8">
        <f>'Pod summary (leaderboard)'!Y2</f>
        <v>1</v>
      </c>
      <c r="C117" s="8">
        <f>'Pod summary (leaderboard)'!Y3</f>
        <v>-3.328</v>
      </c>
      <c r="D117" s="8">
        <f>'Pod summary (leaderboard)'!Y4</f>
        <v>-3.328</v>
      </c>
      <c r="E117" s="8">
        <f>'Pod summary (leaderboard)'!Y11</f>
      </c>
      <c r="F117" s="8">
        <f>'Pod summary (leaderboard)'!Y5</f>
        <v>-10.968</v>
      </c>
      <c r="G117" s="12">
        <f>'Pod summary (leaderboard)'!Y6</f>
        <v>0.44</v>
      </c>
      <c r="H117" s="8">
        <f>'Pod summary (leaderboard)'!Y7</f>
        <v>0.057</v>
      </c>
      <c r="I117" s="8">
        <f>'Pod summary (leaderboard)'!Y8</f>
      </c>
      <c r="J117" s="8">
        <f>'Pod summary (leaderboard)'!Y13</f>
        <v>-0.6555485676456574</v>
      </c>
      <c r="K117" s="8">
        <f>'Pod summary (leaderboard)'!Y14</f>
      </c>
      <c r="L117" s="8">
        <f>'Pod summary (leaderboard)'!Y15</f>
        <v>-332.8</v>
      </c>
      <c r="M117" s="8">
        <f>'Pod summary (leaderboard)'!Y16</f>
        <v>0</v>
      </c>
    </row>
    <row r="118">
      <c r="A118" s="0" t="inlineStr">
        <is>
          <t xml:space="preserve">Random 10</t>
        </is>
      </c>
      <c r="B118" s="8">
        <f>'Pod summary (leaderboard)'!Z2</f>
        <v>1</v>
      </c>
      <c r="C118" s="8">
        <f>'Pod summary (leaderboard)'!Z3</f>
        <v>4.866</v>
      </c>
      <c r="D118" s="8">
        <f>'Pod summary (leaderboard)'!Z4</f>
        <v>4.866</v>
      </c>
      <c r="E118" s="8">
        <f>'Pod summary (leaderboard)'!Z11</f>
      </c>
      <c r="F118" s="8">
        <f>'Pod summary (leaderboard)'!Z5</f>
        <v>-6.351</v>
      </c>
      <c r="G118" s="12">
        <f>'Pod summary (leaderboard)'!Z6</f>
        <v>0.47</v>
      </c>
      <c r="H118" s="8">
        <f>'Pod summary (leaderboard)'!Z7</f>
        <v>-0.0459</v>
      </c>
      <c r="I118" s="8">
        <f>'Pod summary (leaderboard)'!Z8</f>
      </c>
      <c r="J118" s="8">
        <f>'Pod summary (leaderboard)'!Z13</f>
        <v>0.6372935237146844</v>
      </c>
      <c r="K118" s="8">
        <f>'Pod summary (leaderboard)'!Z14</f>
      </c>
      <c r="L118" s="8">
        <f>'Pod summary (leaderboard)'!Z15</f>
        <v>486.59999999999997</v>
      </c>
      <c r="M118" s="8">
        <f>'Pod summary (leaderboard)'!Z16</f>
        <v>0</v>
      </c>
    </row>
    <row r="119">
      <c r="A119" s="0" t="inlineStr">
        <is>
          <t xml:space="preserve">Random 11</t>
        </is>
      </c>
      <c r="B119" s="8">
        <f>'Pod summary (leaderboard)'!AA2</f>
        <v>1</v>
      </c>
      <c r="C119" s="8">
        <f>'Pod summary (leaderboard)'!AA3</f>
        <v>13.888</v>
      </c>
      <c r="D119" s="8">
        <f>'Pod summary (leaderboard)'!AA4</f>
        <v>13.888</v>
      </c>
      <c r="E119" s="8">
        <f>'Pod summary (leaderboard)'!AA11</f>
      </c>
      <c r="F119" s="8">
        <f>'Pod summary (leaderboard)'!AA5</f>
        <v>1.5009999999999994</v>
      </c>
      <c r="G119" s="12">
        <f>'Pod summary (leaderboard)'!AA6</f>
        <v>0.56</v>
      </c>
      <c r="H119" s="8">
        <f>'Pod summary (leaderboard)'!AA7</f>
        <v>0.0314</v>
      </c>
      <c r="I119" s="8">
        <f>'Pod summary (leaderboard)'!AA8</f>
      </c>
      <c r="J119" s="8">
        <f>'Pod summary (leaderboard)'!AA13</f>
        <v>2.060776724624253</v>
      </c>
      <c r="K119" s="8">
        <f>'Pod summary (leaderboard)'!AA14</f>
      </c>
      <c r="L119" s="8">
        <f>'Pod summary (leaderboard)'!AA15</f>
        <v>1388.8</v>
      </c>
      <c r="M119" s="8">
        <f>'Pod summary (leaderboard)'!AA16</f>
        <v>0</v>
      </c>
    </row>
    <row r="120">
      <c r="A120" s="0" t="inlineStr">
        <is>
          <t xml:space="preserve">Random 12</t>
        </is>
      </c>
      <c r="B120" s="8">
        <f>'Pod summary (leaderboard)'!AB2</f>
        <v>1</v>
      </c>
      <c r="C120" s="8">
        <f>'Pod summary (leaderboard)'!AB3</f>
        <v>-0.503</v>
      </c>
      <c r="D120" s="8">
        <f>'Pod summary (leaderboard)'!AB4</f>
        <v>-0.503</v>
      </c>
      <c r="E120" s="8">
        <f>'Pod summary (leaderboard)'!AB11</f>
      </c>
      <c r="F120" s="8">
        <f>'Pod summary (leaderboard)'!AB5</f>
        <v>-9.263</v>
      </c>
      <c r="G120" s="12">
        <f>'Pod summary (leaderboard)'!AB6</f>
        <v>0.52</v>
      </c>
      <c r="H120" s="8">
        <f>'Pod summary (leaderboard)'!AB7</f>
        <v>0.0119</v>
      </c>
      <c r="I120" s="8">
        <f>'Pod summary (leaderboard)'!AB8</f>
      </c>
      <c r="J120" s="8">
        <f>'Pod summary (leaderboard)'!AB13</f>
        <v>-0.20982255982371864</v>
      </c>
      <c r="K120" s="8">
        <f>'Pod summary (leaderboard)'!AB14</f>
      </c>
      <c r="L120" s="8">
        <f>'Pod summary (leaderboard)'!AB15</f>
        <v>-50.3</v>
      </c>
      <c r="M120" s="8">
        <f>'Pod summary (leaderboard)'!AB16</f>
        <v>0</v>
      </c>
    </row>
    <row r="121">
      <c r="A121" s="0" t="inlineStr">
        <is>
          <t xml:space="preserve">Random 13</t>
        </is>
      </c>
      <c r="B121" s="8">
        <f>'Pod summary (leaderboard)'!AC2</f>
        <v>1</v>
      </c>
      <c r="C121" s="8">
        <f>'Pod summary (leaderboard)'!AC3</f>
        <v>-8.316</v>
      </c>
      <c r="D121" s="8">
        <f>'Pod summary (leaderboard)'!AC4</f>
        <v>-8.316</v>
      </c>
      <c r="E121" s="8">
        <f>'Pod summary (leaderboard)'!AC11</f>
      </c>
      <c r="F121" s="8">
        <f>'Pod summary (leaderboard)'!AC5</f>
        <v>-13.193999999999999</v>
      </c>
      <c r="G121" s="12">
        <f>'Pod summary (leaderboard)'!AC6</f>
        <v>0.56</v>
      </c>
      <c r="H121" s="8">
        <f>'Pod summary (leaderboard)'!AC7</f>
        <v>0.026</v>
      </c>
      <c r="I121" s="8">
        <f>'Pod summary (leaderboard)'!AC8</f>
      </c>
      <c r="J121" s="8">
        <f>'Pod summary (leaderboard)'!AC13</f>
        <v>-1.4425508072972788</v>
      </c>
      <c r="K121" s="8">
        <f>'Pod summary (leaderboard)'!AC14</f>
      </c>
      <c r="L121" s="8">
        <f>'Pod summary (leaderboard)'!AC15</f>
        <v>-831.6</v>
      </c>
      <c r="M121" s="8">
        <f>'Pod summary (leaderboard)'!AC16</f>
        <v>0</v>
      </c>
    </row>
    <row r="122">
      <c r="A122" s="0" t="inlineStr">
        <is>
          <t xml:space="preserve">Random 14</t>
        </is>
      </c>
      <c r="B122" s="8">
        <f>'Pod summary (leaderboard)'!AD2</f>
        <v>1</v>
      </c>
      <c r="C122" s="8">
        <f>'Pod summary (leaderboard)'!AD3</f>
        <v>1.692</v>
      </c>
      <c r="D122" s="8">
        <f>'Pod summary (leaderboard)'!AD4</f>
        <v>1.692</v>
      </c>
      <c r="E122" s="8">
        <f>'Pod summary (leaderboard)'!AD11</f>
      </c>
      <c r="F122" s="8">
        <f>'Pod summary (leaderboard)'!AD5</f>
        <v>-5.273</v>
      </c>
      <c r="G122" s="12">
        <f>'Pod summary (leaderboard)'!AD6</f>
        <v>0.6263</v>
      </c>
      <c r="H122" s="8">
        <f>'Pod summary (leaderboard)'!AD7</f>
        <v>0.0579</v>
      </c>
      <c r="I122" s="8">
        <f>'Pod summary (leaderboard)'!AD8</f>
      </c>
      <c r="J122" s="8">
        <f>'Pod summary (leaderboard)'!AD13</f>
        <v>0.1365026037759824</v>
      </c>
      <c r="K122" s="8">
        <f>'Pod summary (leaderboard)'!AD14</f>
      </c>
      <c r="L122" s="8">
        <f>'Pod summary (leaderboard)'!AD15</f>
        <v>169.2</v>
      </c>
      <c r="M122" s="8">
        <f>'Pod summary (leaderboard)'!AD16</f>
        <v>0</v>
      </c>
    </row>
    <row r="123">
      <c r="A123" s="0" t="inlineStr">
        <is>
          <t xml:space="preserve">Random 15</t>
        </is>
      </c>
      <c r="B123" s="8">
        <f>'Pod summary (leaderboard)'!AE2</f>
        <v>1</v>
      </c>
      <c r="C123" s="8">
        <f>'Pod summary (leaderboard)'!AE3</f>
        <v>-13.795</v>
      </c>
      <c r="D123" s="8">
        <f>'Pod summary (leaderboard)'!AE4</f>
        <v>-13.795</v>
      </c>
      <c r="E123" s="8">
        <f>'Pod summary (leaderboard)'!AE11</f>
      </c>
      <c r="F123" s="8">
        <f>'Pod summary (leaderboard)'!AE5</f>
        <v>-21.721</v>
      </c>
      <c r="G123" s="12">
        <f>'Pod summary (leaderboard)'!AE6</f>
        <v>0.4</v>
      </c>
      <c r="H123" s="8">
        <f>'Pod summary (leaderboard)'!AE7</f>
        <v>-0.0193</v>
      </c>
      <c r="I123" s="8">
        <f>'Pod summary (leaderboard)'!AE8</f>
      </c>
      <c r="J123" s="8">
        <f>'Pod summary (leaderboard)'!AE13</f>
        <v>-2.30702259379512</v>
      </c>
      <c r="K123" s="8">
        <f>'Pod summary (leaderboard)'!AE14</f>
      </c>
      <c r="L123" s="8">
        <f>'Pod summary (leaderboard)'!AE15</f>
        <v>-1379.5</v>
      </c>
      <c r="M123" s="8">
        <f>'Pod summary (leaderboard)'!AE16</f>
        <v>0</v>
      </c>
    </row>
    <row r="124">
      <c r="A124" s="0" t="inlineStr">
        <is>
          <t xml:space="preserve">Random 16</t>
        </is>
      </c>
      <c r="B124" s="8">
        <f>'Pod summary (leaderboard)'!AF2</f>
        <v>1</v>
      </c>
      <c r="C124" s="8">
        <f>'Pod summary (leaderboard)'!AF3</f>
        <v>-1.212</v>
      </c>
      <c r="D124" s="8">
        <f>'Pod summary (leaderboard)'!AF4</f>
        <v>-1.212</v>
      </c>
      <c r="E124" s="8">
        <f>'Pod summary (leaderboard)'!AF11</f>
      </c>
      <c r="F124" s="8">
        <f>'Pod summary (leaderboard)'!AF5</f>
        <v>-11.774000000000001</v>
      </c>
      <c r="G124" s="12">
        <f>'Pod summary (leaderboard)'!AF6</f>
        <v>0.52</v>
      </c>
      <c r="H124" s="8">
        <f>'Pod summary (leaderboard)'!AF7</f>
        <v>-0.0384</v>
      </c>
      <c r="I124" s="8">
        <f>'Pod summary (leaderboard)'!AF8</f>
      </c>
      <c r="J124" s="8">
        <f>'Pod summary (leaderboard)'!AF13</f>
        <v>-0.3216879543531893</v>
      </c>
      <c r="K124" s="8">
        <f>'Pod summary (leaderboard)'!AF14</f>
      </c>
      <c r="L124" s="8">
        <f>'Pod summary (leaderboard)'!AF15</f>
        <v>-121.2</v>
      </c>
      <c r="M124" s="8">
        <f>'Pod summary (leaderboard)'!AF16</f>
        <v>0</v>
      </c>
    </row>
    <row r="125">
      <c r="A125" s="0" t="inlineStr">
        <is>
          <t xml:space="preserve">Random 17</t>
        </is>
      </c>
      <c r="B125" s="8">
        <f>'Pod summary (leaderboard)'!AG2</f>
        <v>1</v>
      </c>
      <c r="C125" s="8">
        <f>'Pod summary (leaderboard)'!AG3</f>
        <v>-2.98</v>
      </c>
      <c r="D125" s="8">
        <f>'Pod summary (leaderboard)'!AG4</f>
        <v>-2.98</v>
      </c>
      <c r="E125" s="8">
        <f>'Pod summary (leaderboard)'!AG11</f>
      </c>
      <c r="F125" s="8">
        <f>'Pod summary (leaderboard)'!AG5</f>
        <v>-13.443</v>
      </c>
      <c r="G125" s="12">
        <f>'Pod summary (leaderboard)'!AG6</f>
        <v>0.45</v>
      </c>
      <c r="H125" s="8">
        <f>'Pod summary (leaderboard)'!AG7</f>
        <v>-0.0086</v>
      </c>
      <c r="I125" s="8">
        <f>'Pod summary (leaderboard)'!AG8</f>
      </c>
      <c r="J125" s="8">
        <f>'Pod summary (leaderboard)'!AG13</f>
        <v>-0.600641434646707</v>
      </c>
      <c r="K125" s="8">
        <f>'Pod summary (leaderboard)'!AG14</f>
      </c>
      <c r="L125" s="8">
        <f>'Pod summary (leaderboard)'!AG15</f>
        <v>-298</v>
      </c>
      <c r="M125" s="8">
        <f>'Pod summary (leaderboard)'!AG16</f>
        <v>0</v>
      </c>
    </row>
    <row r="126">
      <c r="A126" s="0" t="inlineStr">
        <is>
          <t xml:space="preserve">Random 18</t>
        </is>
      </c>
      <c r="B126" s="8">
        <f>'Pod summary (leaderboard)'!AH2</f>
        <v>1</v>
      </c>
      <c r="C126" s="8">
        <f>'Pod summary (leaderboard)'!AH3</f>
        <v>10.83</v>
      </c>
      <c r="D126" s="8">
        <f>'Pod summary (leaderboard)'!AH4</f>
        <v>10.83</v>
      </c>
      <c r="E126" s="8">
        <f>'Pod summary (leaderboard)'!AH11</f>
      </c>
      <c r="F126" s="8">
        <f>'Pod summary (leaderboard)'!AH5</f>
        <v>-1.8100000000000005</v>
      </c>
      <c r="G126" s="12">
        <f>'Pod summary (leaderboard)'!AH6</f>
        <v>0.51</v>
      </c>
      <c r="H126" s="8">
        <f>'Pod summary (leaderboard)'!AH7</f>
        <v>0.007</v>
      </c>
      <c r="I126" s="8">
        <f>'Pod summary (leaderboard)'!AH8</f>
      </c>
      <c r="J126" s="8">
        <f>'Pod summary (leaderboard)'!AH13</f>
        <v>1.5782881823518677</v>
      </c>
      <c r="K126" s="8">
        <f>'Pod summary (leaderboard)'!AH14</f>
      </c>
      <c r="L126" s="8">
        <f>'Pod summary (leaderboard)'!AH15</f>
        <v>1083</v>
      </c>
      <c r="M126" s="8">
        <f>'Pod summary (leaderboard)'!AH16</f>
        <v>0</v>
      </c>
    </row>
    <row r="127">
      <c r="A127" s="0" t="inlineStr">
        <is>
          <t xml:space="preserve">Random 19</t>
        </is>
      </c>
      <c r="B127" s="8">
        <f>'Pod summary (leaderboard)'!AI2</f>
        <v>1</v>
      </c>
      <c r="C127" s="8">
        <f>'Pod summary (leaderboard)'!AI3</f>
        <v>5.56</v>
      </c>
      <c r="D127" s="8">
        <f>'Pod summary (leaderboard)'!AI4</f>
        <v>5.56</v>
      </c>
      <c r="E127" s="8">
        <f>'Pod summary (leaderboard)'!AI11</f>
      </c>
      <c r="F127" s="8">
        <f>'Pod summary (leaderboard)'!AI5</f>
        <v>-8.638</v>
      </c>
      <c r="G127" s="12">
        <f>'Pod summary (leaderboard)'!AI6</f>
        <v>0.51</v>
      </c>
      <c r="H127" s="8">
        <f>'Pod summary (leaderboard)'!AI7</f>
        <v>-0.0102</v>
      </c>
      <c r="I127" s="8">
        <f>'Pod summary (leaderboard)'!AI8</f>
      </c>
      <c r="J127" s="8">
        <f>'Pod summary (leaderboard)'!AI13</f>
        <v>0.746792231476959</v>
      </c>
      <c r="K127" s="8">
        <f>'Pod summary (leaderboard)'!AI14</f>
      </c>
      <c r="L127" s="8">
        <f>'Pod summary (leaderboard)'!AI15</f>
        <v>556</v>
      </c>
      <c r="M127" s="8">
        <f>'Pod summary (leaderboard)'!AI16</f>
        <v>0</v>
      </c>
    </row>
    <row r="128">
      <c r="A128" s="0" t="inlineStr">
        <is>
          <t xml:space="preserve">Random 20</t>
        </is>
      </c>
      <c r="B128" s="8">
        <f>'Pod summary (leaderboard)'!AJ2</f>
        <v>1</v>
      </c>
      <c r="C128" s="8">
        <f>'Pod summary (leaderboard)'!AJ3</f>
        <v>5.013</v>
      </c>
      <c r="D128" s="8">
        <f>'Pod summary (leaderboard)'!AJ4</f>
        <v>5.013</v>
      </c>
      <c r="E128" s="8">
        <f>'Pod summary (leaderboard)'!AJ11</f>
      </c>
      <c r="F128" s="8">
        <f>'Pod summary (leaderboard)'!AJ5</f>
        <v>-4.861</v>
      </c>
      <c r="G128" s="12">
        <f>'Pod summary (leaderboard)'!AJ6</f>
        <v>0.45</v>
      </c>
      <c r="H128" s="8">
        <f>'Pod summary (leaderboard)'!AJ7</f>
        <v>-0.0314</v>
      </c>
      <c r="I128" s="8">
        <f>'Pod summary (leaderboard)'!AJ8</f>
      </c>
      <c r="J128" s="8">
        <f>'Pod summary (leaderboard)'!AJ13</f>
        <v>0.6604870540332066</v>
      </c>
      <c r="K128" s="8">
        <f>'Pod summary (leaderboard)'!AJ14</f>
      </c>
      <c r="L128" s="8">
        <f>'Pod summary (leaderboard)'!AJ15</f>
        <v>501.3</v>
      </c>
      <c r="M128" s="8">
        <f>'Pod summary (leaderboard)'!AJ16</f>
        <v>0</v>
      </c>
    </row>
    <row r="130">
      <c r="A130" s="1" t="inlineStr">
        <is>
          <t xml:space="preserve">Fund and null distribution</t>
        </is>
      </c>
    </row>
    <row r="131">
      <c r="A131" s="1" t="inlineStr">
        <is>
          <t xml:space="preserve">line</t>
        </is>
      </c>
      <c r="B131" s="1" t="inlineStr">
        <is>
          <t xml:space="preserve">value</t>
        </is>
      </c>
    </row>
    <row r="132">
      <c r="A132" s="0" t="inlineStr">
        <is>
          <t xml:space="preserve">Evaluated trading days</t>
        </is>
      </c>
      <c r="B132" s="4">
        <f>'Fund and null distribution'!B2</f>
        <v>1</v>
      </c>
    </row>
    <row r="133">
      <c r="A133" s="0" t="inlineStr">
        <is>
          <t xml:space="preserve">LLM pods</t>
        </is>
      </c>
      <c r="B133" s="4">
        <f>'Fund and null distribution'!B3</f>
        <v>10</v>
      </c>
    </row>
    <row r="134">
      <c r="A134" s="0" t="inlineStr">
        <is>
          <t xml:space="preserve">Random pods</t>
        </is>
      </c>
      <c r="B134" s="4">
        <f>'Fund and null distribution'!B4</f>
        <v>20</v>
      </c>
    </row>
    <row r="135">
      <c r="A135" s="0" t="inlineStr">
        <is>
          <t xml:space="preserve">LLM pods: mean excess, bps/day</t>
        </is>
      </c>
      <c r="B135" s="8">
        <f>'Fund and null distribution'!B5</f>
        <v>1.3032000000000004</v>
      </c>
    </row>
    <row r="136">
      <c r="A136" s="0" t="inlineStr">
        <is>
          <t xml:space="preserve">LLM pods: best mean, bps/day</t>
        </is>
      </c>
      <c r="B136" s="8">
        <f>'Fund and null distribution'!B6</f>
        <v>17.164</v>
      </c>
    </row>
    <row r="137">
      <c r="A137" s="0" t="inlineStr">
        <is>
          <t xml:space="preserve">LLM pods: best t-stat</t>
        </is>
      </c>
      <c r="B137" s="4">
        <f>'Fund and null distribution'!B7</f>
      </c>
    </row>
    <row r="138">
      <c r="A138" s="0" t="inlineStr">
        <is>
          <t xml:space="preserve">Random pods: mean, bps/day</t>
        </is>
      </c>
      <c r="B138" s="8">
        <f>'Fund and null distribution'!B8</f>
        <v>0.82685</v>
      </c>
    </row>
    <row r="139">
      <c r="A139" s="0" t="inlineStr">
        <is>
          <t xml:space="preserve">Random pods: mean of squared means</t>
        </is>
      </c>
      <c r="B139" s="8">
        <f>'Fund and null distribution'!B9</f>
        <v>40.85359965</v>
      </c>
    </row>
    <row r="140">
      <c r="A140" s="0" t="inlineStr">
        <is>
          <t xml:space="preserve">Random pods: sd of means, bps/day</t>
        </is>
      </c>
      <c r="B140" s="8">
        <f>'Fund and null distribution'!B10</f>
        <v>6.3379743394478965</v>
      </c>
    </row>
    <row r="141">
      <c r="A141" s="0" t="inlineStr">
        <is>
          <t xml:space="preserve">Random pods: best mean, bps/day</t>
        </is>
      </c>
      <c r="B141" s="8">
        <f>'Fund and null distribution'!B11</f>
        <v>13.888</v>
      </c>
    </row>
    <row r="142">
      <c r="A142" s="0" t="inlineStr">
        <is>
          <t xml:space="preserve">Random pods: best t-stat</t>
        </is>
      </c>
      <c r="B142" s="4">
        <f>'Fund and null distribution'!B12</f>
      </c>
    </row>
    <row r="143">
      <c r="A143" s="0" t="inlineStr">
        <is>
          <t xml:space="preserve">Naive pods: best mean, bps/day</t>
        </is>
      </c>
      <c r="B143" s="8">
        <f>'Fund and null distribution'!B13</f>
        <v>13.654</v>
      </c>
    </row>
    <row r="144">
      <c r="A144" s="0" t="inlineStr">
        <is>
          <t xml:space="preserve">Pods meeting the skill bar</t>
        </is>
      </c>
      <c r="B144" s="4">
        <f>'Fund and null distribution'!B14</f>
        <v>0</v>
      </c>
    </row>
    <row r="145">
      <c r="A145" s="0" t="inlineStr">
        <is>
          <t xml:space="preserve">LLM cost to date, $</t>
        </is>
      </c>
      <c r="B145" s="8">
        <f>'Fund and null distribution'!B15</f>
        <v>0.97179068</v>
      </c>
    </row>
    <row r="146">
      <c r="A146" s="0" t="inlineStr">
        <is>
          <t xml:space="preserve">LLM cost per trading day, $</t>
        </is>
      </c>
      <c r="B146" s="8">
        <f>'Fund and null distribution'!B16</f>
        <v>0.48589534</v>
      </c>
    </row>
    <row r="147">
      <c r="A147" s="0" t="inlineStr">
        <is>
          <t xml:space="preserve">FMP calls to date</t>
        </is>
      </c>
      <c r="B147" s="4">
        <f>'Fund and null distribution'!B17</f>
        <v>16847</v>
      </c>
    </row>
    <row r="148">
      <c r="A148" s="0" t="inlineStr">
        <is>
          <t xml:space="preserve">Isolated pods: mean, bps/day</t>
        </is>
      </c>
      <c r="B148" s="8">
        <f>'Fund and null distribution'!B18</f>
        <v>8.539000000000001</v>
      </c>
    </row>
    <row r="149">
      <c r="A149" s="0" t="inlineStr">
        <is>
          <t xml:space="preserve">Sharing pods: mean, bps/day</t>
        </is>
      </c>
      <c r="B149" s="8">
        <f>'Fund and null distribution'!B19</f>
        <v>-0.5057499999999999</v>
      </c>
    </row>
    <row r="151">
      <c r="A151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Assumptions: edit prices, cost, thresholds, notional</t>
        </is>
      </c>
      <c r="B1" s="3" t="inlineStr">
        <is>
          <t xml:space="preserve">Inputs: edit the blue cells on the 'Assumptions (edit)' sheet; this table follows them.</t>
        </is>
      </c>
    </row>
    <row r="2">
      <c r="A2" s="1" t="inlineStr">
        <is>
          <t xml:space="preserve">line</t>
        </is>
      </c>
      <c r="B2" s="1" t="inlineStr">
        <is>
          <t xml:space="preserve">value</t>
        </is>
      </c>
    </row>
    <row r="3">
      <c r="A3" s="0" t="inlineStr">
        <is>
          <t xml:space="preserve">LLM price, $ per M input tokens</t>
        </is>
      </c>
      <c r="B3" s="8">
        <f>'Assumptions (edit)'!B2</f>
        <v>0.25</v>
      </c>
    </row>
    <row r="4">
      <c r="A4" s="0" t="inlineStr">
        <is>
          <t xml:space="preserve">LLM price, $ per M output tokens</t>
        </is>
      </c>
      <c r="B4" s="8">
        <f>'Assumptions (edit)'!B3</f>
        <v>0.69</v>
      </c>
    </row>
    <row r="5">
      <c r="A5" s="0" t="inlineStr">
        <is>
          <t xml:space="preserve">Assumed round-trip cost, bps</t>
        </is>
      </c>
      <c r="B5" s="4">
        <f>'Assumptions (edit)'!B4</f>
        <v>10</v>
      </c>
    </row>
    <row r="6">
      <c r="A6" s="0" t="inlineStr">
        <is>
          <t xml:space="preserve">t-stat required to call it skill</t>
        </is>
      </c>
      <c r="B6" s="4">
        <f>'Assumptions (edit)'!B5</f>
        <v>3</v>
      </c>
    </row>
    <row r="7">
      <c r="A7" s="0" t="inlineStr">
        <is>
          <t xml:space="preserve">Watch horizon, trading days</t>
        </is>
      </c>
      <c r="B7" s="4">
        <f>'Assumptions (edit)'!B6</f>
        <v>100</v>
      </c>
    </row>
    <row r="8">
      <c r="A8" s="0" t="inlineStr">
        <is>
          <t xml:space="preserve">Notional per pod, $</t>
        </is>
      </c>
      <c r="B8" s="4">
        <f>'Assumptions (edit)'!B7</f>
        <v>100000</v>
      </c>
    </row>
    <row r="10">
      <c r="A10" s="1" t="inlineStr">
        <is>
          <t xml:space="preserve">Fund by month</t>
        </is>
      </c>
    </row>
    <row r="11">
      <c r="A11" s="1" t="inlineStr">
        <is>
          <t xml:space="preserve">line</t>
        </is>
      </c>
      <c r="B11" s="1" t="inlineStr">
        <is>
          <t xml:space="preserve">Sep-26</t>
        </is>
      </c>
      <c r="C11" s="1" t="inlineStr">
        <is>
          <t xml:space="preserve">Oct-26</t>
        </is>
      </c>
      <c r="D11" s="1" t="inlineStr">
        <is>
          <t xml:space="preserve">Nov-26</t>
        </is>
      </c>
      <c r="E11" s="1" t="inlineStr">
        <is>
          <t xml:space="preserve">Dec-26</t>
        </is>
      </c>
      <c r="F11" s="1" t="inlineStr">
        <is>
          <t xml:space="preserve">Jan-27</t>
        </is>
      </c>
      <c r="G11" s="1" t="inlineStr">
        <is>
          <t xml:space="preserve">Feb-27</t>
        </is>
      </c>
    </row>
    <row r="12">
      <c r="A12" s="0" t="inlineStr">
        <is>
          <t xml:space="preserve">Trading days in horizon</t>
        </is>
      </c>
      <c r="B12" s="4">
        <f>'Fund by month'!B2</f>
        <v>7</v>
      </c>
      <c r="C12" s="4">
        <f>'Fund by month'!C2</f>
        <v>22</v>
      </c>
      <c r="D12" s="4">
        <f>'Fund by month'!D2</f>
        <v>20</v>
      </c>
      <c r="E12" s="4">
        <f>'Fund by month'!E2</f>
        <v>22</v>
      </c>
      <c r="F12" s="4">
        <f>'Fund by month'!F2</f>
        <v>19</v>
      </c>
      <c r="G12" s="4">
        <f>'Fund by month'!G2</f>
        <v>10</v>
      </c>
    </row>
    <row r="13">
      <c r="A13" s="0" t="inlineStr">
        <is>
          <t xml:space="preserve">Evaluated days</t>
        </is>
      </c>
      <c r="B13" s="4">
        <f>'Fund by month'!B3</f>
        <v>1</v>
      </c>
      <c r="C13" s="4">
        <f>'Fund by month'!C3</f>
        <v>0</v>
      </c>
      <c r="D13" s="4">
        <f>'Fund by month'!D3</f>
        <v>0</v>
      </c>
      <c r="E13" s="4">
        <f>'Fund by month'!E3</f>
        <v>0</v>
      </c>
      <c r="F13" s="4">
        <f>'Fund by month'!F3</f>
        <v>0</v>
      </c>
      <c r="G13" s="4">
        <f>'Fund by month'!G3</f>
        <v>0</v>
      </c>
    </row>
    <row r="14">
      <c r="A14" s="0" t="inlineStr">
        <is>
          <t xml:space="preserve">LLM pods: average excess, bps/day</t>
        </is>
      </c>
      <c r="B14" s="8">
        <f>'Fund by month'!B4</f>
        <v>1.3032000000000004</v>
      </c>
      <c r="C14" s="8">
        <f>'Fund by month'!C4</f>
      </c>
      <c r="D14" s="8">
        <f>'Fund by month'!D4</f>
      </c>
      <c r="E14" s="8">
        <f>'Fund by month'!E4</f>
      </c>
      <c r="F14" s="8">
        <f>'Fund by month'!F4</f>
      </c>
      <c r="G14" s="8">
        <f>'Fund by month'!G4</f>
      </c>
    </row>
    <row r="15">
      <c r="A15" s="0" t="inlineStr">
        <is>
          <t xml:space="preserve">Random pods: average, bps/day</t>
        </is>
      </c>
      <c r="B15" s="8">
        <f>'Fund by month'!B5</f>
        <v>0.82685</v>
      </c>
      <c r="C15" s="8">
        <f>'Fund by month'!C5</f>
      </c>
      <c r="D15" s="8">
        <f>'Fund by month'!D5</f>
      </c>
      <c r="E15" s="8">
        <f>'Fund by month'!E5</f>
      </c>
      <c r="F15" s="8">
        <f>'Fund by month'!F5</f>
      </c>
      <c r="G15" s="8">
        <f>'Fund by month'!G5</f>
      </c>
    </row>
    <row r="16">
      <c r="A16" s="0" t="inlineStr">
        <is>
          <t xml:space="preserve">LLM cost, $</t>
        </is>
      </c>
      <c r="B16" s="8">
        <f>'Fund by month'!B6</f>
        <v>0.97179068</v>
      </c>
      <c r="C16" s="8">
        <f>'Fund by month'!C6</f>
        <v>0</v>
      </c>
      <c r="D16" s="8">
        <f>'Fund by month'!D6</f>
        <v>0</v>
      </c>
      <c r="E16" s="8">
        <f>'Fund by month'!E6</f>
        <v>0</v>
      </c>
      <c r="F16" s="8">
        <f>'Fund by month'!F6</f>
        <v>0</v>
      </c>
      <c r="G16" s="8">
        <f>'Fund by month'!G6</f>
        <v>0</v>
      </c>
    </row>
    <row r="17">
      <c r="A17" s="0" t="inlineStr">
        <is>
          <t xml:space="preserve">FMP calls</t>
        </is>
      </c>
      <c r="B17" s="4">
        <f>'Fund by month'!B7</f>
        <v>16847</v>
      </c>
      <c r="C17" s="4">
        <f>'Fund by month'!C7</f>
        <v>0</v>
      </c>
      <c r="D17" s="4">
        <f>'Fund by month'!D7</f>
        <v>0</v>
      </c>
      <c r="E17" s="4">
        <f>'Fund by month'!E7</f>
        <v>0</v>
      </c>
      <c r="F17" s="4">
        <f>'Fund by month'!F7</f>
        <v>0</v>
      </c>
      <c r="G17" s="4">
        <f>'Fund by month'!G7</f>
        <v>0</v>
      </c>
    </row>
    <row r="19">
      <c r="A19" s="1" t="inlineStr">
        <is>
          <t xml:space="preserve">LLM cost per trading day ($)</t>
        </is>
      </c>
    </row>
    <row r="20">
      <c r="A20" s="1" t="inlineStr">
        <is>
          <t xml:space="preserve">line</t>
        </is>
      </c>
      <c r="B20" s="1" t="inlineStr">
        <is>
          <t xml:space="preserve">09-22</t>
        </is>
      </c>
      <c r="C20" s="1" t="inlineStr">
        <is>
          <t xml:space="preserve">09-23</t>
        </is>
      </c>
      <c r="D20" s="1" t="inlineStr">
        <is>
          <t xml:space="preserve">09-24</t>
        </is>
      </c>
      <c r="E20" s="1" t="inlineStr">
        <is>
          <t xml:space="preserve">09-25</t>
        </is>
      </c>
      <c r="F20" s="1" t="inlineStr">
        <is>
          <t xml:space="preserve">09-28</t>
        </is>
      </c>
      <c r="G20" s="1" t="inlineStr">
        <is>
          <t xml:space="preserve">09-29</t>
        </is>
      </c>
      <c r="H20" s="1" t="inlineStr">
        <is>
          <t xml:space="preserve">09-30</t>
        </is>
      </c>
      <c r="I20" s="1" t="inlineStr">
        <is>
          <t xml:space="preserve">10-01</t>
        </is>
      </c>
      <c r="J20" s="1" t="inlineStr">
        <is>
          <t xml:space="preserve">10-02</t>
        </is>
      </c>
      <c r="K20" s="1" t="inlineStr">
        <is>
          <t xml:space="preserve">10-05</t>
        </is>
      </c>
      <c r="L20" s="1" t="inlineStr">
        <is>
          <t xml:space="preserve">10-06</t>
        </is>
      </c>
      <c r="M20" s="1" t="inlineStr">
        <is>
          <t xml:space="preserve">10-07</t>
        </is>
      </c>
      <c r="N20" s="1" t="inlineStr">
        <is>
          <t xml:space="preserve">10-08</t>
        </is>
      </c>
      <c r="O20" s="1" t="inlineStr">
        <is>
          <t xml:space="preserve">10-09</t>
        </is>
      </c>
      <c r="P20" s="1" t="inlineStr">
        <is>
          <t xml:space="preserve">10-12</t>
        </is>
      </c>
      <c r="Q20" s="1" t="inlineStr">
        <is>
          <t xml:space="preserve">10-13</t>
        </is>
      </c>
      <c r="R20" s="1" t="inlineStr">
        <is>
          <t xml:space="preserve">10-14</t>
        </is>
      </c>
      <c r="S20" s="1" t="inlineStr">
        <is>
          <t xml:space="preserve">10-15</t>
        </is>
      </c>
      <c r="T20" s="1" t="inlineStr">
        <is>
          <t xml:space="preserve">10-16</t>
        </is>
      </c>
      <c r="U20" s="1" t="inlineStr">
        <is>
          <t xml:space="preserve">10-19</t>
        </is>
      </c>
      <c r="V20" s="1" t="inlineStr">
        <is>
          <t xml:space="preserve">10-20</t>
        </is>
      </c>
      <c r="W20" s="1" t="inlineStr">
        <is>
          <t xml:space="preserve">10-21</t>
        </is>
      </c>
      <c r="X20" s="1" t="inlineStr">
        <is>
          <t xml:space="preserve">10-22</t>
        </is>
      </c>
      <c r="Y20" s="1" t="inlineStr">
        <is>
          <t xml:space="preserve">10-23</t>
        </is>
      </c>
      <c r="Z20" s="1" t="inlineStr">
        <is>
          <t xml:space="preserve">10-26</t>
        </is>
      </c>
      <c r="AA20" s="1" t="inlineStr">
        <is>
          <t xml:space="preserve">10-27</t>
        </is>
      </c>
      <c r="AB20" s="1" t="inlineStr">
        <is>
          <t xml:space="preserve">10-28</t>
        </is>
      </c>
      <c r="AC20" s="1" t="inlineStr">
        <is>
          <t xml:space="preserve">10-29</t>
        </is>
      </c>
      <c r="AD20" s="1" t="inlineStr">
        <is>
          <t xml:space="preserve">10-30</t>
        </is>
      </c>
      <c r="AE20" s="1" t="inlineStr">
        <is>
          <t xml:space="preserve">11-02</t>
        </is>
      </c>
      <c r="AF20" s="1" t="inlineStr">
        <is>
          <t xml:space="preserve">11-03</t>
        </is>
      </c>
      <c r="AG20" s="1" t="inlineStr">
        <is>
          <t xml:space="preserve">11-04</t>
        </is>
      </c>
      <c r="AH20" s="1" t="inlineStr">
        <is>
          <t xml:space="preserve">11-05</t>
        </is>
      </c>
      <c r="AI20" s="1" t="inlineStr">
        <is>
          <t xml:space="preserve">11-06</t>
        </is>
      </c>
      <c r="AJ20" s="1" t="inlineStr">
        <is>
          <t xml:space="preserve">11-09</t>
        </is>
      </c>
      <c r="AK20" s="1" t="inlineStr">
        <is>
          <t xml:space="preserve">11-10</t>
        </is>
      </c>
      <c r="AL20" s="1" t="inlineStr">
        <is>
          <t xml:space="preserve">11-11</t>
        </is>
      </c>
      <c r="AM20" s="1" t="inlineStr">
        <is>
          <t xml:space="preserve">11-12</t>
        </is>
      </c>
      <c r="AN20" s="1" t="inlineStr">
        <is>
          <t xml:space="preserve">11-13</t>
        </is>
      </c>
      <c r="AO20" s="1" t="inlineStr">
        <is>
          <t xml:space="preserve">11-16</t>
        </is>
      </c>
      <c r="AP20" s="1" t="inlineStr">
        <is>
          <t xml:space="preserve">11-17</t>
        </is>
      </c>
      <c r="AQ20" s="1" t="inlineStr">
        <is>
          <t xml:space="preserve">11-18</t>
        </is>
      </c>
      <c r="AR20" s="1" t="inlineStr">
        <is>
          <t xml:space="preserve">11-19</t>
        </is>
      </c>
      <c r="AS20" s="1" t="inlineStr">
        <is>
          <t xml:space="preserve">11-20</t>
        </is>
      </c>
      <c r="AT20" s="1" t="inlineStr">
        <is>
          <t xml:space="preserve">11-23</t>
        </is>
      </c>
      <c r="AU20" s="1" t="inlineStr">
        <is>
          <t xml:space="preserve">11-24</t>
        </is>
      </c>
      <c r="AV20" s="1" t="inlineStr">
        <is>
          <t xml:space="preserve">11-25</t>
        </is>
      </c>
      <c r="AW20" s="1" t="inlineStr">
        <is>
          <t xml:space="preserve">11-27</t>
        </is>
      </c>
      <c r="AX20" s="1" t="inlineStr">
        <is>
          <t xml:space="preserve">11-30</t>
        </is>
      </c>
      <c r="AY20" s="1" t="inlineStr">
        <is>
          <t xml:space="preserve">12-01</t>
        </is>
      </c>
      <c r="AZ20" s="1" t="inlineStr">
        <is>
          <t xml:space="preserve">12-02</t>
        </is>
      </c>
      <c r="BA20" s="1" t="inlineStr">
        <is>
          <t xml:space="preserve">12-03</t>
        </is>
      </c>
      <c r="BB20" s="1" t="inlineStr">
        <is>
          <t xml:space="preserve">12-04</t>
        </is>
      </c>
      <c r="BC20" s="1" t="inlineStr">
        <is>
          <t xml:space="preserve">12-07</t>
        </is>
      </c>
      <c r="BD20" s="1" t="inlineStr">
        <is>
          <t xml:space="preserve">12-08</t>
        </is>
      </c>
      <c r="BE20" s="1" t="inlineStr">
        <is>
          <t xml:space="preserve">12-09</t>
        </is>
      </c>
      <c r="BF20" s="1" t="inlineStr">
        <is>
          <t xml:space="preserve">12-10</t>
        </is>
      </c>
      <c r="BG20" s="1" t="inlineStr">
        <is>
          <t xml:space="preserve">12-11</t>
        </is>
      </c>
      <c r="BH20" s="1" t="inlineStr">
        <is>
          <t xml:space="preserve">12-14</t>
        </is>
      </c>
      <c r="BI20" s="1" t="inlineStr">
        <is>
          <t xml:space="preserve">12-15</t>
        </is>
      </c>
      <c r="BJ20" s="1" t="inlineStr">
        <is>
          <t xml:space="preserve">12-16</t>
        </is>
      </c>
      <c r="BK20" s="1" t="inlineStr">
        <is>
          <t xml:space="preserve">12-17</t>
        </is>
      </c>
      <c r="BL20" s="1" t="inlineStr">
        <is>
          <t xml:space="preserve">12-18</t>
        </is>
      </c>
      <c r="BM20" s="1" t="inlineStr">
        <is>
          <t xml:space="preserve">12-21</t>
        </is>
      </c>
      <c r="BN20" s="1" t="inlineStr">
        <is>
          <t xml:space="preserve">12-22</t>
        </is>
      </c>
      <c r="BO20" s="1" t="inlineStr">
        <is>
          <t xml:space="preserve">12-23</t>
        </is>
      </c>
      <c r="BP20" s="1" t="inlineStr">
        <is>
          <t xml:space="preserve">12-24</t>
        </is>
      </c>
      <c r="BQ20" s="1" t="inlineStr">
        <is>
          <t xml:space="preserve">12-28</t>
        </is>
      </c>
      <c r="BR20" s="1" t="inlineStr">
        <is>
          <t xml:space="preserve">12-29</t>
        </is>
      </c>
      <c r="BS20" s="1" t="inlineStr">
        <is>
          <t xml:space="preserve">12-30</t>
        </is>
      </c>
      <c r="BT20" s="1" t="inlineStr">
        <is>
          <t xml:space="preserve">12-31</t>
        </is>
      </c>
      <c r="BU20" s="1" t="inlineStr">
        <is>
          <t xml:space="preserve">01-04</t>
        </is>
      </c>
      <c r="BV20" s="1" t="inlineStr">
        <is>
          <t xml:space="preserve">01-05</t>
        </is>
      </c>
      <c r="BW20" s="1" t="inlineStr">
        <is>
          <t xml:space="preserve">01-06</t>
        </is>
      </c>
      <c r="BX20" s="1" t="inlineStr">
        <is>
          <t xml:space="preserve">01-07</t>
        </is>
      </c>
      <c r="BY20" s="1" t="inlineStr">
        <is>
          <t xml:space="preserve">01-08</t>
        </is>
      </c>
      <c r="BZ20" s="1" t="inlineStr">
        <is>
          <t xml:space="preserve">01-11</t>
        </is>
      </c>
      <c r="CA20" s="1" t="inlineStr">
        <is>
          <t xml:space="preserve">01-12</t>
        </is>
      </c>
      <c r="CB20" s="1" t="inlineStr">
        <is>
          <t xml:space="preserve">01-13</t>
        </is>
      </c>
      <c r="CC20" s="1" t="inlineStr">
        <is>
          <t xml:space="preserve">01-14</t>
        </is>
      </c>
      <c r="CD20" s="1" t="inlineStr">
        <is>
          <t xml:space="preserve">01-15</t>
        </is>
      </c>
      <c r="CE20" s="1" t="inlineStr">
        <is>
          <t xml:space="preserve">01-19</t>
        </is>
      </c>
      <c r="CF20" s="1" t="inlineStr">
        <is>
          <t xml:space="preserve">01-20</t>
        </is>
      </c>
      <c r="CG20" s="1" t="inlineStr">
        <is>
          <t xml:space="preserve">01-21</t>
        </is>
      </c>
      <c r="CH20" s="1" t="inlineStr">
        <is>
          <t xml:space="preserve">01-22</t>
        </is>
      </c>
      <c r="CI20" s="1" t="inlineStr">
        <is>
          <t xml:space="preserve">01-25</t>
        </is>
      </c>
      <c r="CJ20" s="1" t="inlineStr">
        <is>
          <t xml:space="preserve">01-26</t>
        </is>
      </c>
      <c r="CK20" s="1" t="inlineStr">
        <is>
          <t xml:space="preserve">01-27</t>
        </is>
      </c>
      <c r="CL20" s="1" t="inlineStr">
        <is>
          <t xml:space="preserve">01-28</t>
        </is>
      </c>
      <c r="CM20" s="1" t="inlineStr">
        <is>
          <t xml:space="preserve">01-29</t>
        </is>
      </c>
      <c r="CN20" s="1" t="inlineStr">
        <is>
          <t xml:space="preserve">02-01</t>
        </is>
      </c>
      <c r="CO20" s="1" t="inlineStr">
        <is>
          <t xml:space="preserve">02-02</t>
        </is>
      </c>
      <c r="CP20" s="1" t="inlineStr">
        <is>
          <t xml:space="preserve">02-03</t>
        </is>
      </c>
      <c r="CQ20" s="1" t="inlineStr">
        <is>
          <t xml:space="preserve">02-04</t>
        </is>
      </c>
      <c r="CR20" s="1" t="inlineStr">
        <is>
          <t xml:space="preserve">02-05</t>
        </is>
      </c>
      <c r="CS20" s="1" t="inlineStr">
        <is>
          <t xml:space="preserve">02-08</t>
        </is>
      </c>
      <c r="CT20" s="1" t="inlineStr">
        <is>
          <t xml:space="preserve">02-09</t>
        </is>
      </c>
      <c r="CU20" s="1" t="inlineStr">
        <is>
          <t xml:space="preserve">02-10</t>
        </is>
      </c>
      <c r="CV20" s="1" t="inlineStr">
        <is>
          <t xml:space="preserve">02-11</t>
        </is>
      </c>
      <c r="CW20" s="1" t="inlineStr">
        <is>
          <t xml:space="preserve">02-12</t>
        </is>
      </c>
    </row>
    <row r="21">
      <c r="A21" s="0" t="inlineStr">
        <is>
          <t xml:space="preserve">LLM cost, $</t>
        </is>
      </c>
      <c r="B21" s="8">
        <f>'Fund by trading day'!B13</f>
        <v>0.53601575</v>
      </c>
      <c r="C21" s="8">
        <f>'Fund by trading day'!C13</f>
        <v>0.43577493</v>
      </c>
      <c r="D21" s="8">
        <f>'Fund by trading day'!D13</f>
        <v>0</v>
      </c>
      <c r="E21" s="8">
        <f>'Fund by trading day'!E13</f>
        <v>0</v>
      </c>
      <c r="F21" s="8">
        <f>'Fund by trading day'!F13</f>
        <v>0</v>
      </c>
      <c r="G21" s="8">
        <f>'Fund by trading day'!G13</f>
        <v>0</v>
      </c>
      <c r="H21" s="8">
        <f>'Fund by trading day'!H13</f>
        <v>0</v>
      </c>
      <c r="I21" s="8">
        <f>'Fund by trading day'!I13</f>
        <v>0</v>
      </c>
      <c r="J21" s="8">
        <f>'Fund by trading day'!J13</f>
        <v>0</v>
      </c>
      <c r="K21" s="8">
        <f>'Fund by trading day'!K13</f>
        <v>0</v>
      </c>
      <c r="L21" s="8">
        <f>'Fund by trading day'!L13</f>
        <v>0</v>
      </c>
      <c r="M21" s="8">
        <f>'Fund by trading day'!M13</f>
        <v>0</v>
      </c>
      <c r="N21" s="8">
        <f>'Fund by trading day'!N13</f>
        <v>0</v>
      </c>
      <c r="O21" s="8">
        <f>'Fund by trading day'!O13</f>
        <v>0</v>
      </c>
      <c r="P21" s="8">
        <f>'Fund by trading day'!P13</f>
        <v>0</v>
      </c>
      <c r="Q21" s="8">
        <f>'Fund by trading day'!Q13</f>
        <v>0</v>
      </c>
      <c r="R21" s="8">
        <f>'Fund by trading day'!R13</f>
        <v>0</v>
      </c>
      <c r="S21" s="8">
        <f>'Fund by trading day'!S13</f>
        <v>0</v>
      </c>
      <c r="T21" s="8">
        <f>'Fund by trading day'!T13</f>
        <v>0</v>
      </c>
      <c r="U21" s="8">
        <f>'Fund by trading day'!U13</f>
        <v>0</v>
      </c>
      <c r="V21" s="8">
        <f>'Fund by trading day'!V13</f>
        <v>0</v>
      </c>
      <c r="W21" s="8">
        <f>'Fund by trading day'!W13</f>
        <v>0</v>
      </c>
      <c r="X21" s="8">
        <f>'Fund by trading day'!X13</f>
        <v>0</v>
      </c>
      <c r="Y21" s="8">
        <f>'Fund by trading day'!Y13</f>
        <v>0</v>
      </c>
      <c r="Z21" s="8">
        <f>'Fund by trading day'!Z13</f>
        <v>0</v>
      </c>
      <c r="AA21" s="8">
        <f>'Fund by trading day'!AA13</f>
        <v>0</v>
      </c>
      <c r="AB21" s="8">
        <f>'Fund by trading day'!AB13</f>
        <v>0</v>
      </c>
      <c r="AC21" s="8">
        <f>'Fund by trading day'!AC13</f>
        <v>0</v>
      </c>
      <c r="AD21" s="8">
        <f>'Fund by trading day'!AD13</f>
        <v>0</v>
      </c>
      <c r="AE21" s="8">
        <f>'Fund by trading day'!AE13</f>
        <v>0</v>
      </c>
      <c r="AF21" s="8">
        <f>'Fund by trading day'!AF13</f>
        <v>0</v>
      </c>
      <c r="AG21" s="8">
        <f>'Fund by trading day'!AG13</f>
        <v>0</v>
      </c>
      <c r="AH21" s="8">
        <f>'Fund by trading day'!AH13</f>
        <v>0</v>
      </c>
      <c r="AI21" s="8">
        <f>'Fund by trading day'!AI13</f>
        <v>0</v>
      </c>
      <c r="AJ21" s="8">
        <f>'Fund by trading day'!AJ13</f>
        <v>0</v>
      </c>
      <c r="AK21" s="8">
        <f>'Fund by trading day'!AK13</f>
        <v>0</v>
      </c>
      <c r="AL21" s="8">
        <f>'Fund by trading day'!AL13</f>
        <v>0</v>
      </c>
      <c r="AM21" s="8">
        <f>'Fund by trading day'!AM13</f>
        <v>0</v>
      </c>
      <c r="AN21" s="8">
        <f>'Fund by trading day'!AN13</f>
        <v>0</v>
      </c>
      <c r="AO21" s="8">
        <f>'Fund by trading day'!AO13</f>
        <v>0</v>
      </c>
      <c r="AP21" s="8">
        <f>'Fund by trading day'!AP13</f>
        <v>0</v>
      </c>
      <c r="AQ21" s="8">
        <f>'Fund by trading day'!AQ13</f>
        <v>0</v>
      </c>
      <c r="AR21" s="8">
        <f>'Fund by trading day'!AR13</f>
        <v>0</v>
      </c>
      <c r="AS21" s="8">
        <f>'Fund by trading day'!AS13</f>
        <v>0</v>
      </c>
      <c r="AT21" s="8">
        <f>'Fund by trading day'!AT13</f>
        <v>0</v>
      </c>
      <c r="AU21" s="8">
        <f>'Fund by trading day'!AU13</f>
        <v>0</v>
      </c>
      <c r="AV21" s="8">
        <f>'Fund by trading day'!AV13</f>
        <v>0</v>
      </c>
      <c r="AW21" s="8">
        <f>'Fund by trading day'!AW13</f>
        <v>0</v>
      </c>
      <c r="AX21" s="8">
        <f>'Fund by trading day'!AX13</f>
        <v>0</v>
      </c>
      <c r="AY21" s="8">
        <f>'Fund by trading day'!AY13</f>
        <v>0</v>
      </c>
      <c r="AZ21" s="8">
        <f>'Fund by trading day'!AZ13</f>
        <v>0</v>
      </c>
      <c r="BA21" s="8">
        <f>'Fund by trading day'!BA13</f>
        <v>0</v>
      </c>
      <c r="BB21" s="8">
        <f>'Fund by trading day'!BB13</f>
        <v>0</v>
      </c>
      <c r="BC21" s="8">
        <f>'Fund by trading day'!BC13</f>
        <v>0</v>
      </c>
      <c r="BD21" s="8">
        <f>'Fund by trading day'!BD13</f>
        <v>0</v>
      </c>
      <c r="BE21" s="8">
        <f>'Fund by trading day'!BE13</f>
        <v>0</v>
      </c>
      <c r="BF21" s="8">
        <f>'Fund by trading day'!BF13</f>
        <v>0</v>
      </c>
      <c r="BG21" s="8">
        <f>'Fund by trading day'!BG13</f>
        <v>0</v>
      </c>
      <c r="BH21" s="8">
        <f>'Fund by trading day'!BH13</f>
        <v>0</v>
      </c>
      <c r="BI21" s="8">
        <f>'Fund by trading day'!BI13</f>
        <v>0</v>
      </c>
      <c r="BJ21" s="8">
        <f>'Fund by trading day'!BJ13</f>
        <v>0</v>
      </c>
      <c r="BK21" s="8">
        <f>'Fund by trading day'!BK13</f>
        <v>0</v>
      </c>
      <c r="BL21" s="8">
        <f>'Fund by trading day'!BL13</f>
        <v>0</v>
      </c>
      <c r="BM21" s="8">
        <f>'Fund by trading day'!BM13</f>
        <v>0</v>
      </c>
      <c r="BN21" s="8">
        <f>'Fund by trading day'!BN13</f>
        <v>0</v>
      </c>
      <c r="BO21" s="8">
        <f>'Fund by trading day'!BO13</f>
        <v>0</v>
      </c>
      <c r="BP21" s="8">
        <f>'Fund by trading day'!BP13</f>
        <v>0</v>
      </c>
      <c r="BQ21" s="8">
        <f>'Fund by trading day'!BQ13</f>
        <v>0</v>
      </c>
      <c r="BR21" s="8">
        <f>'Fund by trading day'!BR13</f>
        <v>0</v>
      </c>
      <c r="BS21" s="8">
        <f>'Fund by trading day'!BS13</f>
        <v>0</v>
      </c>
      <c r="BT21" s="8">
        <f>'Fund by trading day'!BT13</f>
        <v>0</v>
      </c>
      <c r="BU21" s="8">
        <f>'Fund by trading day'!BU13</f>
        <v>0</v>
      </c>
      <c r="BV21" s="8">
        <f>'Fund by trading day'!BV13</f>
        <v>0</v>
      </c>
      <c r="BW21" s="8">
        <f>'Fund by trading day'!BW13</f>
        <v>0</v>
      </c>
      <c r="BX21" s="8">
        <f>'Fund by trading day'!BX13</f>
        <v>0</v>
      </c>
      <c r="BY21" s="8">
        <f>'Fund by trading day'!BY13</f>
        <v>0</v>
      </c>
      <c r="BZ21" s="8">
        <f>'Fund by trading day'!BZ13</f>
        <v>0</v>
      </c>
      <c r="CA21" s="8">
        <f>'Fund by trading day'!CA13</f>
        <v>0</v>
      </c>
      <c r="CB21" s="8">
        <f>'Fund by trading day'!CB13</f>
        <v>0</v>
      </c>
      <c r="CC21" s="8">
        <f>'Fund by trading day'!CC13</f>
        <v>0</v>
      </c>
      <c r="CD21" s="8">
        <f>'Fund by trading day'!CD13</f>
        <v>0</v>
      </c>
      <c r="CE21" s="8">
        <f>'Fund by trading day'!CE13</f>
        <v>0</v>
      </c>
      <c r="CF21" s="8">
        <f>'Fund by trading day'!CF13</f>
        <v>0</v>
      </c>
      <c r="CG21" s="8">
        <f>'Fund by trading day'!CG13</f>
        <v>0</v>
      </c>
      <c r="CH21" s="8">
        <f>'Fund by trading day'!CH13</f>
        <v>0</v>
      </c>
      <c r="CI21" s="8">
        <f>'Fund by trading day'!CI13</f>
        <v>0</v>
      </c>
      <c r="CJ21" s="8">
        <f>'Fund by trading day'!CJ13</f>
        <v>0</v>
      </c>
      <c r="CK21" s="8">
        <f>'Fund by trading day'!CK13</f>
        <v>0</v>
      </c>
      <c r="CL21" s="8">
        <f>'Fund by trading day'!CL13</f>
        <v>0</v>
      </c>
      <c r="CM21" s="8">
        <f>'Fund by trading day'!CM13</f>
        <v>0</v>
      </c>
      <c r="CN21" s="8">
        <f>'Fund by trading day'!CN13</f>
        <v>0</v>
      </c>
      <c r="CO21" s="8">
        <f>'Fund by trading day'!CO13</f>
        <v>0</v>
      </c>
      <c r="CP21" s="8">
        <f>'Fund by trading day'!CP13</f>
        <v>0</v>
      </c>
      <c r="CQ21" s="8">
        <f>'Fund by trading day'!CQ13</f>
        <v>0</v>
      </c>
      <c r="CR21" s="8">
        <f>'Fund by trading day'!CR13</f>
        <v>0</v>
      </c>
      <c r="CS21" s="8">
        <f>'Fund by trading day'!CS13</f>
        <v>0</v>
      </c>
      <c r="CT21" s="8">
        <f>'Fund by trading day'!CT13</f>
        <v>0</v>
      </c>
      <c r="CU21" s="8">
        <f>'Fund by trading day'!CU13</f>
        <v>0</v>
      </c>
      <c r="CV21" s="8">
        <f>'Fund by trading day'!CV13</f>
        <v>0</v>
      </c>
      <c r="CW21" s="8">
        <f>'Fund by trading day'!CW13</f>
        <v>0</v>
      </c>
    </row>
    <row r="40">
      <c r="A40" s="1" t="inlineStr">
        <is>
          <t xml:space="preserve">External API calls per day</t>
        </is>
      </c>
    </row>
    <row r="41">
      <c r="A41" s="1" t="inlineStr">
        <is>
          <t xml:space="preserve">line</t>
        </is>
      </c>
      <c r="B41" s="1" t="inlineStr">
        <is>
          <t xml:space="preserve">09-22</t>
        </is>
      </c>
      <c r="C41" s="1" t="inlineStr">
        <is>
          <t xml:space="preserve">09-23</t>
        </is>
      </c>
      <c r="D41" s="1" t="inlineStr">
        <is>
          <t xml:space="preserve">09-24</t>
        </is>
      </c>
      <c r="E41" s="1" t="inlineStr">
        <is>
          <t xml:space="preserve">09-25</t>
        </is>
      </c>
      <c r="F41" s="1" t="inlineStr">
        <is>
          <t xml:space="preserve">09-28</t>
        </is>
      </c>
      <c r="G41" s="1" t="inlineStr">
        <is>
          <t xml:space="preserve">09-29</t>
        </is>
      </c>
      <c r="H41" s="1" t="inlineStr">
        <is>
          <t xml:space="preserve">09-30</t>
        </is>
      </c>
      <c r="I41" s="1" t="inlineStr">
        <is>
          <t xml:space="preserve">10-01</t>
        </is>
      </c>
      <c r="J41" s="1" t="inlineStr">
        <is>
          <t xml:space="preserve">10-02</t>
        </is>
      </c>
      <c r="K41" s="1" t="inlineStr">
        <is>
          <t xml:space="preserve">10-05</t>
        </is>
      </c>
      <c r="L41" s="1" t="inlineStr">
        <is>
          <t xml:space="preserve">10-06</t>
        </is>
      </c>
      <c r="M41" s="1" t="inlineStr">
        <is>
          <t xml:space="preserve">10-07</t>
        </is>
      </c>
      <c r="N41" s="1" t="inlineStr">
        <is>
          <t xml:space="preserve">10-08</t>
        </is>
      </c>
      <c r="O41" s="1" t="inlineStr">
        <is>
          <t xml:space="preserve">10-09</t>
        </is>
      </c>
      <c r="P41" s="1" t="inlineStr">
        <is>
          <t xml:space="preserve">10-12</t>
        </is>
      </c>
      <c r="Q41" s="1" t="inlineStr">
        <is>
          <t xml:space="preserve">10-13</t>
        </is>
      </c>
      <c r="R41" s="1" t="inlineStr">
        <is>
          <t xml:space="preserve">10-14</t>
        </is>
      </c>
      <c r="S41" s="1" t="inlineStr">
        <is>
          <t xml:space="preserve">10-15</t>
        </is>
      </c>
      <c r="T41" s="1" t="inlineStr">
        <is>
          <t xml:space="preserve">10-16</t>
        </is>
      </c>
      <c r="U41" s="1" t="inlineStr">
        <is>
          <t xml:space="preserve">10-19</t>
        </is>
      </c>
      <c r="V41" s="1" t="inlineStr">
        <is>
          <t xml:space="preserve">10-20</t>
        </is>
      </c>
      <c r="W41" s="1" t="inlineStr">
        <is>
          <t xml:space="preserve">10-21</t>
        </is>
      </c>
      <c r="X41" s="1" t="inlineStr">
        <is>
          <t xml:space="preserve">10-22</t>
        </is>
      </c>
      <c r="Y41" s="1" t="inlineStr">
        <is>
          <t xml:space="preserve">10-23</t>
        </is>
      </c>
      <c r="Z41" s="1" t="inlineStr">
        <is>
          <t xml:space="preserve">10-26</t>
        </is>
      </c>
      <c r="AA41" s="1" t="inlineStr">
        <is>
          <t xml:space="preserve">10-27</t>
        </is>
      </c>
      <c r="AB41" s="1" t="inlineStr">
        <is>
          <t xml:space="preserve">10-28</t>
        </is>
      </c>
      <c r="AC41" s="1" t="inlineStr">
        <is>
          <t xml:space="preserve">10-29</t>
        </is>
      </c>
      <c r="AD41" s="1" t="inlineStr">
        <is>
          <t xml:space="preserve">10-30</t>
        </is>
      </c>
      <c r="AE41" s="1" t="inlineStr">
        <is>
          <t xml:space="preserve">11-02</t>
        </is>
      </c>
      <c r="AF41" s="1" t="inlineStr">
        <is>
          <t xml:space="preserve">11-03</t>
        </is>
      </c>
      <c r="AG41" s="1" t="inlineStr">
        <is>
          <t xml:space="preserve">11-04</t>
        </is>
      </c>
      <c r="AH41" s="1" t="inlineStr">
        <is>
          <t xml:space="preserve">11-05</t>
        </is>
      </c>
      <c r="AI41" s="1" t="inlineStr">
        <is>
          <t xml:space="preserve">11-06</t>
        </is>
      </c>
      <c r="AJ41" s="1" t="inlineStr">
        <is>
          <t xml:space="preserve">11-09</t>
        </is>
      </c>
      <c r="AK41" s="1" t="inlineStr">
        <is>
          <t xml:space="preserve">11-10</t>
        </is>
      </c>
      <c r="AL41" s="1" t="inlineStr">
        <is>
          <t xml:space="preserve">11-11</t>
        </is>
      </c>
      <c r="AM41" s="1" t="inlineStr">
        <is>
          <t xml:space="preserve">11-12</t>
        </is>
      </c>
      <c r="AN41" s="1" t="inlineStr">
        <is>
          <t xml:space="preserve">11-13</t>
        </is>
      </c>
      <c r="AO41" s="1" t="inlineStr">
        <is>
          <t xml:space="preserve">11-16</t>
        </is>
      </c>
      <c r="AP41" s="1" t="inlineStr">
        <is>
          <t xml:space="preserve">11-17</t>
        </is>
      </c>
      <c r="AQ41" s="1" t="inlineStr">
        <is>
          <t xml:space="preserve">11-18</t>
        </is>
      </c>
      <c r="AR41" s="1" t="inlineStr">
        <is>
          <t xml:space="preserve">11-19</t>
        </is>
      </c>
      <c r="AS41" s="1" t="inlineStr">
        <is>
          <t xml:space="preserve">11-20</t>
        </is>
      </c>
      <c r="AT41" s="1" t="inlineStr">
        <is>
          <t xml:space="preserve">11-23</t>
        </is>
      </c>
      <c r="AU41" s="1" t="inlineStr">
        <is>
          <t xml:space="preserve">11-24</t>
        </is>
      </c>
      <c r="AV41" s="1" t="inlineStr">
        <is>
          <t xml:space="preserve">11-25</t>
        </is>
      </c>
      <c r="AW41" s="1" t="inlineStr">
        <is>
          <t xml:space="preserve">11-27</t>
        </is>
      </c>
      <c r="AX41" s="1" t="inlineStr">
        <is>
          <t xml:space="preserve">11-30</t>
        </is>
      </c>
      <c r="AY41" s="1" t="inlineStr">
        <is>
          <t xml:space="preserve">12-01</t>
        </is>
      </c>
      <c r="AZ41" s="1" t="inlineStr">
        <is>
          <t xml:space="preserve">12-02</t>
        </is>
      </c>
      <c r="BA41" s="1" t="inlineStr">
        <is>
          <t xml:space="preserve">12-03</t>
        </is>
      </c>
      <c r="BB41" s="1" t="inlineStr">
        <is>
          <t xml:space="preserve">12-04</t>
        </is>
      </c>
      <c r="BC41" s="1" t="inlineStr">
        <is>
          <t xml:space="preserve">12-07</t>
        </is>
      </c>
      <c r="BD41" s="1" t="inlineStr">
        <is>
          <t xml:space="preserve">12-08</t>
        </is>
      </c>
      <c r="BE41" s="1" t="inlineStr">
        <is>
          <t xml:space="preserve">12-09</t>
        </is>
      </c>
      <c r="BF41" s="1" t="inlineStr">
        <is>
          <t xml:space="preserve">12-10</t>
        </is>
      </c>
      <c r="BG41" s="1" t="inlineStr">
        <is>
          <t xml:space="preserve">12-11</t>
        </is>
      </c>
      <c r="BH41" s="1" t="inlineStr">
        <is>
          <t xml:space="preserve">12-14</t>
        </is>
      </c>
      <c r="BI41" s="1" t="inlineStr">
        <is>
          <t xml:space="preserve">12-15</t>
        </is>
      </c>
      <c r="BJ41" s="1" t="inlineStr">
        <is>
          <t xml:space="preserve">12-16</t>
        </is>
      </c>
      <c r="BK41" s="1" t="inlineStr">
        <is>
          <t xml:space="preserve">12-17</t>
        </is>
      </c>
      <c r="BL41" s="1" t="inlineStr">
        <is>
          <t xml:space="preserve">12-18</t>
        </is>
      </c>
      <c r="BM41" s="1" t="inlineStr">
        <is>
          <t xml:space="preserve">12-21</t>
        </is>
      </c>
      <c r="BN41" s="1" t="inlineStr">
        <is>
          <t xml:space="preserve">12-22</t>
        </is>
      </c>
      <c r="BO41" s="1" t="inlineStr">
        <is>
          <t xml:space="preserve">12-23</t>
        </is>
      </c>
      <c r="BP41" s="1" t="inlineStr">
        <is>
          <t xml:space="preserve">12-24</t>
        </is>
      </c>
      <c r="BQ41" s="1" t="inlineStr">
        <is>
          <t xml:space="preserve">12-28</t>
        </is>
      </c>
      <c r="BR41" s="1" t="inlineStr">
        <is>
          <t xml:space="preserve">12-29</t>
        </is>
      </c>
      <c r="BS41" s="1" t="inlineStr">
        <is>
          <t xml:space="preserve">12-30</t>
        </is>
      </c>
      <c r="BT41" s="1" t="inlineStr">
        <is>
          <t xml:space="preserve">12-31</t>
        </is>
      </c>
      <c r="BU41" s="1" t="inlineStr">
        <is>
          <t xml:space="preserve">01-04</t>
        </is>
      </c>
      <c r="BV41" s="1" t="inlineStr">
        <is>
          <t xml:space="preserve">01-05</t>
        </is>
      </c>
      <c r="BW41" s="1" t="inlineStr">
        <is>
          <t xml:space="preserve">01-06</t>
        </is>
      </c>
      <c r="BX41" s="1" t="inlineStr">
        <is>
          <t xml:space="preserve">01-07</t>
        </is>
      </c>
      <c r="BY41" s="1" t="inlineStr">
        <is>
          <t xml:space="preserve">01-08</t>
        </is>
      </c>
      <c r="BZ41" s="1" t="inlineStr">
        <is>
          <t xml:space="preserve">01-11</t>
        </is>
      </c>
      <c r="CA41" s="1" t="inlineStr">
        <is>
          <t xml:space="preserve">01-12</t>
        </is>
      </c>
      <c r="CB41" s="1" t="inlineStr">
        <is>
          <t xml:space="preserve">01-13</t>
        </is>
      </c>
      <c r="CC41" s="1" t="inlineStr">
        <is>
          <t xml:space="preserve">01-14</t>
        </is>
      </c>
      <c r="CD41" s="1" t="inlineStr">
        <is>
          <t xml:space="preserve">01-15</t>
        </is>
      </c>
      <c r="CE41" s="1" t="inlineStr">
        <is>
          <t xml:space="preserve">01-19</t>
        </is>
      </c>
      <c r="CF41" s="1" t="inlineStr">
        <is>
          <t xml:space="preserve">01-20</t>
        </is>
      </c>
      <c r="CG41" s="1" t="inlineStr">
        <is>
          <t xml:space="preserve">01-21</t>
        </is>
      </c>
      <c r="CH41" s="1" t="inlineStr">
        <is>
          <t xml:space="preserve">01-22</t>
        </is>
      </c>
      <c r="CI41" s="1" t="inlineStr">
        <is>
          <t xml:space="preserve">01-25</t>
        </is>
      </c>
      <c r="CJ41" s="1" t="inlineStr">
        <is>
          <t xml:space="preserve">01-26</t>
        </is>
      </c>
      <c r="CK41" s="1" t="inlineStr">
        <is>
          <t xml:space="preserve">01-27</t>
        </is>
      </c>
      <c r="CL41" s="1" t="inlineStr">
        <is>
          <t xml:space="preserve">01-28</t>
        </is>
      </c>
      <c r="CM41" s="1" t="inlineStr">
        <is>
          <t xml:space="preserve">01-29</t>
        </is>
      </c>
      <c r="CN41" s="1" t="inlineStr">
        <is>
          <t xml:space="preserve">02-01</t>
        </is>
      </c>
      <c r="CO41" s="1" t="inlineStr">
        <is>
          <t xml:space="preserve">02-02</t>
        </is>
      </c>
      <c r="CP41" s="1" t="inlineStr">
        <is>
          <t xml:space="preserve">02-03</t>
        </is>
      </c>
      <c r="CQ41" s="1" t="inlineStr">
        <is>
          <t xml:space="preserve">02-04</t>
        </is>
      </c>
      <c r="CR41" s="1" t="inlineStr">
        <is>
          <t xml:space="preserve">02-05</t>
        </is>
      </c>
      <c r="CS41" s="1" t="inlineStr">
        <is>
          <t xml:space="preserve">02-08</t>
        </is>
      </c>
      <c r="CT41" s="1" t="inlineStr">
        <is>
          <t xml:space="preserve">02-09</t>
        </is>
      </c>
      <c r="CU41" s="1" t="inlineStr">
        <is>
          <t xml:space="preserve">02-10</t>
        </is>
      </c>
      <c r="CV41" s="1" t="inlineStr">
        <is>
          <t xml:space="preserve">02-11</t>
        </is>
      </c>
      <c r="CW41" s="1" t="inlineStr">
        <is>
          <t xml:space="preserve">02-12</t>
        </is>
      </c>
    </row>
    <row r="42">
      <c r="A42" s="0" t="inlineStr">
        <is>
          <t xml:space="preserve">FMP calls</t>
        </is>
      </c>
      <c r="B42" s="4">
        <f>'Fund by trading day'!B15</f>
        <v>15355</v>
      </c>
      <c r="C42" s="4">
        <f>'Fund by trading day'!C15</f>
        <v>1492</v>
      </c>
      <c r="D42" s="4">
        <f>'Fund by trading day'!D15</f>
        <v>0</v>
      </c>
      <c r="E42" s="4">
        <f>'Fund by trading day'!E15</f>
        <v>0</v>
      </c>
      <c r="F42" s="4">
        <f>'Fund by trading day'!F15</f>
        <v>0</v>
      </c>
      <c r="G42" s="4">
        <f>'Fund by trading day'!G15</f>
        <v>0</v>
      </c>
      <c r="H42" s="4">
        <f>'Fund by trading day'!H15</f>
        <v>0</v>
      </c>
      <c r="I42" s="4">
        <f>'Fund by trading day'!I15</f>
        <v>0</v>
      </c>
      <c r="J42" s="4">
        <f>'Fund by trading day'!J15</f>
        <v>0</v>
      </c>
      <c r="K42" s="4">
        <f>'Fund by trading day'!K15</f>
        <v>0</v>
      </c>
      <c r="L42" s="4">
        <f>'Fund by trading day'!L15</f>
        <v>0</v>
      </c>
      <c r="M42" s="4">
        <f>'Fund by trading day'!M15</f>
        <v>0</v>
      </c>
      <c r="N42" s="4">
        <f>'Fund by trading day'!N15</f>
        <v>0</v>
      </c>
      <c r="O42" s="4">
        <f>'Fund by trading day'!O15</f>
        <v>0</v>
      </c>
      <c r="P42" s="4">
        <f>'Fund by trading day'!P15</f>
        <v>0</v>
      </c>
      <c r="Q42" s="4">
        <f>'Fund by trading day'!Q15</f>
        <v>0</v>
      </c>
      <c r="R42" s="4">
        <f>'Fund by trading day'!R15</f>
        <v>0</v>
      </c>
      <c r="S42" s="4">
        <f>'Fund by trading day'!S15</f>
        <v>0</v>
      </c>
      <c r="T42" s="4">
        <f>'Fund by trading day'!T15</f>
        <v>0</v>
      </c>
      <c r="U42" s="4">
        <f>'Fund by trading day'!U15</f>
        <v>0</v>
      </c>
      <c r="V42" s="4">
        <f>'Fund by trading day'!V15</f>
        <v>0</v>
      </c>
      <c r="W42" s="4">
        <f>'Fund by trading day'!W15</f>
        <v>0</v>
      </c>
      <c r="X42" s="4">
        <f>'Fund by trading day'!X15</f>
        <v>0</v>
      </c>
      <c r="Y42" s="4">
        <f>'Fund by trading day'!Y15</f>
        <v>0</v>
      </c>
      <c r="Z42" s="4">
        <f>'Fund by trading day'!Z15</f>
        <v>0</v>
      </c>
      <c r="AA42" s="4">
        <f>'Fund by trading day'!AA15</f>
        <v>0</v>
      </c>
      <c r="AB42" s="4">
        <f>'Fund by trading day'!AB15</f>
        <v>0</v>
      </c>
      <c r="AC42" s="4">
        <f>'Fund by trading day'!AC15</f>
        <v>0</v>
      </c>
      <c r="AD42" s="4">
        <f>'Fund by trading day'!AD15</f>
        <v>0</v>
      </c>
      <c r="AE42" s="4">
        <f>'Fund by trading day'!AE15</f>
        <v>0</v>
      </c>
      <c r="AF42" s="4">
        <f>'Fund by trading day'!AF15</f>
        <v>0</v>
      </c>
      <c r="AG42" s="4">
        <f>'Fund by trading day'!AG15</f>
        <v>0</v>
      </c>
      <c r="AH42" s="4">
        <f>'Fund by trading day'!AH15</f>
        <v>0</v>
      </c>
      <c r="AI42" s="4">
        <f>'Fund by trading day'!AI15</f>
        <v>0</v>
      </c>
      <c r="AJ42" s="4">
        <f>'Fund by trading day'!AJ15</f>
        <v>0</v>
      </c>
      <c r="AK42" s="4">
        <f>'Fund by trading day'!AK15</f>
        <v>0</v>
      </c>
      <c r="AL42" s="4">
        <f>'Fund by trading day'!AL15</f>
        <v>0</v>
      </c>
      <c r="AM42" s="4">
        <f>'Fund by trading day'!AM15</f>
        <v>0</v>
      </c>
      <c r="AN42" s="4">
        <f>'Fund by trading day'!AN15</f>
        <v>0</v>
      </c>
      <c r="AO42" s="4">
        <f>'Fund by trading day'!AO15</f>
        <v>0</v>
      </c>
      <c r="AP42" s="4">
        <f>'Fund by trading day'!AP15</f>
        <v>0</v>
      </c>
      <c r="AQ42" s="4">
        <f>'Fund by trading day'!AQ15</f>
        <v>0</v>
      </c>
      <c r="AR42" s="4">
        <f>'Fund by trading day'!AR15</f>
        <v>0</v>
      </c>
      <c r="AS42" s="4">
        <f>'Fund by trading day'!AS15</f>
        <v>0</v>
      </c>
      <c r="AT42" s="4">
        <f>'Fund by trading day'!AT15</f>
        <v>0</v>
      </c>
      <c r="AU42" s="4">
        <f>'Fund by trading day'!AU15</f>
        <v>0</v>
      </c>
      <c r="AV42" s="4">
        <f>'Fund by trading day'!AV15</f>
        <v>0</v>
      </c>
      <c r="AW42" s="4">
        <f>'Fund by trading day'!AW15</f>
        <v>0</v>
      </c>
      <c r="AX42" s="4">
        <f>'Fund by trading day'!AX15</f>
        <v>0</v>
      </c>
      <c r="AY42" s="4">
        <f>'Fund by trading day'!AY15</f>
        <v>0</v>
      </c>
      <c r="AZ42" s="4">
        <f>'Fund by trading day'!AZ15</f>
        <v>0</v>
      </c>
      <c r="BA42" s="4">
        <f>'Fund by trading day'!BA15</f>
        <v>0</v>
      </c>
      <c r="BB42" s="4">
        <f>'Fund by trading day'!BB15</f>
        <v>0</v>
      </c>
      <c r="BC42" s="4">
        <f>'Fund by trading day'!BC15</f>
        <v>0</v>
      </c>
      <c r="BD42" s="4">
        <f>'Fund by trading day'!BD15</f>
        <v>0</v>
      </c>
      <c r="BE42" s="4">
        <f>'Fund by trading day'!BE15</f>
        <v>0</v>
      </c>
      <c r="BF42" s="4">
        <f>'Fund by trading day'!BF15</f>
        <v>0</v>
      </c>
      <c r="BG42" s="4">
        <f>'Fund by trading day'!BG15</f>
        <v>0</v>
      </c>
      <c r="BH42" s="4">
        <f>'Fund by trading day'!BH15</f>
        <v>0</v>
      </c>
      <c r="BI42" s="4">
        <f>'Fund by trading day'!BI15</f>
        <v>0</v>
      </c>
      <c r="BJ42" s="4">
        <f>'Fund by trading day'!BJ15</f>
        <v>0</v>
      </c>
      <c r="BK42" s="4">
        <f>'Fund by trading day'!BK15</f>
        <v>0</v>
      </c>
      <c r="BL42" s="4">
        <f>'Fund by trading day'!BL15</f>
        <v>0</v>
      </c>
      <c r="BM42" s="4">
        <f>'Fund by trading day'!BM15</f>
        <v>0</v>
      </c>
      <c r="BN42" s="4">
        <f>'Fund by trading day'!BN15</f>
        <v>0</v>
      </c>
      <c r="BO42" s="4">
        <f>'Fund by trading day'!BO15</f>
        <v>0</v>
      </c>
      <c r="BP42" s="4">
        <f>'Fund by trading day'!BP15</f>
        <v>0</v>
      </c>
      <c r="BQ42" s="4">
        <f>'Fund by trading day'!BQ15</f>
        <v>0</v>
      </c>
      <c r="BR42" s="4">
        <f>'Fund by trading day'!BR15</f>
        <v>0</v>
      </c>
      <c r="BS42" s="4">
        <f>'Fund by trading day'!BS15</f>
        <v>0</v>
      </c>
      <c r="BT42" s="4">
        <f>'Fund by trading day'!BT15</f>
        <v>0</v>
      </c>
      <c r="BU42" s="4">
        <f>'Fund by trading day'!BU15</f>
        <v>0</v>
      </c>
      <c r="BV42" s="4">
        <f>'Fund by trading day'!BV15</f>
        <v>0</v>
      </c>
      <c r="BW42" s="4">
        <f>'Fund by trading day'!BW15</f>
        <v>0</v>
      </c>
      <c r="BX42" s="4">
        <f>'Fund by trading day'!BX15</f>
        <v>0</v>
      </c>
      <c r="BY42" s="4">
        <f>'Fund by trading day'!BY15</f>
        <v>0</v>
      </c>
      <c r="BZ42" s="4">
        <f>'Fund by trading day'!BZ15</f>
        <v>0</v>
      </c>
      <c r="CA42" s="4">
        <f>'Fund by trading day'!CA15</f>
        <v>0</v>
      </c>
      <c r="CB42" s="4">
        <f>'Fund by trading day'!CB15</f>
        <v>0</v>
      </c>
      <c r="CC42" s="4">
        <f>'Fund by trading day'!CC15</f>
        <v>0</v>
      </c>
      <c r="CD42" s="4">
        <f>'Fund by trading day'!CD15</f>
        <v>0</v>
      </c>
      <c r="CE42" s="4">
        <f>'Fund by trading day'!CE15</f>
        <v>0</v>
      </c>
      <c r="CF42" s="4">
        <f>'Fund by trading day'!CF15</f>
        <v>0</v>
      </c>
      <c r="CG42" s="4">
        <f>'Fund by trading day'!CG15</f>
        <v>0</v>
      </c>
      <c r="CH42" s="4">
        <f>'Fund by trading day'!CH15</f>
        <v>0</v>
      </c>
      <c r="CI42" s="4">
        <f>'Fund by trading day'!CI15</f>
        <v>0</v>
      </c>
      <c r="CJ42" s="4">
        <f>'Fund by trading day'!CJ15</f>
        <v>0</v>
      </c>
      <c r="CK42" s="4">
        <f>'Fund by trading day'!CK15</f>
        <v>0</v>
      </c>
      <c r="CL42" s="4">
        <f>'Fund by trading day'!CL15</f>
        <v>0</v>
      </c>
      <c r="CM42" s="4">
        <f>'Fund by trading day'!CM15</f>
        <v>0</v>
      </c>
      <c r="CN42" s="4">
        <f>'Fund by trading day'!CN15</f>
        <v>0</v>
      </c>
      <c r="CO42" s="4">
        <f>'Fund by trading day'!CO15</f>
        <v>0</v>
      </c>
      <c r="CP42" s="4">
        <f>'Fund by trading day'!CP15</f>
        <v>0</v>
      </c>
      <c r="CQ42" s="4">
        <f>'Fund by trading day'!CQ15</f>
        <v>0</v>
      </c>
      <c r="CR42" s="4">
        <f>'Fund by trading day'!CR15</f>
        <v>0</v>
      </c>
      <c r="CS42" s="4">
        <f>'Fund by trading day'!CS15</f>
        <v>0</v>
      </c>
      <c r="CT42" s="4">
        <f>'Fund by trading day'!CT15</f>
        <v>0</v>
      </c>
      <c r="CU42" s="4">
        <f>'Fund by trading day'!CU15</f>
        <v>0</v>
      </c>
      <c r="CV42" s="4">
        <f>'Fund by trading day'!CV15</f>
        <v>0</v>
      </c>
      <c r="CW42" s="4">
        <f>'Fund by trading day'!CW15</f>
        <v>0</v>
      </c>
    </row>
    <row r="43">
      <c r="A43" s="0" t="inlineStr">
        <is>
          <t xml:space="preserve">SerpAPI calls</t>
        </is>
      </c>
      <c r="B43" s="4">
        <f>'Fund by trading day'!B16</f>
        <v>0</v>
      </c>
      <c r="C43" s="4">
        <f>'Fund by trading day'!C16</f>
        <v>0</v>
      </c>
      <c r="D43" s="4">
        <f>'Fund by trading day'!D16</f>
        <v>0</v>
      </c>
      <c r="E43" s="4">
        <f>'Fund by trading day'!E16</f>
        <v>0</v>
      </c>
      <c r="F43" s="4">
        <f>'Fund by trading day'!F16</f>
        <v>0</v>
      </c>
      <c r="G43" s="4">
        <f>'Fund by trading day'!G16</f>
        <v>0</v>
      </c>
      <c r="H43" s="4">
        <f>'Fund by trading day'!H16</f>
        <v>0</v>
      </c>
      <c r="I43" s="4">
        <f>'Fund by trading day'!I16</f>
        <v>0</v>
      </c>
      <c r="J43" s="4">
        <f>'Fund by trading day'!J16</f>
        <v>0</v>
      </c>
      <c r="K43" s="4">
        <f>'Fund by trading day'!K16</f>
        <v>0</v>
      </c>
      <c r="L43" s="4">
        <f>'Fund by trading day'!L16</f>
        <v>0</v>
      </c>
      <c r="M43" s="4">
        <f>'Fund by trading day'!M16</f>
        <v>0</v>
      </c>
      <c r="N43" s="4">
        <f>'Fund by trading day'!N16</f>
        <v>0</v>
      </c>
      <c r="O43" s="4">
        <f>'Fund by trading day'!O16</f>
        <v>0</v>
      </c>
      <c r="P43" s="4">
        <f>'Fund by trading day'!P16</f>
        <v>0</v>
      </c>
      <c r="Q43" s="4">
        <f>'Fund by trading day'!Q16</f>
        <v>0</v>
      </c>
      <c r="R43" s="4">
        <f>'Fund by trading day'!R16</f>
        <v>0</v>
      </c>
      <c r="S43" s="4">
        <f>'Fund by trading day'!S16</f>
        <v>0</v>
      </c>
      <c r="T43" s="4">
        <f>'Fund by trading day'!T16</f>
        <v>0</v>
      </c>
      <c r="U43" s="4">
        <f>'Fund by trading day'!U16</f>
        <v>0</v>
      </c>
      <c r="V43" s="4">
        <f>'Fund by trading day'!V16</f>
        <v>0</v>
      </c>
      <c r="W43" s="4">
        <f>'Fund by trading day'!W16</f>
        <v>0</v>
      </c>
      <c r="X43" s="4">
        <f>'Fund by trading day'!X16</f>
        <v>0</v>
      </c>
      <c r="Y43" s="4">
        <f>'Fund by trading day'!Y16</f>
        <v>0</v>
      </c>
      <c r="Z43" s="4">
        <f>'Fund by trading day'!Z16</f>
        <v>0</v>
      </c>
      <c r="AA43" s="4">
        <f>'Fund by trading day'!AA16</f>
        <v>0</v>
      </c>
      <c r="AB43" s="4">
        <f>'Fund by trading day'!AB16</f>
        <v>0</v>
      </c>
      <c r="AC43" s="4">
        <f>'Fund by trading day'!AC16</f>
        <v>0</v>
      </c>
      <c r="AD43" s="4">
        <f>'Fund by trading day'!AD16</f>
        <v>0</v>
      </c>
      <c r="AE43" s="4">
        <f>'Fund by trading day'!AE16</f>
        <v>0</v>
      </c>
      <c r="AF43" s="4">
        <f>'Fund by trading day'!AF16</f>
        <v>0</v>
      </c>
      <c r="AG43" s="4">
        <f>'Fund by trading day'!AG16</f>
        <v>0</v>
      </c>
      <c r="AH43" s="4">
        <f>'Fund by trading day'!AH16</f>
        <v>0</v>
      </c>
      <c r="AI43" s="4">
        <f>'Fund by trading day'!AI16</f>
        <v>0</v>
      </c>
      <c r="AJ43" s="4">
        <f>'Fund by trading day'!AJ16</f>
        <v>0</v>
      </c>
      <c r="AK43" s="4">
        <f>'Fund by trading day'!AK16</f>
        <v>0</v>
      </c>
      <c r="AL43" s="4">
        <f>'Fund by trading day'!AL16</f>
        <v>0</v>
      </c>
      <c r="AM43" s="4">
        <f>'Fund by trading day'!AM16</f>
        <v>0</v>
      </c>
      <c r="AN43" s="4">
        <f>'Fund by trading day'!AN16</f>
        <v>0</v>
      </c>
      <c r="AO43" s="4">
        <f>'Fund by trading day'!AO16</f>
        <v>0</v>
      </c>
      <c r="AP43" s="4">
        <f>'Fund by trading day'!AP16</f>
        <v>0</v>
      </c>
      <c r="AQ43" s="4">
        <f>'Fund by trading day'!AQ16</f>
        <v>0</v>
      </c>
      <c r="AR43" s="4">
        <f>'Fund by trading day'!AR16</f>
        <v>0</v>
      </c>
      <c r="AS43" s="4">
        <f>'Fund by trading day'!AS16</f>
        <v>0</v>
      </c>
      <c r="AT43" s="4">
        <f>'Fund by trading day'!AT16</f>
        <v>0</v>
      </c>
      <c r="AU43" s="4">
        <f>'Fund by trading day'!AU16</f>
        <v>0</v>
      </c>
      <c r="AV43" s="4">
        <f>'Fund by trading day'!AV16</f>
        <v>0</v>
      </c>
      <c r="AW43" s="4">
        <f>'Fund by trading day'!AW16</f>
        <v>0</v>
      </c>
      <c r="AX43" s="4">
        <f>'Fund by trading day'!AX16</f>
        <v>0</v>
      </c>
      <c r="AY43" s="4">
        <f>'Fund by trading day'!AY16</f>
        <v>0</v>
      </c>
      <c r="AZ43" s="4">
        <f>'Fund by trading day'!AZ16</f>
        <v>0</v>
      </c>
      <c r="BA43" s="4">
        <f>'Fund by trading day'!BA16</f>
        <v>0</v>
      </c>
      <c r="BB43" s="4">
        <f>'Fund by trading day'!BB16</f>
        <v>0</v>
      </c>
      <c r="BC43" s="4">
        <f>'Fund by trading day'!BC16</f>
        <v>0</v>
      </c>
      <c r="BD43" s="4">
        <f>'Fund by trading day'!BD16</f>
        <v>0</v>
      </c>
      <c r="BE43" s="4">
        <f>'Fund by trading day'!BE16</f>
        <v>0</v>
      </c>
      <c r="BF43" s="4">
        <f>'Fund by trading day'!BF16</f>
        <v>0</v>
      </c>
      <c r="BG43" s="4">
        <f>'Fund by trading day'!BG16</f>
        <v>0</v>
      </c>
      <c r="BH43" s="4">
        <f>'Fund by trading day'!BH16</f>
        <v>0</v>
      </c>
      <c r="BI43" s="4">
        <f>'Fund by trading day'!BI16</f>
        <v>0</v>
      </c>
      <c r="BJ43" s="4">
        <f>'Fund by trading day'!BJ16</f>
        <v>0</v>
      </c>
      <c r="BK43" s="4">
        <f>'Fund by trading day'!BK16</f>
        <v>0</v>
      </c>
      <c r="BL43" s="4">
        <f>'Fund by trading day'!BL16</f>
        <v>0</v>
      </c>
      <c r="BM43" s="4">
        <f>'Fund by trading day'!BM16</f>
        <v>0</v>
      </c>
      <c r="BN43" s="4">
        <f>'Fund by trading day'!BN16</f>
        <v>0</v>
      </c>
      <c r="BO43" s="4">
        <f>'Fund by trading day'!BO16</f>
        <v>0</v>
      </c>
      <c r="BP43" s="4">
        <f>'Fund by trading day'!BP16</f>
        <v>0</v>
      </c>
      <c r="BQ43" s="4">
        <f>'Fund by trading day'!BQ16</f>
        <v>0</v>
      </c>
      <c r="BR43" s="4">
        <f>'Fund by trading day'!BR16</f>
        <v>0</v>
      </c>
      <c r="BS43" s="4">
        <f>'Fund by trading day'!BS16</f>
        <v>0</v>
      </c>
      <c r="BT43" s="4">
        <f>'Fund by trading day'!BT16</f>
        <v>0</v>
      </c>
      <c r="BU43" s="4">
        <f>'Fund by trading day'!BU16</f>
        <v>0</v>
      </c>
      <c r="BV43" s="4">
        <f>'Fund by trading day'!BV16</f>
        <v>0</v>
      </c>
      <c r="BW43" s="4">
        <f>'Fund by trading day'!BW16</f>
        <v>0</v>
      </c>
      <c r="BX43" s="4">
        <f>'Fund by trading day'!BX16</f>
        <v>0</v>
      </c>
      <c r="BY43" s="4">
        <f>'Fund by trading day'!BY16</f>
        <v>0</v>
      </c>
      <c r="BZ43" s="4">
        <f>'Fund by trading day'!BZ16</f>
        <v>0</v>
      </c>
      <c r="CA43" s="4">
        <f>'Fund by trading day'!CA16</f>
        <v>0</v>
      </c>
      <c r="CB43" s="4">
        <f>'Fund by trading day'!CB16</f>
        <v>0</v>
      </c>
      <c r="CC43" s="4">
        <f>'Fund by trading day'!CC16</f>
        <v>0</v>
      </c>
      <c r="CD43" s="4">
        <f>'Fund by trading day'!CD16</f>
        <v>0</v>
      </c>
      <c r="CE43" s="4">
        <f>'Fund by trading day'!CE16</f>
        <v>0</v>
      </c>
      <c r="CF43" s="4">
        <f>'Fund by trading day'!CF16</f>
        <v>0</v>
      </c>
      <c r="CG43" s="4">
        <f>'Fund by trading day'!CG16</f>
        <v>0</v>
      </c>
      <c r="CH43" s="4">
        <f>'Fund by trading day'!CH16</f>
        <v>0</v>
      </c>
      <c r="CI43" s="4">
        <f>'Fund by trading day'!CI16</f>
        <v>0</v>
      </c>
      <c r="CJ43" s="4">
        <f>'Fund by trading day'!CJ16</f>
        <v>0</v>
      </c>
      <c r="CK43" s="4">
        <f>'Fund by trading day'!CK16</f>
        <v>0</v>
      </c>
      <c r="CL43" s="4">
        <f>'Fund by trading day'!CL16</f>
        <v>0</v>
      </c>
      <c r="CM43" s="4">
        <f>'Fund by trading day'!CM16</f>
        <v>0</v>
      </c>
      <c r="CN43" s="4">
        <f>'Fund by trading day'!CN16</f>
        <v>0</v>
      </c>
      <c r="CO43" s="4">
        <f>'Fund by trading day'!CO16</f>
        <v>0</v>
      </c>
      <c r="CP43" s="4">
        <f>'Fund by trading day'!CP16</f>
        <v>0</v>
      </c>
      <c r="CQ43" s="4">
        <f>'Fund by trading day'!CQ16</f>
        <v>0</v>
      </c>
      <c r="CR43" s="4">
        <f>'Fund by trading day'!CR16</f>
        <v>0</v>
      </c>
      <c r="CS43" s="4">
        <f>'Fund by trading day'!CS16</f>
        <v>0</v>
      </c>
      <c r="CT43" s="4">
        <f>'Fund by trading day'!CT16</f>
        <v>0</v>
      </c>
      <c r="CU43" s="4">
        <f>'Fund by trading day'!CU16</f>
        <v>0</v>
      </c>
      <c r="CV43" s="4">
        <f>'Fund by trading day'!CV16</f>
        <v>0</v>
      </c>
      <c r="CW43" s="4">
        <f>'Fund by trading day'!CW16</f>
        <v>0</v>
      </c>
    </row>
    <row r="62">
      <c r="A62" s="1" t="inlineStr">
        <is>
          <t xml:space="preserve">LLM pods submitting and average tool calls</t>
        </is>
      </c>
    </row>
    <row r="63">
      <c r="A63" s="1" t="inlineStr">
        <is>
          <t xml:space="preserve">line</t>
        </is>
      </c>
      <c r="B63" s="1" t="inlineStr">
        <is>
          <t xml:space="preserve">09-22</t>
        </is>
      </c>
      <c r="C63" s="1" t="inlineStr">
        <is>
          <t xml:space="preserve">09-23</t>
        </is>
      </c>
      <c r="D63" s="1" t="inlineStr">
        <is>
          <t xml:space="preserve">09-24</t>
        </is>
      </c>
      <c r="E63" s="1" t="inlineStr">
        <is>
          <t xml:space="preserve">09-25</t>
        </is>
      </c>
      <c r="F63" s="1" t="inlineStr">
        <is>
          <t xml:space="preserve">09-28</t>
        </is>
      </c>
      <c r="G63" s="1" t="inlineStr">
        <is>
          <t xml:space="preserve">09-29</t>
        </is>
      </c>
      <c r="H63" s="1" t="inlineStr">
        <is>
          <t xml:space="preserve">09-30</t>
        </is>
      </c>
      <c r="I63" s="1" t="inlineStr">
        <is>
          <t xml:space="preserve">10-01</t>
        </is>
      </c>
      <c r="J63" s="1" t="inlineStr">
        <is>
          <t xml:space="preserve">10-02</t>
        </is>
      </c>
      <c r="K63" s="1" t="inlineStr">
        <is>
          <t xml:space="preserve">10-05</t>
        </is>
      </c>
      <c r="L63" s="1" t="inlineStr">
        <is>
          <t xml:space="preserve">10-06</t>
        </is>
      </c>
      <c r="M63" s="1" t="inlineStr">
        <is>
          <t xml:space="preserve">10-07</t>
        </is>
      </c>
      <c r="N63" s="1" t="inlineStr">
        <is>
          <t xml:space="preserve">10-08</t>
        </is>
      </c>
      <c r="O63" s="1" t="inlineStr">
        <is>
          <t xml:space="preserve">10-09</t>
        </is>
      </c>
      <c r="P63" s="1" t="inlineStr">
        <is>
          <t xml:space="preserve">10-12</t>
        </is>
      </c>
      <c r="Q63" s="1" t="inlineStr">
        <is>
          <t xml:space="preserve">10-13</t>
        </is>
      </c>
      <c r="R63" s="1" t="inlineStr">
        <is>
          <t xml:space="preserve">10-14</t>
        </is>
      </c>
      <c r="S63" s="1" t="inlineStr">
        <is>
          <t xml:space="preserve">10-15</t>
        </is>
      </c>
      <c r="T63" s="1" t="inlineStr">
        <is>
          <t xml:space="preserve">10-16</t>
        </is>
      </c>
      <c r="U63" s="1" t="inlineStr">
        <is>
          <t xml:space="preserve">10-19</t>
        </is>
      </c>
      <c r="V63" s="1" t="inlineStr">
        <is>
          <t xml:space="preserve">10-20</t>
        </is>
      </c>
      <c r="W63" s="1" t="inlineStr">
        <is>
          <t xml:space="preserve">10-21</t>
        </is>
      </c>
      <c r="X63" s="1" t="inlineStr">
        <is>
          <t xml:space="preserve">10-22</t>
        </is>
      </c>
      <c r="Y63" s="1" t="inlineStr">
        <is>
          <t xml:space="preserve">10-23</t>
        </is>
      </c>
      <c r="Z63" s="1" t="inlineStr">
        <is>
          <t xml:space="preserve">10-26</t>
        </is>
      </c>
      <c r="AA63" s="1" t="inlineStr">
        <is>
          <t xml:space="preserve">10-27</t>
        </is>
      </c>
      <c r="AB63" s="1" t="inlineStr">
        <is>
          <t xml:space="preserve">10-28</t>
        </is>
      </c>
      <c r="AC63" s="1" t="inlineStr">
        <is>
          <t xml:space="preserve">10-29</t>
        </is>
      </c>
      <c r="AD63" s="1" t="inlineStr">
        <is>
          <t xml:space="preserve">10-30</t>
        </is>
      </c>
      <c r="AE63" s="1" t="inlineStr">
        <is>
          <t xml:space="preserve">11-02</t>
        </is>
      </c>
      <c r="AF63" s="1" t="inlineStr">
        <is>
          <t xml:space="preserve">11-03</t>
        </is>
      </c>
      <c r="AG63" s="1" t="inlineStr">
        <is>
          <t xml:space="preserve">11-04</t>
        </is>
      </c>
      <c r="AH63" s="1" t="inlineStr">
        <is>
          <t xml:space="preserve">11-05</t>
        </is>
      </c>
      <c r="AI63" s="1" t="inlineStr">
        <is>
          <t xml:space="preserve">11-06</t>
        </is>
      </c>
      <c r="AJ63" s="1" t="inlineStr">
        <is>
          <t xml:space="preserve">11-09</t>
        </is>
      </c>
      <c r="AK63" s="1" t="inlineStr">
        <is>
          <t xml:space="preserve">11-10</t>
        </is>
      </c>
      <c r="AL63" s="1" t="inlineStr">
        <is>
          <t xml:space="preserve">11-11</t>
        </is>
      </c>
      <c r="AM63" s="1" t="inlineStr">
        <is>
          <t xml:space="preserve">11-12</t>
        </is>
      </c>
      <c r="AN63" s="1" t="inlineStr">
        <is>
          <t xml:space="preserve">11-13</t>
        </is>
      </c>
      <c r="AO63" s="1" t="inlineStr">
        <is>
          <t xml:space="preserve">11-16</t>
        </is>
      </c>
      <c r="AP63" s="1" t="inlineStr">
        <is>
          <t xml:space="preserve">11-17</t>
        </is>
      </c>
      <c r="AQ63" s="1" t="inlineStr">
        <is>
          <t xml:space="preserve">11-18</t>
        </is>
      </c>
      <c r="AR63" s="1" t="inlineStr">
        <is>
          <t xml:space="preserve">11-19</t>
        </is>
      </c>
      <c r="AS63" s="1" t="inlineStr">
        <is>
          <t xml:space="preserve">11-20</t>
        </is>
      </c>
      <c r="AT63" s="1" t="inlineStr">
        <is>
          <t xml:space="preserve">11-23</t>
        </is>
      </c>
      <c r="AU63" s="1" t="inlineStr">
        <is>
          <t xml:space="preserve">11-24</t>
        </is>
      </c>
      <c r="AV63" s="1" t="inlineStr">
        <is>
          <t xml:space="preserve">11-25</t>
        </is>
      </c>
      <c r="AW63" s="1" t="inlineStr">
        <is>
          <t xml:space="preserve">11-27</t>
        </is>
      </c>
      <c r="AX63" s="1" t="inlineStr">
        <is>
          <t xml:space="preserve">11-30</t>
        </is>
      </c>
      <c r="AY63" s="1" t="inlineStr">
        <is>
          <t xml:space="preserve">12-01</t>
        </is>
      </c>
      <c r="AZ63" s="1" t="inlineStr">
        <is>
          <t xml:space="preserve">12-02</t>
        </is>
      </c>
      <c r="BA63" s="1" t="inlineStr">
        <is>
          <t xml:space="preserve">12-03</t>
        </is>
      </c>
      <c r="BB63" s="1" t="inlineStr">
        <is>
          <t xml:space="preserve">12-04</t>
        </is>
      </c>
      <c r="BC63" s="1" t="inlineStr">
        <is>
          <t xml:space="preserve">12-07</t>
        </is>
      </c>
      <c r="BD63" s="1" t="inlineStr">
        <is>
          <t xml:space="preserve">12-08</t>
        </is>
      </c>
      <c r="BE63" s="1" t="inlineStr">
        <is>
          <t xml:space="preserve">12-09</t>
        </is>
      </c>
      <c r="BF63" s="1" t="inlineStr">
        <is>
          <t xml:space="preserve">12-10</t>
        </is>
      </c>
      <c r="BG63" s="1" t="inlineStr">
        <is>
          <t xml:space="preserve">12-11</t>
        </is>
      </c>
      <c r="BH63" s="1" t="inlineStr">
        <is>
          <t xml:space="preserve">12-14</t>
        </is>
      </c>
      <c r="BI63" s="1" t="inlineStr">
        <is>
          <t xml:space="preserve">12-15</t>
        </is>
      </c>
      <c r="BJ63" s="1" t="inlineStr">
        <is>
          <t xml:space="preserve">12-16</t>
        </is>
      </c>
      <c r="BK63" s="1" t="inlineStr">
        <is>
          <t xml:space="preserve">12-17</t>
        </is>
      </c>
      <c r="BL63" s="1" t="inlineStr">
        <is>
          <t xml:space="preserve">12-18</t>
        </is>
      </c>
      <c r="BM63" s="1" t="inlineStr">
        <is>
          <t xml:space="preserve">12-21</t>
        </is>
      </c>
      <c r="BN63" s="1" t="inlineStr">
        <is>
          <t xml:space="preserve">12-22</t>
        </is>
      </c>
      <c r="BO63" s="1" t="inlineStr">
        <is>
          <t xml:space="preserve">12-23</t>
        </is>
      </c>
      <c r="BP63" s="1" t="inlineStr">
        <is>
          <t xml:space="preserve">12-24</t>
        </is>
      </c>
      <c r="BQ63" s="1" t="inlineStr">
        <is>
          <t xml:space="preserve">12-28</t>
        </is>
      </c>
      <c r="BR63" s="1" t="inlineStr">
        <is>
          <t xml:space="preserve">12-29</t>
        </is>
      </c>
      <c r="BS63" s="1" t="inlineStr">
        <is>
          <t xml:space="preserve">12-30</t>
        </is>
      </c>
      <c r="BT63" s="1" t="inlineStr">
        <is>
          <t xml:space="preserve">12-31</t>
        </is>
      </c>
      <c r="BU63" s="1" t="inlineStr">
        <is>
          <t xml:space="preserve">01-04</t>
        </is>
      </c>
      <c r="BV63" s="1" t="inlineStr">
        <is>
          <t xml:space="preserve">01-05</t>
        </is>
      </c>
      <c r="BW63" s="1" t="inlineStr">
        <is>
          <t xml:space="preserve">01-06</t>
        </is>
      </c>
      <c r="BX63" s="1" t="inlineStr">
        <is>
          <t xml:space="preserve">01-07</t>
        </is>
      </c>
      <c r="BY63" s="1" t="inlineStr">
        <is>
          <t xml:space="preserve">01-08</t>
        </is>
      </c>
      <c r="BZ63" s="1" t="inlineStr">
        <is>
          <t xml:space="preserve">01-11</t>
        </is>
      </c>
      <c r="CA63" s="1" t="inlineStr">
        <is>
          <t xml:space="preserve">01-12</t>
        </is>
      </c>
      <c r="CB63" s="1" t="inlineStr">
        <is>
          <t xml:space="preserve">01-13</t>
        </is>
      </c>
      <c r="CC63" s="1" t="inlineStr">
        <is>
          <t xml:space="preserve">01-14</t>
        </is>
      </c>
      <c r="CD63" s="1" t="inlineStr">
        <is>
          <t xml:space="preserve">01-15</t>
        </is>
      </c>
      <c r="CE63" s="1" t="inlineStr">
        <is>
          <t xml:space="preserve">01-19</t>
        </is>
      </c>
      <c r="CF63" s="1" t="inlineStr">
        <is>
          <t xml:space="preserve">01-20</t>
        </is>
      </c>
      <c r="CG63" s="1" t="inlineStr">
        <is>
          <t xml:space="preserve">01-21</t>
        </is>
      </c>
      <c r="CH63" s="1" t="inlineStr">
        <is>
          <t xml:space="preserve">01-22</t>
        </is>
      </c>
      <c r="CI63" s="1" t="inlineStr">
        <is>
          <t xml:space="preserve">01-25</t>
        </is>
      </c>
      <c r="CJ63" s="1" t="inlineStr">
        <is>
          <t xml:space="preserve">01-26</t>
        </is>
      </c>
      <c r="CK63" s="1" t="inlineStr">
        <is>
          <t xml:space="preserve">01-27</t>
        </is>
      </c>
      <c r="CL63" s="1" t="inlineStr">
        <is>
          <t xml:space="preserve">01-28</t>
        </is>
      </c>
      <c r="CM63" s="1" t="inlineStr">
        <is>
          <t xml:space="preserve">01-29</t>
        </is>
      </c>
      <c r="CN63" s="1" t="inlineStr">
        <is>
          <t xml:space="preserve">02-01</t>
        </is>
      </c>
      <c r="CO63" s="1" t="inlineStr">
        <is>
          <t xml:space="preserve">02-02</t>
        </is>
      </c>
      <c r="CP63" s="1" t="inlineStr">
        <is>
          <t xml:space="preserve">02-03</t>
        </is>
      </c>
      <c r="CQ63" s="1" t="inlineStr">
        <is>
          <t xml:space="preserve">02-04</t>
        </is>
      </c>
      <c r="CR63" s="1" t="inlineStr">
        <is>
          <t xml:space="preserve">02-05</t>
        </is>
      </c>
      <c r="CS63" s="1" t="inlineStr">
        <is>
          <t xml:space="preserve">02-08</t>
        </is>
      </c>
      <c r="CT63" s="1" t="inlineStr">
        <is>
          <t xml:space="preserve">02-09</t>
        </is>
      </c>
      <c r="CU63" s="1" t="inlineStr">
        <is>
          <t xml:space="preserve">02-10</t>
        </is>
      </c>
      <c r="CV63" s="1" t="inlineStr">
        <is>
          <t xml:space="preserve">02-11</t>
        </is>
      </c>
      <c r="CW63" s="1" t="inlineStr">
        <is>
          <t xml:space="preserve">02-12</t>
        </is>
      </c>
    </row>
    <row r="64">
      <c r="A64" s="0" t="inlineStr">
        <is>
          <t xml:space="preserve">LLM pods that submitted</t>
        </is>
      </c>
      <c r="B64" s="4">
        <f>'Fund by trading day'!B9</f>
        <v>10</v>
      </c>
      <c r="C64" s="4">
        <f>'Fund by trading day'!C9</f>
        <v>10</v>
      </c>
      <c r="D64" s="4">
        <f>'Fund by trading day'!D9</f>
        <v>0</v>
      </c>
      <c r="E64" s="4">
        <f>'Fund by trading day'!E9</f>
        <v>0</v>
      </c>
      <c r="F64" s="4">
        <f>'Fund by trading day'!F9</f>
        <v>0</v>
      </c>
      <c r="G64" s="4">
        <f>'Fund by trading day'!G9</f>
        <v>0</v>
      </c>
      <c r="H64" s="4">
        <f>'Fund by trading day'!H9</f>
        <v>0</v>
      </c>
      <c r="I64" s="4">
        <f>'Fund by trading day'!I9</f>
        <v>0</v>
      </c>
      <c r="J64" s="4">
        <f>'Fund by trading day'!J9</f>
        <v>0</v>
      </c>
      <c r="K64" s="4">
        <f>'Fund by trading day'!K9</f>
        <v>0</v>
      </c>
      <c r="L64" s="4">
        <f>'Fund by trading day'!L9</f>
        <v>0</v>
      </c>
      <c r="M64" s="4">
        <f>'Fund by trading day'!M9</f>
        <v>0</v>
      </c>
      <c r="N64" s="4">
        <f>'Fund by trading day'!N9</f>
        <v>0</v>
      </c>
      <c r="O64" s="4">
        <f>'Fund by trading day'!O9</f>
        <v>0</v>
      </c>
      <c r="P64" s="4">
        <f>'Fund by trading day'!P9</f>
        <v>0</v>
      </c>
      <c r="Q64" s="4">
        <f>'Fund by trading day'!Q9</f>
        <v>0</v>
      </c>
      <c r="R64" s="4">
        <f>'Fund by trading day'!R9</f>
        <v>0</v>
      </c>
      <c r="S64" s="4">
        <f>'Fund by trading day'!S9</f>
        <v>0</v>
      </c>
      <c r="T64" s="4">
        <f>'Fund by trading day'!T9</f>
        <v>0</v>
      </c>
      <c r="U64" s="4">
        <f>'Fund by trading day'!U9</f>
        <v>0</v>
      </c>
      <c r="V64" s="4">
        <f>'Fund by trading day'!V9</f>
        <v>0</v>
      </c>
      <c r="W64" s="4">
        <f>'Fund by trading day'!W9</f>
        <v>0</v>
      </c>
      <c r="X64" s="4">
        <f>'Fund by trading day'!X9</f>
        <v>0</v>
      </c>
      <c r="Y64" s="4">
        <f>'Fund by trading day'!Y9</f>
        <v>0</v>
      </c>
      <c r="Z64" s="4">
        <f>'Fund by trading day'!Z9</f>
        <v>0</v>
      </c>
      <c r="AA64" s="4">
        <f>'Fund by trading day'!AA9</f>
        <v>0</v>
      </c>
      <c r="AB64" s="4">
        <f>'Fund by trading day'!AB9</f>
        <v>0</v>
      </c>
      <c r="AC64" s="4">
        <f>'Fund by trading day'!AC9</f>
        <v>0</v>
      </c>
      <c r="AD64" s="4">
        <f>'Fund by trading day'!AD9</f>
        <v>0</v>
      </c>
      <c r="AE64" s="4">
        <f>'Fund by trading day'!AE9</f>
        <v>0</v>
      </c>
      <c r="AF64" s="4">
        <f>'Fund by trading day'!AF9</f>
        <v>0</v>
      </c>
      <c r="AG64" s="4">
        <f>'Fund by trading day'!AG9</f>
        <v>0</v>
      </c>
      <c r="AH64" s="4">
        <f>'Fund by trading day'!AH9</f>
        <v>0</v>
      </c>
      <c r="AI64" s="4">
        <f>'Fund by trading day'!AI9</f>
        <v>0</v>
      </c>
      <c r="AJ64" s="4">
        <f>'Fund by trading day'!AJ9</f>
        <v>0</v>
      </c>
      <c r="AK64" s="4">
        <f>'Fund by trading day'!AK9</f>
        <v>0</v>
      </c>
      <c r="AL64" s="4">
        <f>'Fund by trading day'!AL9</f>
        <v>0</v>
      </c>
      <c r="AM64" s="4">
        <f>'Fund by trading day'!AM9</f>
        <v>0</v>
      </c>
      <c r="AN64" s="4">
        <f>'Fund by trading day'!AN9</f>
        <v>0</v>
      </c>
      <c r="AO64" s="4">
        <f>'Fund by trading day'!AO9</f>
        <v>0</v>
      </c>
      <c r="AP64" s="4">
        <f>'Fund by trading day'!AP9</f>
        <v>0</v>
      </c>
      <c r="AQ64" s="4">
        <f>'Fund by trading day'!AQ9</f>
        <v>0</v>
      </c>
      <c r="AR64" s="4">
        <f>'Fund by trading day'!AR9</f>
        <v>0</v>
      </c>
      <c r="AS64" s="4">
        <f>'Fund by trading day'!AS9</f>
        <v>0</v>
      </c>
      <c r="AT64" s="4">
        <f>'Fund by trading day'!AT9</f>
        <v>0</v>
      </c>
      <c r="AU64" s="4">
        <f>'Fund by trading day'!AU9</f>
        <v>0</v>
      </c>
      <c r="AV64" s="4">
        <f>'Fund by trading day'!AV9</f>
        <v>0</v>
      </c>
      <c r="AW64" s="4">
        <f>'Fund by trading day'!AW9</f>
        <v>0</v>
      </c>
      <c r="AX64" s="4">
        <f>'Fund by trading day'!AX9</f>
        <v>0</v>
      </c>
      <c r="AY64" s="4">
        <f>'Fund by trading day'!AY9</f>
        <v>0</v>
      </c>
      <c r="AZ64" s="4">
        <f>'Fund by trading day'!AZ9</f>
        <v>0</v>
      </c>
      <c r="BA64" s="4">
        <f>'Fund by trading day'!BA9</f>
        <v>0</v>
      </c>
      <c r="BB64" s="4">
        <f>'Fund by trading day'!BB9</f>
        <v>0</v>
      </c>
      <c r="BC64" s="4">
        <f>'Fund by trading day'!BC9</f>
        <v>0</v>
      </c>
      <c r="BD64" s="4">
        <f>'Fund by trading day'!BD9</f>
        <v>0</v>
      </c>
      <c r="BE64" s="4">
        <f>'Fund by trading day'!BE9</f>
        <v>0</v>
      </c>
      <c r="BF64" s="4">
        <f>'Fund by trading day'!BF9</f>
        <v>0</v>
      </c>
      <c r="BG64" s="4">
        <f>'Fund by trading day'!BG9</f>
        <v>0</v>
      </c>
      <c r="BH64" s="4">
        <f>'Fund by trading day'!BH9</f>
        <v>0</v>
      </c>
      <c r="BI64" s="4">
        <f>'Fund by trading day'!BI9</f>
        <v>0</v>
      </c>
      <c r="BJ64" s="4">
        <f>'Fund by trading day'!BJ9</f>
        <v>0</v>
      </c>
      <c r="BK64" s="4">
        <f>'Fund by trading day'!BK9</f>
        <v>0</v>
      </c>
      <c r="BL64" s="4">
        <f>'Fund by trading day'!BL9</f>
        <v>0</v>
      </c>
      <c r="BM64" s="4">
        <f>'Fund by trading day'!BM9</f>
        <v>0</v>
      </c>
      <c r="BN64" s="4">
        <f>'Fund by trading day'!BN9</f>
        <v>0</v>
      </c>
      <c r="BO64" s="4">
        <f>'Fund by trading day'!BO9</f>
        <v>0</v>
      </c>
      <c r="BP64" s="4">
        <f>'Fund by trading day'!BP9</f>
        <v>0</v>
      </c>
      <c r="BQ64" s="4">
        <f>'Fund by trading day'!BQ9</f>
        <v>0</v>
      </c>
      <c r="BR64" s="4">
        <f>'Fund by trading day'!BR9</f>
        <v>0</v>
      </c>
      <c r="BS64" s="4">
        <f>'Fund by trading day'!BS9</f>
        <v>0</v>
      </c>
      <c r="BT64" s="4">
        <f>'Fund by trading day'!BT9</f>
        <v>0</v>
      </c>
      <c r="BU64" s="4">
        <f>'Fund by trading day'!BU9</f>
        <v>0</v>
      </c>
      <c r="BV64" s="4">
        <f>'Fund by trading day'!BV9</f>
        <v>0</v>
      </c>
      <c r="BW64" s="4">
        <f>'Fund by trading day'!BW9</f>
        <v>0</v>
      </c>
      <c r="BX64" s="4">
        <f>'Fund by trading day'!BX9</f>
        <v>0</v>
      </c>
      <c r="BY64" s="4">
        <f>'Fund by trading day'!BY9</f>
        <v>0</v>
      </c>
      <c r="BZ64" s="4">
        <f>'Fund by trading day'!BZ9</f>
        <v>0</v>
      </c>
      <c r="CA64" s="4">
        <f>'Fund by trading day'!CA9</f>
        <v>0</v>
      </c>
      <c r="CB64" s="4">
        <f>'Fund by trading day'!CB9</f>
        <v>0</v>
      </c>
      <c r="CC64" s="4">
        <f>'Fund by trading day'!CC9</f>
        <v>0</v>
      </c>
      <c r="CD64" s="4">
        <f>'Fund by trading day'!CD9</f>
        <v>0</v>
      </c>
      <c r="CE64" s="4">
        <f>'Fund by trading day'!CE9</f>
        <v>0</v>
      </c>
      <c r="CF64" s="4">
        <f>'Fund by trading day'!CF9</f>
        <v>0</v>
      </c>
      <c r="CG64" s="4">
        <f>'Fund by trading day'!CG9</f>
        <v>0</v>
      </c>
      <c r="CH64" s="4">
        <f>'Fund by trading day'!CH9</f>
        <v>0</v>
      </c>
      <c r="CI64" s="4">
        <f>'Fund by trading day'!CI9</f>
        <v>0</v>
      </c>
      <c r="CJ64" s="4">
        <f>'Fund by trading day'!CJ9</f>
        <v>0</v>
      </c>
      <c r="CK64" s="4">
        <f>'Fund by trading day'!CK9</f>
        <v>0</v>
      </c>
      <c r="CL64" s="4">
        <f>'Fund by trading day'!CL9</f>
        <v>0</v>
      </c>
      <c r="CM64" s="4">
        <f>'Fund by trading day'!CM9</f>
        <v>0</v>
      </c>
      <c r="CN64" s="4">
        <f>'Fund by trading day'!CN9</f>
        <v>0</v>
      </c>
      <c r="CO64" s="4">
        <f>'Fund by trading day'!CO9</f>
        <v>0</v>
      </c>
      <c r="CP64" s="4">
        <f>'Fund by trading day'!CP9</f>
        <v>0</v>
      </c>
      <c r="CQ64" s="4">
        <f>'Fund by trading day'!CQ9</f>
        <v>0</v>
      </c>
      <c r="CR64" s="4">
        <f>'Fund by trading day'!CR9</f>
        <v>0</v>
      </c>
      <c r="CS64" s="4">
        <f>'Fund by trading day'!CS9</f>
        <v>0</v>
      </c>
      <c r="CT64" s="4">
        <f>'Fund by trading day'!CT9</f>
        <v>0</v>
      </c>
      <c r="CU64" s="4">
        <f>'Fund by trading day'!CU9</f>
        <v>0</v>
      </c>
      <c r="CV64" s="4">
        <f>'Fund by trading day'!CV9</f>
        <v>0</v>
      </c>
      <c r="CW64" s="4">
        <f>'Fund by trading day'!CW9</f>
        <v>0</v>
      </c>
    </row>
    <row r="65">
      <c r="A65" s="0" t="inlineStr">
        <is>
          <t xml:space="preserve">Average agent tool calls</t>
        </is>
      </c>
      <c r="B65" s="8">
        <f>'Fund by trading day'!B10</f>
        <v>13.8</v>
      </c>
      <c r="C65" s="8">
        <f>'Fund by trading day'!C10</f>
        <v>8.2</v>
      </c>
      <c r="D65" s="8">
        <f>'Fund by trading day'!D10</f>
      </c>
      <c r="E65" s="8">
        <f>'Fund by trading day'!E10</f>
      </c>
      <c r="F65" s="8">
        <f>'Fund by trading day'!F10</f>
      </c>
      <c r="G65" s="8">
        <f>'Fund by trading day'!G10</f>
      </c>
      <c r="H65" s="8">
        <f>'Fund by trading day'!H10</f>
      </c>
      <c r="I65" s="8">
        <f>'Fund by trading day'!I10</f>
      </c>
      <c r="J65" s="8">
        <f>'Fund by trading day'!J10</f>
      </c>
      <c r="K65" s="8">
        <f>'Fund by trading day'!K10</f>
      </c>
      <c r="L65" s="8">
        <f>'Fund by trading day'!L10</f>
      </c>
      <c r="M65" s="8">
        <f>'Fund by trading day'!M10</f>
      </c>
      <c r="N65" s="8">
        <f>'Fund by trading day'!N10</f>
      </c>
      <c r="O65" s="8">
        <f>'Fund by trading day'!O10</f>
      </c>
      <c r="P65" s="8">
        <f>'Fund by trading day'!P10</f>
      </c>
      <c r="Q65" s="8">
        <f>'Fund by trading day'!Q10</f>
      </c>
      <c r="R65" s="8">
        <f>'Fund by trading day'!R10</f>
      </c>
      <c r="S65" s="8">
        <f>'Fund by trading day'!S10</f>
      </c>
      <c r="T65" s="8">
        <f>'Fund by trading day'!T10</f>
      </c>
      <c r="U65" s="8">
        <f>'Fund by trading day'!U10</f>
      </c>
      <c r="V65" s="8">
        <f>'Fund by trading day'!V10</f>
      </c>
      <c r="W65" s="8">
        <f>'Fund by trading day'!W10</f>
      </c>
      <c r="X65" s="8">
        <f>'Fund by trading day'!X10</f>
      </c>
      <c r="Y65" s="8">
        <f>'Fund by trading day'!Y10</f>
      </c>
      <c r="Z65" s="8">
        <f>'Fund by trading day'!Z10</f>
      </c>
      <c r="AA65" s="8">
        <f>'Fund by trading day'!AA10</f>
      </c>
      <c r="AB65" s="8">
        <f>'Fund by trading day'!AB10</f>
      </c>
      <c r="AC65" s="8">
        <f>'Fund by trading day'!AC10</f>
      </c>
      <c r="AD65" s="8">
        <f>'Fund by trading day'!AD10</f>
      </c>
      <c r="AE65" s="8">
        <f>'Fund by trading day'!AE10</f>
      </c>
      <c r="AF65" s="8">
        <f>'Fund by trading day'!AF10</f>
      </c>
      <c r="AG65" s="8">
        <f>'Fund by trading day'!AG10</f>
      </c>
      <c r="AH65" s="8">
        <f>'Fund by trading day'!AH10</f>
      </c>
      <c r="AI65" s="8">
        <f>'Fund by trading day'!AI10</f>
      </c>
      <c r="AJ65" s="8">
        <f>'Fund by trading day'!AJ10</f>
      </c>
      <c r="AK65" s="8">
        <f>'Fund by trading day'!AK10</f>
      </c>
      <c r="AL65" s="8">
        <f>'Fund by trading day'!AL10</f>
      </c>
      <c r="AM65" s="8">
        <f>'Fund by trading day'!AM10</f>
      </c>
      <c r="AN65" s="8">
        <f>'Fund by trading day'!AN10</f>
      </c>
      <c r="AO65" s="8">
        <f>'Fund by trading day'!AO10</f>
      </c>
      <c r="AP65" s="8">
        <f>'Fund by trading day'!AP10</f>
      </c>
      <c r="AQ65" s="8">
        <f>'Fund by trading day'!AQ10</f>
      </c>
      <c r="AR65" s="8">
        <f>'Fund by trading day'!AR10</f>
      </c>
      <c r="AS65" s="8">
        <f>'Fund by trading day'!AS10</f>
      </c>
      <c r="AT65" s="8">
        <f>'Fund by trading day'!AT10</f>
      </c>
      <c r="AU65" s="8">
        <f>'Fund by trading day'!AU10</f>
      </c>
      <c r="AV65" s="8">
        <f>'Fund by trading day'!AV10</f>
      </c>
      <c r="AW65" s="8">
        <f>'Fund by trading day'!AW10</f>
      </c>
      <c r="AX65" s="8">
        <f>'Fund by trading day'!AX10</f>
      </c>
      <c r="AY65" s="8">
        <f>'Fund by trading day'!AY10</f>
      </c>
      <c r="AZ65" s="8">
        <f>'Fund by trading day'!AZ10</f>
      </c>
      <c r="BA65" s="8">
        <f>'Fund by trading day'!BA10</f>
      </c>
      <c r="BB65" s="8">
        <f>'Fund by trading day'!BB10</f>
      </c>
      <c r="BC65" s="8">
        <f>'Fund by trading day'!BC10</f>
      </c>
      <c r="BD65" s="8">
        <f>'Fund by trading day'!BD10</f>
      </c>
      <c r="BE65" s="8">
        <f>'Fund by trading day'!BE10</f>
      </c>
      <c r="BF65" s="8">
        <f>'Fund by trading day'!BF10</f>
      </c>
      <c r="BG65" s="8">
        <f>'Fund by trading day'!BG10</f>
      </c>
      <c r="BH65" s="8">
        <f>'Fund by trading day'!BH10</f>
      </c>
      <c r="BI65" s="8">
        <f>'Fund by trading day'!BI10</f>
      </c>
      <c r="BJ65" s="8">
        <f>'Fund by trading day'!BJ10</f>
      </c>
      <c r="BK65" s="8">
        <f>'Fund by trading day'!BK10</f>
      </c>
      <c r="BL65" s="8">
        <f>'Fund by trading day'!BL10</f>
      </c>
      <c r="BM65" s="8">
        <f>'Fund by trading day'!BM10</f>
      </c>
      <c r="BN65" s="8">
        <f>'Fund by trading day'!BN10</f>
      </c>
      <c r="BO65" s="8">
        <f>'Fund by trading day'!BO10</f>
      </c>
      <c r="BP65" s="8">
        <f>'Fund by trading day'!BP10</f>
      </c>
      <c r="BQ65" s="8">
        <f>'Fund by trading day'!BQ10</f>
      </c>
      <c r="BR65" s="8">
        <f>'Fund by trading day'!BR10</f>
      </c>
      <c r="BS65" s="8">
        <f>'Fund by trading day'!BS10</f>
      </c>
      <c r="BT65" s="8">
        <f>'Fund by trading day'!BT10</f>
      </c>
      <c r="BU65" s="8">
        <f>'Fund by trading day'!BU10</f>
      </c>
      <c r="BV65" s="8">
        <f>'Fund by trading day'!BV10</f>
      </c>
      <c r="BW65" s="8">
        <f>'Fund by trading day'!BW10</f>
      </c>
      <c r="BX65" s="8">
        <f>'Fund by trading day'!BX10</f>
      </c>
      <c r="BY65" s="8">
        <f>'Fund by trading day'!BY10</f>
      </c>
      <c r="BZ65" s="8">
        <f>'Fund by trading day'!BZ10</f>
      </c>
      <c r="CA65" s="8">
        <f>'Fund by trading day'!CA10</f>
      </c>
      <c r="CB65" s="8">
        <f>'Fund by trading day'!CB10</f>
      </c>
      <c r="CC65" s="8">
        <f>'Fund by trading day'!CC10</f>
      </c>
      <c r="CD65" s="8">
        <f>'Fund by trading day'!CD10</f>
      </c>
      <c r="CE65" s="8">
        <f>'Fund by trading day'!CE10</f>
      </c>
      <c r="CF65" s="8">
        <f>'Fund by trading day'!CF10</f>
      </c>
      <c r="CG65" s="8">
        <f>'Fund by trading day'!CG10</f>
      </c>
      <c r="CH65" s="8">
        <f>'Fund by trading day'!CH10</f>
      </c>
      <c r="CI65" s="8">
        <f>'Fund by trading day'!CI10</f>
      </c>
      <c r="CJ65" s="8">
        <f>'Fund by trading day'!CJ10</f>
      </c>
      <c r="CK65" s="8">
        <f>'Fund by trading day'!CK10</f>
      </c>
      <c r="CL65" s="8">
        <f>'Fund by trading day'!CL10</f>
      </c>
      <c r="CM65" s="8">
        <f>'Fund by trading day'!CM10</f>
      </c>
      <c r="CN65" s="8">
        <f>'Fund by trading day'!CN10</f>
      </c>
      <c r="CO65" s="8">
        <f>'Fund by trading day'!CO10</f>
      </c>
      <c r="CP65" s="8">
        <f>'Fund by trading day'!CP10</f>
      </c>
      <c r="CQ65" s="8">
        <f>'Fund by trading day'!CQ10</f>
      </c>
      <c r="CR65" s="8">
        <f>'Fund by trading day'!CR10</f>
      </c>
      <c r="CS65" s="8">
        <f>'Fund by trading day'!CS10</f>
      </c>
      <c r="CT65" s="8">
        <f>'Fund by trading day'!CT10</f>
      </c>
      <c r="CU65" s="8">
        <f>'Fund by trading day'!CU10</f>
      </c>
      <c r="CV65" s="8">
        <f>'Fund by trading day'!CV10</f>
      </c>
      <c r="CW65" s="8">
        <f>'Fund by trading day'!CW10</f>
      </c>
    </row>
    <row r="84">
      <c r="A84" s="1" t="inlineStr">
        <is>
          <t xml:space="preserve">Cumulative net P&amp;L per pod on the notional ($)</t>
        </is>
      </c>
    </row>
    <row r="85">
      <c r="A85" s="1" t="inlineStr">
        <is>
          <t xml:space="preserve">pod</t>
        </is>
      </c>
      <c r="B85" s="1" t="inlineStr">
        <is>
          <t xml:space="preserve">09-22</t>
        </is>
      </c>
      <c r="C85" s="1" t="inlineStr">
        <is>
          <t xml:space="preserve">09-23</t>
        </is>
      </c>
      <c r="D85" s="1" t="inlineStr">
        <is>
          <t xml:space="preserve">09-24</t>
        </is>
      </c>
      <c r="E85" s="1" t="inlineStr">
        <is>
          <t xml:space="preserve">09-25</t>
        </is>
      </c>
      <c r="F85" s="1" t="inlineStr">
        <is>
          <t xml:space="preserve">09-28</t>
        </is>
      </c>
      <c r="G85" s="1" t="inlineStr">
        <is>
          <t xml:space="preserve">09-29</t>
        </is>
      </c>
      <c r="H85" s="1" t="inlineStr">
        <is>
          <t xml:space="preserve">09-30</t>
        </is>
      </c>
      <c r="I85" s="1" t="inlineStr">
        <is>
          <t xml:space="preserve">10-01</t>
        </is>
      </c>
      <c r="J85" s="1" t="inlineStr">
        <is>
          <t xml:space="preserve">10-02</t>
        </is>
      </c>
      <c r="K85" s="1" t="inlineStr">
        <is>
          <t xml:space="preserve">10-05</t>
        </is>
      </c>
      <c r="L85" s="1" t="inlineStr">
        <is>
          <t xml:space="preserve">10-06</t>
        </is>
      </c>
      <c r="M85" s="1" t="inlineStr">
        <is>
          <t xml:space="preserve">10-07</t>
        </is>
      </c>
      <c r="N85" s="1" t="inlineStr">
        <is>
          <t xml:space="preserve">10-08</t>
        </is>
      </c>
      <c r="O85" s="1" t="inlineStr">
        <is>
          <t xml:space="preserve">10-09</t>
        </is>
      </c>
      <c r="P85" s="1" t="inlineStr">
        <is>
          <t xml:space="preserve">10-12</t>
        </is>
      </c>
      <c r="Q85" s="1" t="inlineStr">
        <is>
          <t xml:space="preserve">10-13</t>
        </is>
      </c>
      <c r="R85" s="1" t="inlineStr">
        <is>
          <t xml:space="preserve">10-14</t>
        </is>
      </c>
      <c r="S85" s="1" t="inlineStr">
        <is>
          <t xml:space="preserve">10-15</t>
        </is>
      </c>
      <c r="T85" s="1" t="inlineStr">
        <is>
          <t xml:space="preserve">10-16</t>
        </is>
      </c>
      <c r="U85" s="1" t="inlineStr">
        <is>
          <t xml:space="preserve">10-19</t>
        </is>
      </c>
      <c r="V85" s="1" t="inlineStr">
        <is>
          <t xml:space="preserve">10-20</t>
        </is>
      </c>
      <c r="W85" s="1" t="inlineStr">
        <is>
          <t xml:space="preserve">10-21</t>
        </is>
      </c>
      <c r="X85" s="1" t="inlineStr">
        <is>
          <t xml:space="preserve">10-22</t>
        </is>
      </c>
      <c r="Y85" s="1" t="inlineStr">
        <is>
          <t xml:space="preserve">10-23</t>
        </is>
      </c>
      <c r="Z85" s="1" t="inlineStr">
        <is>
          <t xml:space="preserve">10-26</t>
        </is>
      </c>
      <c r="AA85" s="1" t="inlineStr">
        <is>
          <t xml:space="preserve">10-27</t>
        </is>
      </c>
      <c r="AB85" s="1" t="inlineStr">
        <is>
          <t xml:space="preserve">10-28</t>
        </is>
      </c>
      <c r="AC85" s="1" t="inlineStr">
        <is>
          <t xml:space="preserve">10-29</t>
        </is>
      </c>
      <c r="AD85" s="1" t="inlineStr">
        <is>
          <t xml:space="preserve">10-30</t>
        </is>
      </c>
      <c r="AE85" s="1" t="inlineStr">
        <is>
          <t xml:space="preserve">11-02</t>
        </is>
      </c>
      <c r="AF85" s="1" t="inlineStr">
        <is>
          <t xml:space="preserve">11-03</t>
        </is>
      </c>
      <c r="AG85" s="1" t="inlineStr">
        <is>
          <t xml:space="preserve">11-04</t>
        </is>
      </c>
      <c r="AH85" s="1" t="inlineStr">
        <is>
          <t xml:space="preserve">11-05</t>
        </is>
      </c>
      <c r="AI85" s="1" t="inlineStr">
        <is>
          <t xml:space="preserve">11-06</t>
        </is>
      </c>
      <c r="AJ85" s="1" t="inlineStr">
        <is>
          <t xml:space="preserve">11-09</t>
        </is>
      </c>
      <c r="AK85" s="1" t="inlineStr">
        <is>
          <t xml:space="preserve">11-10</t>
        </is>
      </c>
      <c r="AL85" s="1" t="inlineStr">
        <is>
          <t xml:space="preserve">11-11</t>
        </is>
      </c>
      <c r="AM85" s="1" t="inlineStr">
        <is>
          <t xml:space="preserve">11-12</t>
        </is>
      </c>
      <c r="AN85" s="1" t="inlineStr">
        <is>
          <t xml:space="preserve">11-13</t>
        </is>
      </c>
      <c r="AO85" s="1" t="inlineStr">
        <is>
          <t xml:space="preserve">11-16</t>
        </is>
      </c>
      <c r="AP85" s="1" t="inlineStr">
        <is>
          <t xml:space="preserve">11-17</t>
        </is>
      </c>
      <c r="AQ85" s="1" t="inlineStr">
        <is>
          <t xml:space="preserve">11-18</t>
        </is>
      </c>
      <c r="AR85" s="1" t="inlineStr">
        <is>
          <t xml:space="preserve">11-19</t>
        </is>
      </c>
      <c r="AS85" s="1" t="inlineStr">
        <is>
          <t xml:space="preserve">11-20</t>
        </is>
      </c>
      <c r="AT85" s="1" t="inlineStr">
        <is>
          <t xml:space="preserve">11-23</t>
        </is>
      </c>
      <c r="AU85" s="1" t="inlineStr">
        <is>
          <t xml:space="preserve">11-24</t>
        </is>
      </c>
      <c r="AV85" s="1" t="inlineStr">
        <is>
          <t xml:space="preserve">11-25</t>
        </is>
      </c>
      <c r="AW85" s="1" t="inlineStr">
        <is>
          <t xml:space="preserve">11-27</t>
        </is>
      </c>
      <c r="AX85" s="1" t="inlineStr">
        <is>
          <t xml:space="preserve">11-30</t>
        </is>
      </c>
      <c r="AY85" s="1" t="inlineStr">
        <is>
          <t xml:space="preserve">12-01</t>
        </is>
      </c>
      <c r="AZ85" s="1" t="inlineStr">
        <is>
          <t xml:space="preserve">12-02</t>
        </is>
      </c>
      <c r="BA85" s="1" t="inlineStr">
        <is>
          <t xml:space="preserve">12-03</t>
        </is>
      </c>
      <c r="BB85" s="1" t="inlineStr">
        <is>
          <t xml:space="preserve">12-04</t>
        </is>
      </c>
      <c r="BC85" s="1" t="inlineStr">
        <is>
          <t xml:space="preserve">12-07</t>
        </is>
      </c>
      <c r="BD85" s="1" t="inlineStr">
        <is>
          <t xml:space="preserve">12-08</t>
        </is>
      </c>
      <c r="BE85" s="1" t="inlineStr">
        <is>
          <t xml:space="preserve">12-09</t>
        </is>
      </c>
      <c r="BF85" s="1" t="inlineStr">
        <is>
          <t xml:space="preserve">12-10</t>
        </is>
      </c>
      <c r="BG85" s="1" t="inlineStr">
        <is>
          <t xml:space="preserve">12-11</t>
        </is>
      </c>
      <c r="BH85" s="1" t="inlineStr">
        <is>
          <t xml:space="preserve">12-14</t>
        </is>
      </c>
      <c r="BI85" s="1" t="inlineStr">
        <is>
          <t xml:space="preserve">12-15</t>
        </is>
      </c>
      <c r="BJ85" s="1" t="inlineStr">
        <is>
          <t xml:space="preserve">12-16</t>
        </is>
      </c>
      <c r="BK85" s="1" t="inlineStr">
        <is>
          <t xml:space="preserve">12-17</t>
        </is>
      </c>
      <c r="BL85" s="1" t="inlineStr">
        <is>
          <t xml:space="preserve">12-18</t>
        </is>
      </c>
      <c r="BM85" s="1" t="inlineStr">
        <is>
          <t xml:space="preserve">12-21</t>
        </is>
      </c>
      <c r="BN85" s="1" t="inlineStr">
        <is>
          <t xml:space="preserve">12-22</t>
        </is>
      </c>
      <c r="BO85" s="1" t="inlineStr">
        <is>
          <t xml:space="preserve">12-23</t>
        </is>
      </c>
      <c r="BP85" s="1" t="inlineStr">
        <is>
          <t xml:space="preserve">12-24</t>
        </is>
      </c>
      <c r="BQ85" s="1" t="inlineStr">
        <is>
          <t xml:space="preserve">12-28</t>
        </is>
      </c>
      <c r="BR85" s="1" t="inlineStr">
        <is>
          <t xml:space="preserve">12-29</t>
        </is>
      </c>
      <c r="BS85" s="1" t="inlineStr">
        <is>
          <t xml:space="preserve">12-30</t>
        </is>
      </c>
      <c r="BT85" s="1" t="inlineStr">
        <is>
          <t xml:space="preserve">12-31</t>
        </is>
      </c>
      <c r="BU85" s="1" t="inlineStr">
        <is>
          <t xml:space="preserve">01-04</t>
        </is>
      </c>
      <c r="BV85" s="1" t="inlineStr">
        <is>
          <t xml:space="preserve">01-05</t>
        </is>
      </c>
      <c r="BW85" s="1" t="inlineStr">
        <is>
          <t xml:space="preserve">01-06</t>
        </is>
      </c>
      <c r="BX85" s="1" t="inlineStr">
        <is>
          <t xml:space="preserve">01-07</t>
        </is>
      </c>
      <c r="BY85" s="1" t="inlineStr">
        <is>
          <t xml:space="preserve">01-08</t>
        </is>
      </c>
      <c r="BZ85" s="1" t="inlineStr">
        <is>
          <t xml:space="preserve">01-11</t>
        </is>
      </c>
      <c r="CA85" s="1" t="inlineStr">
        <is>
          <t xml:space="preserve">01-12</t>
        </is>
      </c>
      <c r="CB85" s="1" t="inlineStr">
        <is>
          <t xml:space="preserve">01-13</t>
        </is>
      </c>
      <c r="CC85" s="1" t="inlineStr">
        <is>
          <t xml:space="preserve">01-14</t>
        </is>
      </c>
      <c r="CD85" s="1" t="inlineStr">
        <is>
          <t xml:space="preserve">01-15</t>
        </is>
      </c>
      <c r="CE85" s="1" t="inlineStr">
        <is>
          <t xml:space="preserve">01-19</t>
        </is>
      </c>
      <c r="CF85" s="1" t="inlineStr">
        <is>
          <t xml:space="preserve">01-20</t>
        </is>
      </c>
      <c r="CG85" s="1" t="inlineStr">
        <is>
          <t xml:space="preserve">01-21</t>
        </is>
      </c>
      <c r="CH85" s="1" t="inlineStr">
        <is>
          <t xml:space="preserve">01-22</t>
        </is>
      </c>
      <c r="CI85" s="1" t="inlineStr">
        <is>
          <t xml:space="preserve">01-25</t>
        </is>
      </c>
      <c r="CJ85" s="1" t="inlineStr">
        <is>
          <t xml:space="preserve">01-26</t>
        </is>
      </c>
      <c r="CK85" s="1" t="inlineStr">
        <is>
          <t xml:space="preserve">01-27</t>
        </is>
      </c>
      <c r="CL85" s="1" t="inlineStr">
        <is>
          <t xml:space="preserve">01-28</t>
        </is>
      </c>
      <c r="CM85" s="1" t="inlineStr">
        <is>
          <t xml:space="preserve">01-29</t>
        </is>
      </c>
      <c r="CN85" s="1" t="inlineStr">
        <is>
          <t xml:space="preserve">02-01</t>
        </is>
      </c>
      <c r="CO85" s="1" t="inlineStr">
        <is>
          <t xml:space="preserve">02-02</t>
        </is>
      </c>
      <c r="CP85" s="1" t="inlineStr">
        <is>
          <t xml:space="preserve">02-03</t>
        </is>
      </c>
      <c r="CQ85" s="1" t="inlineStr">
        <is>
          <t xml:space="preserve">02-04</t>
        </is>
      </c>
      <c r="CR85" s="1" t="inlineStr">
        <is>
          <t xml:space="preserve">02-05</t>
        </is>
      </c>
      <c r="CS85" s="1" t="inlineStr">
        <is>
          <t xml:space="preserve">02-08</t>
        </is>
      </c>
      <c r="CT85" s="1" t="inlineStr">
        <is>
          <t xml:space="preserve">02-09</t>
        </is>
      </c>
      <c r="CU85" s="1" t="inlineStr">
        <is>
          <t xml:space="preserve">02-10</t>
        </is>
      </c>
      <c r="CV85" s="1" t="inlineStr">
        <is>
          <t xml:space="preserve">02-11</t>
        </is>
      </c>
      <c r="CW85" s="1" t="inlineStr">
        <is>
          <t xml:space="preserve">02-12</t>
        </is>
      </c>
    </row>
    <row r="86">
      <c r="A86" s="0" t="inlineStr">
        <is>
          <t xml:space="preserve">Retail Attention Overnight</t>
        </is>
      </c>
      <c r="B86" s="8">
        <f>'Pod by trading day'!C462</f>
        <v>-272.27000000000004</v>
      </c>
      <c r="C86" s="8">
        <f>'Pod by trading day'!D462</f>
      </c>
      <c r="D86" s="8">
        <f>'Pod by trading day'!E462</f>
      </c>
      <c r="E86" s="8">
        <f>'Pod by trading day'!F462</f>
      </c>
      <c r="F86" s="8">
        <f>'Pod by trading day'!G462</f>
      </c>
      <c r="G86" s="8">
        <f>'Pod by trading day'!H462</f>
      </c>
      <c r="H86" s="8">
        <f>'Pod by trading day'!I462</f>
      </c>
      <c r="I86" s="8">
        <f>'Pod by trading day'!J462</f>
      </c>
      <c r="J86" s="8">
        <f>'Pod by trading day'!K462</f>
      </c>
      <c r="K86" s="8">
        <f>'Pod by trading day'!L462</f>
      </c>
      <c r="L86" s="8">
        <f>'Pod by trading day'!M462</f>
      </c>
      <c r="M86" s="8">
        <f>'Pod by trading day'!N462</f>
      </c>
      <c r="N86" s="8">
        <f>'Pod by trading day'!O462</f>
      </c>
      <c r="O86" s="8">
        <f>'Pod by trading day'!P462</f>
      </c>
      <c r="P86" s="8">
        <f>'Pod by trading day'!Q462</f>
      </c>
      <c r="Q86" s="8">
        <f>'Pod by trading day'!R462</f>
      </c>
      <c r="R86" s="8">
        <f>'Pod by trading day'!S462</f>
      </c>
      <c r="S86" s="8">
        <f>'Pod by trading day'!T462</f>
      </c>
      <c r="T86" s="8">
        <f>'Pod by trading day'!U462</f>
      </c>
      <c r="U86" s="8">
        <f>'Pod by trading day'!V462</f>
      </c>
      <c r="V86" s="8">
        <f>'Pod by trading day'!W462</f>
      </c>
      <c r="W86" s="8">
        <f>'Pod by trading day'!X462</f>
      </c>
      <c r="X86" s="8">
        <f>'Pod by trading day'!Y462</f>
      </c>
      <c r="Y86" s="8">
        <f>'Pod by trading day'!Z462</f>
      </c>
      <c r="Z86" s="8">
        <f>'Pod by trading day'!AA462</f>
      </c>
      <c r="AA86" s="8">
        <f>'Pod by trading day'!AB462</f>
      </c>
      <c r="AB86" s="8">
        <f>'Pod by trading day'!AC462</f>
      </c>
      <c r="AC86" s="8">
        <f>'Pod by trading day'!AD462</f>
      </c>
      <c r="AD86" s="8">
        <f>'Pod by trading day'!AE462</f>
      </c>
      <c r="AE86" s="8">
        <f>'Pod by trading day'!AF462</f>
      </c>
      <c r="AF86" s="8">
        <f>'Pod by trading day'!AG462</f>
      </c>
      <c r="AG86" s="8">
        <f>'Pod by trading day'!AH462</f>
      </c>
      <c r="AH86" s="8">
        <f>'Pod by trading day'!AI462</f>
      </c>
      <c r="AI86" s="8">
        <f>'Pod by trading day'!AJ462</f>
      </c>
      <c r="AJ86" s="8">
        <f>'Pod by trading day'!AK462</f>
      </c>
      <c r="AK86" s="8">
        <f>'Pod by trading day'!AL462</f>
      </c>
      <c r="AL86" s="8">
        <f>'Pod by trading day'!AM462</f>
      </c>
      <c r="AM86" s="8">
        <f>'Pod by trading day'!AN462</f>
      </c>
      <c r="AN86" s="8">
        <f>'Pod by trading day'!AO462</f>
      </c>
      <c r="AO86" s="8">
        <f>'Pod by trading day'!AP462</f>
      </c>
      <c r="AP86" s="8">
        <f>'Pod by trading day'!AQ462</f>
      </c>
      <c r="AQ86" s="8">
        <f>'Pod by trading day'!AR462</f>
      </c>
      <c r="AR86" s="8">
        <f>'Pod by trading day'!AS462</f>
      </c>
      <c r="AS86" s="8">
        <f>'Pod by trading day'!AT462</f>
      </c>
      <c r="AT86" s="8">
        <f>'Pod by trading day'!AU462</f>
      </c>
      <c r="AU86" s="8">
        <f>'Pod by trading day'!AV462</f>
      </c>
      <c r="AV86" s="8">
        <f>'Pod by trading day'!AW462</f>
      </c>
      <c r="AW86" s="8">
        <f>'Pod by trading day'!AX462</f>
      </c>
      <c r="AX86" s="8">
        <f>'Pod by trading day'!AY462</f>
      </c>
      <c r="AY86" s="8">
        <f>'Pod by trading day'!AZ462</f>
      </c>
      <c r="AZ86" s="8">
        <f>'Pod by trading day'!BA462</f>
      </c>
      <c r="BA86" s="8">
        <f>'Pod by trading day'!BB462</f>
      </c>
      <c r="BB86" s="8">
        <f>'Pod by trading day'!BC462</f>
      </c>
      <c r="BC86" s="8">
        <f>'Pod by trading day'!BD462</f>
      </c>
      <c r="BD86" s="8">
        <f>'Pod by trading day'!BE462</f>
      </c>
      <c r="BE86" s="8">
        <f>'Pod by trading day'!BF462</f>
      </c>
      <c r="BF86" s="8">
        <f>'Pod by trading day'!BG462</f>
      </c>
      <c r="BG86" s="8">
        <f>'Pod by trading day'!BH462</f>
      </c>
      <c r="BH86" s="8">
        <f>'Pod by trading day'!BI462</f>
      </c>
      <c r="BI86" s="8">
        <f>'Pod by trading day'!BJ462</f>
      </c>
      <c r="BJ86" s="8">
        <f>'Pod by trading day'!BK462</f>
      </c>
      <c r="BK86" s="8">
        <f>'Pod by trading day'!BL462</f>
      </c>
      <c r="BL86" s="8">
        <f>'Pod by trading day'!BM462</f>
      </c>
      <c r="BM86" s="8">
        <f>'Pod by trading day'!BN462</f>
      </c>
      <c r="BN86" s="8">
        <f>'Pod by trading day'!BO462</f>
      </c>
      <c r="BO86" s="8">
        <f>'Pod by trading day'!BP462</f>
      </c>
      <c r="BP86" s="8">
        <f>'Pod by trading day'!BQ462</f>
      </c>
      <c r="BQ86" s="8">
        <f>'Pod by trading day'!BR462</f>
      </c>
      <c r="BR86" s="8">
        <f>'Pod by trading day'!BS462</f>
      </c>
      <c r="BS86" s="8">
        <f>'Pod by trading day'!BT462</f>
      </c>
      <c r="BT86" s="8">
        <f>'Pod by trading day'!BU462</f>
      </c>
      <c r="BU86" s="8">
        <f>'Pod by trading day'!BV462</f>
      </c>
      <c r="BV86" s="8">
        <f>'Pod by trading day'!BW462</f>
      </c>
      <c r="BW86" s="8">
        <f>'Pod by trading day'!BX462</f>
      </c>
      <c r="BX86" s="8">
        <f>'Pod by trading day'!BY462</f>
      </c>
      <c r="BY86" s="8">
        <f>'Pod by trading day'!BZ462</f>
      </c>
      <c r="BZ86" s="8">
        <f>'Pod by trading day'!CA462</f>
      </c>
      <c r="CA86" s="8">
        <f>'Pod by trading day'!CB462</f>
      </c>
      <c r="CB86" s="8">
        <f>'Pod by trading day'!CC462</f>
      </c>
      <c r="CC86" s="8">
        <f>'Pod by trading day'!CD462</f>
      </c>
      <c r="CD86" s="8">
        <f>'Pod by trading day'!CE462</f>
      </c>
      <c r="CE86" s="8">
        <f>'Pod by trading day'!CF462</f>
      </c>
      <c r="CF86" s="8">
        <f>'Pod by trading day'!CG462</f>
      </c>
      <c r="CG86" s="8">
        <f>'Pod by trading day'!CH462</f>
      </c>
      <c r="CH86" s="8">
        <f>'Pod by trading day'!CI462</f>
      </c>
      <c r="CI86" s="8">
        <f>'Pod by trading day'!CJ462</f>
      </c>
      <c r="CJ86" s="8">
        <f>'Pod by trading day'!CK462</f>
      </c>
      <c r="CK86" s="8">
        <f>'Pod by trading day'!CL462</f>
      </c>
      <c r="CL86" s="8">
        <f>'Pod by trading day'!CM462</f>
      </c>
      <c r="CM86" s="8">
        <f>'Pod by trading day'!CN462</f>
      </c>
      <c r="CN86" s="8">
        <f>'Pod by trading day'!CO462</f>
      </c>
      <c r="CO86" s="8">
        <f>'Pod by trading day'!CP462</f>
      </c>
      <c r="CP86" s="8">
        <f>'Pod by trading day'!CQ462</f>
      </c>
      <c r="CQ86" s="8">
        <f>'Pod by trading day'!CR462</f>
      </c>
      <c r="CR86" s="8">
        <f>'Pod by trading day'!CS462</f>
      </c>
      <c r="CS86" s="8">
        <f>'Pod by trading day'!CT462</f>
      </c>
      <c r="CT86" s="8">
        <f>'Pod by trading day'!CU462</f>
      </c>
      <c r="CU86" s="8">
        <f>'Pod by trading day'!CV462</f>
      </c>
      <c r="CV86" s="8">
        <f>'Pod by trading day'!CW462</f>
      </c>
      <c r="CW86" s="8">
        <f>'Pod by trading day'!CX462</f>
      </c>
    </row>
    <row r="87">
      <c r="A87" s="0" t="inlineStr">
        <is>
          <t xml:space="preserve">Post-Earnings Drift, Overnight Leg</t>
        </is>
      </c>
      <c r="B87" s="8">
        <f>'Pod by trading day'!C463</f>
        <v>52.29</v>
      </c>
      <c r="C87" s="8">
        <f>'Pod by trading day'!D463</f>
      </c>
      <c r="D87" s="8">
        <f>'Pod by trading day'!E463</f>
      </c>
      <c r="E87" s="8">
        <f>'Pod by trading day'!F463</f>
      </c>
      <c r="F87" s="8">
        <f>'Pod by trading day'!G463</f>
      </c>
      <c r="G87" s="8">
        <f>'Pod by trading day'!H463</f>
      </c>
      <c r="H87" s="8">
        <f>'Pod by trading day'!I463</f>
      </c>
      <c r="I87" s="8">
        <f>'Pod by trading day'!J463</f>
      </c>
      <c r="J87" s="8">
        <f>'Pod by trading day'!K463</f>
      </c>
      <c r="K87" s="8">
        <f>'Pod by trading day'!L463</f>
      </c>
      <c r="L87" s="8">
        <f>'Pod by trading day'!M463</f>
      </c>
      <c r="M87" s="8">
        <f>'Pod by trading day'!N463</f>
      </c>
      <c r="N87" s="8">
        <f>'Pod by trading day'!O463</f>
      </c>
      <c r="O87" s="8">
        <f>'Pod by trading day'!P463</f>
      </c>
      <c r="P87" s="8">
        <f>'Pod by trading day'!Q463</f>
      </c>
      <c r="Q87" s="8">
        <f>'Pod by trading day'!R463</f>
      </c>
      <c r="R87" s="8">
        <f>'Pod by trading day'!S463</f>
      </c>
      <c r="S87" s="8">
        <f>'Pod by trading day'!T463</f>
      </c>
      <c r="T87" s="8">
        <f>'Pod by trading day'!U463</f>
      </c>
      <c r="U87" s="8">
        <f>'Pod by trading day'!V463</f>
      </c>
      <c r="V87" s="8">
        <f>'Pod by trading day'!W463</f>
      </c>
      <c r="W87" s="8">
        <f>'Pod by trading day'!X463</f>
      </c>
      <c r="X87" s="8">
        <f>'Pod by trading day'!Y463</f>
      </c>
      <c r="Y87" s="8">
        <f>'Pod by trading day'!Z463</f>
      </c>
      <c r="Z87" s="8">
        <f>'Pod by trading day'!AA463</f>
      </c>
      <c r="AA87" s="8">
        <f>'Pod by trading day'!AB463</f>
      </c>
      <c r="AB87" s="8">
        <f>'Pod by trading day'!AC463</f>
      </c>
      <c r="AC87" s="8">
        <f>'Pod by trading day'!AD463</f>
      </c>
      <c r="AD87" s="8">
        <f>'Pod by trading day'!AE463</f>
      </c>
      <c r="AE87" s="8">
        <f>'Pod by trading day'!AF463</f>
      </c>
      <c r="AF87" s="8">
        <f>'Pod by trading day'!AG463</f>
      </c>
      <c r="AG87" s="8">
        <f>'Pod by trading day'!AH463</f>
      </c>
      <c r="AH87" s="8">
        <f>'Pod by trading day'!AI463</f>
      </c>
      <c r="AI87" s="8">
        <f>'Pod by trading day'!AJ463</f>
      </c>
      <c r="AJ87" s="8">
        <f>'Pod by trading day'!AK463</f>
      </c>
      <c r="AK87" s="8">
        <f>'Pod by trading day'!AL463</f>
      </c>
      <c r="AL87" s="8">
        <f>'Pod by trading day'!AM463</f>
      </c>
      <c r="AM87" s="8">
        <f>'Pod by trading day'!AN463</f>
      </c>
      <c r="AN87" s="8">
        <f>'Pod by trading day'!AO463</f>
      </c>
      <c r="AO87" s="8">
        <f>'Pod by trading day'!AP463</f>
      </c>
      <c r="AP87" s="8">
        <f>'Pod by trading day'!AQ463</f>
      </c>
      <c r="AQ87" s="8">
        <f>'Pod by trading day'!AR463</f>
      </c>
      <c r="AR87" s="8">
        <f>'Pod by trading day'!AS463</f>
      </c>
      <c r="AS87" s="8">
        <f>'Pod by trading day'!AT463</f>
      </c>
      <c r="AT87" s="8">
        <f>'Pod by trading day'!AU463</f>
      </c>
      <c r="AU87" s="8">
        <f>'Pod by trading day'!AV463</f>
      </c>
      <c r="AV87" s="8">
        <f>'Pod by trading day'!AW463</f>
      </c>
      <c r="AW87" s="8">
        <f>'Pod by trading day'!AX463</f>
      </c>
      <c r="AX87" s="8">
        <f>'Pod by trading day'!AY463</f>
      </c>
      <c r="AY87" s="8">
        <f>'Pod by trading day'!AZ463</f>
      </c>
      <c r="AZ87" s="8">
        <f>'Pod by trading day'!BA463</f>
      </c>
      <c r="BA87" s="8">
        <f>'Pod by trading day'!BB463</f>
      </c>
      <c r="BB87" s="8">
        <f>'Pod by trading day'!BC463</f>
      </c>
      <c r="BC87" s="8">
        <f>'Pod by trading day'!BD463</f>
      </c>
      <c r="BD87" s="8">
        <f>'Pod by trading day'!BE463</f>
      </c>
      <c r="BE87" s="8">
        <f>'Pod by trading day'!BF463</f>
      </c>
      <c r="BF87" s="8">
        <f>'Pod by trading day'!BG463</f>
      </c>
      <c r="BG87" s="8">
        <f>'Pod by trading day'!BH463</f>
      </c>
      <c r="BH87" s="8">
        <f>'Pod by trading day'!BI463</f>
      </c>
      <c r="BI87" s="8">
        <f>'Pod by trading day'!BJ463</f>
      </c>
      <c r="BJ87" s="8">
        <f>'Pod by trading day'!BK463</f>
      </c>
      <c r="BK87" s="8">
        <f>'Pod by trading day'!BL463</f>
      </c>
      <c r="BL87" s="8">
        <f>'Pod by trading day'!BM463</f>
      </c>
      <c r="BM87" s="8">
        <f>'Pod by trading day'!BN463</f>
      </c>
      <c r="BN87" s="8">
        <f>'Pod by trading day'!BO463</f>
      </c>
      <c r="BO87" s="8">
        <f>'Pod by trading day'!BP463</f>
      </c>
      <c r="BP87" s="8">
        <f>'Pod by trading day'!BQ463</f>
      </c>
      <c r="BQ87" s="8">
        <f>'Pod by trading day'!BR463</f>
      </c>
      <c r="BR87" s="8">
        <f>'Pod by trading day'!BS463</f>
      </c>
      <c r="BS87" s="8">
        <f>'Pod by trading day'!BT463</f>
      </c>
      <c r="BT87" s="8">
        <f>'Pod by trading day'!BU463</f>
      </c>
      <c r="BU87" s="8">
        <f>'Pod by trading day'!BV463</f>
      </c>
      <c r="BV87" s="8">
        <f>'Pod by trading day'!BW463</f>
      </c>
      <c r="BW87" s="8">
        <f>'Pod by trading day'!BX463</f>
      </c>
      <c r="BX87" s="8">
        <f>'Pod by trading day'!BY463</f>
      </c>
      <c r="BY87" s="8">
        <f>'Pod by trading day'!BZ463</f>
      </c>
      <c r="BZ87" s="8">
        <f>'Pod by trading day'!CA463</f>
      </c>
      <c r="CA87" s="8">
        <f>'Pod by trading day'!CB463</f>
      </c>
      <c r="CB87" s="8">
        <f>'Pod by trading day'!CC463</f>
      </c>
      <c r="CC87" s="8">
        <f>'Pod by trading day'!CD463</f>
      </c>
      <c r="CD87" s="8">
        <f>'Pod by trading day'!CE463</f>
      </c>
      <c r="CE87" s="8">
        <f>'Pod by trading day'!CF463</f>
      </c>
      <c r="CF87" s="8">
        <f>'Pod by trading day'!CG463</f>
      </c>
      <c r="CG87" s="8">
        <f>'Pod by trading day'!CH463</f>
      </c>
      <c r="CH87" s="8">
        <f>'Pod by trading day'!CI463</f>
      </c>
      <c r="CI87" s="8">
        <f>'Pod by trading day'!CJ463</f>
      </c>
      <c r="CJ87" s="8">
        <f>'Pod by trading day'!CK463</f>
      </c>
      <c r="CK87" s="8">
        <f>'Pod by trading day'!CL463</f>
      </c>
      <c r="CL87" s="8">
        <f>'Pod by trading day'!CM463</f>
      </c>
      <c r="CM87" s="8">
        <f>'Pod by trading day'!CN463</f>
      </c>
      <c r="CN87" s="8">
        <f>'Pod by trading day'!CO463</f>
      </c>
      <c r="CO87" s="8">
        <f>'Pod by trading day'!CP463</f>
      </c>
      <c r="CP87" s="8">
        <f>'Pod by trading day'!CQ463</f>
      </c>
      <c r="CQ87" s="8">
        <f>'Pod by trading day'!CR463</f>
      </c>
      <c r="CR87" s="8">
        <f>'Pod by trading day'!CS463</f>
      </c>
      <c r="CS87" s="8">
        <f>'Pod by trading day'!CT463</f>
      </c>
      <c r="CT87" s="8">
        <f>'Pod by trading day'!CU463</f>
      </c>
      <c r="CU87" s="8">
        <f>'Pod by trading day'!CV463</f>
      </c>
      <c r="CV87" s="8">
        <f>'Pod by trading day'!CW463</f>
      </c>
      <c r="CW87" s="8">
        <f>'Pod by trading day'!CX463</f>
      </c>
    </row>
    <row r="88">
      <c r="A88" s="0" t="inlineStr">
        <is>
          <t xml:space="preserve">Intraday-to-Overnight Reversal</t>
        </is>
      </c>
      <c r="B88" s="8">
        <f>'Pod by trading day'!C464</f>
        <v>-74.53</v>
      </c>
      <c r="C88" s="8">
        <f>'Pod by trading day'!D464</f>
      </c>
      <c r="D88" s="8">
        <f>'Pod by trading day'!E464</f>
      </c>
      <c r="E88" s="8">
        <f>'Pod by trading day'!F464</f>
      </c>
      <c r="F88" s="8">
        <f>'Pod by trading day'!G464</f>
      </c>
      <c r="G88" s="8">
        <f>'Pod by trading day'!H464</f>
      </c>
      <c r="H88" s="8">
        <f>'Pod by trading day'!I464</f>
      </c>
      <c r="I88" s="8">
        <f>'Pod by trading day'!J464</f>
      </c>
      <c r="J88" s="8">
        <f>'Pod by trading day'!K464</f>
      </c>
      <c r="K88" s="8">
        <f>'Pod by trading day'!L464</f>
      </c>
      <c r="L88" s="8">
        <f>'Pod by trading day'!M464</f>
      </c>
      <c r="M88" s="8">
        <f>'Pod by trading day'!N464</f>
      </c>
      <c r="N88" s="8">
        <f>'Pod by trading day'!O464</f>
      </c>
      <c r="O88" s="8">
        <f>'Pod by trading day'!P464</f>
      </c>
      <c r="P88" s="8">
        <f>'Pod by trading day'!Q464</f>
      </c>
      <c r="Q88" s="8">
        <f>'Pod by trading day'!R464</f>
      </c>
      <c r="R88" s="8">
        <f>'Pod by trading day'!S464</f>
      </c>
      <c r="S88" s="8">
        <f>'Pod by trading day'!T464</f>
      </c>
      <c r="T88" s="8">
        <f>'Pod by trading day'!U464</f>
      </c>
      <c r="U88" s="8">
        <f>'Pod by trading day'!V464</f>
      </c>
      <c r="V88" s="8">
        <f>'Pod by trading day'!W464</f>
      </c>
      <c r="W88" s="8">
        <f>'Pod by trading day'!X464</f>
      </c>
      <c r="X88" s="8">
        <f>'Pod by trading day'!Y464</f>
      </c>
      <c r="Y88" s="8">
        <f>'Pod by trading day'!Z464</f>
      </c>
      <c r="Z88" s="8">
        <f>'Pod by trading day'!AA464</f>
      </c>
      <c r="AA88" s="8">
        <f>'Pod by trading day'!AB464</f>
      </c>
      <c r="AB88" s="8">
        <f>'Pod by trading day'!AC464</f>
      </c>
      <c r="AC88" s="8">
        <f>'Pod by trading day'!AD464</f>
      </c>
      <c r="AD88" s="8">
        <f>'Pod by trading day'!AE464</f>
      </c>
      <c r="AE88" s="8">
        <f>'Pod by trading day'!AF464</f>
      </c>
      <c r="AF88" s="8">
        <f>'Pod by trading day'!AG464</f>
      </c>
      <c r="AG88" s="8">
        <f>'Pod by trading day'!AH464</f>
      </c>
      <c r="AH88" s="8">
        <f>'Pod by trading day'!AI464</f>
      </c>
      <c r="AI88" s="8">
        <f>'Pod by trading day'!AJ464</f>
      </c>
      <c r="AJ88" s="8">
        <f>'Pod by trading day'!AK464</f>
      </c>
      <c r="AK88" s="8">
        <f>'Pod by trading day'!AL464</f>
      </c>
      <c r="AL88" s="8">
        <f>'Pod by trading day'!AM464</f>
      </c>
      <c r="AM88" s="8">
        <f>'Pod by trading day'!AN464</f>
      </c>
      <c r="AN88" s="8">
        <f>'Pod by trading day'!AO464</f>
      </c>
      <c r="AO88" s="8">
        <f>'Pod by trading day'!AP464</f>
      </c>
      <c r="AP88" s="8">
        <f>'Pod by trading day'!AQ464</f>
      </c>
      <c r="AQ88" s="8">
        <f>'Pod by trading day'!AR464</f>
      </c>
      <c r="AR88" s="8">
        <f>'Pod by trading day'!AS464</f>
      </c>
      <c r="AS88" s="8">
        <f>'Pod by trading day'!AT464</f>
      </c>
      <c r="AT88" s="8">
        <f>'Pod by trading day'!AU464</f>
      </c>
      <c r="AU88" s="8">
        <f>'Pod by trading day'!AV464</f>
      </c>
      <c r="AV88" s="8">
        <f>'Pod by trading day'!AW464</f>
      </c>
      <c r="AW88" s="8">
        <f>'Pod by trading day'!AX464</f>
      </c>
      <c r="AX88" s="8">
        <f>'Pod by trading day'!AY464</f>
      </c>
      <c r="AY88" s="8">
        <f>'Pod by trading day'!AZ464</f>
      </c>
      <c r="AZ88" s="8">
        <f>'Pod by trading day'!BA464</f>
      </c>
      <c r="BA88" s="8">
        <f>'Pod by trading day'!BB464</f>
      </c>
      <c r="BB88" s="8">
        <f>'Pod by trading day'!BC464</f>
      </c>
      <c r="BC88" s="8">
        <f>'Pod by trading day'!BD464</f>
      </c>
      <c r="BD88" s="8">
        <f>'Pod by trading day'!BE464</f>
      </c>
      <c r="BE88" s="8">
        <f>'Pod by trading day'!BF464</f>
      </c>
      <c r="BF88" s="8">
        <f>'Pod by trading day'!BG464</f>
      </c>
      <c r="BG88" s="8">
        <f>'Pod by trading day'!BH464</f>
      </c>
      <c r="BH88" s="8">
        <f>'Pod by trading day'!BI464</f>
      </c>
      <c r="BI88" s="8">
        <f>'Pod by trading day'!BJ464</f>
      </c>
      <c r="BJ88" s="8">
        <f>'Pod by trading day'!BK464</f>
      </c>
      <c r="BK88" s="8">
        <f>'Pod by trading day'!BL464</f>
      </c>
      <c r="BL88" s="8">
        <f>'Pod by trading day'!BM464</f>
      </c>
      <c r="BM88" s="8">
        <f>'Pod by trading day'!BN464</f>
      </c>
      <c r="BN88" s="8">
        <f>'Pod by trading day'!BO464</f>
      </c>
      <c r="BO88" s="8">
        <f>'Pod by trading day'!BP464</f>
      </c>
      <c r="BP88" s="8">
        <f>'Pod by trading day'!BQ464</f>
      </c>
      <c r="BQ88" s="8">
        <f>'Pod by trading day'!BR464</f>
      </c>
      <c r="BR88" s="8">
        <f>'Pod by trading day'!BS464</f>
      </c>
      <c r="BS88" s="8">
        <f>'Pod by trading day'!BT464</f>
      </c>
      <c r="BT88" s="8">
        <f>'Pod by trading day'!BU464</f>
      </c>
      <c r="BU88" s="8">
        <f>'Pod by trading day'!BV464</f>
      </c>
      <c r="BV88" s="8">
        <f>'Pod by trading day'!BW464</f>
      </c>
      <c r="BW88" s="8">
        <f>'Pod by trading day'!BX464</f>
      </c>
      <c r="BX88" s="8">
        <f>'Pod by trading day'!BY464</f>
      </c>
      <c r="BY88" s="8">
        <f>'Pod by trading day'!BZ464</f>
      </c>
      <c r="BZ88" s="8">
        <f>'Pod by trading day'!CA464</f>
      </c>
      <c r="CA88" s="8">
        <f>'Pod by trading day'!CB464</f>
      </c>
      <c r="CB88" s="8">
        <f>'Pod by trading day'!CC464</f>
      </c>
      <c r="CC88" s="8">
        <f>'Pod by trading day'!CD464</f>
      </c>
      <c r="CD88" s="8">
        <f>'Pod by trading day'!CE464</f>
      </c>
      <c r="CE88" s="8">
        <f>'Pod by trading day'!CF464</f>
      </c>
      <c r="CF88" s="8">
        <f>'Pod by trading day'!CG464</f>
      </c>
      <c r="CG88" s="8">
        <f>'Pod by trading day'!CH464</f>
      </c>
      <c r="CH88" s="8">
        <f>'Pod by trading day'!CI464</f>
      </c>
      <c r="CI88" s="8">
        <f>'Pod by trading day'!CJ464</f>
      </c>
      <c r="CJ88" s="8">
        <f>'Pod by trading day'!CK464</f>
      </c>
      <c r="CK88" s="8">
        <f>'Pod by trading day'!CL464</f>
      </c>
      <c r="CL88" s="8">
        <f>'Pod by trading day'!CM464</f>
      </c>
      <c r="CM88" s="8">
        <f>'Pod by trading day'!CN464</f>
      </c>
      <c r="CN88" s="8">
        <f>'Pod by trading day'!CO464</f>
      </c>
      <c r="CO88" s="8">
        <f>'Pod by trading day'!CP464</f>
      </c>
      <c r="CP88" s="8">
        <f>'Pod by trading day'!CQ464</f>
      </c>
      <c r="CQ88" s="8">
        <f>'Pod by trading day'!CR464</f>
      </c>
      <c r="CR88" s="8">
        <f>'Pod by trading day'!CS464</f>
      </c>
      <c r="CS88" s="8">
        <f>'Pod by trading day'!CT464</f>
      </c>
      <c r="CT88" s="8">
        <f>'Pod by trading day'!CU464</f>
      </c>
      <c r="CU88" s="8">
        <f>'Pod by trading day'!CV464</f>
      </c>
      <c r="CV88" s="8">
        <f>'Pod by trading day'!CW464</f>
      </c>
      <c r="CW88" s="8">
        <f>'Pod by trading day'!CX464</f>
      </c>
    </row>
    <row r="89">
      <c r="A89" s="0" t="inlineStr">
        <is>
          <t xml:space="preserve">Analyst Revision Momentum</t>
        </is>
      </c>
      <c r="B89" s="8">
        <f>'Pod by trading day'!C465</f>
        <v>-162.85</v>
      </c>
      <c r="C89" s="8">
        <f>'Pod by trading day'!D465</f>
      </c>
      <c r="D89" s="8">
        <f>'Pod by trading day'!E465</f>
      </c>
      <c r="E89" s="8">
        <f>'Pod by trading day'!F465</f>
      </c>
      <c r="F89" s="8">
        <f>'Pod by trading day'!G465</f>
      </c>
      <c r="G89" s="8">
        <f>'Pod by trading day'!H465</f>
      </c>
      <c r="H89" s="8">
        <f>'Pod by trading day'!I465</f>
      </c>
      <c r="I89" s="8">
        <f>'Pod by trading day'!J465</f>
      </c>
      <c r="J89" s="8">
        <f>'Pod by trading day'!K465</f>
      </c>
      <c r="K89" s="8">
        <f>'Pod by trading day'!L465</f>
      </c>
      <c r="L89" s="8">
        <f>'Pod by trading day'!M465</f>
      </c>
      <c r="M89" s="8">
        <f>'Pod by trading day'!N465</f>
      </c>
      <c r="N89" s="8">
        <f>'Pod by trading day'!O465</f>
      </c>
      <c r="O89" s="8">
        <f>'Pod by trading day'!P465</f>
      </c>
      <c r="P89" s="8">
        <f>'Pod by trading day'!Q465</f>
      </c>
      <c r="Q89" s="8">
        <f>'Pod by trading day'!R465</f>
      </c>
      <c r="R89" s="8">
        <f>'Pod by trading day'!S465</f>
      </c>
      <c r="S89" s="8">
        <f>'Pod by trading day'!T465</f>
      </c>
      <c r="T89" s="8">
        <f>'Pod by trading day'!U465</f>
      </c>
      <c r="U89" s="8">
        <f>'Pod by trading day'!V465</f>
      </c>
      <c r="V89" s="8">
        <f>'Pod by trading day'!W465</f>
      </c>
      <c r="W89" s="8">
        <f>'Pod by trading day'!X465</f>
      </c>
      <c r="X89" s="8">
        <f>'Pod by trading day'!Y465</f>
      </c>
      <c r="Y89" s="8">
        <f>'Pod by trading day'!Z465</f>
      </c>
      <c r="Z89" s="8">
        <f>'Pod by trading day'!AA465</f>
      </c>
      <c r="AA89" s="8">
        <f>'Pod by trading day'!AB465</f>
      </c>
      <c r="AB89" s="8">
        <f>'Pod by trading day'!AC465</f>
      </c>
      <c r="AC89" s="8">
        <f>'Pod by trading day'!AD465</f>
      </c>
      <c r="AD89" s="8">
        <f>'Pod by trading day'!AE465</f>
      </c>
      <c r="AE89" s="8">
        <f>'Pod by trading day'!AF465</f>
      </c>
      <c r="AF89" s="8">
        <f>'Pod by trading day'!AG465</f>
      </c>
      <c r="AG89" s="8">
        <f>'Pod by trading day'!AH465</f>
      </c>
      <c r="AH89" s="8">
        <f>'Pod by trading day'!AI465</f>
      </c>
      <c r="AI89" s="8">
        <f>'Pod by trading day'!AJ465</f>
      </c>
      <c r="AJ89" s="8">
        <f>'Pod by trading day'!AK465</f>
      </c>
      <c r="AK89" s="8">
        <f>'Pod by trading day'!AL465</f>
      </c>
      <c r="AL89" s="8">
        <f>'Pod by trading day'!AM465</f>
      </c>
      <c r="AM89" s="8">
        <f>'Pod by trading day'!AN465</f>
      </c>
      <c r="AN89" s="8">
        <f>'Pod by trading day'!AO465</f>
      </c>
      <c r="AO89" s="8">
        <f>'Pod by trading day'!AP465</f>
      </c>
      <c r="AP89" s="8">
        <f>'Pod by trading day'!AQ465</f>
      </c>
      <c r="AQ89" s="8">
        <f>'Pod by trading day'!AR465</f>
      </c>
      <c r="AR89" s="8">
        <f>'Pod by trading day'!AS465</f>
      </c>
      <c r="AS89" s="8">
        <f>'Pod by trading day'!AT465</f>
      </c>
      <c r="AT89" s="8">
        <f>'Pod by trading day'!AU465</f>
      </c>
      <c r="AU89" s="8">
        <f>'Pod by trading day'!AV465</f>
      </c>
      <c r="AV89" s="8">
        <f>'Pod by trading day'!AW465</f>
      </c>
      <c r="AW89" s="8">
        <f>'Pod by trading day'!AX465</f>
      </c>
      <c r="AX89" s="8">
        <f>'Pod by trading day'!AY465</f>
      </c>
      <c r="AY89" s="8">
        <f>'Pod by trading day'!AZ465</f>
      </c>
      <c r="AZ89" s="8">
        <f>'Pod by trading day'!BA465</f>
      </c>
      <c r="BA89" s="8">
        <f>'Pod by trading day'!BB465</f>
      </c>
      <c r="BB89" s="8">
        <f>'Pod by trading day'!BC465</f>
      </c>
      <c r="BC89" s="8">
        <f>'Pod by trading day'!BD465</f>
      </c>
      <c r="BD89" s="8">
        <f>'Pod by trading day'!BE465</f>
      </c>
      <c r="BE89" s="8">
        <f>'Pod by trading day'!BF465</f>
      </c>
      <c r="BF89" s="8">
        <f>'Pod by trading day'!BG465</f>
      </c>
      <c r="BG89" s="8">
        <f>'Pod by trading day'!BH465</f>
      </c>
      <c r="BH89" s="8">
        <f>'Pod by trading day'!BI465</f>
      </c>
      <c r="BI89" s="8">
        <f>'Pod by trading day'!BJ465</f>
      </c>
      <c r="BJ89" s="8">
        <f>'Pod by trading day'!BK465</f>
      </c>
      <c r="BK89" s="8">
        <f>'Pod by trading day'!BL465</f>
      </c>
      <c r="BL89" s="8">
        <f>'Pod by trading day'!BM465</f>
      </c>
      <c r="BM89" s="8">
        <f>'Pod by trading day'!BN465</f>
      </c>
      <c r="BN89" s="8">
        <f>'Pod by trading day'!BO465</f>
      </c>
      <c r="BO89" s="8">
        <f>'Pod by trading day'!BP465</f>
      </c>
      <c r="BP89" s="8">
        <f>'Pod by trading day'!BQ465</f>
      </c>
      <c r="BQ89" s="8">
        <f>'Pod by trading day'!BR465</f>
      </c>
      <c r="BR89" s="8">
        <f>'Pod by trading day'!BS465</f>
      </c>
      <c r="BS89" s="8">
        <f>'Pod by trading day'!BT465</f>
      </c>
      <c r="BT89" s="8">
        <f>'Pod by trading day'!BU465</f>
      </c>
      <c r="BU89" s="8">
        <f>'Pod by trading day'!BV465</f>
      </c>
      <c r="BV89" s="8">
        <f>'Pod by trading day'!BW465</f>
      </c>
      <c r="BW89" s="8">
        <f>'Pod by trading day'!BX465</f>
      </c>
      <c r="BX89" s="8">
        <f>'Pod by trading day'!BY465</f>
      </c>
      <c r="BY89" s="8">
        <f>'Pod by trading day'!BZ465</f>
      </c>
      <c r="BZ89" s="8">
        <f>'Pod by trading day'!CA465</f>
      </c>
      <c r="CA89" s="8">
        <f>'Pod by trading day'!CB465</f>
      </c>
      <c r="CB89" s="8">
        <f>'Pod by trading day'!CC465</f>
      </c>
      <c r="CC89" s="8">
        <f>'Pod by trading day'!CD465</f>
      </c>
      <c r="CD89" s="8">
        <f>'Pod by trading day'!CE465</f>
      </c>
      <c r="CE89" s="8">
        <f>'Pod by trading day'!CF465</f>
      </c>
      <c r="CF89" s="8">
        <f>'Pod by trading day'!CG465</f>
      </c>
      <c r="CG89" s="8">
        <f>'Pod by trading day'!CH465</f>
      </c>
      <c r="CH89" s="8">
        <f>'Pod by trading day'!CI465</f>
      </c>
      <c r="CI89" s="8">
        <f>'Pod by trading day'!CJ465</f>
      </c>
      <c r="CJ89" s="8">
        <f>'Pod by trading day'!CK465</f>
      </c>
      <c r="CK89" s="8">
        <f>'Pod by trading day'!CL465</f>
      </c>
      <c r="CL89" s="8">
        <f>'Pod by trading day'!CM465</f>
      </c>
      <c r="CM89" s="8">
        <f>'Pod by trading day'!CN465</f>
      </c>
      <c r="CN89" s="8">
        <f>'Pod by trading day'!CO465</f>
      </c>
      <c r="CO89" s="8">
        <f>'Pod by trading day'!CP465</f>
      </c>
      <c r="CP89" s="8">
        <f>'Pod by trading day'!CQ465</f>
      </c>
      <c r="CQ89" s="8">
        <f>'Pod by trading day'!CR465</f>
      </c>
      <c r="CR89" s="8">
        <f>'Pod by trading day'!CS465</f>
      </c>
      <c r="CS89" s="8">
        <f>'Pod by trading day'!CT465</f>
      </c>
      <c r="CT89" s="8">
        <f>'Pod by trading day'!CU465</f>
      </c>
      <c r="CU89" s="8">
        <f>'Pod by trading day'!CV465</f>
      </c>
      <c r="CV89" s="8">
        <f>'Pod by trading day'!CW465</f>
      </c>
      <c r="CW89" s="8">
        <f>'Pod by trading day'!CX465</f>
      </c>
    </row>
    <row r="90">
      <c r="A90" s="0" t="inlineStr">
        <is>
          <t xml:space="preserve">Clustered Insider Buying</t>
        </is>
      </c>
      <c r="B90" s="8">
        <f>'Pod by trading day'!C466</f>
        <v>41.95</v>
      </c>
      <c r="C90" s="8">
        <f>'Pod by trading day'!D466</f>
      </c>
      <c r="D90" s="8">
        <f>'Pod by trading day'!E466</f>
      </c>
      <c r="E90" s="8">
        <f>'Pod by trading day'!F466</f>
      </c>
      <c r="F90" s="8">
        <f>'Pod by trading day'!G466</f>
      </c>
      <c r="G90" s="8">
        <f>'Pod by trading day'!H466</f>
      </c>
      <c r="H90" s="8">
        <f>'Pod by trading day'!I466</f>
      </c>
      <c r="I90" s="8">
        <f>'Pod by trading day'!J466</f>
      </c>
      <c r="J90" s="8">
        <f>'Pod by trading day'!K466</f>
      </c>
      <c r="K90" s="8">
        <f>'Pod by trading day'!L466</f>
      </c>
      <c r="L90" s="8">
        <f>'Pod by trading day'!M466</f>
      </c>
      <c r="M90" s="8">
        <f>'Pod by trading day'!N466</f>
      </c>
      <c r="N90" s="8">
        <f>'Pod by trading day'!O466</f>
      </c>
      <c r="O90" s="8">
        <f>'Pod by trading day'!P466</f>
      </c>
      <c r="P90" s="8">
        <f>'Pod by trading day'!Q466</f>
      </c>
      <c r="Q90" s="8">
        <f>'Pod by trading day'!R466</f>
      </c>
      <c r="R90" s="8">
        <f>'Pod by trading day'!S466</f>
      </c>
      <c r="S90" s="8">
        <f>'Pod by trading day'!T466</f>
      </c>
      <c r="T90" s="8">
        <f>'Pod by trading day'!U466</f>
      </c>
      <c r="U90" s="8">
        <f>'Pod by trading day'!V466</f>
      </c>
      <c r="V90" s="8">
        <f>'Pod by trading day'!W466</f>
      </c>
      <c r="W90" s="8">
        <f>'Pod by trading day'!X466</f>
      </c>
      <c r="X90" s="8">
        <f>'Pod by trading day'!Y466</f>
      </c>
      <c r="Y90" s="8">
        <f>'Pod by trading day'!Z466</f>
      </c>
      <c r="Z90" s="8">
        <f>'Pod by trading day'!AA466</f>
      </c>
      <c r="AA90" s="8">
        <f>'Pod by trading day'!AB466</f>
      </c>
      <c r="AB90" s="8">
        <f>'Pod by trading day'!AC466</f>
      </c>
      <c r="AC90" s="8">
        <f>'Pod by trading day'!AD466</f>
      </c>
      <c r="AD90" s="8">
        <f>'Pod by trading day'!AE466</f>
      </c>
      <c r="AE90" s="8">
        <f>'Pod by trading day'!AF466</f>
      </c>
      <c r="AF90" s="8">
        <f>'Pod by trading day'!AG466</f>
      </c>
      <c r="AG90" s="8">
        <f>'Pod by trading day'!AH466</f>
      </c>
      <c r="AH90" s="8">
        <f>'Pod by trading day'!AI466</f>
      </c>
      <c r="AI90" s="8">
        <f>'Pod by trading day'!AJ466</f>
      </c>
      <c r="AJ90" s="8">
        <f>'Pod by trading day'!AK466</f>
      </c>
      <c r="AK90" s="8">
        <f>'Pod by trading day'!AL466</f>
      </c>
      <c r="AL90" s="8">
        <f>'Pod by trading day'!AM466</f>
      </c>
      <c r="AM90" s="8">
        <f>'Pod by trading day'!AN466</f>
      </c>
      <c r="AN90" s="8">
        <f>'Pod by trading day'!AO466</f>
      </c>
      <c r="AO90" s="8">
        <f>'Pod by trading day'!AP466</f>
      </c>
      <c r="AP90" s="8">
        <f>'Pod by trading day'!AQ466</f>
      </c>
      <c r="AQ90" s="8">
        <f>'Pod by trading day'!AR466</f>
      </c>
      <c r="AR90" s="8">
        <f>'Pod by trading day'!AS466</f>
      </c>
      <c r="AS90" s="8">
        <f>'Pod by trading day'!AT466</f>
      </c>
      <c r="AT90" s="8">
        <f>'Pod by trading day'!AU466</f>
      </c>
      <c r="AU90" s="8">
        <f>'Pod by trading day'!AV466</f>
      </c>
      <c r="AV90" s="8">
        <f>'Pod by trading day'!AW466</f>
      </c>
      <c r="AW90" s="8">
        <f>'Pod by trading day'!AX466</f>
      </c>
      <c r="AX90" s="8">
        <f>'Pod by trading day'!AY466</f>
      </c>
      <c r="AY90" s="8">
        <f>'Pod by trading day'!AZ466</f>
      </c>
      <c r="AZ90" s="8">
        <f>'Pod by trading day'!BA466</f>
      </c>
      <c r="BA90" s="8">
        <f>'Pod by trading day'!BB466</f>
      </c>
      <c r="BB90" s="8">
        <f>'Pod by trading day'!BC466</f>
      </c>
      <c r="BC90" s="8">
        <f>'Pod by trading day'!BD466</f>
      </c>
      <c r="BD90" s="8">
        <f>'Pod by trading day'!BE466</f>
      </c>
      <c r="BE90" s="8">
        <f>'Pod by trading day'!BF466</f>
      </c>
      <c r="BF90" s="8">
        <f>'Pod by trading day'!BG466</f>
      </c>
      <c r="BG90" s="8">
        <f>'Pod by trading day'!BH466</f>
      </c>
      <c r="BH90" s="8">
        <f>'Pod by trading day'!BI466</f>
      </c>
      <c r="BI90" s="8">
        <f>'Pod by trading day'!BJ466</f>
      </c>
      <c r="BJ90" s="8">
        <f>'Pod by trading day'!BK466</f>
      </c>
      <c r="BK90" s="8">
        <f>'Pod by trading day'!BL466</f>
      </c>
      <c r="BL90" s="8">
        <f>'Pod by trading day'!BM466</f>
      </c>
      <c r="BM90" s="8">
        <f>'Pod by trading day'!BN466</f>
      </c>
      <c r="BN90" s="8">
        <f>'Pod by trading day'!BO466</f>
      </c>
      <c r="BO90" s="8">
        <f>'Pod by trading day'!BP466</f>
      </c>
      <c r="BP90" s="8">
        <f>'Pod by trading day'!BQ466</f>
      </c>
      <c r="BQ90" s="8">
        <f>'Pod by trading day'!BR466</f>
      </c>
      <c r="BR90" s="8">
        <f>'Pod by trading day'!BS466</f>
      </c>
      <c r="BS90" s="8">
        <f>'Pod by trading day'!BT466</f>
      </c>
      <c r="BT90" s="8">
        <f>'Pod by trading day'!BU466</f>
      </c>
      <c r="BU90" s="8">
        <f>'Pod by trading day'!BV466</f>
      </c>
      <c r="BV90" s="8">
        <f>'Pod by trading day'!BW466</f>
      </c>
      <c r="BW90" s="8">
        <f>'Pod by trading day'!BX466</f>
      </c>
      <c r="BX90" s="8">
        <f>'Pod by trading day'!BY466</f>
      </c>
      <c r="BY90" s="8">
        <f>'Pod by trading day'!BZ466</f>
      </c>
      <c r="BZ90" s="8">
        <f>'Pod by trading day'!CA466</f>
      </c>
      <c r="CA90" s="8">
        <f>'Pod by trading day'!CB466</f>
      </c>
      <c r="CB90" s="8">
        <f>'Pod by trading day'!CC466</f>
      </c>
      <c r="CC90" s="8">
        <f>'Pod by trading day'!CD466</f>
      </c>
      <c r="CD90" s="8">
        <f>'Pod by trading day'!CE466</f>
      </c>
      <c r="CE90" s="8">
        <f>'Pod by trading day'!CF466</f>
      </c>
      <c r="CF90" s="8">
        <f>'Pod by trading day'!CG466</f>
      </c>
      <c r="CG90" s="8">
        <f>'Pod by trading day'!CH466</f>
      </c>
      <c r="CH90" s="8">
        <f>'Pod by trading day'!CI466</f>
      </c>
      <c r="CI90" s="8">
        <f>'Pod by trading day'!CJ466</f>
      </c>
      <c r="CJ90" s="8">
        <f>'Pod by trading day'!CK466</f>
      </c>
      <c r="CK90" s="8">
        <f>'Pod by trading day'!CL466</f>
      </c>
      <c r="CL90" s="8">
        <f>'Pod by trading day'!CM466</f>
      </c>
      <c r="CM90" s="8">
        <f>'Pod by trading day'!CN466</f>
      </c>
      <c r="CN90" s="8">
        <f>'Pod by trading day'!CO466</f>
      </c>
      <c r="CO90" s="8">
        <f>'Pod by trading day'!CP466</f>
      </c>
      <c r="CP90" s="8">
        <f>'Pod by trading day'!CQ466</f>
      </c>
      <c r="CQ90" s="8">
        <f>'Pod by trading day'!CR466</f>
      </c>
      <c r="CR90" s="8">
        <f>'Pod by trading day'!CS466</f>
      </c>
      <c r="CS90" s="8">
        <f>'Pod by trading day'!CT466</f>
      </c>
      <c r="CT90" s="8">
        <f>'Pod by trading day'!CU466</f>
      </c>
      <c r="CU90" s="8">
        <f>'Pod by trading day'!CV466</f>
      </c>
      <c r="CV90" s="8">
        <f>'Pod by trading day'!CW466</f>
      </c>
      <c r="CW90" s="8">
        <f>'Pod by trading day'!CX466</f>
      </c>
    </row>
    <row r="91">
      <c r="A91" s="0" t="inlineStr">
        <is>
          <t xml:space="preserve">Same-Month Seasonality</t>
        </is>
      </c>
      <c r="B91" s="8">
        <f>'Pod by trading day'!C467</f>
        <v>-182.98000000000002</v>
      </c>
      <c r="C91" s="8">
        <f>'Pod by trading day'!D467</f>
      </c>
      <c r="D91" s="8">
        <f>'Pod by trading day'!E467</f>
      </c>
      <c r="E91" s="8">
        <f>'Pod by trading day'!F467</f>
      </c>
      <c r="F91" s="8">
        <f>'Pod by trading day'!G467</f>
      </c>
      <c r="G91" s="8">
        <f>'Pod by trading day'!H467</f>
      </c>
      <c r="H91" s="8">
        <f>'Pod by trading day'!I467</f>
      </c>
      <c r="I91" s="8">
        <f>'Pod by trading day'!J467</f>
      </c>
      <c r="J91" s="8">
        <f>'Pod by trading day'!K467</f>
      </c>
      <c r="K91" s="8">
        <f>'Pod by trading day'!L467</f>
      </c>
      <c r="L91" s="8">
        <f>'Pod by trading day'!M467</f>
      </c>
      <c r="M91" s="8">
        <f>'Pod by trading day'!N467</f>
      </c>
      <c r="N91" s="8">
        <f>'Pod by trading day'!O467</f>
      </c>
      <c r="O91" s="8">
        <f>'Pod by trading day'!P467</f>
      </c>
      <c r="P91" s="8">
        <f>'Pod by trading day'!Q467</f>
      </c>
      <c r="Q91" s="8">
        <f>'Pod by trading day'!R467</f>
      </c>
      <c r="R91" s="8">
        <f>'Pod by trading day'!S467</f>
      </c>
      <c r="S91" s="8">
        <f>'Pod by trading day'!T467</f>
      </c>
      <c r="T91" s="8">
        <f>'Pod by trading day'!U467</f>
      </c>
      <c r="U91" s="8">
        <f>'Pod by trading day'!V467</f>
      </c>
      <c r="V91" s="8">
        <f>'Pod by trading day'!W467</f>
      </c>
      <c r="W91" s="8">
        <f>'Pod by trading day'!X467</f>
      </c>
      <c r="X91" s="8">
        <f>'Pod by trading day'!Y467</f>
      </c>
      <c r="Y91" s="8">
        <f>'Pod by trading day'!Z467</f>
      </c>
      <c r="Z91" s="8">
        <f>'Pod by trading day'!AA467</f>
      </c>
      <c r="AA91" s="8">
        <f>'Pod by trading day'!AB467</f>
      </c>
      <c r="AB91" s="8">
        <f>'Pod by trading day'!AC467</f>
      </c>
      <c r="AC91" s="8">
        <f>'Pod by trading day'!AD467</f>
      </c>
      <c r="AD91" s="8">
        <f>'Pod by trading day'!AE467</f>
      </c>
      <c r="AE91" s="8">
        <f>'Pod by trading day'!AF467</f>
      </c>
      <c r="AF91" s="8">
        <f>'Pod by trading day'!AG467</f>
      </c>
      <c r="AG91" s="8">
        <f>'Pod by trading day'!AH467</f>
      </c>
      <c r="AH91" s="8">
        <f>'Pod by trading day'!AI467</f>
      </c>
      <c r="AI91" s="8">
        <f>'Pod by trading day'!AJ467</f>
      </c>
      <c r="AJ91" s="8">
        <f>'Pod by trading day'!AK467</f>
      </c>
      <c r="AK91" s="8">
        <f>'Pod by trading day'!AL467</f>
      </c>
      <c r="AL91" s="8">
        <f>'Pod by trading day'!AM467</f>
      </c>
      <c r="AM91" s="8">
        <f>'Pod by trading day'!AN467</f>
      </c>
      <c r="AN91" s="8">
        <f>'Pod by trading day'!AO467</f>
      </c>
      <c r="AO91" s="8">
        <f>'Pod by trading day'!AP467</f>
      </c>
      <c r="AP91" s="8">
        <f>'Pod by trading day'!AQ467</f>
      </c>
      <c r="AQ91" s="8">
        <f>'Pod by trading day'!AR467</f>
      </c>
      <c r="AR91" s="8">
        <f>'Pod by trading day'!AS467</f>
      </c>
      <c r="AS91" s="8">
        <f>'Pod by trading day'!AT467</f>
      </c>
      <c r="AT91" s="8">
        <f>'Pod by trading day'!AU467</f>
      </c>
      <c r="AU91" s="8">
        <f>'Pod by trading day'!AV467</f>
      </c>
      <c r="AV91" s="8">
        <f>'Pod by trading day'!AW467</f>
      </c>
      <c r="AW91" s="8">
        <f>'Pod by trading day'!AX467</f>
      </c>
      <c r="AX91" s="8">
        <f>'Pod by trading day'!AY467</f>
      </c>
      <c r="AY91" s="8">
        <f>'Pod by trading day'!AZ467</f>
      </c>
      <c r="AZ91" s="8">
        <f>'Pod by trading day'!BA467</f>
      </c>
      <c r="BA91" s="8">
        <f>'Pod by trading day'!BB467</f>
      </c>
      <c r="BB91" s="8">
        <f>'Pod by trading day'!BC467</f>
      </c>
      <c r="BC91" s="8">
        <f>'Pod by trading day'!BD467</f>
      </c>
      <c r="BD91" s="8">
        <f>'Pod by trading day'!BE467</f>
      </c>
      <c r="BE91" s="8">
        <f>'Pod by trading day'!BF467</f>
      </c>
      <c r="BF91" s="8">
        <f>'Pod by trading day'!BG467</f>
      </c>
      <c r="BG91" s="8">
        <f>'Pod by trading day'!BH467</f>
      </c>
      <c r="BH91" s="8">
        <f>'Pod by trading day'!BI467</f>
      </c>
      <c r="BI91" s="8">
        <f>'Pod by trading day'!BJ467</f>
      </c>
      <c r="BJ91" s="8">
        <f>'Pod by trading day'!BK467</f>
      </c>
      <c r="BK91" s="8">
        <f>'Pod by trading day'!BL467</f>
      </c>
      <c r="BL91" s="8">
        <f>'Pod by trading day'!BM467</f>
      </c>
      <c r="BM91" s="8">
        <f>'Pod by trading day'!BN467</f>
      </c>
      <c r="BN91" s="8">
        <f>'Pod by trading day'!BO467</f>
      </c>
      <c r="BO91" s="8">
        <f>'Pod by trading day'!BP467</f>
      </c>
      <c r="BP91" s="8">
        <f>'Pod by trading day'!BQ467</f>
      </c>
      <c r="BQ91" s="8">
        <f>'Pod by trading day'!BR467</f>
      </c>
      <c r="BR91" s="8">
        <f>'Pod by trading day'!BS467</f>
      </c>
      <c r="BS91" s="8">
        <f>'Pod by trading day'!BT467</f>
      </c>
      <c r="BT91" s="8">
        <f>'Pod by trading day'!BU467</f>
      </c>
      <c r="BU91" s="8">
        <f>'Pod by trading day'!BV467</f>
      </c>
      <c r="BV91" s="8">
        <f>'Pod by trading day'!BW467</f>
      </c>
      <c r="BW91" s="8">
        <f>'Pod by trading day'!BX467</f>
      </c>
      <c r="BX91" s="8">
        <f>'Pod by trading day'!BY467</f>
      </c>
      <c r="BY91" s="8">
        <f>'Pod by trading day'!BZ467</f>
      </c>
      <c r="BZ91" s="8">
        <f>'Pod by trading day'!CA467</f>
      </c>
      <c r="CA91" s="8">
        <f>'Pod by trading day'!CB467</f>
      </c>
      <c r="CB91" s="8">
        <f>'Pod by trading day'!CC467</f>
      </c>
      <c r="CC91" s="8">
        <f>'Pod by trading day'!CD467</f>
      </c>
      <c r="CD91" s="8">
        <f>'Pod by trading day'!CE467</f>
      </c>
      <c r="CE91" s="8">
        <f>'Pod by trading day'!CF467</f>
      </c>
      <c r="CF91" s="8">
        <f>'Pod by trading day'!CG467</f>
      </c>
      <c r="CG91" s="8">
        <f>'Pod by trading day'!CH467</f>
      </c>
      <c r="CH91" s="8">
        <f>'Pod by trading day'!CI467</f>
      </c>
      <c r="CI91" s="8">
        <f>'Pod by trading day'!CJ467</f>
      </c>
      <c r="CJ91" s="8">
        <f>'Pod by trading day'!CK467</f>
      </c>
      <c r="CK91" s="8">
        <f>'Pod by trading day'!CL467</f>
      </c>
      <c r="CL91" s="8">
        <f>'Pod by trading day'!CM467</f>
      </c>
      <c r="CM91" s="8">
        <f>'Pod by trading day'!CN467</f>
      </c>
      <c r="CN91" s="8">
        <f>'Pod by trading day'!CO467</f>
      </c>
      <c r="CO91" s="8">
        <f>'Pod by trading day'!CP467</f>
      </c>
      <c r="CP91" s="8">
        <f>'Pod by trading day'!CQ467</f>
      </c>
      <c r="CQ91" s="8">
        <f>'Pod by trading day'!CR467</f>
      </c>
      <c r="CR91" s="8">
        <f>'Pod by trading day'!CS467</f>
      </c>
      <c r="CS91" s="8">
        <f>'Pod by trading day'!CT467</f>
      </c>
      <c r="CT91" s="8">
        <f>'Pod by trading day'!CU467</f>
      </c>
      <c r="CU91" s="8">
        <f>'Pod by trading day'!CV467</f>
      </c>
      <c r="CV91" s="8">
        <f>'Pod by trading day'!CW467</f>
      </c>
      <c r="CW91" s="8">
        <f>'Pod by trading day'!CX467</f>
      </c>
    </row>
    <row r="92">
      <c r="A92" s="0" t="inlineStr">
        <is>
          <t xml:space="preserve">Quality at a Reasonable Price</t>
        </is>
      </c>
      <c r="B92" s="8">
        <f>'Pod by trading day'!C468</f>
        <v>1.899999999999995</v>
      </c>
      <c r="C92" s="8">
        <f>'Pod by trading day'!D468</f>
      </c>
      <c r="D92" s="8">
        <f>'Pod by trading day'!E468</f>
      </c>
      <c r="E92" s="8">
        <f>'Pod by trading day'!F468</f>
      </c>
      <c r="F92" s="8">
        <f>'Pod by trading day'!G468</f>
      </c>
      <c r="G92" s="8">
        <f>'Pod by trading day'!H468</f>
      </c>
      <c r="H92" s="8">
        <f>'Pod by trading day'!I468</f>
      </c>
      <c r="I92" s="8">
        <f>'Pod by trading day'!J468</f>
      </c>
      <c r="J92" s="8">
        <f>'Pod by trading day'!K468</f>
      </c>
      <c r="K92" s="8">
        <f>'Pod by trading day'!L468</f>
      </c>
      <c r="L92" s="8">
        <f>'Pod by trading day'!M468</f>
      </c>
      <c r="M92" s="8">
        <f>'Pod by trading day'!N468</f>
      </c>
      <c r="N92" s="8">
        <f>'Pod by trading day'!O468</f>
      </c>
      <c r="O92" s="8">
        <f>'Pod by trading day'!P468</f>
      </c>
      <c r="P92" s="8">
        <f>'Pod by trading day'!Q468</f>
      </c>
      <c r="Q92" s="8">
        <f>'Pod by trading day'!R468</f>
      </c>
      <c r="R92" s="8">
        <f>'Pod by trading day'!S468</f>
      </c>
      <c r="S92" s="8">
        <f>'Pod by trading day'!T468</f>
      </c>
      <c r="T92" s="8">
        <f>'Pod by trading day'!U468</f>
      </c>
      <c r="U92" s="8">
        <f>'Pod by trading day'!V468</f>
      </c>
      <c r="V92" s="8">
        <f>'Pod by trading day'!W468</f>
      </c>
      <c r="W92" s="8">
        <f>'Pod by trading day'!X468</f>
      </c>
      <c r="X92" s="8">
        <f>'Pod by trading day'!Y468</f>
      </c>
      <c r="Y92" s="8">
        <f>'Pod by trading day'!Z468</f>
      </c>
      <c r="Z92" s="8">
        <f>'Pod by trading day'!AA468</f>
      </c>
      <c r="AA92" s="8">
        <f>'Pod by trading day'!AB468</f>
      </c>
      <c r="AB92" s="8">
        <f>'Pod by trading day'!AC468</f>
      </c>
      <c r="AC92" s="8">
        <f>'Pod by trading day'!AD468</f>
      </c>
      <c r="AD92" s="8">
        <f>'Pod by trading day'!AE468</f>
      </c>
      <c r="AE92" s="8">
        <f>'Pod by trading day'!AF468</f>
      </c>
      <c r="AF92" s="8">
        <f>'Pod by trading day'!AG468</f>
      </c>
      <c r="AG92" s="8">
        <f>'Pod by trading day'!AH468</f>
      </c>
      <c r="AH92" s="8">
        <f>'Pod by trading day'!AI468</f>
      </c>
      <c r="AI92" s="8">
        <f>'Pod by trading day'!AJ468</f>
      </c>
      <c r="AJ92" s="8">
        <f>'Pod by trading day'!AK468</f>
      </c>
      <c r="AK92" s="8">
        <f>'Pod by trading day'!AL468</f>
      </c>
      <c r="AL92" s="8">
        <f>'Pod by trading day'!AM468</f>
      </c>
      <c r="AM92" s="8">
        <f>'Pod by trading day'!AN468</f>
      </c>
      <c r="AN92" s="8">
        <f>'Pod by trading day'!AO468</f>
      </c>
      <c r="AO92" s="8">
        <f>'Pod by trading day'!AP468</f>
      </c>
      <c r="AP92" s="8">
        <f>'Pod by trading day'!AQ468</f>
      </c>
      <c r="AQ92" s="8">
        <f>'Pod by trading day'!AR468</f>
      </c>
      <c r="AR92" s="8">
        <f>'Pod by trading day'!AS468</f>
      </c>
      <c r="AS92" s="8">
        <f>'Pod by trading day'!AT468</f>
      </c>
      <c r="AT92" s="8">
        <f>'Pod by trading day'!AU468</f>
      </c>
      <c r="AU92" s="8">
        <f>'Pod by trading day'!AV468</f>
      </c>
      <c r="AV92" s="8">
        <f>'Pod by trading day'!AW468</f>
      </c>
      <c r="AW92" s="8">
        <f>'Pod by trading day'!AX468</f>
      </c>
      <c r="AX92" s="8">
        <f>'Pod by trading day'!AY468</f>
      </c>
      <c r="AY92" s="8">
        <f>'Pod by trading day'!AZ468</f>
      </c>
      <c r="AZ92" s="8">
        <f>'Pod by trading day'!BA468</f>
      </c>
      <c r="BA92" s="8">
        <f>'Pod by trading day'!BB468</f>
      </c>
      <c r="BB92" s="8">
        <f>'Pod by trading day'!BC468</f>
      </c>
      <c r="BC92" s="8">
        <f>'Pod by trading day'!BD468</f>
      </c>
      <c r="BD92" s="8">
        <f>'Pod by trading day'!BE468</f>
      </c>
      <c r="BE92" s="8">
        <f>'Pod by trading day'!BF468</f>
      </c>
      <c r="BF92" s="8">
        <f>'Pod by trading day'!BG468</f>
      </c>
      <c r="BG92" s="8">
        <f>'Pod by trading day'!BH468</f>
      </c>
      <c r="BH92" s="8">
        <f>'Pod by trading day'!BI468</f>
      </c>
      <c r="BI92" s="8">
        <f>'Pod by trading day'!BJ468</f>
      </c>
      <c r="BJ92" s="8">
        <f>'Pod by trading day'!BK468</f>
      </c>
      <c r="BK92" s="8">
        <f>'Pod by trading day'!BL468</f>
      </c>
      <c r="BL92" s="8">
        <f>'Pod by trading day'!BM468</f>
      </c>
      <c r="BM92" s="8">
        <f>'Pod by trading day'!BN468</f>
      </c>
      <c r="BN92" s="8">
        <f>'Pod by trading day'!BO468</f>
      </c>
      <c r="BO92" s="8">
        <f>'Pod by trading day'!BP468</f>
      </c>
      <c r="BP92" s="8">
        <f>'Pod by trading day'!BQ468</f>
      </c>
      <c r="BQ92" s="8">
        <f>'Pod by trading day'!BR468</f>
      </c>
      <c r="BR92" s="8">
        <f>'Pod by trading day'!BS468</f>
      </c>
      <c r="BS92" s="8">
        <f>'Pod by trading day'!BT468</f>
      </c>
      <c r="BT92" s="8">
        <f>'Pod by trading day'!BU468</f>
      </c>
      <c r="BU92" s="8">
        <f>'Pod by trading day'!BV468</f>
      </c>
      <c r="BV92" s="8">
        <f>'Pod by trading day'!BW468</f>
      </c>
      <c r="BW92" s="8">
        <f>'Pod by trading day'!BX468</f>
      </c>
      <c r="BX92" s="8">
        <f>'Pod by trading day'!BY468</f>
      </c>
      <c r="BY92" s="8">
        <f>'Pod by trading day'!BZ468</f>
      </c>
      <c r="BZ92" s="8">
        <f>'Pod by trading day'!CA468</f>
      </c>
      <c r="CA92" s="8">
        <f>'Pod by trading day'!CB468</f>
      </c>
      <c r="CB92" s="8">
        <f>'Pod by trading day'!CC468</f>
      </c>
      <c r="CC92" s="8">
        <f>'Pod by trading day'!CD468</f>
      </c>
      <c r="CD92" s="8">
        <f>'Pod by trading day'!CE468</f>
      </c>
      <c r="CE92" s="8">
        <f>'Pod by trading day'!CF468</f>
      </c>
      <c r="CF92" s="8">
        <f>'Pod by trading day'!CG468</f>
      </c>
      <c r="CG92" s="8">
        <f>'Pod by trading day'!CH468</f>
      </c>
      <c r="CH92" s="8">
        <f>'Pod by trading day'!CI468</f>
      </c>
      <c r="CI92" s="8">
        <f>'Pod by trading day'!CJ468</f>
      </c>
      <c r="CJ92" s="8">
        <f>'Pod by trading day'!CK468</f>
      </c>
      <c r="CK92" s="8">
        <f>'Pod by trading day'!CL468</f>
      </c>
      <c r="CL92" s="8">
        <f>'Pod by trading day'!CM468</f>
      </c>
      <c r="CM92" s="8">
        <f>'Pod by trading day'!CN468</f>
      </c>
      <c r="CN92" s="8">
        <f>'Pod by trading day'!CO468</f>
      </c>
      <c r="CO92" s="8">
        <f>'Pod by trading day'!CP468</f>
      </c>
      <c r="CP92" s="8">
        <f>'Pod by trading day'!CQ468</f>
      </c>
      <c r="CQ92" s="8">
        <f>'Pod by trading day'!CR468</f>
      </c>
      <c r="CR92" s="8">
        <f>'Pod by trading day'!CS468</f>
      </c>
      <c r="CS92" s="8">
        <f>'Pod by trading day'!CT468</f>
      </c>
      <c r="CT92" s="8">
        <f>'Pod by trading day'!CU468</f>
      </c>
      <c r="CU92" s="8">
        <f>'Pod by trading day'!CV468</f>
      </c>
      <c r="CV92" s="8">
        <f>'Pod by trading day'!CW468</f>
      </c>
      <c r="CW92" s="8">
        <f>'Pod by trading day'!CX468</f>
      </c>
    </row>
    <row r="93">
      <c r="A93" s="0" t="inlineStr">
        <is>
          <t xml:space="preserve">Residual Momentum</t>
        </is>
      </c>
      <c r="B93" s="8">
        <f>'Pod by trading day'!C469</f>
        <v>48.330000000000005</v>
      </c>
      <c r="C93" s="8">
        <f>'Pod by trading day'!D469</f>
      </c>
      <c r="D93" s="8">
        <f>'Pod by trading day'!E469</f>
      </c>
      <c r="E93" s="8">
        <f>'Pod by trading day'!F469</f>
      </c>
      <c r="F93" s="8">
        <f>'Pod by trading day'!G469</f>
      </c>
      <c r="G93" s="8">
        <f>'Pod by trading day'!H469</f>
      </c>
      <c r="H93" s="8">
        <f>'Pod by trading day'!I469</f>
      </c>
      <c r="I93" s="8">
        <f>'Pod by trading day'!J469</f>
      </c>
      <c r="J93" s="8">
        <f>'Pod by trading day'!K469</f>
      </c>
      <c r="K93" s="8">
        <f>'Pod by trading day'!L469</f>
      </c>
      <c r="L93" s="8">
        <f>'Pod by trading day'!M469</f>
      </c>
      <c r="M93" s="8">
        <f>'Pod by trading day'!N469</f>
      </c>
      <c r="N93" s="8">
        <f>'Pod by trading day'!O469</f>
      </c>
      <c r="O93" s="8">
        <f>'Pod by trading day'!P469</f>
      </c>
      <c r="P93" s="8">
        <f>'Pod by trading day'!Q469</f>
      </c>
      <c r="Q93" s="8">
        <f>'Pod by trading day'!R469</f>
      </c>
      <c r="R93" s="8">
        <f>'Pod by trading day'!S469</f>
      </c>
      <c r="S93" s="8">
        <f>'Pod by trading day'!T469</f>
      </c>
      <c r="T93" s="8">
        <f>'Pod by trading day'!U469</f>
      </c>
      <c r="U93" s="8">
        <f>'Pod by trading day'!V469</f>
      </c>
      <c r="V93" s="8">
        <f>'Pod by trading day'!W469</f>
      </c>
      <c r="W93" s="8">
        <f>'Pod by trading day'!X469</f>
      </c>
      <c r="X93" s="8">
        <f>'Pod by trading day'!Y469</f>
      </c>
      <c r="Y93" s="8">
        <f>'Pod by trading day'!Z469</f>
      </c>
      <c r="Z93" s="8">
        <f>'Pod by trading day'!AA469</f>
      </c>
      <c r="AA93" s="8">
        <f>'Pod by trading day'!AB469</f>
      </c>
      <c r="AB93" s="8">
        <f>'Pod by trading day'!AC469</f>
      </c>
      <c r="AC93" s="8">
        <f>'Pod by trading day'!AD469</f>
      </c>
      <c r="AD93" s="8">
        <f>'Pod by trading day'!AE469</f>
      </c>
      <c r="AE93" s="8">
        <f>'Pod by trading day'!AF469</f>
      </c>
      <c r="AF93" s="8">
        <f>'Pod by trading day'!AG469</f>
      </c>
      <c r="AG93" s="8">
        <f>'Pod by trading day'!AH469</f>
      </c>
      <c r="AH93" s="8">
        <f>'Pod by trading day'!AI469</f>
      </c>
      <c r="AI93" s="8">
        <f>'Pod by trading day'!AJ469</f>
      </c>
      <c r="AJ93" s="8">
        <f>'Pod by trading day'!AK469</f>
      </c>
      <c r="AK93" s="8">
        <f>'Pod by trading day'!AL469</f>
      </c>
      <c r="AL93" s="8">
        <f>'Pod by trading day'!AM469</f>
      </c>
      <c r="AM93" s="8">
        <f>'Pod by trading day'!AN469</f>
      </c>
      <c r="AN93" s="8">
        <f>'Pod by trading day'!AO469</f>
      </c>
      <c r="AO93" s="8">
        <f>'Pod by trading day'!AP469</f>
      </c>
      <c r="AP93" s="8">
        <f>'Pod by trading day'!AQ469</f>
      </c>
      <c r="AQ93" s="8">
        <f>'Pod by trading day'!AR469</f>
      </c>
      <c r="AR93" s="8">
        <f>'Pod by trading day'!AS469</f>
      </c>
      <c r="AS93" s="8">
        <f>'Pod by trading day'!AT469</f>
      </c>
      <c r="AT93" s="8">
        <f>'Pod by trading day'!AU469</f>
      </c>
      <c r="AU93" s="8">
        <f>'Pod by trading day'!AV469</f>
      </c>
      <c r="AV93" s="8">
        <f>'Pod by trading day'!AW469</f>
      </c>
      <c r="AW93" s="8">
        <f>'Pod by trading day'!AX469</f>
      </c>
      <c r="AX93" s="8">
        <f>'Pod by trading day'!AY469</f>
      </c>
      <c r="AY93" s="8">
        <f>'Pod by trading day'!AZ469</f>
      </c>
      <c r="AZ93" s="8">
        <f>'Pod by trading day'!BA469</f>
      </c>
      <c r="BA93" s="8">
        <f>'Pod by trading day'!BB469</f>
      </c>
      <c r="BB93" s="8">
        <f>'Pod by trading day'!BC469</f>
      </c>
      <c r="BC93" s="8">
        <f>'Pod by trading day'!BD469</f>
      </c>
      <c r="BD93" s="8">
        <f>'Pod by trading day'!BE469</f>
      </c>
      <c r="BE93" s="8">
        <f>'Pod by trading day'!BF469</f>
      </c>
      <c r="BF93" s="8">
        <f>'Pod by trading day'!BG469</f>
      </c>
      <c r="BG93" s="8">
        <f>'Pod by trading day'!BH469</f>
      </c>
      <c r="BH93" s="8">
        <f>'Pod by trading day'!BI469</f>
      </c>
      <c r="BI93" s="8">
        <f>'Pod by trading day'!BJ469</f>
      </c>
      <c r="BJ93" s="8">
        <f>'Pod by trading day'!BK469</f>
      </c>
      <c r="BK93" s="8">
        <f>'Pod by trading day'!BL469</f>
      </c>
      <c r="BL93" s="8">
        <f>'Pod by trading day'!BM469</f>
      </c>
      <c r="BM93" s="8">
        <f>'Pod by trading day'!BN469</f>
      </c>
      <c r="BN93" s="8">
        <f>'Pod by trading day'!BO469</f>
      </c>
      <c r="BO93" s="8">
        <f>'Pod by trading day'!BP469</f>
      </c>
      <c r="BP93" s="8">
        <f>'Pod by trading day'!BQ469</f>
      </c>
      <c r="BQ93" s="8">
        <f>'Pod by trading day'!BR469</f>
      </c>
      <c r="BR93" s="8">
        <f>'Pod by trading day'!BS469</f>
      </c>
      <c r="BS93" s="8">
        <f>'Pod by trading day'!BT469</f>
      </c>
      <c r="BT93" s="8">
        <f>'Pod by trading day'!BU469</f>
      </c>
      <c r="BU93" s="8">
        <f>'Pod by trading day'!BV469</f>
      </c>
      <c r="BV93" s="8">
        <f>'Pod by trading day'!BW469</f>
      </c>
      <c r="BW93" s="8">
        <f>'Pod by trading day'!BX469</f>
      </c>
      <c r="BX93" s="8">
        <f>'Pod by trading day'!BY469</f>
      </c>
      <c r="BY93" s="8">
        <f>'Pod by trading day'!BZ469</f>
      </c>
      <c r="BZ93" s="8">
        <f>'Pod by trading day'!CA469</f>
      </c>
      <c r="CA93" s="8">
        <f>'Pod by trading day'!CB469</f>
      </c>
      <c r="CB93" s="8">
        <f>'Pod by trading day'!CC469</f>
      </c>
      <c r="CC93" s="8">
        <f>'Pod by trading day'!CD469</f>
      </c>
      <c r="CD93" s="8">
        <f>'Pod by trading day'!CE469</f>
      </c>
      <c r="CE93" s="8">
        <f>'Pod by trading day'!CF469</f>
      </c>
      <c r="CF93" s="8">
        <f>'Pod by trading day'!CG469</f>
      </c>
      <c r="CG93" s="8">
        <f>'Pod by trading day'!CH469</f>
      </c>
      <c r="CH93" s="8">
        <f>'Pod by trading day'!CI469</f>
      </c>
      <c r="CI93" s="8">
        <f>'Pod by trading day'!CJ469</f>
      </c>
      <c r="CJ93" s="8">
        <f>'Pod by trading day'!CK469</f>
      </c>
      <c r="CK93" s="8">
        <f>'Pod by trading day'!CL469</f>
      </c>
      <c r="CL93" s="8">
        <f>'Pod by trading day'!CM469</f>
      </c>
      <c r="CM93" s="8">
        <f>'Pod by trading day'!CN469</f>
      </c>
      <c r="CN93" s="8">
        <f>'Pod by trading day'!CO469</f>
      </c>
      <c r="CO93" s="8">
        <f>'Pod by trading day'!CP469</f>
      </c>
      <c r="CP93" s="8">
        <f>'Pod by trading day'!CQ469</f>
      </c>
      <c r="CQ93" s="8">
        <f>'Pod by trading day'!CR469</f>
      </c>
      <c r="CR93" s="8">
        <f>'Pod by trading day'!CS469</f>
      </c>
      <c r="CS93" s="8">
        <f>'Pod by trading day'!CT469</f>
      </c>
      <c r="CT93" s="8">
        <f>'Pod by trading day'!CU469</f>
      </c>
      <c r="CU93" s="8">
        <f>'Pod by trading day'!CV469</f>
      </c>
      <c r="CV93" s="8">
        <f>'Pod by trading day'!CW469</f>
      </c>
      <c r="CW93" s="8">
        <f>'Pod by trading day'!CX469</f>
      </c>
    </row>
    <row r="94">
      <c r="A94" s="0" t="inlineStr">
        <is>
          <t xml:space="preserve">Overnight Return Persistence</t>
        </is>
      </c>
      <c r="B94" s="8">
        <f>'Pod by trading day'!C470</f>
        <v>-85.22</v>
      </c>
      <c r="C94" s="8">
        <f>'Pod by trading day'!D470</f>
      </c>
      <c r="D94" s="8">
        <f>'Pod by trading day'!E470</f>
      </c>
      <c r="E94" s="8">
        <f>'Pod by trading day'!F470</f>
      </c>
      <c r="F94" s="8">
        <f>'Pod by trading day'!G470</f>
      </c>
      <c r="G94" s="8">
        <f>'Pod by trading day'!H470</f>
      </c>
      <c r="H94" s="8">
        <f>'Pod by trading day'!I470</f>
      </c>
      <c r="I94" s="8">
        <f>'Pod by trading day'!J470</f>
      </c>
      <c r="J94" s="8">
        <f>'Pod by trading day'!K470</f>
      </c>
      <c r="K94" s="8">
        <f>'Pod by trading day'!L470</f>
      </c>
      <c r="L94" s="8">
        <f>'Pod by trading day'!M470</f>
      </c>
      <c r="M94" s="8">
        <f>'Pod by trading day'!N470</f>
      </c>
      <c r="N94" s="8">
        <f>'Pod by trading day'!O470</f>
      </c>
      <c r="O94" s="8">
        <f>'Pod by trading day'!P470</f>
      </c>
      <c r="P94" s="8">
        <f>'Pod by trading day'!Q470</f>
      </c>
      <c r="Q94" s="8">
        <f>'Pod by trading day'!R470</f>
      </c>
      <c r="R94" s="8">
        <f>'Pod by trading day'!S470</f>
      </c>
      <c r="S94" s="8">
        <f>'Pod by trading day'!T470</f>
      </c>
      <c r="T94" s="8">
        <f>'Pod by trading day'!U470</f>
      </c>
      <c r="U94" s="8">
        <f>'Pod by trading day'!V470</f>
      </c>
      <c r="V94" s="8">
        <f>'Pod by trading day'!W470</f>
      </c>
      <c r="W94" s="8">
        <f>'Pod by trading day'!X470</f>
      </c>
      <c r="X94" s="8">
        <f>'Pod by trading day'!Y470</f>
      </c>
      <c r="Y94" s="8">
        <f>'Pod by trading day'!Z470</f>
      </c>
      <c r="Z94" s="8">
        <f>'Pod by trading day'!AA470</f>
      </c>
      <c r="AA94" s="8">
        <f>'Pod by trading day'!AB470</f>
      </c>
      <c r="AB94" s="8">
        <f>'Pod by trading day'!AC470</f>
      </c>
      <c r="AC94" s="8">
        <f>'Pod by trading day'!AD470</f>
      </c>
      <c r="AD94" s="8">
        <f>'Pod by trading day'!AE470</f>
      </c>
      <c r="AE94" s="8">
        <f>'Pod by trading day'!AF470</f>
      </c>
      <c r="AF94" s="8">
        <f>'Pod by trading day'!AG470</f>
      </c>
      <c r="AG94" s="8">
        <f>'Pod by trading day'!AH470</f>
      </c>
      <c r="AH94" s="8">
        <f>'Pod by trading day'!AI470</f>
      </c>
      <c r="AI94" s="8">
        <f>'Pod by trading day'!AJ470</f>
      </c>
      <c r="AJ94" s="8">
        <f>'Pod by trading day'!AK470</f>
      </c>
      <c r="AK94" s="8">
        <f>'Pod by trading day'!AL470</f>
      </c>
      <c r="AL94" s="8">
        <f>'Pod by trading day'!AM470</f>
      </c>
      <c r="AM94" s="8">
        <f>'Pod by trading day'!AN470</f>
      </c>
      <c r="AN94" s="8">
        <f>'Pod by trading day'!AO470</f>
      </c>
      <c r="AO94" s="8">
        <f>'Pod by trading day'!AP470</f>
      </c>
      <c r="AP94" s="8">
        <f>'Pod by trading day'!AQ470</f>
      </c>
      <c r="AQ94" s="8">
        <f>'Pod by trading day'!AR470</f>
      </c>
      <c r="AR94" s="8">
        <f>'Pod by trading day'!AS470</f>
      </c>
      <c r="AS94" s="8">
        <f>'Pod by trading day'!AT470</f>
      </c>
      <c r="AT94" s="8">
        <f>'Pod by trading day'!AU470</f>
      </c>
      <c r="AU94" s="8">
        <f>'Pod by trading day'!AV470</f>
      </c>
      <c r="AV94" s="8">
        <f>'Pod by trading day'!AW470</f>
      </c>
      <c r="AW94" s="8">
        <f>'Pod by trading day'!AX470</f>
      </c>
      <c r="AX94" s="8">
        <f>'Pod by trading day'!AY470</f>
      </c>
      <c r="AY94" s="8">
        <f>'Pod by trading day'!AZ470</f>
      </c>
      <c r="AZ94" s="8">
        <f>'Pod by trading day'!BA470</f>
      </c>
      <c r="BA94" s="8">
        <f>'Pod by trading day'!BB470</f>
      </c>
      <c r="BB94" s="8">
        <f>'Pod by trading day'!BC470</f>
      </c>
      <c r="BC94" s="8">
        <f>'Pod by trading day'!BD470</f>
      </c>
      <c r="BD94" s="8">
        <f>'Pod by trading day'!BE470</f>
      </c>
      <c r="BE94" s="8">
        <f>'Pod by trading day'!BF470</f>
      </c>
      <c r="BF94" s="8">
        <f>'Pod by trading day'!BG470</f>
      </c>
      <c r="BG94" s="8">
        <f>'Pod by trading day'!BH470</f>
      </c>
      <c r="BH94" s="8">
        <f>'Pod by trading day'!BI470</f>
      </c>
      <c r="BI94" s="8">
        <f>'Pod by trading day'!BJ470</f>
      </c>
      <c r="BJ94" s="8">
        <f>'Pod by trading day'!BK470</f>
      </c>
      <c r="BK94" s="8">
        <f>'Pod by trading day'!BL470</f>
      </c>
      <c r="BL94" s="8">
        <f>'Pod by trading day'!BM470</f>
      </c>
      <c r="BM94" s="8">
        <f>'Pod by trading day'!BN470</f>
      </c>
      <c r="BN94" s="8">
        <f>'Pod by trading day'!BO470</f>
      </c>
      <c r="BO94" s="8">
        <f>'Pod by trading day'!BP470</f>
      </c>
      <c r="BP94" s="8">
        <f>'Pod by trading day'!BQ470</f>
      </c>
      <c r="BQ94" s="8">
        <f>'Pod by trading day'!BR470</f>
      </c>
      <c r="BR94" s="8">
        <f>'Pod by trading day'!BS470</f>
      </c>
      <c r="BS94" s="8">
        <f>'Pod by trading day'!BT470</f>
      </c>
      <c r="BT94" s="8">
        <f>'Pod by trading day'!BU470</f>
      </c>
      <c r="BU94" s="8">
        <f>'Pod by trading day'!BV470</f>
      </c>
      <c r="BV94" s="8">
        <f>'Pod by trading day'!BW470</f>
      </c>
      <c r="BW94" s="8">
        <f>'Pod by trading day'!BX470</f>
      </c>
      <c r="BX94" s="8">
        <f>'Pod by trading day'!BY470</f>
      </c>
      <c r="BY94" s="8">
        <f>'Pod by trading day'!BZ470</f>
      </c>
      <c r="BZ94" s="8">
        <f>'Pod by trading day'!CA470</f>
      </c>
      <c r="CA94" s="8">
        <f>'Pod by trading day'!CB470</f>
      </c>
      <c r="CB94" s="8">
        <f>'Pod by trading day'!CC470</f>
      </c>
      <c r="CC94" s="8">
        <f>'Pod by trading day'!CD470</f>
      </c>
      <c r="CD94" s="8">
        <f>'Pod by trading day'!CE470</f>
      </c>
      <c r="CE94" s="8">
        <f>'Pod by trading day'!CF470</f>
      </c>
      <c r="CF94" s="8">
        <f>'Pod by trading day'!CG470</f>
      </c>
      <c r="CG94" s="8">
        <f>'Pod by trading day'!CH470</f>
      </c>
      <c r="CH94" s="8">
        <f>'Pod by trading day'!CI470</f>
      </c>
      <c r="CI94" s="8">
        <f>'Pod by trading day'!CJ470</f>
      </c>
      <c r="CJ94" s="8">
        <f>'Pod by trading day'!CK470</f>
      </c>
      <c r="CK94" s="8">
        <f>'Pod by trading day'!CL470</f>
      </c>
      <c r="CL94" s="8">
        <f>'Pod by trading day'!CM470</f>
      </c>
      <c r="CM94" s="8">
        <f>'Pod by trading day'!CN470</f>
      </c>
      <c r="CN94" s="8">
        <f>'Pod by trading day'!CO470</f>
      </c>
      <c r="CO94" s="8">
        <f>'Pod by trading day'!CP470</f>
      </c>
      <c r="CP94" s="8">
        <f>'Pod by trading day'!CQ470</f>
      </c>
      <c r="CQ94" s="8">
        <f>'Pod by trading day'!CR470</f>
      </c>
      <c r="CR94" s="8">
        <f>'Pod by trading day'!CS470</f>
      </c>
      <c r="CS94" s="8">
        <f>'Pod by trading day'!CT470</f>
      </c>
      <c r="CT94" s="8">
        <f>'Pod by trading day'!CU470</f>
      </c>
      <c r="CU94" s="8">
        <f>'Pod by trading day'!CV470</f>
      </c>
      <c r="CV94" s="8">
        <f>'Pod by trading day'!CW470</f>
      </c>
      <c r="CW94" s="8">
        <f>'Pod by trading day'!CX470</f>
      </c>
    </row>
    <row r="95">
      <c r="A95" s="0" t="inlineStr">
        <is>
          <t xml:space="preserve">52-Week-High Anchoring</t>
        </is>
      </c>
      <c r="B95" s="8">
        <f>'Pod by trading day'!C471</f>
        <v>291.10999999999996</v>
      </c>
      <c r="C95" s="8">
        <f>'Pod by trading day'!D471</f>
      </c>
      <c r="D95" s="8">
        <f>'Pod by trading day'!E471</f>
      </c>
      <c r="E95" s="8">
        <f>'Pod by trading day'!F471</f>
      </c>
      <c r="F95" s="8">
        <f>'Pod by trading day'!G471</f>
      </c>
      <c r="G95" s="8">
        <f>'Pod by trading day'!H471</f>
      </c>
      <c r="H95" s="8">
        <f>'Pod by trading day'!I471</f>
      </c>
      <c r="I95" s="8">
        <f>'Pod by trading day'!J471</f>
      </c>
      <c r="J95" s="8">
        <f>'Pod by trading day'!K471</f>
      </c>
      <c r="K95" s="8">
        <f>'Pod by trading day'!L471</f>
      </c>
      <c r="L95" s="8">
        <f>'Pod by trading day'!M471</f>
      </c>
      <c r="M95" s="8">
        <f>'Pod by trading day'!N471</f>
      </c>
      <c r="N95" s="8">
        <f>'Pod by trading day'!O471</f>
      </c>
      <c r="O95" s="8">
        <f>'Pod by trading day'!P471</f>
      </c>
      <c r="P95" s="8">
        <f>'Pod by trading day'!Q471</f>
      </c>
      <c r="Q95" s="8">
        <f>'Pod by trading day'!R471</f>
      </c>
      <c r="R95" s="8">
        <f>'Pod by trading day'!S471</f>
      </c>
      <c r="S95" s="8">
        <f>'Pod by trading day'!T471</f>
      </c>
      <c r="T95" s="8">
        <f>'Pod by trading day'!U471</f>
      </c>
      <c r="U95" s="8">
        <f>'Pod by trading day'!V471</f>
      </c>
      <c r="V95" s="8">
        <f>'Pod by trading day'!W471</f>
      </c>
      <c r="W95" s="8">
        <f>'Pod by trading day'!X471</f>
      </c>
      <c r="X95" s="8">
        <f>'Pod by trading day'!Y471</f>
      </c>
      <c r="Y95" s="8">
        <f>'Pod by trading day'!Z471</f>
      </c>
      <c r="Z95" s="8">
        <f>'Pod by trading day'!AA471</f>
      </c>
      <c r="AA95" s="8">
        <f>'Pod by trading day'!AB471</f>
      </c>
      <c r="AB95" s="8">
        <f>'Pod by trading day'!AC471</f>
      </c>
      <c r="AC95" s="8">
        <f>'Pod by trading day'!AD471</f>
      </c>
      <c r="AD95" s="8">
        <f>'Pod by trading day'!AE471</f>
      </c>
      <c r="AE95" s="8">
        <f>'Pod by trading day'!AF471</f>
      </c>
      <c r="AF95" s="8">
        <f>'Pod by trading day'!AG471</f>
      </c>
      <c r="AG95" s="8">
        <f>'Pod by trading day'!AH471</f>
      </c>
      <c r="AH95" s="8">
        <f>'Pod by trading day'!AI471</f>
      </c>
      <c r="AI95" s="8">
        <f>'Pod by trading day'!AJ471</f>
      </c>
      <c r="AJ95" s="8">
        <f>'Pod by trading day'!AK471</f>
      </c>
      <c r="AK95" s="8">
        <f>'Pod by trading day'!AL471</f>
      </c>
      <c r="AL95" s="8">
        <f>'Pod by trading day'!AM471</f>
      </c>
      <c r="AM95" s="8">
        <f>'Pod by trading day'!AN471</f>
      </c>
      <c r="AN95" s="8">
        <f>'Pod by trading day'!AO471</f>
      </c>
      <c r="AO95" s="8">
        <f>'Pod by trading day'!AP471</f>
      </c>
      <c r="AP95" s="8">
        <f>'Pod by trading day'!AQ471</f>
      </c>
      <c r="AQ95" s="8">
        <f>'Pod by trading day'!AR471</f>
      </c>
      <c r="AR95" s="8">
        <f>'Pod by trading day'!AS471</f>
      </c>
      <c r="AS95" s="8">
        <f>'Pod by trading day'!AT471</f>
      </c>
      <c r="AT95" s="8">
        <f>'Pod by trading day'!AU471</f>
      </c>
      <c r="AU95" s="8">
        <f>'Pod by trading day'!AV471</f>
      </c>
      <c r="AV95" s="8">
        <f>'Pod by trading day'!AW471</f>
      </c>
      <c r="AW95" s="8">
        <f>'Pod by trading day'!AX471</f>
      </c>
      <c r="AX95" s="8">
        <f>'Pod by trading day'!AY471</f>
      </c>
      <c r="AY95" s="8">
        <f>'Pod by trading day'!AZ471</f>
      </c>
      <c r="AZ95" s="8">
        <f>'Pod by trading day'!BA471</f>
      </c>
      <c r="BA95" s="8">
        <f>'Pod by trading day'!BB471</f>
      </c>
      <c r="BB95" s="8">
        <f>'Pod by trading day'!BC471</f>
      </c>
      <c r="BC95" s="8">
        <f>'Pod by trading day'!BD471</f>
      </c>
      <c r="BD95" s="8">
        <f>'Pod by trading day'!BE471</f>
      </c>
      <c r="BE95" s="8">
        <f>'Pod by trading day'!BF471</f>
      </c>
      <c r="BF95" s="8">
        <f>'Pod by trading day'!BG471</f>
      </c>
      <c r="BG95" s="8">
        <f>'Pod by trading day'!BH471</f>
      </c>
      <c r="BH95" s="8">
        <f>'Pod by trading day'!BI471</f>
      </c>
      <c r="BI95" s="8">
        <f>'Pod by trading day'!BJ471</f>
      </c>
      <c r="BJ95" s="8">
        <f>'Pod by trading day'!BK471</f>
      </c>
      <c r="BK95" s="8">
        <f>'Pod by trading day'!BL471</f>
      </c>
      <c r="BL95" s="8">
        <f>'Pod by trading day'!BM471</f>
      </c>
      <c r="BM95" s="8">
        <f>'Pod by trading day'!BN471</f>
      </c>
      <c r="BN95" s="8">
        <f>'Pod by trading day'!BO471</f>
      </c>
      <c r="BO95" s="8">
        <f>'Pod by trading day'!BP471</f>
      </c>
      <c r="BP95" s="8">
        <f>'Pod by trading day'!BQ471</f>
      </c>
      <c r="BQ95" s="8">
        <f>'Pod by trading day'!BR471</f>
      </c>
      <c r="BR95" s="8">
        <f>'Pod by trading day'!BS471</f>
      </c>
      <c r="BS95" s="8">
        <f>'Pod by trading day'!BT471</f>
      </c>
      <c r="BT95" s="8">
        <f>'Pod by trading day'!BU471</f>
      </c>
      <c r="BU95" s="8">
        <f>'Pod by trading day'!BV471</f>
      </c>
      <c r="BV95" s="8">
        <f>'Pod by trading day'!BW471</f>
      </c>
      <c r="BW95" s="8">
        <f>'Pod by trading day'!BX471</f>
      </c>
      <c r="BX95" s="8">
        <f>'Pod by trading day'!BY471</f>
      </c>
      <c r="BY95" s="8">
        <f>'Pod by trading day'!BZ471</f>
      </c>
      <c r="BZ95" s="8">
        <f>'Pod by trading day'!CA471</f>
      </c>
      <c r="CA95" s="8">
        <f>'Pod by trading day'!CB471</f>
      </c>
      <c r="CB95" s="8">
        <f>'Pod by trading day'!CC471</f>
      </c>
      <c r="CC95" s="8">
        <f>'Pod by trading day'!CD471</f>
      </c>
      <c r="CD95" s="8">
        <f>'Pod by trading day'!CE471</f>
      </c>
      <c r="CE95" s="8">
        <f>'Pod by trading day'!CF471</f>
      </c>
      <c r="CF95" s="8">
        <f>'Pod by trading day'!CG471</f>
      </c>
      <c r="CG95" s="8">
        <f>'Pod by trading day'!CH471</f>
      </c>
      <c r="CH95" s="8">
        <f>'Pod by trading day'!CI471</f>
      </c>
      <c r="CI95" s="8">
        <f>'Pod by trading day'!CJ471</f>
      </c>
      <c r="CJ95" s="8">
        <f>'Pod by trading day'!CK471</f>
      </c>
      <c r="CK95" s="8">
        <f>'Pod by trading day'!CL471</f>
      </c>
      <c r="CL95" s="8">
        <f>'Pod by trading day'!CM471</f>
      </c>
      <c r="CM95" s="8">
        <f>'Pod by trading day'!CN471</f>
      </c>
      <c r="CN95" s="8">
        <f>'Pod by trading day'!CO471</f>
      </c>
      <c r="CO95" s="8">
        <f>'Pod by trading day'!CP471</f>
      </c>
      <c r="CP95" s="8">
        <f>'Pod by trading day'!CQ471</f>
      </c>
      <c r="CQ95" s="8">
        <f>'Pod by trading day'!CR471</f>
      </c>
      <c r="CR95" s="8">
        <f>'Pod by trading day'!CS471</f>
      </c>
      <c r="CS95" s="8">
        <f>'Pod by trading day'!CT471</f>
      </c>
      <c r="CT95" s="8">
        <f>'Pod by trading day'!CU471</f>
      </c>
      <c r="CU95" s="8">
        <f>'Pod by trading day'!CV471</f>
      </c>
      <c r="CV95" s="8">
        <f>'Pod by trading day'!CW471</f>
      </c>
      <c r="CW95" s="8">
        <f>'Pod by trading day'!CX471</f>
      </c>
    </row>
    <row r="114">
      <c r="A114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Sector mix of the 100 picks per LLM pod (2026-09-23)</t>
        </is>
      </c>
    </row>
    <row r="2">
      <c r="A2" s="1" t="inlineStr">
        <is>
          <t xml:space="preserve">sector</t>
        </is>
      </c>
      <c r="B2" s="1" t="inlineStr">
        <is>
          <t xml:space="preserve">Retail Attention Overnight</t>
        </is>
      </c>
      <c r="C2" s="1" t="inlineStr">
        <is>
          <t xml:space="preserve">Post-Earnings Drift, Overnight Leg</t>
        </is>
      </c>
      <c r="D2" s="1" t="inlineStr">
        <is>
          <t xml:space="preserve">Intraday-to-Overnight Reversal</t>
        </is>
      </c>
      <c r="E2" s="1" t="inlineStr">
        <is>
          <t xml:space="preserve">Analyst Revision Momentum</t>
        </is>
      </c>
      <c r="F2" s="1" t="inlineStr">
        <is>
          <t xml:space="preserve">Clustered Insider Buying</t>
        </is>
      </c>
      <c r="G2" s="1" t="inlineStr">
        <is>
          <t xml:space="preserve">Same-Month Seasonality</t>
        </is>
      </c>
      <c r="H2" s="1" t="inlineStr">
        <is>
          <t xml:space="preserve">Quality at a Reasonable Price</t>
        </is>
      </c>
      <c r="I2" s="1" t="inlineStr">
        <is>
          <t xml:space="preserve">Residual Momentum</t>
        </is>
      </c>
      <c r="J2" s="1" t="inlineStr">
        <is>
          <t xml:space="preserve">Overnight Return Persistence</t>
        </is>
      </c>
      <c r="K2" s="1" t="inlineStr">
        <is>
          <t xml:space="preserve">52-Week-High Anchoring</t>
        </is>
      </c>
    </row>
    <row r="3">
      <c r="A3" s="0" t="inlineStr">
        <is>
          <t xml:space="preserve">Basic Materials</t>
        </is>
      </c>
      <c r="B3" s="4" t="e">
        <f>'Sector mix of picks (2026-09-23'!C7</f>
        <v>#N/A</v>
      </c>
      <c r="C3" s="4" t="e">
        <f>'Sector mix of picks (2026-09-23'!C8</f>
        <v>#N/A</v>
      </c>
      <c r="D3" s="4" t="e">
        <f>'Sector mix of picks (2026-09-23'!C9</f>
        <v>#N/A</v>
      </c>
      <c r="E3" s="4" t="e">
        <f>'Sector mix of picks (2026-09-23'!C10</f>
        <v>#N/A</v>
      </c>
      <c r="F3" s="4" t="e">
        <f>'Sector mix of picks (2026-09-23'!C11</f>
        <v>#N/A</v>
      </c>
      <c r="G3" s="4" t="e">
        <f>'Sector mix of picks (2026-09-23'!C12</f>
        <v>#N/A</v>
      </c>
      <c r="H3" s="4" t="e">
        <f>'Sector mix of picks (2026-09-23'!C13</f>
        <v>#N/A</v>
      </c>
      <c r="I3" s="4" t="e">
        <f>'Sector mix of picks (2026-09-23'!C14</f>
        <v>#N/A</v>
      </c>
      <c r="J3" s="4" t="e">
        <f>'Sector mix of picks (2026-09-23'!C15</f>
        <v>#N/A</v>
      </c>
      <c r="K3" s="4" t="e">
        <f>'Sector mix of picks (2026-09-23'!C16</f>
        <v>#N/A</v>
      </c>
    </row>
    <row r="4">
      <c r="A4" s="0" t="inlineStr">
        <is>
          <t xml:space="preserve">Communication Services</t>
        </is>
      </c>
      <c r="B4" s="4" t="e">
        <f>'Sector mix of picks (2026-09-23'!D7</f>
        <v>#N/A</v>
      </c>
      <c r="C4" s="4" t="e">
        <f>'Sector mix of picks (2026-09-23'!D8</f>
        <v>#N/A</v>
      </c>
      <c r="D4" s="4" t="e">
        <f>'Sector mix of picks (2026-09-23'!D9</f>
        <v>#N/A</v>
      </c>
      <c r="E4" s="4" t="e">
        <f>'Sector mix of picks (2026-09-23'!D10</f>
        <v>#N/A</v>
      </c>
      <c r="F4" s="4" t="e">
        <f>'Sector mix of picks (2026-09-23'!D11</f>
        <v>#N/A</v>
      </c>
      <c r="G4" s="4" t="e">
        <f>'Sector mix of picks (2026-09-23'!D12</f>
        <v>#N/A</v>
      </c>
      <c r="H4" s="4" t="e">
        <f>'Sector mix of picks (2026-09-23'!D13</f>
        <v>#N/A</v>
      </c>
      <c r="I4" s="4" t="e">
        <f>'Sector mix of picks (2026-09-23'!D14</f>
        <v>#N/A</v>
      </c>
      <c r="J4" s="4" t="e">
        <f>'Sector mix of picks (2026-09-23'!D15</f>
        <v>#N/A</v>
      </c>
      <c r="K4" s="4" t="e">
        <f>'Sector mix of picks (2026-09-23'!D16</f>
        <v>#N/A</v>
      </c>
    </row>
    <row r="5">
      <c r="A5" s="0" t="inlineStr">
        <is>
          <t xml:space="preserve">Consumer Cyclical</t>
        </is>
      </c>
      <c r="B5" s="4" t="e">
        <f>'Sector mix of picks (2026-09-23'!E7</f>
        <v>#N/A</v>
      </c>
      <c r="C5" s="4" t="e">
        <f>'Sector mix of picks (2026-09-23'!E8</f>
        <v>#N/A</v>
      </c>
      <c r="D5" s="4" t="e">
        <f>'Sector mix of picks (2026-09-23'!E9</f>
        <v>#N/A</v>
      </c>
      <c r="E5" s="4" t="e">
        <f>'Sector mix of picks (2026-09-23'!E10</f>
        <v>#N/A</v>
      </c>
      <c r="F5" s="4" t="e">
        <f>'Sector mix of picks (2026-09-23'!E11</f>
        <v>#N/A</v>
      </c>
      <c r="G5" s="4" t="e">
        <f>'Sector mix of picks (2026-09-23'!E12</f>
        <v>#N/A</v>
      </c>
      <c r="H5" s="4" t="e">
        <f>'Sector mix of picks (2026-09-23'!E13</f>
        <v>#N/A</v>
      </c>
      <c r="I5" s="4" t="e">
        <f>'Sector mix of picks (2026-09-23'!E14</f>
        <v>#N/A</v>
      </c>
      <c r="J5" s="4" t="e">
        <f>'Sector mix of picks (2026-09-23'!E15</f>
        <v>#N/A</v>
      </c>
      <c r="K5" s="4" t="e">
        <f>'Sector mix of picks (2026-09-23'!E16</f>
        <v>#N/A</v>
      </c>
    </row>
    <row r="6">
      <c r="A6" s="0" t="inlineStr">
        <is>
          <t xml:space="preserve">Consumer Defensive</t>
        </is>
      </c>
      <c r="B6" s="4" t="e">
        <f>'Sector mix of picks (2026-09-23'!F7</f>
        <v>#N/A</v>
      </c>
      <c r="C6" s="4" t="e">
        <f>'Sector mix of picks (2026-09-23'!F8</f>
        <v>#N/A</v>
      </c>
      <c r="D6" s="4" t="e">
        <f>'Sector mix of picks (2026-09-23'!F9</f>
        <v>#N/A</v>
      </c>
      <c r="E6" s="4" t="e">
        <f>'Sector mix of picks (2026-09-23'!F10</f>
        <v>#N/A</v>
      </c>
      <c r="F6" s="4" t="e">
        <f>'Sector mix of picks (2026-09-23'!F11</f>
        <v>#N/A</v>
      </c>
      <c r="G6" s="4" t="e">
        <f>'Sector mix of picks (2026-09-23'!F12</f>
        <v>#N/A</v>
      </c>
      <c r="H6" s="4" t="e">
        <f>'Sector mix of picks (2026-09-23'!F13</f>
        <v>#N/A</v>
      </c>
      <c r="I6" s="4" t="e">
        <f>'Sector mix of picks (2026-09-23'!F14</f>
        <v>#N/A</v>
      </c>
      <c r="J6" s="4" t="e">
        <f>'Sector mix of picks (2026-09-23'!F15</f>
        <v>#N/A</v>
      </c>
      <c r="K6" s="4" t="e">
        <f>'Sector mix of picks (2026-09-23'!F16</f>
        <v>#N/A</v>
      </c>
    </row>
    <row r="7">
      <c r="A7" s="0" t="inlineStr">
        <is>
          <t xml:space="preserve">Energy</t>
        </is>
      </c>
      <c r="B7" s="4" t="e">
        <f>'Sector mix of picks (2026-09-23'!G7</f>
        <v>#N/A</v>
      </c>
      <c r="C7" s="4" t="e">
        <f>'Sector mix of picks (2026-09-23'!G8</f>
        <v>#N/A</v>
      </c>
      <c r="D7" s="4" t="e">
        <f>'Sector mix of picks (2026-09-23'!G9</f>
        <v>#N/A</v>
      </c>
      <c r="E7" s="4" t="e">
        <f>'Sector mix of picks (2026-09-23'!G10</f>
        <v>#N/A</v>
      </c>
      <c r="F7" s="4" t="e">
        <f>'Sector mix of picks (2026-09-23'!G11</f>
        <v>#N/A</v>
      </c>
      <c r="G7" s="4" t="e">
        <f>'Sector mix of picks (2026-09-23'!G12</f>
        <v>#N/A</v>
      </c>
      <c r="H7" s="4" t="e">
        <f>'Sector mix of picks (2026-09-23'!G13</f>
        <v>#N/A</v>
      </c>
      <c r="I7" s="4" t="e">
        <f>'Sector mix of picks (2026-09-23'!G14</f>
        <v>#N/A</v>
      </c>
      <c r="J7" s="4" t="e">
        <f>'Sector mix of picks (2026-09-23'!G15</f>
        <v>#N/A</v>
      </c>
      <c r="K7" s="4" t="e">
        <f>'Sector mix of picks (2026-09-23'!G16</f>
        <v>#N/A</v>
      </c>
    </row>
    <row r="8">
      <c r="A8" s="0" t="inlineStr">
        <is>
          <t xml:space="preserve">Financial Services</t>
        </is>
      </c>
      <c r="B8" s="4" t="e">
        <f>'Sector mix of picks (2026-09-23'!H7</f>
        <v>#N/A</v>
      </c>
      <c r="C8" s="4" t="e">
        <f>'Sector mix of picks (2026-09-23'!H8</f>
        <v>#N/A</v>
      </c>
      <c r="D8" s="4" t="e">
        <f>'Sector mix of picks (2026-09-23'!H9</f>
        <v>#N/A</v>
      </c>
      <c r="E8" s="4" t="e">
        <f>'Sector mix of picks (2026-09-23'!H10</f>
        <v>#N/A</v>
      </c>
      <c r="F8" s="4" t="e">
        <f>'Sector mix of picks (2026-09-23'!H11</f>
        <v>#N/A</v>
      </c>
      <c r="G8" s="4" t="e">
        <f>'Sector mix of picks (2026-09-23'!H12</f>
        <v>#N/A</v>
      </c>
      <c r="H8" s="4" t="e">
        <f>'Sector mix of picks (2026-09-23'!H13</f>
        <v>#N/A</v>
      </c>
      <c r="I8" s="4" t="e">
        <f>'Sector mix of picks (2026-09-23'!H14</f>
        <v>#N/A</v>
      </c>
      <c r="J8" s="4" t="e">
        <f>'Sector mix of picks (2026-09-23'!H15</f>
        <v>#N/A</v>
      </c>
      <c r="K8" s="4" t="e">
        <f>'Sector mix of picks (2026-09-23'!H16</f>
        <v>#N/A</v>
      </c>
    </row>
    <row r="9">
      <c r="A9" s="0" t="inlineStr">
        <is>
          <t xml:space="preserve">Healthcare</t>
        </is>
      </c>
      <c r="B9" s="4" t="e">
        <f>'Sector mix of picks (2026-09-23'!I7</f>
        <v>#N/A</v>
      </c>
      <c r="C9" s="4" t="e">
        <f>'Sector mix of picks (2026-09-23'!I8</f>
        <v>#N/A</v>
      </c>
      <c r="D9" s="4" t="e">
        <f>'Sector mix of picks (2026-09-23'!I9</f>
        <v>#N/A</v>
      </c>
      <c r="E9" s="4" t="e">
        <f>'Sector mix of picks (2026-09-23'!I10</f>
        <v>#N/A</v>
      </c>
      <c r="F9" s="4" t="e">
        <f>'Sector mix of picks (2026-09-23'!I11</f>
        <v>#N/A</v>
      </c>
      <c r="G9" s="4" t="e">
        <f>'Sector mix of picks (2026-09-23'!I12</f>
        <v>#N/A</v>
      </c>
      <c r="H9" s="4" t="e">
        <f>'Sector mix of picks (2026-09-23'!I13</f>
        <v>#N/A</v>
      </c>
      <c r="I9" s="4" t="e">
        <f>'Sector mix of picks (2026-09-23'!I14</f>
        <v>#N/A</v>
      </c>
      <c r="J9" s="4" t="e">
        <f>'Sector mix of picks (2026-09-23'!I15</f>
        <v>#N/A</v>
      </c>
      <c r="K9" s="4" t="e">
        <f>'Sector mix of picks (2026-09-23'!I16</f>
        <v>#N/A</v>
      </c>
    </row>
    <row r="10">
      <c r="A10" s="0" t="inlineStr">
        <is>
          <t xml:space="preserve">Industrials</t>
        </is>
      </c>
      <c r="B10" s="4" t="e">
        <f>'Sector mix of picks (2026-09-23'!J7</f>
        <v>#N/A</v>
      </c>
      <c r="C10" s="4" t="e">
        <f>'Sector mix of picks (2026-09-23'!J8</f>
        <v>#N/A</v>
      </c>
      <c r="D10" s="4" t="e">
        <f>'Sector mix of picks (2026-09-23'!J9</f>
        <v>#N/A</v>
      </c>
      <c r="E10" s="4" t="e">
        <f>'Sector mix of picks (2026-09-23'!J10</f>
        <v>#N/A</v>
      </c>
      <c r="F10" s="4" t="e">
        <f>'Sector mix of picks (2026-09-23'!J11</f>
        <v>#N/A</v>
      </c>
      <c r="G10" s="4" t="e">
        <f>'Sector mix of picks (2026-09-23'!J12</f>
        <v>#N/A</v>
      </c>
      <c r="H10" s="4" t="e">
        <f>'Sector mix of picks (2026-09-23'!J13</f>
        <v>#N/A</v>
      </c>
      <c r="I10" s="4" t="e">
        <f>'Sector mix of picks (2026-09-23'!J14</f>
        <v>#N/A</v>
      </c>
      <c r="J10" s="4" t="e">
        <f>'Sector mix of picks (2026-09-23'!J15</f>
        <v>#N/A</v>
      </c>
      <c r="K10" s="4" t="e">
        <f>'Sector mix of picks (2026-09-23'!J16</f>
        <v>#N/A</v>
      </c>
    </row>
    <row r="11">
      <c r="A11" s="0" t="inlineStr">
        <is>
          <t xml:space="preserve">Real Estate</t>
        </is>
      </c>
      <c r="B11" s="4" t="e">
        <f>'Sector mix of picks (2026-09-23'!K7</f>
        <v>#N/A</v>
      </c>
      <c r="C11" s="4" t="e">
        <f>'Sector mix of picks (2026-09-23'!K8</f>
        <v>#N/A</v>
      </c>
      <c r="D11" s="4" t="e">
        <f>'Sector mix of picks (2026-09-23'!K9</f>
        <v>#N/A</v>
      </c>
      <c r="E11" s="4" t="e">
        <f>'Sector mix of picks (2026-09-23'!K10</f>
        <v>#N/A</v>
      </c>
      <c r="F11" s="4" t="e">
        <f>'Sector mix of picks (2026-09-23'!K11</f>
        <v>#N/A</v>
      </c>
      <c r="G11" s="4" t="e">
        <f>'Sector mix of picks (2026-09-23'!K12</f>
        <v>#N/A</v>
      </c>
      <c r="H11" s="4" t="e">
        <f>'Sector mix of picks (2026-09-23'!K13</f>
        <v>#N/A</v>
      </c>
      <c r="I11" s="4" t="e">
        <f>'Sector mix of picks (2026-09-23'!K14</f>
        <v>#N/A</v>
      </c>
      <c r="J11" s="4" t="e">
        <f>'Sector mix of picks (2026-09-23'!K15</f>
        <v>#N/A</v>
      </c>
      <c r="K11" s="4" t="e">
        <f>'Sector mix of picks (2026-09-23'!K16</f>
        <v>#N/A</v>
      </c>
    </row>
    <row r="12">
      <c r="A12" s="0" t="inlineStr">
        <is>
          <t xml:space="preserve">Technology</t>
        </is>
      </c>
      <c r="B12" s="4" t="e">
        <f>'Sector mix of picks (2026-09-23'!L7</f>
        <v>#N/A</v>
      </c>
      <c r="C12" s="4" t="e">
        <f>'Sector mix of picks (2026-09-23'!L8</f>
        <v>#N/A</v>
      </c>
      <c r="D12" s="4" t="e">
        <f>'Sector mix of picks (2026-09-23'!L9</f>
        <v>#N/A</v>
      </c>
      <c r="E12" s="4" t="e">
        <f>'Sector mix of picks (2026-09-23'!L10</f>
        <v>#N/A</v>
      </c>
      <c r="F12" s="4" t="e">
        <f>'Sector mix of picks (2026-09-23'!L11</f>
        <v>#N/A</v>
      </c>
      <c r="G12" s="4" t="e">
        <f>'Sector mix of picks (2026-09-23'!L12</f>
        <v>#N/A</v>
      </c>
      <c r="H12" s="4" t="e">
        <f>'Sector mix of picks (2026-09-23'!L13</f>
        <v>#N/A</v>
      </c>
      <c r="I12" s="4" t="e">
        <f>'Sector mix of picks (2026-09-23'!L14</f>
        <v>#N/A</v>
      </c>
      <c r="J12" s="4" t="e">
        <f>'Sector mix of picks (2026-09-23'!L15</f>
        <v>#N/A</v>
      </c>
      <c r="K12" s="4" t="e">
        <f>'Sector mix of picks (2026-09-23'!L16</f>
        <v>#N/A</v>
      </c>
    </row>
    <row r="13">
      <c r="A13" s="0" t="inlineStr">
        <is>
          <t xml:space="preserve">Utilities</t>
        </is>
      </c>
      <c r="B13" s="4" t="e">
        <f>'Sector mix of picks (2026-09-23'!M7</f>
        <v>#N/A</v>
      </c>
      <c r="C13" s="4" t="e">
        <f>'Sector mix of picks (2026-09-23'!M8</f>
        <v>#N/A</v>
      </c>
      <c r="D13" s="4" t="e">
        <f>'Sector mix of picks (2026-09-23'!M9</f>
        <v>#N/A</v>
      </c>
      <c r="E13" s="4" t="e">
        <f>'Sector mix of picks (2026-09-23'!M10</f>
        <v>#N/A</v>
      </c>
      <c r="F13" s="4" t="e">
        <f>'Sector mix of picks (2026-09-23'!M11</f>
        <v>#N/A</v>
      </c>
      <c r="G13" s="4" t="e">
        <f>'Sector mix of picks (2026-09-23'!M12</f>
        <v>#N/A</v>
      </c>
      <c r="H13" s="4" t="e">
        <f>'Sector mix of picks (2026-09-23'!M13</f>
        <v>#N/A</v>
      </c>
      <c r="I13" s="4" t="e">
        <f>'Sector mix of picks (2026-09-23'!M14</f>
        <v>#N/A</v>
      </c>
      <c r="J13" s="4" t="e">
        <f>'Sector mix of picks (2026-09-23'!M15</f>
        <v>#N/A</v>
      </c>
      <c r="K13" s="4" t="e">
        <f>'Sector mix of picks (2026-09-23'!M16</f>
        <v>#N/A</v>
      </c>
    </row>
    <row r="32">
      <c r="A32" s="1" t="inlineStr">
        <is>
          <t xml:space="preserve">Shared picks between LLM pods (100 = identical books; ~7 = chance)</t>
        </is>
      </c>
    </row>
    <row r="33">
      <c r="A33" s="1" t="inlineStr">
        <is>
          <t xml:space="preserve">pod_a</t>
        </is>
      </c>
      <c r="B33" s="1" t="inlineStr">
        <is>
          <t xml:space="preserve">Retail Attention Overnight</t>
        </is>
      </c>
      <c r="C33" s="1" t="inlineStr">
        <is>
          <t xml:space="preserve">Post-Earnings Drift, Overnight Leg</t>
        </is>
      </c>
      <c r="D33" s="1" t="inlineStr">
        <is>
          <t xml:space="preserve">Intraday-to-Overnight Reversal</t>
        </is>
      </c>
      <c r="E33" s="1" t="inlineStr">
        <is>
          <t xml:space="preserve">Analyst Revision Momentum</t>
        </is>
      </c>
      <c r="F33" s="1" t="inlineStr">
        <is>
          <t xml:space="preserve">Clustered Insider Buying</t>
        </is>
      </c>
      <c r="G33" s="1" t="inlineStr">
        <is>
          <t xml:space="preserve">Same-Month Seasonality</t>
        </is>
      </c>
      <c r="H33" s="1" t="inlineStr">
        <is>
          <t xml:space="preserve">Quality at a Reasonable Price</t>
        </is>
      </c>
      <c r="I33" s="1" t="inlineStr">
        <is>
          <t xml:space="preserve">Residual Momentum</t>
        </is>
      </c>
      <c r="J33" s="1" t="inlineStr">
        <is>
          <t xml:space="preserve">Overnight Return Persistence</t>
        </is>
      </c>
      <c r="K33" s="1" t="inlineStr">
        <is>
          <t xml:space="preserve">52-Week-High Anchoring</t>
        </is>
      </c>
    </row>
    <row r="34">
      <c r="A34" s="0" t="inlineStr">
        <is>
          <t xml:space="preserve">Retail Attention Overnight</t>
        </is>
      </c>
      <c r="B34" s="4">
        <f>'Pick overlap between LLM pods ('!C2</f>
        <v>100</v>
      </c>
      <c r="C34" s="4">
        <f>'Pick overlap between LLM pods ('!D2</f>
        <v>6</v>
      </c>
      <c r="D34" s="4">
        <f>'Pick overlap between LLM pods ('!E2</f>
        <v>23</v>
      </c>
      <c r="E34" s="4">
        <f>'Pick overlap between LLM pods ('!F2</f>
        <v>9</v>
      </c>
      <c r="F34" s="4">
        <f>'Pick overlap between LLM pods ('!G2</f>
        <v>6</v>
      </c>
      <c r="G34" s="4">
        <f>'Pick overlap between LLM pods ('!H2</f>
        <v>10</v>
      </c>
      <c r="H34" s="4">
        <f>'Pick overlap between LLM pods ('!I2</f>
        <v>8</v>
      </c>
      <c r="I34" s="4">
        <f>'Pick overlap between LLM pods ('!J2</f>
        <v>8</v>
      </c>
      <c r="J34" s="4">
        <f>'Pick overlap between LLM pods ('!K2</f>
        <v>2</v>
      </c>
      <c r="K34" s="4">
        <f>'Pick overlap between LLM pods ('!L2</f>
        <v>13</v>
      </c>
    </row>
    <row r="35">
      <c r="A35" s="0" t="inlineStr">
        <is>
          <t xml:space="preserve">Post-Earnings Drift, Overnight Leg</t>
        </is>
      </c>
      <c r="B35" s="4">
        <f>'Pick overlap between LLM pods ('!C3</f>
        <v>6</v>
      </c>
      <c r="C35" s="4">
        <f>'Pick overlap between LLM pods ('!D3</f>
        <v>100</v>
      </c>
      <c r="D35" s="4">
        <f>'Pick overlap between LLM pods ('!E3</f>
        <v>5</v>
      </c>
      <c r="E35" s="4">
        <f>'Pick overlap between LLM pods ('!F3</f>
        <v>6</v>
      </c>
      <c r="F35" s="4">
        <f>'Pick overlap between LLM pods ('!G3</f>
        <v>12</v>
      </c>
      <c r="G35" s="4">
        <f>'Pick overlap between LLM pods ('!H3</f>
        <v>7</v>
      </c>
      <c r="H35" s="4">
        <f>'Pick overlap between LLM pods ('!I3</f>
        <v>4</v>
      </c>
      <c r="I35" s="4">
        <f>'Pick overlap between LLM pods ('!J3</f>
        <v>3</v>
      </c>
      <c r="J35" s="4">
        <f>'Pick overlap between LLM pods ('!K3</f>
        <v>9</v>
      </c>
      <c r="K35" s="4">
        <f>'Pick overlap between LLM pods ('!L3</f>
        <v>8</v>
      </c>
    </row>
    <row r="36">
      <c r="A36" s="0" t="inlineStr">
        <is>
          <t xml:space="preserve">Intraday-to-Overnight Reversal</t>
        </is>
      </c>
      <c r="B36" s="4">
        <f>'Pick overlap between LLM pods ('!C4</f>
        <v>23</v>
      </c>
      <c r="C36" s="4">
        <f>'Pick overlap between LLM pods ('!D4</f>
        <v>5</v>
      </c>
      <c r="D36" s="4">
        <f>'Pick overlap between LLM pods ('!E4</f>
        <v>100</v>
      </c>
      <c r="E36" s="4">
        <f>'Pick overlap between LLM pods ('!F4</f>
        <v>4</v>
      </c>
      <c r="F36" s="4">
        <f>'Pick overlap between LLM pods ('!G4</f>
        <v>8</v>
      </c>
      <c r="G36" s="4">
        <f>'Pick overlap between LLM pods ('!H4</f>
        <v>12</v>
      </c>
      <c r="H36" s="4">
        <f>'Pick overlap between LLM pods ('!I4</f>
        <v>14</v>
      </c>
      <c r="I36" s="4">
        <f>'Pick overlap between LLM pods ('!J4</f>
        <v>18</v>
      </c>
      <c r="J36" s="4">
        <f>'Pick overlap between LLM pods ('!K4</f>
        <v>11</v>
      </c>
      <c r="K36" s="4">
        <f>'Pick overlap between LLM pods ('!L4</f>
        <v>4</v>
      </c>
    </row>
    <row r="37">
      <c r="A37" s="0" t="inlineStr">
        <is>
          <t xml:space="preserve">Analyst Revision Momentum</t>
        </is>
      </c>
      <c r="B37" s="4">
        <f>'Pick overlap between LLM pods ('!C5</f>
        <v>9</v>
      </c>
      <c r="C37" s="4">
        <f>'Pick overlap between LLM pods ('!D5</f>
        <v>6</v>
      </c>
      <c r="D37" s="4">
        <f>'Pick overlap between LLM pods ('!E5</f>
        <v>4</v>
      </c>
      <c r="E37" s="4">
        <f>'Pick overlap between LLM pods ('!F5</f>
        <v>100</v>
      </c>
      <c r="F37" s="4">
        <f>'Pick overlap between LLM pods ('!G5</f>
        <v>7</v>
      </c>
      <c r="G37" s="4">
        <f>'Pick overlap between LLM pods ('!H5</f>
        <v>11</v>
      </c>
      <c r="H37" s="4">
        <f>'Pick overlap between LLM pods ('!I5</f>
        <v>6</v>
      </c>
      <c r="I37" s="4">
        <f>'Pick overlap between LLM pods ('!J5</f>
        <v>2</v>
      </c>
      <c r="J37" s="4">
        <f>'Pick overlap between LLM pods ('!K5</f>
        <v>13</v>
      </c>
      <c r="K37" s="4">
        <f>'Pick overlap between LLM pods ('!L5</f>
        <v>13</v>
      </c>
    </row>
    <row r="38">
      <c r="A38" s="0" t="inlineStr">
        <is>
          <t xml:space="preserve">Clustered Insider Buying</t>
        </is>
      </c>
      <c r="B38" s="4">
        <f>'Pick overlap between LLM pods ('!C6</f>
        <v>6</v>
      </c>
      <c r="C38" s="4">
        <f>'Pick overlap between LLM pods ('!D6</f>
        <v>12</v>
      </c>
      <c r="D38" s="4">
        <f>'Pick overlap between LLM pods ('!E6</f>
        <v>8</v>
      </c>
      <c r="E38" s="4">
        <f>'Pick overlap between LLM pods ('!F6</f>
        <v>7</v>
      </c>
      <c r="F38" s="4">
        <f>'Pick overlap between LLM pods ('!G6</f>
        <v>100</v>
      </c>
      <c r="G38" s="4">
        <f>'Pick overlap between LLM pods ('!H6</f>
        <v>5</v>
      </c>
      <c r="H38" s="4">
        <f>'Pick overlap between LLM pods ('!I6</f>
        <v>7</v>
      </c>
      <c r="I38" s="4">
        <f>'Pick overlap between LLM pods ('!J6</f>
        <v>10</v>
      </c>
      <c r="J38" s="4">
        <f>'Pick overlap between LLM pods ('!K6</f>
        <v>10</v>
      </c>
      <c r="K38" s="4">
        <f>'Pick overlap between LLM pods ('!L6</f>
        <v>10</v>
      </c>
    </row>
    <row r="39">
      <c r="A39" s="0" t="inlineStr">
        <is>
          <t xml:space="preserve">Same-Month Seasonality</t>
        </is>
      </c>
      <c r="B39" s="4">
        <f>'Pick overlap between LLM pods ('!C7</f>
        <v>10</v>
      </c>
      <c r="C39" s="4">
        <f>'Pick overlap between LLM pods ('!D7</f>
        <v>7</v>
      </c>
      <c r="D39" s="4">
        <f>'Pick overlap between LLM pods ('!E7</f>
        <v>12</v>
      </c>
      <c r="E39" s="4">
        <f>'Pick overlap between LLM pods ('!F7</f>
        <v>11</v>
      </c>
      <c r="F39" s="4">
        <f>'Pick overlap between LLM pods ('!G7</f>
        <v>5</v>
      </c>
      <c r="G39" s="4">
        <f>'Pick overlap between LLM pods ('!H7</f>
        <v>100</v>
      </c>
      <c r="H39" s="4">
        <f>'Pick overlap between LLM pods ('!I7</f>
        <v>4</v>
      </c>
      <c r="I39" s="4">
        <f>'Pick overlap between LLM pods ('!J7</f>
        <v>3</v>
      </c>
      <c r="J39" s="4">
        <f>'Pick overlap between LLM pods ('!K7</f>
        <v>11</v>
      </c>
      <c r="K39" s="4">
        <f>'Pick overlap between LLM pods ('!L7</f>
        <v>3</v>
      </c>
    </row>
    <row r="40">
      <c r="A40" s="0" t="inlineStr">
        <is>
          <t xml:space="preserve">Quality at a Reasonable Price</t>
        </is>
      </c>
      <c r="B40" s="4">
        <f>'Pick overlap between LLM pods ('!C8</f>
        <v>8</v>
      </c>
      <c r="C40" s="4">
        <f>'Pick overlap between LLM pods ('!D8</f>
        <v>4</v>
      </c>
      <c r="D40" s="4">
        <f>'Pick overlap between LLM pods ('!E8</f>
        <v>14</v>
      </c>
      <c r="E40" s="4">
        <f>'Pick overlap between LLM pods ('!F8</f>
        <v>6</v>
      </c>
      <c r="F40" s="4">
        <f>'Pick overlap between LLM pods ('!G8</f>
        <v>7</v>
      </c>
      <c r="G40" s="4">
        <f>'Pick overlap between LLM pods ('!H8</f>
        <v>4</v>
      </c>
      <c r="H40" s="4">
        <f>'Pick overlap between LLM pods ('!I8</f>
        <v>100</v>
      </c>
      <c r="I40" s="4">
        <f>'Pick overlap between LLM pods ('!J8</f>
        <v>12</v>
      </c>
      <c r="J40" s="4">
        <f>'Pick overlap between LLM pods ('!K8</f>
        <v>2</v>
      </c>
      <c r="K40" s="4">
        <f>'Pick overlap between LLM pods ('!L8</f>
        <v>5</v>
      </c>
    </row>
    <row r="41">
      <c r="A41" s="0" t="inlineStr">
        <is>
          <t xml:space="preserve">Residual Momentum</t>
        </is>
      </c>
      <c r="B41" s="4">
        <f>'Pick overlap between LLM pods ('!C9</f>
        <v>8</v>
      </c>
      <c r="C41" s="4">
        <f>'Pick overlap between LLM pods ('!D9</f>
        <v>3</v>
      </c>
      <c r="D41" s="4">
        <f>'Pick overlap between LLM pods ('!E9</f>
        <v>18</v>
      </c>
      <c r="E41" s="4">
        <f>'Pick overlap between LLM pods ('!F9</f>
        <v>2</v>
      </c>
      <c r="F41" s="4">
        <f>'Pick overlap between LLM pods ('!G9</f>
        <v>10</v>
      </c>
      <c r="G41" s="4">
        <f>'Pick overlap between LLM pods ('!H9</f>
        <v>3</v>
      </c>
      <c r="H41" s="4">
        <f>'Pick overlap between LLM pods ('!I9</f>
        <v>12</v>
      </c>
      <c r="I41" s="4">
        <f>'Pick overlap between LLM pods ('!J9</f>
        <v>100</v>
      </c>
      <c r="J41" s="4">
        <f>'Pick overlap between LLM pods ('!K9</f>
        <v>9</v>
      </c>
      <c r="K41" s="4">
        <f>'Pick overlap between LLM pods ('!L9</f>
        <v>0</v>
      </c>
    </row>
    <row r="42">
      <c r="A42" s="0" t="inlineStr">
        <is>
          <t xml:space="preserve">Overnight Return Persistence</t>
        </is>
      </c>
      <c r="B42" s="4">
        <f>'Pick overlap between LLM pods ('!C10</f>
        <v>2</v>
      </c>
      <c r="C42" s="4">
        <f>'Pick overlap between LLM pods ('!D10</f>
        <v>9</v>
      </c>
      <c r="D42" s="4">
        <f>'Pick overlap between LLM pods ('!E10</f>
        <v>11</v>
      </c>
      <c r="E42" s="4">
        <f>'Pick overlap between LLM pods ('!F10</f>
        <v>13</v>
      </c>
      <c r="F42" s="4">
        <f>'Pick overlap between LLM pods ('!G10</f>
        <v>10</v>
      </c>
      <c r="G42" s="4">
        <f>'Pick overlap between LLM pods ('!H10</f>
        <v>11</v>
      </c>
      <c r="H42" s="4">
        <f>'Pick overlap between LLM pods ('!I10</f>
        <v>2</v>
      </c>
      <c r="I42" s="4">
        <f>'Pick overlap between LLM pods ('!J10</f>
        <v>9</v>
      </c>
      <c r="J42" s="4">
        <f>'Pick overlap between LLM pods ('!K10</f>
        <v>100</v>
      </c>
      <c r="K42" s="4">
        <f>'Pick overlap between LLM pods ('!L10</f>
        <v>10</v>
      </c>
    </row>
    <row r="43">
      <c r="A43" s="0" t="inlineStr">
        <is>
          <t xml:space="preserve">52-Week-High Anchoring</t>
        </is>
      </c>
      <c r="B43" s="4">
        <f>'Pick overlap between LLM pods ('!C11</f>
        <v>13</v>
      </c>
      <c r="C43" s="4">
        <f>'Pick overlap between LLM pods ('!D11</f>
        <v>8</v>
      </c>
      <c r="D43" s="4">
        <f>'Pick overlap between LLM pods ('!E11</f>
        <v>4</v>
      </c>
      <c r="E43" s="4">
        <f>'Pick overlap between LLM pods ('!F11</f>
        <v>13</v>
      </c>
      <c r="F43" s="4">
        <f>'Pick overlap between LLM pods ('!G11</f>
        <v>10</v>
      </c>
      <c r="G43" s="4">
        <f>'Pick overlap between LLM pods ('!H11</f>
        <v>3</v>
      </c>
      <c r="H43" s="4">
        <f>'Pick overlap between LLM pods ('!I11</f>
        <v>5</v>
      </c>
      <c r="I43" s="4">
        <f>'Pick overlap between LLM pods ('!J11</f>
        <v>0</v>
      </c>
      <c r="J43" s="4">
        <f>'Pick overlap between LLM pods ('!K11</f>
        <v>10</v>
      </c>
      <c r="K43" s="4">
        <f>'Pick overlap between LLM pods ('!L11</f>
        <v>100</v>
      </c>
    </row>
    <row r="45">
      <c r="A45" s="1" t="inlineStr">
        <is>
          <t xml:space="preserve">Running t-stat by LLM pod</t>
        </is>
      </c>
    </row>
    <row r="46">
      <c r="A46" s="1" t="inlineStr">
        <is>
          <t xml:space="preserve">pod</t>
        </is>
      </c>
      <c r="B46" s="1" t="inlineStr">
        <is>
          <t xml:space="preserve">09-22</t>
        </is>
      </c>
      <c r="C46" s="1" t="inlineStr">
        <is>
          <t xml:space="preserve">09-23</t>
        </is>
      </c>
      <c r="D46" s="1" t="inlineStr">
        <is>
          <t xml:space="preserve">09-24</t>
        </is>
      </c>
      <c r="E46" s="1" t="inlineStr">
        <is>
          <t xml:space="preserve">09-25</t>
        </is>
      </c>
      <c r="F46" s="1" t="inlineStr">
        <is>
          <t xml:space="preserve">09-28</t>
        </is>
      </c>
      <c r="G46" s="1" t="inlineStr">
        <is>
          <t xml:space="preserve">09-29</t>
        </is>
      </c>
      <c r="H46" s="1" t="inlineStr">
        <is>
          <t xml:space="preserve">09-30</t>
        </is>
      </c>
      <c r="I46" s="1" t="inlineStr">
        <is>
          <t xml:space="preserve">10-01</t>
        </is>
      </c>
      <c r="J46" s="1" t="inlineStr">
        <is>
          <t xml:space="preserve">10-02</t>
        </is>
      </c>
      <c r="K46" s="1" t="inlineStr">
        <is>
          <t xml:space="preserve">10-05</t>
        </is>
      </c>
      <c r="L46" s="1" t="inlineStr">
        <is>
          <t xml:space="preserve">10-06</t>
        </is>
      </c>
      <c r="M46" s="1" t="inlineStr">
        <is>
          <t xml:space="preserve">10-07</t>
        </is>
      </c>
      <c r="N46" s="1" t="inlineStr">
        <is>
          <t xml:space="preserve">10-08</t>
        </is>
      </c>
      <c r="O46" s="1" t="inlineStr">
        <is>
          <t xml:space="preserve">10-09</t>
        </is>
      </c>
      <c r="P46" s="1" t="inlineStr">
        <is>
          <t xml:space="preserve">10-12</t>
        </is>
      </c>
      <c r="Q46" s="1" t="inlineStr">
        <is>
          <t xml:space="preserve">10-13</t>
        </is>
      </c>
      <c r="R46" s="1" t="inlineStr">
        <is>
          <t xml:space="preserve">10-14</t>
        </is>
      </c>
      <c r="S46" s="1" t="inlineStr">
        <is>
          <t xml:space="preserve">10-15</t>
        </is>
      </c>
      <c r="T46" s="1" t="inlineStr">
        <is>
          <t xml:space="preserve">10-16</t>
        </is>
      </c>
      <c r="U46" s="1" t="inlineStr">
        <is>
          <t xml:space="preserve">10-19</t>
        </is>
      </c>
      <c r="V46" s="1" t="inlineStr">
        <is>
          <t xml:space="preserve">10-20</t>
        </is>
      </c>
      <c r="W46" s="1" t="inlineStr">
        <is>
          <t xml:space="preserve">10-21</t>
        </is>
      </c>
      <c r="X46" s="1" t="inlineStr">
        <is>
          <t xml:space="preserve">10-22</t>
        </is>
      </c>
      <c r="Y46" s="1" t="inlineStr">
        <is>
          <t xml:space="preserve">10-23</t>
        </is>
      </c>
      <c r="Z46" s="1" t="inlineStr">
        <is>
          <t xml:space="preserve">10-26</t>
        </is>
      </c>
      <c r="AA46" s="1" t="inlineStr">
        <is>
          <t xml:space="preserve">10-27</t>
        </is>
      </c>
      <c r="AB46" s="1" t="inlineStr">
        <is>
          <t xml:space="preserve">10-28</t>
        </is>
      </c>
      <c r="AC46" s="1" t="inlineStr">
        <is>
          <t xml:space="preserve">10-29</t>
        </is>
      </c>
      <c r="AD46" s="1" t="inlineStr">
        <is>
          <t xml:space="preserve">10-30</t>
        </is>
      </c>
      <c r="AE46" s="1" t="inlineStr">
        <is>
          <t xml:space="preserve">11-02</t>
        </is>
      </c>
      <c r="AF46" s="1" t="inlineStr">
        <is>
          <t xml:space="preserve">11-03</t>
        </is>
      </c>
      <c r="AG46" s="1" t="inlineStr">
        <is>
          <t xml:space="preserve">11-04</t>
        </is>
      </c>
      <c r="AH46" s="1" t="inlineStr">
        <is>
          <t xml:space="preserve">11-05</t>
        </is>
      </c>
      <c r="AI46" s="1" t="inlineStr">
        <is>
          <t xml:space="preserve">11-06</t>
        </is>
      </c>
      <c r="AJ46" s="1" t="inlineStr">
        <is>
          <t xml:space="preserve">11-09</t>
        </is>
      </c>
      <c r="AK46" s="1" t="inlineStr">
        <is>
          <t xml:space="preserve">11-10</t>
        </is>
      </c>
      <c r="AL46" s="1" t="inlineStr">
        <is>
          <t xml:space="preserve">11-11</t>
        </is>
      </c>
      <c r="AM46" s="1" t="inlineStr">
        <is>
          <t xml:space="preserve">11-12</t>
        </is>
      </c>
      <c r="AN46" s="1" t="inlineStr">
        <is>
          <t xml:space="preserve">11-13</t>
        </is>
      </c>
      <c r="AO46" s="1" t="inlineStr">
        <is>
          <t xml:space="preserve">11-16</t>
        </is>
      </c>
      <c r="AP46" s="1" t="inlineStr">
        <is>
          <t xml:space="preserve">11-17</t>
        </is>
      </c>
      <c r="AQ46" s="1" t="inlineStr">
        <is>
          <t xml:space="preserve">11-18</t>
        </is>
      </c>
      <c r="AR46" s="1" t="inlineStr">
        <is>
          <t xml:space="preserve">11-19</t>
        </is>
      </c>
      <c r="AS46" s="1" t="inlineStr">
        <is>
          <t xml:space="preserve">11-20</t>
        </is>
      </c>
      <c r="AT46" s="1" t="inlineStr">
        <is>
          <t xml:space="preserve">11-23</t>
        </is>
      </c>
      <c r="AU46" s="1" t="inlineStr">
        <is>
          <t xml:space="preserve">11-24</t>
        </is>
      </c>
      <c r="AV46" s="1" t="inlineStr">
        <is>
          <t xml:space="preserve">11-25</t>
        </is>
      </c>
      <c r="AW46" s="1" t="inlineStr">
        <is>
          <t xml:space="preserve">11-27</t>
        </is>
      </c>
      <c r="AX46" s="1" t="inlineStr">
        <is>
          <t xml:space="preserve">11-30</t>
        </is>
      </c>
      <c r="AY46" s="1" t="inlineStr">
        <is>
          <t xml:space="preserve">12-01</t>
        </is>
      </c>
      <c r="AZ46" s="1" t="inlineStr">
        <is>
          <t xml:space="preserve">12-02</t>
        </is>
      </c>
      <c r="BA46" s="1" t="inlineStr">
        <is>
          <t xml:space="preserve">12-03</t>
        </is>
      </c>
      <c r="BB46" s="1" t="inlineStr">
        <is>
          <t xml:space="preserve">12-04</t>
        </is>
      </c>
      <c r="BC46" s="1" t="inlineStr">
        <is>
          <t xml:space="preserve">12-07</t>
        </is>
      </c>
      <c r="BD46" s="1" t="inlineStr">
        <is>
          <t xml:space="preserve">12-08</t>
        </is>
      </c>
      <c r="BE46" s="1" t="inlineStr">
        <is>
          <t xml:space="preserve">12-09</t>
        </is>
      </c>
      <c r="BF46" s="1" t="inlineStr">
        <is>
          <t xml:space="preserve">12-10</t>
        </is>
      </c>
      <c r="BG46" s="1" t="inlineStr">
        <is>
          <t xml:space="preserve">12-11</t>
        </is>
      </c>
      <c r="BH46" s="1" t="inlineStr">
        <is>
          <t xml:space="preserve">12-14</t>
        </is>
      </c>
      <c r="BI46" s="1" t="inlineStr">
        <is>
          <t xml:space="preserve">12-15</t>
        </is>
      </c>
      <c r="BJ46" s="1" t="inlineStr">
        <is>
          <t xml:space="preserve">12-16</t>
        </is>
      </c>
      <c r="BK46" s="1" t="inlineStr">
        <is>
          <t xml:space="preserve">12-17</t>
        </is>
      </c>
      <c r="BL46" s="1" t="inlineStr">
        <is>
          <t xml:space="preserve">12-18</t>
        </is>
      </c>
      <c r="BM46" s="1" t="inlineStr">
        <is>
          <t xml:space="preserve">12-21</t>
        </is>
      </c>
      <c r="BN46" s="1" t="inlineStr">
        <is>
          <t xml:space="preserve">12-22</t>
        </is>
      </c>
      <c r="BO46" s="1" t="inlineStr">
        <is>
          <t xml:space="preserve">12-23</t>
        </is>
      </c>
      <c r="BP46" s="1" t="inlineStr">
        <is>
          <t xml:space="preserve">12-24</t>
        </is>
      </c>
      <c r="BQ46" s="1" t="inlineStr">
        <is>
          <t xml:space="preserve">12-28</t>
        </is>
      </c>
      <c r="BR46" s="1" t="inlineStr">
        <is>
          <t xml:space="preserve">12-29</t>
        </is>
      </c>
      <c r="BS46" s="1" t="inlineStr">
        <is>
          <t xml:space="preserve">12-30</t>
        </is>
      </c>
      <c r="BT46" s="1" t="inlineStr">
        <is>
          <t xml:space="preserve">12-31</t>
        </is>
      </c>
      <c r="BU46" s="1" t="inlineStr">
        <is>
          <t xml:space="preserve">01-04</t>
        </is>
      </c>
      <c r="BV46" s="1" t="inlineStr">
        <is>
          <t xml:space="preserve">01-05</t>
        </is>
      </c>
      <c r="BW46" s="1" t="inlineStr">
        <is>
          <t xml:space="preserve">01-06</t>
        </is>
      </c>
      <c r="BX46" s="1" t="inlineStr">
        <is>
          <t xml:space="preserve">01-07</t>
        </is>
      </c>
      <c r="BY46" s="1" t="inlineStr">
        <is>
          <t xml:space="preserve">01-08</t>
        </is>
      </c>
      <c r="BZ46" s="1" t="inlineStr">
        <is>
          <t xml:space="preserve">01-11</t>
        </is>
      </c>
      <c r="CA46" s="1" t="inlineStr">
        <is>
          <t xml:space="preserve">01-12</t>
        </is>
      </c>
      <c r="CB46" s="1" t="inlineStr">
        <is>
          <t xml:space="preserve">01-13</t>
        </is>
      </c>
      <c r="CC46" s="1" t="inlineStr">
        <is>
          <t xml:space="preserve">01-14</t>
        </is>
      </c>
      <c r="CD46" s="1" t="inlineStr">
        <is>
          <t xml:space="preserve">01-15</t>
        </is>
      </c>
      <c r="CE46" s="1" t="inlineStr">
        <is>
          <t xml:space="preserve">01-19</t>
        </is>
      </c>
      <c r="CF46" s="1" t="inlineStr">
        <is>
          <t xml:space="preserve">01-20</t>
        </is>
      </c>
      <c r="CG46" s="1" t="inlineStr">
        <is>
          <t xml:space="preserve">01-21</t>
        </is>
      </c>
      <c r="CH46" s="1" t="inlineStr">
        <is>
          <t xml:space="preserve">01-22</t>
        </is>
      </c>
      <c r="CI46" s="1" t="inlineStr">
        <is>
          <t xml:space="preserve">01-25</t>
        </is>
      </c>
      <c r="CJ46" s="1" t="inlineStr">
        <is>
          <t xml:space="preserve">01-26</t>
        </is>
      </c>
      <c r="CK46" s="1" t="inlineStr">
        <is>
          <t xml:space="preserve">01-27</t>
        </is>
      </c>
      <c r="CL46" s="1" t="inlineStr">
        <is>
          <t xml:space="preserve">01-28</t>
        </is>
      </c>
      <c r="CM46" s="1" t="inlineStr">
        <is>
          <t xml:space="preserve">01-29</t>
        </is>
      </c>
      <c r="CN46" s="1" t="inlineStr">
        <is>
          <t xml:space="preserve">02-01</t>
        </is>
      </c>
      <c r="CO46" s="1" t="inlineStr">
        <is>
          <t xml:space="preserve">02-02</t>
        </is>
      </c>
      <c r="CP46" s="1" t="inlineStr">
        <is>
          <t xml:space="preserve">02-03</t>
        </is>
      </c>
      <c r="CQ46" s="1" t="inlineStr">
        <is>
          <t xml:space="preserve">02-04</t>
        </is>
      </c>
      <c r="CR46" s="1" t="inlineStr">
        <is>
          <t xml:space="preserve">02-05</t>
        </is>
      </c>
      <c r="CS46" s="1" t="inlineStr">
        <is>
          <t xml:space="preserve">02-08</t>
        </is>
      </c>
      <c r="CT46" s="1" t="inlineStr">
        <is>
          <t xml:space="preserve">02-09</t>
        </is>
      </c>
      <c r="CU46" s="1" t="inlineStr">
        <is>
          <t xml:space="preserve">02-10</t>
        </is>
      </c>
      <c r="CV46" s="1" t="inlineStr">
        <is>
          <t xml:space="preserve">02-11</t>
        </is>
      </c>
      <c r="CW46" s="1" t="inlineStr">
        <is>
          <t xml:space="preserve">02-12</t>
        </is>
      </c>
    </row>
    <row r="47">
      <c r="A47" s="0" t="inlineStr">
        <is>
          <t xml:space="preserve">Retail Attention Overnight</t>
        </is>
      </c>
      <c r="B47" s="4">
        <f>'Pod by trading day'!C392</f>
      </c>
      <c r="C47" s="4">
        <f>'Pod by trading day'!D392</f>
      </c>
      <c r="D47" s="4">
        <f>'Pod by trading day'!E392</f>
      </c>
      <c r="E47" s="4">
        <f>'Pod by trading day'!F392</f>
      </c>
      <c r="F47" s="4">
        <f>'Pod by trading day'!G392</f>
      </c>
      <c r="G47" s="4">
        <f>'Pod by trading day'!H392</f>
      </c>
      <c r="H47" s="4">
        <f>'Pod by trading day'!I392</f>
      </c>
      <c r="I47" s="4">
        <f>'Pod by trading day'!J392</f>
      </c>
      <c r="J47" s="4">
        <f>'Pod by trading day'!K392</f>
      </c>
      <c r="K47" s="4">
        <f>'Pod by trading day'!L392</f>
      </c>
      <c r="L47" s="4">
        <f>'Pod by trading day'!M392</f>
      </c>
      <c r="M47" s="4">
        <f>'Pod by trading day'!N392</f>
      </c>
      <c r="N47" s="4">
        <f>'Pod by trading day'!O392</f>
      </c>
      <c r="O47" s="4">
        <f>'Pod by trading day'!P392</f>
      </c>
      <c r="P47" s="4">
        <f>'Pod by trading day'!Q392</f>
      </c>
      <c r="Q47" s="4">
        <f>'Pod by trading day'!R392</f>
      </c>
      <c r="R47" s="4">
        <f>'Pod by trading day'!S392</f>
      </c>
      <c r="S47" s="4">
        <f>'Pod by trading day'!T392</f>
      </c>
      <c r="T47" s="4">
        <f>'Pod by trading day'!U392</f>
      </c>
      <c r="U47" s="4">
        <f>'Pod by trading day'!V392</f>
      </c>
      <c r="V47" s="4">
        <f>'Pod by trading day'!W392</f>
      </c>
      <c r="W47" s="4">
        <f>'Pod by trading day'!X392</f>
      </c>
      <c r="X47" s="4">
        <f>'Pod by trading day'!Y392</f>
      </c>
      <c r="Y47" s="4">
        <f>'Pod by trading day'!Z392</f>
      </c>
      <c r="Z47" s="4">
        <f>'Pod by trading day'!AA392</f>
      </c>
      <c r="AA47" s="4">
        <f>'Pod by trading day'!AB392</f>
      </c>
      <c r="AB47" s="4">
        <f>'Pod by trading day'!AC392</f>
      </c>
      <c r="AC47" s="4">
        <f>'Pod by trading day'!AD392</f>
      </c>
      <c r="AD47" s="4">
        <f>'Pod by trading day'!AE392</f>
      </c>
      <c r="AE47" s="4">
        <f>'Pod by trading day'!AF392</f>
      </c>
      <c r="AF47" s="4">
        <f>'Pod by trading day'!AG392</f>
      </c>
      <c r="AG47" s="4">
        <f>'Pod by trading day'!AH392</f>
      </c>
      <c r="AH47" s="4">
        <f>'Pod by trading day'!AI392</f>
      </c>
      <c r="AI47" s="4">
        <f>'Pod by trading day'!AJ392</f>
      </c>
      <c r="AJ47" s="4">
        <f>'Pod by trading day'!AK392</f>
      </c>
      <c r="AK47" s="4">
        <f>'Pod by trading day'!AL392</f>
      </c>
      <c r="AL47" s="4">
        <f>'Pod by trading day'!AM392</f>
      </c>
      <c r="AM47" s="4">
        <f>'Pod by trading day'!AN392</f>
      </c>
      <c r="AN47" s="4">
        <f>'Pod by trading day'!AO392</f>
      </c>
      <c r="AO47" s="4">
        <f>'Pod by trading day'!AP392</f>
      </c>
      <c r="AP47" s="4">
        <f>'Pod by trading day'!AQ392</f>
      </c>
      <c r="AQ47" s="4">
        <f>'Pod by trading day'!AR392</f>
      </c>
      <c r="AR47" s="4">
        <f>'Pod by trading day'!AS392</f>
      </c>
      <c r="AS47" s="4">
        <f>'Pod by trading day'!AT392</f>
      </c>
      <c r="AT47" s="4">
        <f>'Pod by trading day'!AU392</f>
      </c>
      <c r="AU47" s="4">
        <f>'Pod by trading day'!AV392</f>
      </c>
      <c r="AV47" s="4">
        <f>'Pod by trading day'!AW392</f>
      </c>
      <c r="AW47" s="4">
        <f>'Pod by trading day'!AX392</f>
      </c>
      <c r="AX47" s="4">
        <f>'Pod by trading day'!AY392</f>
      </c>
      <c r="AY47" s="4">
        <f>'Pod by trading day'!AZ392</f>
      </c>
      <c r="AZ47" s="4">
        <f>'Pod by trading day'!BA392</f>
      </c>
      <c r="BA47" s="4">
        <f>'Pod by trading day'!BB392</f>
      </c>
      <c r="BB47" s="4">
        <f>'Pod by trading day'!BC392</f>
      </c>
      <c r="BC47" s="4">
        <f>'Pod by trading day'!BD392</f>
      </c>
      <c r="BD47" s="4">
        <f>'Pod by trading day'!BE392</f>
      </c>
      <c r="BE47" s="4">
        <f>'Pod by trading day'!BF392</f>
      </c>
      <c r="BF47" s="4">
        <f>'Pod by trading day'!BG392</f>
      </c>
      <c r="BG47" s="4">
        <f>'Pod by trading day'!BH392</f>
      </c>
      <c r="BH47" s="4">
        <f>'Pod by trading day'!BI392</f>
      </c>
      <c r="BI47" s="4">
        <f>'Pod by trading day'!BJ392</f>
      </c>
      <c r="BJ47" s="4">
        <f>'Pod by trading day'!BK392</f>
      </c>
      <c r="BK47" s="4">
        <f>'Pod by trading day'!BL392</f>
      </c>
      <c r="BL47" s="4">
        <f>'Pod by trading day'!BM392</f>
      </c>
      <c r="BM47" s="4">
        <f>'Pod by trading day'!BN392</f>
      </c>
      <c r="BN47" s="4">
        <f>'Pod by trading day'!BO392</f>
      </c>
      <c r="BO47" s="4">
        <f>'Pod by trading day'!BP392</f>
      </c>
      <c r="BP47" s="4">
        <f>'Pod by trading day'!BQ392</f>
      </c>
      <c r="BQ47" s="4">
        <f>'Pod by trading day'!BR392</f>
      </c>
      <c r="BR47" s="4">
        <f>'Pod by trading day'!BS392</f>
      </c>
      <c r="BS47" s="4">
        <f>'Pod by trading day'!BT392</f>
      </c>
      <c r="BT47" s="4">
        <f>'Pod by trading day'!BU392</f>
      </c>
      <c r="BU47" s="4">
        <f>'Pod by trading day'!BV392</f>
      </c>
      <c r="BV47" s="4">
        <f>'Pod by trading day'!BW392</f>
      </c>
      <c r="BW47" s="4">
        <f>'Pod by trading day'!BX392</f>
      </c>
      <c r="BX47" s="4">
        <f>'Pod by trading day'!BY392</f>
      </c>
      <c r="BY47" s="4">
        <f>'Pod by trading day'!BZ392</f>
      </c>
      <c r="BZ47" s="4">
        <f>'Pod by trading day'!CA392</f>
      </c>
      <c r="CA47" s="4">
        <f>'Pod by trading day'!CB392</f>
      </c>
      <c r="CB47" s="4">
        <f>'Pod by trading day'!CC392</f>
      </c>
      <c r="CC47" s="4">
        <f>'Pod by trading day'!CD392</f>
      </c>
      <c r="CD47" s="4">
        <f>'Pod by trading day'!CE392</f>
      </c>
      <c r="CE47" s="4">
        <f>'Pod by trading day'!CF392</f>
      </c>
      <c r="CF47" s="4">
        <f>'Pod by trading day'!CG392</f>
      </c>
      <c r="CG47" s="4">
        <f>'Pod by trading day'!CH392</f>
      </c>
      <c r="CH47" s="4">
        <f>'Pod by trading day'!CI392</f>
      </c>
      <c r="CI47" s="4">
        <f>'Pod by trading day'!CJ392</f>
      </c>
      <c r="CJ47" s="4">
        <f>'Pod by trading day'!CK392</f>
      </c>
      <c r="CK47" s="4">
        <f>'Pod by trading day'!CL392</f>
      </c>
      <c r="CL47" s="4">
        <f>'Pod by trading day'!CM392</f>
      </c>
      <c r="CM47" s="4">
        <f>'Pod by trading day'!CN392</f>
      </c>
      <c r="CN47" s="4">
        <f>'Pod by trading day'!CO392</f>
      </c>
      <c r="CO47" s="4">
        <f>'Pod by trading day'!CP392</f>
      </c>
      <c r="CP47" s="4">
        <f>'Pod by trading day'!CQ392</f>
      </c>
      <c r="CQ47" s="4">
        <f>'Pod by trading day'!CR392</f>
      </c>
      <c r="CR47" s="4">
        <f>'Pod by trading day'!CS392</f>
      </c>
      <c r="CS47" s="4">
        <f>'Pod by trading day'!CT392</f>
      </c>
      <c r="CT47" s="4">
        <f>'Pod by trading day'!CU392</f>
      </c>
      <c r="CU47" s="4">
        <f>'Pod by trading day'!CV392</f>
      </c>
      <c r="CV47" s="4">
        <f>'Pod by trading day'!CW392</f>
      </c>
      <c r="CW47" s="4">
        <f>'Pod by trading day'!CX392</f>
      </c>
    </row>
    <row r="48">
      <c r="A48" s="0" t="inlineStr">
        <is>
          <t xml:space="preserve">Post-Earnings Drift, Overnight Leg</t>
        </is>
      </c>
      <c r="B48" s="4">
        <f>'Pod by trading day'!C393</f>
      </c>
      <c r="C48" s="4">
        <f>'Pod by trading day'!D393</f>
      </c>
      <c r="D48" s="4">
        <f>'Pod by trading day'!E393</f>
      </c>
      <c r="E48" s="4">
        <f>'Pod by trading day'!F393</f>
      </c>
      <c r="F48" s="4">
        <f>'Pod by trading day'!G393</f>
      </c>
      <c r="G48" s="4">
        <f>'Pod by trading day'!H393</f>
      </c>
      <c r="H48" s="4">
        <f>'Pod by trading day'!I393</f>
      </c>
      <c r="I48" s="4">
        <f>'Pod by trading day'!J393</f>
      </c>
      <c r="J48" s="4">
        <f>'Pod by trading day'!K393</f>
      </c>
      <c r="K48" s="4">
        <f>'Pod by trading day'!L393</f>
      </c>
      <c r="L48" s="4">
        <f>'Pod by trading day'!M393</f>
      </c>
      <c r="M48" s="4">
        <f>'Pod by trading day'!N393</f>
      </c>
      <c r="N48" s="4">
        <f>'Pod by trading day'!O393</f>
      </c>
      <c r="O48" s="4">
        <f>'Pod by trading day'!P393</f>
      </c>
      <c r="P48" s="4">
        <f>'Pod by trading day'!Q393</f>
      </c>
      <c r="Q48" s="4">
        <f>'Pod by trading day'!R393</f>
      </c>
      <c r="R48" s="4">
        <f>'Pod by trading day'!S393</f>
      </c>
      <c r="S48" s="4">
        <f>'Pod by trading day'!T393</f>
      </c>
      <c r="T48" s="4">
        <f>'Pod by trading day'!U393</f>
      </c>
      <c r="U48" s="4">
        <f>'Pod by trading day'!V393</f>
      </c>
      <c r="V48" s="4">
        <f>'Pod by trading day'!W393</f>
      </c>
      <c r="W48" s="4">
        <f>'Pod by trading day'!X393</f>
      </c>
      <c r="X48" s="4">
        <f>'Pod by trading day'!Y393</f>
      </c>
      <c r="Y48" s="4">
        <f>'Pod by trading day'!Z393</f>
      </c>
      <c r="Z48" s="4">
        <f>'Pod by trading day'!AA393</f>
      </c>
      <c r="AA48" s="4">
        <f>'Pod by trading day'!AB393</f>
      </c>
      <c r="AB48" s="4">
        <f>'Pod by trading day'!AC393</f>
      </c>
      <c r="AC48" s="4">
        <f>'Pod by trading day'!AD393</f>
      </c>
      <c r="AD48" s="4">
        <f>'Pod by trading day'!AE393</f>
      </c>
      <c r="AE48" s="4">
        <f>'Pod by trading day'!AF393</f>
      </c>
      <c r="AF48" s="4">
        <f>'Pod by trading day'!AG393</f>
      </c>
      <c r="AG48" s="4">
        <f>'Pod by trading day'!AH393</f>
      </c>
      <c r="AH48" s="4">
        <f>'Pod by trading day'!AI393</f>
      </c>
      <c r="AI48" s="4">
        <f>'Pod by trading day'!AJ393</f>
      </c>
      <c r="AJ48" s="4">
        <f>'Pod by trading day'!AK393</f>
      </c>
      <c r="AK48" s="4">
        <f>'Pod by trading day'!AL393</f>
      </c>
      <c r="AL48" s="4">
        <f>'Pod by trading day'!AM393</f>
      </c>
      <c r="AM48" s="4">
        <f>'Pod by trading day'!AN393</f>
      </c>
      <c r="AN48" s="4">
        <f>'Pod by trading day'!AO393</f>
      </c>
      <c r="AO48" s="4">
        <f>'Pod by trading day'!AP393</f>
      </c>
      <c r="AP48" s="4">
        <f>'Pod by trading day'!AQ393</f>
      </c>
      <c r="AQ48" s="4">
        <f>'Pod by trading day'!AR393</f>
      </c>
      <c r="AR48" s="4">
        <f>'Pod by trading day'!AS393</f>
      </c>
      <c r="AS48" s="4">
        <f>'Pod by trading day'!AT393</f>
      </c>
      <c r="AT48" s="4">
        <f>'Pod by trading day'!AU393</f>
      </c>
      <c r="AU48" s="4">
        <f>'Pod by trading day'!AV393</f>
      </c>
      <c r="AV48" s="4">
        <f>'Pod by trading day'!AW393</f>
      </c>
      <c r="AW48" s="4">
        <f>'Pod by trading day'!AX393</f>
      </c>
      <c r="AX48" s="4">
        <f>'Pod by trading day'!AY393</f>
      </c>
      <c r="AY48" s="4">
        <f>'Pod by trading day'!AZ393</f>
      </c>
      <c r="AZ48" s="4">
        <f>'Pod by trading day'!BA393</f>
      </c>
      <c r="BA48" s="4">
        <f>'Pod by trading day'!BB393</f>
      </c>
      <c r="BB48" s="4">
        <f>'Pod by trading day'!BC393</f>
      </c>
      <c r="BC48" s="4">
        <f>'Pod by trading day'!BD393</f>
      </c>
      <c r="BD48" s="4">
        <f>'Pod by trading day'!BE393</f>
      </c>
      <c r="BE48" s="4">
        <f>'Pod by trading day'!BF393</f>
      </c>
      <c r="BF48" s="4">
        <f>'Pod by trading day'!BG393</f>
      </c>
      <c r="BG48" s="4">
        <f>'Pod by trading day'!BH393</f>
      </c>
      <c r="BH48" s="4">
        <f>'Pod by trading day'!BI393</f>
      </c>
      <c r="BI48" s="4">
        <f>'Pod by trading day'!BJ393</f>
      </c>
      <c r="BJ48" s="4">
        <f>'Pod by trading day'!BK393</f>
      </c>
      <c r="BK48" s="4">
        <f>'Pod by trading day'!BL393</f>
      </c>
      <c r="BL48" s="4">
        <f>'Pod by trading day'!BM393</f>
      </c>
      <c r="BM48" s="4">
        <f>'Pod by trading day'!BN393</f>
      </c>
      <c r="BN48" s="4">
        <f>'Pod by trading day'!BO393</f>
      </c>
      <c r="BO48" s="4">
        <f>'Pod by trading day'!BP393</f>
      </c>
      <c r="BP48" s="4">
        <f>'Pod by trading day'!BQ393</f>
      </c>
      <c r="BQ48" s="4">
        <f>'Pod by trading day'!BR393</f>
      </c>
      <c r="BR48" s="4">
        <f>'Pod by trading day'!BS393</f>
      </c>
      <c r="BS48" s="4">
        <f>'Pod by trading day'!BT393</f>
      </c>
      <c r="BT48" s="4">
        <f>'Pod by trading day'!BU393</f>
      </c>
      <c r="BU48" s="4">
        <f>'Pod by trading day'!BV393</f>
      </c>
      <c r="BV48" s="4">
        <f>'Pod by trading day'!BW393</f>
      </c>
      <c r="BW48" s="4">
        <f>'Pod by trading day'!BX393</f>
      </c>
      <c r="BX48" s="4">
        <f>'Pod by trading day'!BY393</f>
      </c>
      <c r="BY48" s="4">
        <f>'Pod by trading day'!BZ393</f>
      </c>
      <c r="BZ48" s="4">
        <f>'Pod by trading day'!CA393</f>
      </c>
      <c r="CA48" s="4">
        <f>'Pod by trading day'!CB393</f>
      </c>
      <c r="CB48" s="4">
        <f>'Pod by trading day'!CC393</f>
      </c>
      <c r="CC48" s="4">
        <f>'Pod by trading day'!CD393</f>
      </c>
      <c r="CD48" s="4">
        <f>'Pod by trading day'!CE393</f>
      </c>
      <c r="CE48" s="4">
        <f>'Pod by trading day'!CF393</f>
      </c>
      <c r="CF48" s="4">
        <f>'Pod by trading day'!CG393</f>
      </c>
      <c r="CG48" s="4">
        <f>'Pod by trading day'!CH393</f>
      </c>
      <c r="CH48" s="4">
        <f>'Pod by trading day'!CI393</f>
      </c>
      <c r="CI48" s="4">
        <f>'Pod by trading day'!CJ393</f>
      </c>
      <c r="CJ48" s="4">
        <f>'Pod by trading day'!CK393</f>
      </c>
      <c r="CK48" s="4">
        <f>'Pod by trading day'!CL393</f>
      </c>
      <c r="CL48" s="4">
        <f>'Pod by trading day'!CM393</f>
      </c>
      <c r="CM48" s="4">
        <f>'Pod by trading day'!CN393</f>
      </c>
      <c r="CN48" s="4">
        <f>'Pod by trading day'!CO393</f>
      </c>
      <c r="CO48" s="4">
        <f>'Pod by trading day'!CP393</f>
      </c>
      <c r="CP48" s="4">
        <f>'Pod by trading day'!CQ393</f>
      </c>
      <c r="CQ48" s="4">
        <f>'Pod by trading day'!CR393</f>
      </c>
      <c r="CR48" s="4">
        <f>'Pod by trading day'!CS393</f>
      </c>
      <c r="CS48" s="4">
        <f>'Pod by trading day'!CT393</f>
      </c>
      <c r="CT48" s="4">
        <f>'Pod by trading day'!CU393</f>
      </c>
      <c r="CU48" s="4">
        <f>'Pod by trading day'!CV393</f>
      </c>
      <c r="CV48" s="4">
        <f>'Pod by trading day'!CW393</f>
      </c>
      <c r="CW48" s="4">
        <f>'Pod by trading day'!CX393</f>
      </c>
    </row>
    <row r="49">
      <c r="A49" s="0" t="inlineStr">
        <is>
          <t xml:space="preserve">Intraday-to-Overnight Reversal</t>
        </is>
      </c>
      <c r="B49" s="4">
        <f>'Pod by trading day'!C394</f>
      </c>
      <c r="C49" s="4">
        <f>'Pod by trading day'!D394</f>
      </c>
      <c r="D49" s="4">
        <f>'Pod by trading day'!E394</f>
      </c>
      <c r="E49" s="4">
        <f>'Pod by trading day'!F394</f>
      </c>
      <c r="F49" s="4">
        <f>'Pod by trading day'!G394</f>
      </c>
      <c r="G49" s="4">
        <f>'Pod by trading day'!H394</f>
      </c>
      <c r="H49" s="4">
        <f>'Pod by trading day'!I394</f>
      </c>
      <c r="I49" s="4">
        <f>'Pod by trading day'!J394</f>
      </c>
      <c r="J49" s="4">
        <f>'Pod by trading day'!K394</f>
      </c>
      <c r="K49" s="4">
        <f>'Pod by trading day'!L394</f>
      </c>
      <c r="L49" s="4">
        <f>'Pod by trading day'!M394</f>
      </c>
      <c r="M49" s="4">
        <f>'Pod by trading day'!N394</f>
      </c>
      <c r="N49" s="4">
        <f>'Pod by trading day'!O394</f>
      </c>
      <c r="O49" s="4">
        <f>'Pod by trading day'!P394</f>
      </c>
      <c r="P49" s="4">
        <f>'Pod by trading day'!Q394</f>
      </c>
      <c r="Q49" s="4">
        <f>'Pod by trading day'!R394</f>
      </c>
      <c r="R49" s="4">
        <f>'Pod by trading day'!S394</f>
      </c>
      <c r="S49" s="4">
        <f>'Pod by trading day'!T394</f>
      </c>
      <c r="T49" s="4">
        <f>'Pod by trading day'!U394</f>
      </c>
      <c r="U49" s="4">
        <f>'Pod by trading day'!V394</f>
      </c>
      <c r="V49" s="4">
        <f>'Pod by trading day'!W394</f>
      </c>
      <c r="W49" s="4">
        <f>'Pod by trading day'!X394</f>
      </c>
      <c r="X49" s="4">
        <f>'Pod by trading day'!Y394</f>
      </c>
      <c r="Y49" s="4">
        <f>'Pod by trading day'!Z394</f>
      </c>
      <c r="Z49" s="4">
        <f>'Pod by trading day'!AA394</f>
      </c>
      <c r="AA49" s="4">
        <f>'Pod by trading day'!AB394</f>
      </c>
      <c r="AB49" s="4">
        <f>'Pod by trading day'!AC394</f>
      </c>
      <c r="AC49" s="4">
        <f>'Pod by trading day'!AD394</f>
      </c>
      <c r="AD49" s="4">
        <f>'Pod by trading day'!AE394</f>
      </c>
      <c r="AE49" s="4">
        <f>'Pod by trading day'!AF394</f>
      </c>
      <c r="AF49" s="4">
        <f>'Pod by trading day'!AG394</f>
      </c>
      <c r="AG49" s="4">
        <f>'Pod by trading day'!AH394</f>
      </c>
      <c r="AH49" s="4">
        <f>'Pod by trading day'!AI394</f>
      </c>
      <c r="AI49" s="4">
        <f>'Pod by trading day'!AJ394</f>
      </c>
      <c r="AJ49" s="4">
        <f>'Pod by trading day'!AK394</f>
      </c>
      <c r="AK49" s="4">
        <f>'Pod by trading day'!AL394</f>
      </c>
      <c r="AL49" s="4">
        <f>'Pod by trading day'!AM394</f>
      </c>
      <c r="AM49" s="4">
        <f>'Pod by trading day'!AN394</f>
      </c>
      <c r="AN49" s="4">
        <f>'Pod by trading day'!AO394</f>
      </c>
      <c r="AO49" s="4">
        <f>'Pod by trading day'!AP394</f>
      </c>
      <c r="AP49" s="4">
        <f>'Pod by trading day'!AQ394</f>
      </c>
      <c r="AQ49" s="4">
        <f>'Pod by trading day'!AR394</f>
      </c>
      <c r="AR49" s="4">
        <f>'Pod by trading day'!AS394</f>
      </c>
      <c r="AS49" s="4">
        <f>'Pod by trading day'!AT394</f>
      </c>
      <c r="AT49" s="4">
        <f>'Pod by trading day'!AU394</f>
      </c>
      <c r="AU49" s="4">
        <f>'Pod by trading day'!AV394</f>
      </c>
      <c r="AV49" s="4">
        <f>'Pod by trading day'!AW394</f>
      </c>
      <c r="AW49" s="4">
        <f>'Pod by trading day'!AX394</f>
      </c>
      <c r="AX49" s="4">
        <f>'Pod by trading day'!AY394</f>
      </c>
      <c r="AY49" s="4">
        <f>'Pod by trading day'!AZ394</f>
      </c>
      <c r="AZ49" s="4">
        <f>'Pod by trading day'!BA394</f>
      </c>
      <c r="BA49" s="4">
        <f>'Pod by trading day'!BB394</f>
      </c>
      <c r="BB49" s="4">
        <f>'Pod by trading day'!BC394</f>
      </c>
      <c r="BC49" s="4">
        <f>'Pod by trading day'!BD394</f>
      </c>
      <c r="BD49" s="4">
        <f>'Pod by trading day'!BE394</f>
      </c>
      <c r="BE49" s="4">
        <f>'Pod by trading day'!BF394</f>
      </c>
      <c r="BF49" s="4">
        <f>'Pod by trading day'!BG394</f>
      </c>
      <c r="BG49" s="4">
        <f>'Pod by trading day'!BH394</f>
      </c>
      <c r="BH49" s="4">
        <f>'Pod by trading day'!BI394</f>
      </c>
      <c r="BI49" s="4">
        <f>'Pod by trading day'!BJ394</f>
      </c>
      <c r="BJ49" s="4">
        <f>'Pod by trading day'!BK394</f>
      </c>
      <c r="BK49" s="4">
        <f>'Pod by trading day'!BL394</f>
      </c>
      <c r="BL49" s="4">
        <f>'Pod by trading day'!BM394</f>
      </c>
      <c r="BM49" s="4">
        <f>'Pod by trading day'!BN394</f>
      </c>
      <c r="BN49" s="4">
        <f>'Pod by trading day'!BO394</f>
      </c>
      <c r="BO49" s="4">
        <f>'Pod by trading day'!BP394</f>
      </c>
      <c r="BP49" s="4">
        <f>'Pod by trading day'!BQ394</f>
      </c>
      <c r="BQ49" s="4">
        <f>'Pod by trading day'!BR394</f>
      </c>
      <c r="BR49" s="4">
        <f>'Pod by trading day'!BS394</f>
      </c>
      <c r="BS49" s="4">
        <f>'Pod by trading day'!BT394</f>
      </c>
      <c r="BT49" s="4">
        <f>'Pod by trading day'!BU394</f>
      </c>
      <c r="BU49" s="4">
        <f>'Pod by trading day'!BV394</f>
      </c>
      <c r="BV49" s="4">
        <f>'Pod by trading day'!BW394</f>
      </c>
      <c r="BW49" s="4">
        <f>'Pod by trading day'!BX394</f>
      </c>
      <c r="BX49" s="4">
        <f>'Pod by trading day'!BY394</f>
      </c>
      <c r="BY49" s="4">
        <f>'Pod by trading day'!BZ394</f>
      </c>
      <c r="BZ49" s="4">
        <f>'Pod by trading day'!CA394</f>
      </c>
      <c r="CA49" s="4">
        <f>'Pod by trading day'!CB394</f>
      </c>
      <c r="CB49" s="4">
        <f>'Pod by trading day'!CC394</f>
      </c>
      <c r="CC49" s="4">
        <f>'Pod by trading day'!CD394</f>
      </c>
      <c r="CD49" s="4">
        <f>'Pod by trading day'!CE394</f>
      </c>
      <c r="CE49" s="4">
        <f>'Pod by trading day'!CF394</f>
      </c>
      <c r="CF49" s="4">
        <f>'Pod by trading day'!CG394</f>
      </c>
      <c r="CG49" s="4">
        <f>'Pod by trading day'!CH394</f>
      </c>
      <c r="CH49" s="4">
        <f>'Pod by trading day'!CI394</f>
      </c>
      <c r="CI49" s="4">
        <f>'Pod by trading day'!CJ394</f>
      </c>
      <c r="CJ49" s="4">
        <f>'Pod by trading day'!CK394</f>
      </c>
      <c r="CK49" s="4">
        <f>'Pod by trading day'!CL394</f>
      </c>
      <c r="CL49" s="4">
        <f>'Pod by trading day'!CM394</f>
      </c>
      <c r="CM49" s="4">
        <f>'Pod by trading day'!CN394</f>
      </c>
      <c r="CN49" s="4">
        <f>'Pod by trading day'!CO394</f>
      </c>
      <c r="CO49" s="4">
        <f>'Pod by trading day'!CP394</f>
      </c>
      <c r="CP49" s="4">
        <f>'Pod by trading day'!CQ394</f>
      </c>
      <c r="CQ49" s="4">
        <f>'Pod by trading day'!CR394</f>
      </c>
      <c r="CR49" s="4">
        <f>'Pod by trading day'!CS394</f>
      </c>
      <c r="CS49" s="4">
        <f>'Pod by trading day'!CT394</f>
      </c>
      <c r="CT49" s="4">
        <f>'Pod by trading day'!CU394</f>
      </c>
      <c r="CU49" s="4">
        <f>'Pod by trading day'!CV394</f>
      </c>
      <c r="CV49" s="4">
        <f>'Pod by trading day'!CW394</f>
      </c>
      <c r="CW49" s="4">
        <f>'Pod by trading day'!CX394</f>
      </c>
    </row>
    <row r="50">
      <c r="A50" s="0" t="inlineStr">
        <is>
          <t xml:space="preserve">Analyst Revision Momentum</t>
        </is>
      </c>
      <c r="B50" s="4">
        <f>'Pod by trading day'!C395</f>
      </c>
      <c r="C50" s="4">
        <f>'Pod by trading day'!D395</f>
      </c>
      <c r="D50" s="4">
        <f>'Pod by trading day'!E395</f>
      </c>
      <c r="E50" s="4">
        <f>'Pod by trading day'!F395</f>
      </c>
      <c r="F50" s="4">
        <f>'Pod by trading day'!G395</f>
      </c>
      <c r="G50" s="4">
        <f>'Pod by trading day'!H395</f>
      </c>
      <c r="H50" s="4">
        <f>'Pod by trading day'!I395</f>
      </c>
      <c r="I50" s="4">
        <f>'Pod by trading day'!J395</f>
      </c>
      <c r="J50" s="4">
        <f>'Pod by trading day'!K395</f>
      </c>
      <c r="K50" s="4">
        <f>'Pod by trading day'!L395</f>
      </c>
      <c r="L50" s="4">
        <f>'Pod by trading day'!M395</f>
      </c>
      <c r="M50" s="4">
        <f>'Pod by trading day'!N395</f>
      </c>
      <c r="N50" s="4">
        <f>'Pod by trading day'!O395</f>
      </c>
      <c r="O50" s="4">
        <f>'Pod by trading day'!P395</f>
      </c>
      <c r="P50" s="4">
        <f>'Pod by trading day'!Q395</f>
      </c>
      <c r="Q50" s="4">
        <f>'Pod by trading day'!R395</f>
      </c>
      <c r="R50" s="4">
        <f>'Pod by trading day'!S395</f>
      </c>
      <c r="S50" s="4">
        <f>'Pod by trading day'!T395</f>
      </c>
      <c r="T50" s="4">
        <f>'Pod by trading day'!U395</f>
      </c>
      <c r="U50" s="4">
        <f>'Pod by trading day'!V395</f>
      </c>
      <c r="V50" s="4">
        <f>'Pod by trading day'!W395</f>
      </c>
      <c r="W50" s="4">
        <f>'Pod by trading day'!X395</f>
      </c>
      <c r="X50" s="4">
        <f>'Pod by trading day'!Y395</f>
      </c>
      <c r="Y50" s="4">
        <f>'Pod by trading day'!Z395</f>
      </c>
      <c r="Z50" s="4">
        <f>'Pod by trading day'!AA395</f>
      </c>
      <c r="AA50" s="4">
        <f>'Pod by trading day'!AB395</f>
      </c>
      <c r="AB50" s="4">
        <f>'Pod by trading day'!AC395</f>
      </c>
      <c r="AC50" s="4">
        <f>'Pod by trading day'!AD395</f>
      </c>
      <c r="AD50" s="4">
        <f>'Pod by trading day'!AE395</f>
      </c>
      <c r="AE50" s="4">
        <f>'Pod by trading day'!AF395</f>
      </c>
      <c r="AF50" s="4">
        <f>'Pod by trading day'!AG395</f>
      </c>
      <c r="AG50" s="4">
        <f>'Pod by trading day'!AH395</f>
      </c>
      <c r="AH50" s="4">
        <f>'Pod by trading day'!AI395</f>
      </c>
      <c r="AI50" s="4">
        <f>'Pod by trading day'!AJ395</f>
      </c>
      <c r="AJ50" s="4">
        <f>'Pod by trading day'!AK395</f>
      </c>
      <c r="AK50" s="4">
        <f>'Pod by trading day'!AL395</f>
      </c>
      <c r="AL50" s="4">
        <f>'Pod by trading day'!AM395</f>
      </c>
      <c r="AM50" s="4">
        <f>'Pod by trading day'!AN395</f>
      </c>
      <c r="AN50" s="4">
        <f>'Pod by trading day'!AO395</f>
      </c>
      <c r="AO50" s="4">
        <f>'Pod by trading day'!AP395</f>
      </c>
      <c r="AP50" s="4">
        <f>'Pod by trading day'!AQ395</f>
      </c>
      <c r="AQ50" s="4">
        <f>'Pod by trading day'!AR395</f>
      </c>
      <c r="AR50" s="4">
        <f>'Pod by trading day'!AS395</f>
      </c>
      <c r="AS50" s="4">
        <f>'Pod by trading day'!AT395</f>
      </c>
      <c r="AT50" s="4">
        <f>'Pod by trading day'!AU395</f>
      </c>
      <c r="AU50" s="4">
        <f>'Pod by trading day'!AV395</f>
      </c>
      <c r="AV50" s="4">
        <f>'Pod by trading day'!AW395</f>
      </c>
      <c r="AW50" s="4">
        <f>'Pod by trading day'!AX395</f>
      </c>
      <c r="AX50" s="4">
        <f>'Pod by trading day'!AY395</f>
      </c>
      <c r="AY50" s="4">
        <f>'Pod by trading day'!AZ395</f>
      </c>
      <c r="AZ50" s="4">
        <f>'Pod by trading day'!BA395</f>
      </c>
      <c r="BA50" s="4">
        <f>'Pod by trading day'!BB395</f>
      </c>
      <c r="BB50" s="4">
        <f>'Pod by trading day'!BC395</f>
      </c>
      <c r="BC50" s="4">
        <f>'Pod by trading day'!BD395</f>
      </c>
      <c r="BD50" s="4">
        <f>'Pod by trading day'!BE395</f>
      </c>
      <c r="BE50" s="4">
        <f>'Pod by trading day'!BF395</f>
      </c>
      <c r="BF50" s="4">
        <f>'Pod by trading day'!BG395</f>
      </c>
      <c r="BG50" s="4">
        <f>'Pod by trading day'!BH395</f>
      </c>
      <c r="BH50" s="4">
        <f>'Pod by trading day'!BI395</f>
      </c>
      <c r="BI50" s="4">
        <f>'Pod by trading day'!BJ395</f>
      </c>
      <c r="BJ50" s="4">
        <f>'Pod by trading day'!BK395</f>
      </c>
      <c r="BK50" s="4">
        <f>'Pod by trading day'!BL395</f>
      </c>
      <c r="BL50" s="4">
        <f>'Pod by trading day'!BM395</f>
      </c>
      <c r="BM50" s="4">
        <f>'Pod by trading day'!BN395</f>
      </c>
      <c r="BN50" s="4">
        <f>'Pod by trading day'!BO395</f>
      </c>
      <c r="BO50" s="4">
        <f>'Pod by trading day'!BP395</f>
      </c>
      <c r="BP50" s="4">
        <f>'Pod by trading day'!BQ395</f>
      </c>
      <c r="BQ50" s="4">
        <f>'Pod by trading day'!BR395</f>
      </c>
      <c r="BR50" s="4">
        <f>'Pod by trading day'!BS395</f>
      </c>
      <c r="BS50" s="4">
        <f>'Pod by trading day'!BT395</f>
      </c>
      <c r="BT50" s="4">
        <f>'Pod by trading day'!BU395</f>
      </c>
      <c r="BU50" s="4">
        <f>'Pod by trading day'!BV395</f>
      </c>
      <c r="BV50" s="4">
        <f>'Pod by trading day'!BW395</f>
      </c>
      <c r="BW50" s="4">
        <f>'Pod by trading day'!BX395</f>
      </c>
      <c r="BX50" s="4">
        <f>'Pod by trading day'!BY395</f>
      </c>
      <c r="BY50" s="4">
        <f>'Pod by trading day'!BZ395</f>
      </c>
      <c r="BZ50" s="4">
        <f>'Pod by trading day'!CA395</f>
      </c>
      <c r="CA50" s="4">
        <f>'Pod by trading day'!CB395</f>
      </c>
      <c r="CB50" s="4">
        <f>'Pod by trading day'!CC395</f>
      </c>
      <c r="CC50" s="4">
        <f>'Pod by trading day'!CD395</f>
      </c>
      <c r="CD50" s="4">
        <f>'Pod by trading day'!CE395</f>
      </c>
      <c r="CE50" s="4">
        <f>'Pod by trading day'!CF395</f>
      </c>
      <c r="CF50" s="4">
        <f>'Pod by trading day'!CG395</f>
      </c>
      <c r="CG50" s="4">
        <f>'Pod by trading day'!CH395</f>
      </c>
      <c r="CH50" s="4">
        <f>'Pod by trading day'!CI395</f>
      </c>
      <c r="CI50" s="4">
        <f>'Pod by trading day'!CJ395</f>
      </c>
      <c r="CJ50" s="4">
        <f>'Pod by trading day'!CK395</f>
      </c>
      <c r="CK50" s="4">
        <f>'Pod by trading day'!CL395</f>
      </c>
      <c r="CL50" s="4">
        <f>'Pod by trading day'!CM395</f>
      </c>
      <c r="CM50" s="4">
        <f>'Pod by trading day'!CN395</f>
      </c>
      <c r="CN50" s="4">
        <f>'Pod by trading day'!CO395</f>
      </c>
      <c r="CO50" s="4">
        <f>'Pod by trading day'!CP395</f>
      </c>
      <c r="CP50" s="4">
        <f>'Pod by trading day'!CQ395</f>
      </c>
      <c r="CQ50" s="4">
        <f>'Pod by trading day'!CR395</f>
      </c>
      <c r="CR50" s="4">
        <f>'Pod by trading day'!CS395</f>
      </c>
      <c r="CS50" s="4">
        <f>'Pod by trading day'!CT395</f>
      </c>
      <c r="CT50" s="4">
        <f>'Pod by trading day'!CU395</f>
      </c>
      <c r="CU50" s="4">
        <f>'Pod by trading day'!CV395</f>
      </c>
      <c r="CV50" s="4">
        <f>'Pod by trading day'!CW395</f>
      </c>
      <c r="CW50" s="4">
        <f>'Pod by trading day'!CX395</f>
      </c>
    </row>
    <row r="51">
      <c r="A51" s="0" t="inlineStr">
        <is>
          <t xml:space="preserve">Clustered Insider Buying</t>
        </is>
      </c>
      <c r="B51" s="4">
        <f>'Pod by trading day'!C396</f>
      </c>
      <c r="C51" s="4">
        <f>'Pod by trading day'!D396</f>
      </c>
      <c r="D51" s="4">
        <f>'Pod by trading day'!E396</f>
      </c>
      <c r="E51" s="4">
        <f>'Pod by trading day'!F396</f>
      </c>
      <c r="F51" s="4">
        <f>'Pod by trading day'!G396</f>
      </c>
      <c r="G51" s="4">
        <f>'Pod by trading day'!H396</f>
      </c>
      <c r="H51" s="4">
        <f>'Pod by trading day'!I396</f>
      </c>
      <c r="I51" s="4">
        <f>'Pod by trading day'!J396</f>
      </c>
      <c r="J51" s="4">
        <f>'Pod by trading day'!K396</f>
      </c>
      <c r="K51" s="4">
        <f>'Pod by trading day'!L396</f>
      </c>
      <c r="L51" s="4">
        <f>'Pod by trading day'!M396</f>
      </c>
      <c r="M51" s="4">
        <f>'Pod by trading day'!N396</f>
      </c>
      <c r="N51" s="4">
        <f>'Pod by trading day'!O396</f>
      </c>
      <c r="O51" s="4">
        <f>'Pod by trading day'!P396</f>
      </c>
      <c r="P51" s="4">
        <f>'Pod by trading day'!Q396</f>
      </c>
      <c r="Q51" s="4">
        <f>'Pod by trading day'!R396</f>
      </c>
      <c r="R51" s="4">
        <f>'Pod by trading day'!S396</f>
      </c>
      <c r="S51" s="4">
        <f>'Pod by trading day'!T396</f>
      </c>
      <c r="T51" s="4">
        <f>'Pod by trading day'!U396</f>
      </c>
      <c r="U51" s="4">
        <f>'Pod by trading day'!V396</f>
      </c>
      <c r="V51" s="4">
        <f>'Pod by trading day'!W396</f>
      </c>
      <c r="W51" s="4">
        <f>'Pod by trading day'!X396</f>
      </c>
      <c r="X51" s="4">
        <f>'Pod by trading day'!Y396</f>
      </c>
      <c r="Y51" s="4">
        <f>'Pod by trading day'!Z396</f>
      </c>
      <c r="Z51" s="4">
        <f>'Pod by trading day'!AA396</f>
      </c>
      <c r="AA51" s="4">
        <f>'Pod by trading day'!AB396</f>
      </c>
      <c r="AB51" s="4">
        <f>'Pod by trading day'!AC396</f>
      </c>
      <c r="AC51" s="4">
        <f>'Pod by trading day'!AD396</f>
      </c>
      <c r="AD51" s="4">
        <f>'Pod by trading day'!AE396</f>
      </c>
      <c r="AE51" s="4">
        <f>'Pod by trading day'!AF396</f>
      </c>
      <c r="AF51" s="4">
        <f>'Pod by trading day'!AG396</f>
      </c>
      <c r="AG51" s="4">
        <f>'Pod by trading day'!AH396</f>
      </c>
      <c r="AH51" s="4">
        <f>'Pod by trading day'!AI396</f>
      </c>
      <c r="AI51" s="4">
        <f>'Pod by trading day'!AJ396</f>
      </c>
      <c r="AJ51" s="4">
        <f>'Pod by trading day'!AK396</f>
      </c>
      <c r="AK51" s="4">
        <f>'Pod by trading day'!AL396</f>
      </c>
      <c r="AL51" s="4">
        <f>'Pod by trading day'!AM396</f>
      </c>
      <c r="AM51" s="4">
        <f>'Pod by trading day'!AN396</f>
      </c>
      <c r="AN51" s="4">
        <f>'Pod by trading day'!AO396</f>
      </c>
      <c r="AO51" s="4">
        <f>'Pod by trading day'!AP396</f>
      </c>
      <c r="AP51" s="4">
        <f>'Pod by trading day'!AQ396</f>
      </c>
      <c r="AQ51" s="4">
        <f>'Pod by trading day'!AR396</f>
      </c>
      <c r="AR51" s="4">
        <f>'Pod by trading day'!AS396</f>
      </c>
      <c r="AS51" s="4">
        <f>'Pod by trading day'!AT396</f>
      </c>
      <c r="AT51" s="4">
        <f>'Pod by trading day'!AU396</f>
      </c>
      <c r="AU51" s="4">
        <f>'Pod by trading day'!AV396</f>
      </c>
      <c r="AV51" s="4">
        <f>'Pod by trading day'!AW396</f>
      </c>
      <c r="AW51" s="4">
        <f>'Pod by trading day'!AX396</f>
      </c>
      <c r="AX51" s="4">
        <f>'Pod by trading day'!AY396</f>
      </c>
      <c r="AY51" s="4">
        <f>'Pod by trading day'!AZ396</f>
      </c>
      <c r="AZ51" s="4">
        <f>'Pod by trading day'!BA396</f>
      </c>
      <c r="BA51" s="4">
        <f>'Pod by trading day'!BB396</f>
      </c>
      <c r="BB51" s="4">
        <f>'Pod by trading day'!BC396</f>
      </c>
      <c r="BC51" s="4">
        <f>'Pod by trading day'!BD396</f>
      </c>
      <c r="BD51" s="4">
        <f>'Pod by trading day'!BE396</f>
      </c>
      <c r="BE51" s="4">
        <f>'Pod by trading day'!BF396</f>
      </c>
      <c r="BF51" s="4">
        <f>'Pod by trading day'!BG396</f>
      </c>
      <c r="BG51" s="4">
        <f>'Pod by trading day'!BH396</f>
      </c>
      <c r="BH51" s="4">
        <f>'Pod by trading day'!BI396</f>
      </c>
      <c r="BI51" s="4">
        <f>'Pod by trading day'!BJ396</f>
      </c>
      <c r="BJ51" s="4">
        <f>'Pod by trading day'!BK396</f>
      </c>
      <c r="BK51" s="4">
        <f>'Pod by trading day'!BL396</f>
      </c>
      <c r="BL51" s="4">
        <f>'Pod by trading day'!BM396</f>
      </c>
      <c r="BM51" s="4">
        <f>'Pod by trading day'!BN396</f>
      </c>
      <c r="BN51" s="4">
        <f>'Pod by trading day'!BO396</f>
      </c>
      <c r="BO51" s="4">
        <f>'Pod by trading day'!BP396</f>
      </c>
      <c r="BP51" s="4">
        <f>'Pod by trading day'!BQ396</f>
      </c>
      <c r="BQ51" s="4">
        <f>'Pod by trading day'!BR396</f>
      </c>
      <c r="BR51" s="4">
        <f>'Pod by trading day'!BS396</f>
      </c>
      <c r="BS51" s="4">
        <f>'Pod by trading day'!BT396</f>
      </c>
      <c r="BT51" s="4">
        <f>'Pod by trading day'!BU396</f>
      </c>
      <c r="BU51" s="4">
        <f>'Pod by trading day'!BV396</f>
      </c>
      <c r="BV51" s="4">
        <f>'Pod by trading day'!BW396</f>
      </c>
      <c r="BW51" s="4">
        <f>'Pod by trading day'!BX396</f>
      </c>
      <c r="BX51" s="4">
        <f>'Pod by trading day'!BY396</f>
      </c>
      <c r="BY51" s="4">
        <f>'Pod by trading day'!BZ396</f>
      </c>
      <c r="BZ51" s="4">
        <f>'Pod by trading day'!CA396</f>
      </c>
      <c r="CA51" s="4">
        <f>'Pod by trading day'!CB396</f>
      </c>
      <c r="CB51" s="4">
        <f>'Pod by trading day'!CC396</f>
      </c>
      <c r="CC51" s="4">
        <f>'Pod by trading day'!CD396</f>
      </c>
      <c r="CD51" s="4">
        <f>'Pod by trading day'!CE396</f>
      </c>
      <c r="CE51" s="4">
        <f>'Pod by trading day'!CF396</f>
      </c>
      <c r="CF51" s="4">
        <f>'Pod by trading day'!CG396</f>
      </c>
      <c r="CG51" s="4">
        <f>'Pod by trading day'!CH396</f>
      </c>
      <c r="CH51" s="4">
        <f>'Pod by trading day'!CI396</f>
      </c>
      <c r="CI51" s="4">
        <f>'Pod by trading day'!CJ396</f>
      </c>
      <c r="CJ51" s="4">
        <f>'Pod by trading day'!CK396</f>
      </c>
      <c r="CK51" s="4">
        <f>'Pod by trading day'!CL396</f>
      </c>
      <c r="CL51" s="4">
        <f>'Pod by trading day'!CM396</f>
      </c>
      <c r="CM51" s="4">
        <f>'Pod by trading day'!CN396</f>
      </c>
      <c r="CN51" s="4">
        <f>'Pod by trading day'!CO396</f>
      </c>
      <c r="CO51" s="4">
        <f>'Pod by trading day'!CP396</f>
      </c>
      <c r="CP51" s="4">
        <f>'Pod by trading day'!CQ396</f>
      </c>
      <c r="CQ51" s="4">
        <f>'Pod by trading day'!CR396</f>
      </c>
      <c r="CR51" s="4">
        <f>'Pod by trading day'!CS396</f>
      </c>
      <c r="CS51" s="4">
        <f>'Pod by trading day'!CT396</f>
      </c>
      <c r="CT51" s="4">
        <f>'Pod by trading day'!CU396</f>
      </c>
      <c r="CU51" s="4">
        <f>'Pod by trading day'!CV396</f>
      </c>
      <c r="CV51" s="4">
        <f>'Pod by trading day'!CW396</f>
      </c>
      <c r="CW51" s="4">
        <f>'Pod by trading day'!CX396</f>
      </c>
    </row>
    <row r="52">
      <c r="A52" s="0" t="inlineStr">
        <is>
          <t xml:space="preserve">Same-Month Seasonality</t>
        </is>
      </c>
      <c r="B52" s="4">
        <f>'Pod by trading day'!C397</f>
      </c>
      <c r="C52" s="4">
        <f>'Pod by trading day'!D397</f>
      </c>
      <c r="D52" s="4">
        <f>'Pod by trading day'!E397</f>
      </c>
      <c r="E52" s="4">
        <f>'Pod by trading day'!F397</f>
      </c>
      <c r="F52" s="4">
        <f>'Pod by trading day'!G397</f>
      </c>
      <c r="G52" s="4">
        <f>'Pod by trading day'!H397</f>
      </c>
      <c r="H52" s="4">
        <f>'Pod by trading day'!I397</f>
      </c>
      <c r="I52" s="4">
        <f>'Pod by trading day'!J397</f>
      </c>
      <c r="J52" s="4">
        <f>'Pod by trading day'!K397</f>
      </c>
      <c r="K52" s="4">
        <f>'Pod by trading day'!L397</f>
      </c>
      <c r="L52" s="4">
        <f>'Pod by trading day'!M397</f>
      </c>
      <c r="M52" s="4">
        <f>'Pod by trading day'!N397</f>
      </c>
      <c r="N52" s="4">
        <f>'Pod by trading day'!O397</f>
      </c>
      <c r="O52" s="4">
        <f>'Pod by trading day'!P397</f>
      </c>
      <c r="P52" s="4">
        <f>'Pod by trading day'!Q397</f>
      </c>
      <c r="Q52" s="4">
        <f>'Pod by trading day'!R397</f>
      </c>
      <c r="R52" s="4">
        <f>'Pod by trading day'!S397</f>
      </c>
      <c r="S52" s="4">
        <f>'Pod by trading day'!T397</f>
      </c>
      <c r="T52" s="4">
        <f>'Pod by trading day'!U397</f>
      </c>
      <c r="U52" s="4">
        <f>'Pod by trading day'!V397</f>
      </c>
      <c r="V52" s="4">
        <f>'Pod by trading day'!W397</f>
      </c>
      <c r="W52" s="4">
        <f>'Pod by trading day'!X397</f>
      </c>
      <c r="X52" s="4">
        <f>'Pod by trading day'!Y397</f>
      </c>
      <c r="Y52" s="4">
        <f>'Pod by trading day'!Z397</f>
      </c>
      <c r="Z52" s="4">
        <f>'Pod by trading day'!AA397</f>
      </c>
      <c r="AA52" s="4">
        <f>'Pod by trading day'!AB397</f>
      </c>
      <c r="AB52" s="4">
        <f>'Pod by trading day'!AC397</f>
      </c>
      <c r="AC52" s="4">
        <f>'Pod by trading day'!AD397</f>
      </c>
      <c r="AD52" s="4">
        <f>'Pod by trading day'!AE397</f>
      </c>
      <c r="AE52" s="4">
        <f>'Pod by trading day'!AF397</f>
      </c>
      <c r="AF52" s="4">
        <f>'Pod by trading day'!AG397</f>
      </c>
      <c r="AG52" s="4">
        <f>'Pod by trading day'!AH397</f>
      </c>
      <c r="AH52" s="4">
        <f>'Pod by trading day'!AI397</f>
      </c>
      <c r="AI52" s="4">
        <f>'Pod by trading day'!AJ397</f>
      </c>
      <c r="AJ52" s="4">
        <f>'Pod by trading day'!AK397</f>
      </c>
      <c r="AK52" s="4">
        <f>'Pod by trading day'!AL397</f>
      </c>
      <c r="AL52" s="4">
        <f>'Pod by trading day'!AM397</f>
      </c>
      <c r="AM52" s="4">
        <f>'Pod by trading day'!AN397</f>
      </c>
      <c r="AN52" s="4">
        <f>'Pod by trading day'!AO397</f>
      </c>
      <c r="AO52" s="4">
        <f>'Pod by trading day'!AP397</f>
      </c>
      <c r="AP52" s="4">
        <f>'Pod by trading day'!AQ397</f>
      </c>
      <c r="AQ52" s="4">
        <f>'Pod by trading day'!AR397</f>
      </c>
      <c r="AR52" s="4">
        <f>'Pod by trading day'!AS397</f>
      </c>
      <c r="AS52" s="4">
        <f>'Pod by trading day'!AT397</f>
      </c>
      <c r="AT52" s="4">
        <f>'Pod by trading day'!AU397</f>
      </c>
      <c r="AU52" s="4">
        <f>'Pod by trading day'!AV397</f>
      </c>
      <c r="AV52" s="4">
        <f>'Pod by trading day'!AW397</f>
      </c>
      <c r="AW52" s="4">
        <f>'Pod by trading day'!AX397</f>
      </c>
      <c r="AX52" s="4">
        <f>'Pod by trading day'!AY397</f>
      </c>
      <c r="AY52" s="4">
        <f>'Pod by trading day'!AZ397</f>
      </c>
      <c r="AZ52" s="4">
        <f>'Pod by trading day'!BA397</f>
      </c>
      <c r="BA52" s="4">
        <f>'Pod by trading day'!BB397</f>
      </c>
      <c r="BB52" s="4">
        <f>'Pod by trading day'!BC397</f>
      </c>
      <c r="BC52" s="4">
        <f>'Pod by trading day'!BD397</f>
      </c>
      <c r="BD52" s="4">
        <f>'Pod by trading day'!BE397</f>
      </c>
      <c r="BE52" s="4">
        <f>'Pod by trading day'!BF397</f>
      </c>
      <c r="BF52" s="4">
        <f>'Pod by trading day'!BG397</f>
      </c>
      <c r="BG52" s="4">
        <f>'Pod by trading day'!BH397</f>
      </c>
      <c r="BH52" s="4">
        <f>'Pod by trading day'!BI397</f>
      </c>
      <c r="BI52" s="4">
        <f>'Pod by trading day'!BJ397</f>
      </c>
      <c r="BJ52" s="4">
        <f>'Pod by trading day'!BK397</f>
      </c>
      <c r="BK52" s="4">
        <f>'Pod by trading day'!BL397</f>
      </c>
      <c r="BL52" s="4">
        <f>'Pod by trading day'!BM397</f>
      </c>
      <c r="BM52" s="4">
        <f>'Pod by trading day'!BN397</f>
      </c>
      <c r="BN52" s="4">
        <f>'Pod by trading day'!BO397</f>
      </c>
      <c r="BO52" s="4">
        <f>'Pod by trading day'!BP397</f>
      </c>
      <c r="BP52" s="4">
        <f>'Pod by trading day'!BQ397</f>
      </c>
      <c r="BQ52" s="4">
        <f>'Pod by trading day'!BR397</f>
      </c>
      <c r="BR52" s="4">
        <f>'Pod by trading day'!BS397</f>
      </c>
      <c r="BS52" s="4">
        <f>'Pod by trading day'!BT397</f>
      </c>
      <c r="BT52" s="4">
        <f>'Pod by trading day'!BU397</f>
      </c>
      <c r="BU52" s="4">
        <f>'Pod by trading day'!BV397</f>
      </c>
      <c r="BV52" s="4">
        <f>'Pod by trading day'!BW397</f>
      </c>
      <c r="BW52" s="4">
        <f>'Pod by trading day'!BX397</f>
      </c>
      <c r="BX52" s="4">
        <f>'Pod by trading day'!BY397</f>
      </c>
      <c r="BY52" s="4">
        <f>'Pod by trading day'!BZ397</f>
      </c>
      <c r="BZ52" s="4">
        <f>'Pod by trading day'!CA397</f>
      </c>
      <c r="CA52" s="4">
        <f>'Pod by trading day'!CB397</f>
      </c>
      <c r="CB52" s="4">
        <f>'Pod by trading day'!CC397</f>
      </c>
      <c r="CC52" s="4">
        <f>'Pod by trading day'!CD397</f>
      </c>
      <c r="CD52" s="4">
        <f>'Pod by trading day'!CE397</f>
      </c>
      <c r="CE52" s="4">
        <f>'Pod by trading day'!CF397</f>
      </c>
      <c r="CF52" s="4">
        <f>'Pod by trading day'!CG397</f>
      </c>
      <c r="CG52" s="4">
        <f>'Pod by trading day'!CH397</f>
      </c>
      <c r="CH52" s="4">
        <f>'Pod by trading day'!CI397</f>
      </c>
      <c r="CI52" s="4">
        <f>'Pod by trading day'!CJ397</f>
      </c>
      <c r="CJ52" s="4">
        <f>'Pod by trading day'!CK397</f>
      </c>
      <c r="CK52" s="4">
        <f>'Pod by trading day'!CL397</f>
      </c>
      <c r="CL52" s="4">
        <f>'Pod by trading day'!CM397</f>
      </c>
      <c r="CM52" s="4">
        <f>'Pod by trading day'!CN397</f>
      </c>
      <c r="CN52" s="4">
        <f>'Pod by trading day'!CO397</f>
      </c>
      <c r="CO52" s="4">
        <f>'Pod by trading day'!CP397</f>
      </c>
      <c r="CP52" s="4">
        <f>'Pod by trading day'!CQ397</f>
      </c>
      <c r="CQ52" s="4">
        <f>'Pod by trading day'!CR397</f>
      </c>
      <c r="CR52" s="4">
        <f>'Pod by trading day'!CS397</f>
      </c>
      <c r="CS52" s="4">
        <f>'Pod by trading day'!CT397</f>
      </c>
      <c r="CT52" s="4">
        <f>'Pod by trading day'!CU397</f>
      </c>
      <c r="CU52" s="4">
        <f>'Pod by trading day'!CV397</f>
      </c>
      <c r="CV52" s="4">
        <f>'Pod by trading day'!CW397</f>
      </c>
      <c r="CW52" s="4">
        <f>'Pod by trading day'!CX397</f>
      </c>
    </row>
    <row r="53">
      <c r="A53" s="0" t="inlineStr">
        <is>
          <t xml:space="preserve">Quality at a Reasonable Price</t>
        </is>
      </c>
      <c r="B53" s="4">
        <f>'Pod by trading day'!C398</f>
      </c>
      <c r="C53" s="4">
        <f>'Pod by trading day'!D398</f>
      </c>
      <c r="D53" s="4">
        <f>'Pod by trading day'!E398</f>
      </c>
      <c r="E53" s="4">
        <f>'Pod by trading day'!F398</f>
      </c>
      <c r="F53" s="4">
        <f>'Pod by trading day'!G398</f>
      </c>
      <c r="G53" s="4">
        <f>'Pod by trading day'!H398</f>
      </c>
      <c r="H53" s="4">
        <f>'Pod by trading day'!I398</f>
      </c>
      <c r="I53" s="4">
        <f>'Pod by trading day'!J398</f>
      </c>
      <c r="J53" s="4">
        <f>'Pod by trading day'!K398</f>
      </c>
      <c r="K53" s="4">
        <f>'Pod by trading day'!L398</f>
      </c>
      <c r="L53" s="4">
        <f>'Pod by trading day'!M398</f>
      </c>
      <c r="M53" s="4">
        <f>'Pod by trading day'!N398</f>
      </c>
      <c r="N53" s="4">
        <f>'Pod by trading day'!O398</f>
      </c>
      <c r="O53" s="4">
        <f>'Pod by trading day'!P398</f>
      </c>
      <c r="P53" s="4">
        <f>'Pod by trading day'!Q398</f>
      </c>
      <c r="Q53" s="4">
        <f>'Pod by trading day'!R398</f>
      </c>
      <c r="R53" s="4">
        <f>'Pod by trading day'!S398</f>
      </c>
      <c r="S53" s="4">
        <f>'Pod by trading day'!T398</f>
      </c>
      <c r="T53" s="4">
        <f>'Pod by trading day'!U398</f>
      </c>
      <c r="U53" s="4">
        <f>'Pod by trading day'!V398</f>
      </c>
      <c r="V53" s="4">
        <f>'Pod by trading day'!W398</f>
      </c>
      <c r="W53" s="4">
        <f>'Pod by trading day'!X398</f>
      </c>
      <c r="X53" s="4">
        <f>'Pod by trading day'!Y398</f>
      </c>
      <c r="Y53" s="4">
        <f>'Pod by trading day'!Z398</f>
      </c>
      <c r="Z53" s="4">
        <f>'Pod by trading day'!AA398</f>
      </c>
      <c r="AA53" s="4">
        <f>'Pod by trading day'!AB398</f>
      </c>
      <c r="AB53" s="4">
        <f>'Pod by trading day'!AC398</f>
      </c>
      <c r="AC53" s="4">
        <f>'Pod by trading day'!AD398</f>
      </c>
      <c r="AD53" s="4">
        <f>'Pod by trading day'!AE398</f>
      </c>
      <c r="AE53" s="4">
        <f>'Pod by trading day'!AF398</f>
      </c>
      <c r="AF53" s="4">
        <f>'Pod by trading day'!AG398</f>
      </c>
      <c r="AG53" s="4">
        <f>'Pod by trading day'!AH398</f>
      </c>
      <c r="AH53" s="4">
        <f>'Pod by trading day'!AI398</f>
      </c>
      <c r="AI53" s="4">
        <f>'Pod by trading day'!AJ398</f>
      </c>
      <c r="AJ53" s="4">
        <f>'Pod by trading day'!AK398</f>
      </c>
      <c r="AK53" s="4">
        <f>'Pod by trading day'!AL398</f>
      </c>
      <c r="AL53" s="4">
        <f>'Pod by trading day'!AM398</f>
      </c>
      <c r="AM53" s="4">
        <f>'Pod by trading day'!AN398</f>
      </c>
      <c r="AN53" s="4">
        <f>'Pod by trading day'!AO398</f>
      </c>
      <c r="AO53" s="4">
        <f>'Pod by trading day'!AP398</f>
      </c>
      <c r="AP53" s="4">
        <f>'Pod by trading day'!AQ398</f>
      </c>
      <c r="AQ53" s="4">
        <f>'Pod by trading day'!AR398</f>
      </c>
      <c r="AR53" s="4">
        <f>'Pod by trading day'!AS398</f>
      </c>
      <c r="AS53" s="4">
        <f>'Pod by trading day'!AT398</f>
      </c>
      <c r="AT53" s="4">
        <f>'Pod by trading day'!AU398</f>
      </c>
      <c r="AU53" s="4">
        <f>'Pod by trading day'!AV398</f>
      </c>
      <c r="AV53" s="4">
        <f>'Pod by trading day'!AW398</f>
      </c>
      <c r="AW53" s="4">
        <f>'Pod by trading day'!AX398</f>
      </c>
      <c r="AX53" s="4">
        <f>'Pod by trading day'!AY398</f>
      </c>
      <c r="AY53" s="4">
        <f>'Pod by trading day'!AZ398</f>
      </c>
      <c r="AZ53" s="4">
        <f>'Pod by trading day'!BA398</f>
      </c>
      <c r="BA53" s="4">
        <f>'Pod by trading day'!BB398</f>
      </c>
      <c r="BB53" s="4">
        <f>'Pod by trading day'!BC398</f>
      </c>
      <c r="BC53" s="4">
        <f>'Pod by trading day'!BD398</f>
      </c>
      <c r="BD53" s="4">
        <f>'Pod by trading day'!BE398</f>
      </c>
      <c r="BE53" s="4">
        <f>'Pod by trading day'!BF398</f>
      </c>
      <c r="BF53" s="4">
        <f>'Pod by trading day'!BG398</f>
      </c>
      <c r="BG53" s="4">
        <f>'Pod by trading day'!BH398</f>
      </c>
      <c r="BH53" s="4">
        <f>'Pod by trading day'!BI398</f>
      </c>
      <c r="BI53" s="4">
        <f>'Pod by trading day'!BJ398</f>
      </c>
      <c r="BJ53" s="4">
        <f>'Pod by trading day'!BK398</f>
      </c>
      <c r="BK53" s="4">
        <f>'Pod by trading day'!BL398</f>
      </c>
      <c r="BL53" s="4">
        <f>'Pod by trading day'!BM398</f>
      </c>
      <c r="BM53" s="4">
        <f>'Pod by trading day'!BN398</f>
      </c>
      <c r="BN53" s="4">
        <f>'Pod by trading day'!BO398</f>
      </c>
      <c r="BO53" s="4">
        <f>'Pod by trading day'!BP398</f>
      </c>
      <c r="BP53" s="4">
        <f>'Pod by trading day'!BQ398</f>
      </c>
      <c r="BQ53" s="4">
        <f>'Pod by trading day'!BR398</f>
      </c>
      <c r="BR53" s="4">
        <f>'Pod by trading day'!BS398</f>
      </c>
      <c r="BS53" s="4">
        <f>'Pod by trading day'!BT398</f>
      </c>
      <c r="BT53" s="4">
        <f>'Pod by trading day'!BU398</f>
      </c>
      <c r="BU53" s="4">
        <f>'Pod by trading day'!BV398</f>
      </c>
      <c r="BV53" s="4">
        <f>'Pod by trading day'!BW398</f>
      </c>
      <c r="BW53" s="4">
        <f>'Pod by trading day'!BX398</f>
      </c>
      <c r="BX53" s="4">
        <f>'Pod by trading day'!BY398</f>
      </c>
      <c r="BY53" s="4">
        <f>'Pod by trading day'!BZ398</f>
      </c>
      <c r="BZ53" s="4">
        <f>'Pod by trading day'!CA398</f>
      </c>
      <c r="CA53" s="4">
        <f>'Pod by trading day'!CB398</f>
      </c>
      <c r="CB53" s="4">
        <f>'Pod by trading day'!CC398</f>
      </c>
      <c r="CC53" s="4">
        <f>'Pod by trading day'!CD398</f>
      </c>
      <c r="CD53" s="4">
        <f>'Pod by trading day'!CE398</f>
      </c>
      <c r="CE53" s="4">
        <f>'Pod by trading day'!CF398</f>
      </c>
      <c r="CF53" s="4">
        <f>'Pod by trading day'!CG398</f>
      </c>
      <c r="CG53" s="4">
        <f>'Pod by trading day'!CH398</f>
      </c>
      <c r="CH53" s="4">
        <f>'Pod by trading day'!CI398</f>
      </c>
      <c r="CI53" s="4">
        <f>'Pod by trading day'!CJ398</f>
      </c>
      <c r="CJ53" s="4">
        <f>'Pod by trading day'!CK398</f>
      </c>
      <c r="CK53" s="4">
        <f>'Pod by trading day'!CL398</f>
      </c>
      <c r="CL53" s="4">
        <f>'Pod by trading day'!CM398</f>
      </c>
      <c r="CM53" s="4">
        <f>'Pod by trading day'!CN398</f>
      </c>
      <c r="CN53" s="4">
        <f>'Pod by trading day'!CO398</f>
      </c>
      <c r="CO53" s="4">
        <f>'Pod by trading day'!CP398</f>
      </c>
      <c r="CP53" s="4">
        <f>'Pod by trading day'!CQ398</f>
      </c>
      <c r="CQ53" s="4">
        <f>'Pod by trading day'!CR398</f>
      </c>
      <c r="CR53" s="4">
        <f>'Pod by trading day'!CS398</f>
      </c>
      <c r="CS53" s="4">
        <f>'Pod by trading day'!CT398</f>
      </c>
      <c r="CT53" s="4">
        <f>'Pod by trading day'!CU398</f>
      </c>
      <c r="CU53" s="4">
        <f>'Pod by trading day'!CV398</f>
      </c>
      <c r="CV53" s="4">
        <f>'Pod by trading day'!CW398</f>
      </c>
      <c r="CW53" s="4">
        <f>'Pod by trading day'!CX398</f>
      </c>
    </row>
    <row r="54">
      <c r="A54" s="0" t="inlineStr">
        <is>
          <t xml:space="preserve">Residual Momentum</t>
        </is>
      </c>
      <c r="B54" s="4">
        <f>'Pod by trading day'!C399</f>
      </c>
      <c r="C54" s="4">
        <f>'Pod by trading day'!D399</f>
      </c>
      <c r="D54" s="4">
        <f>'Pod by trading day'!E399</f>
      </c>
      <c r="E54" s="4">
        <f>'Pod by trading day'!F399</f>
      </c>
      <c r="F54" s="4">
        <f>'Pod by trading day'!G399</f>
      </c>
      <c r="G54" s="4">
        <f>'Pod by trading day'!H399</f>
      </c>
      <c r="H54" s="4">
        <f>'Pod by trading day'!I399</f>
      </c>
      <c r="I54" s="4">
        <f>'Pod by trading day'!J399</f>
      </c>
      <c r="J54" s="4">
        <f>'Pod by trading day'!K399</f>
      </c>
      <c r="K54" s="4">
        <f>'Pod by trading day'!L399</f>
      </c>
      <c r="L54" s="4">
        <f>'Pod by trading day'!M399</f>
      </c>
      <c r="M54" s="4">
        <f>'Pod by trading day'!N399</f>
      </c>
      <c r="N54" s="4">
        <f>'Pod by trading day'!O399</f>
      </c>
      <c r="O54" s="4">
        <f>'Pod by trading day'!P399</f>
      </c>
      <c r="P54" s="4">
        <f>'Pod by trading day'!Q399</f>
      </c>
      <c r="Q54" s="4">
        <f>'Pod by trading day'!R399</f>
      </c>
      <c r="R54" s="4">
        <f>'Pod by trading day'!S399</f>
      </c>
      <c r="S54" s="4">
        <f>'Pod by trading day'!T399</f>
      </c>
      <c r="T54" s="4">
        <f>'Pod by trading day'!U399</f>
      </c>
      <c r="U54" s="4">
        <f>'Pod by trading day'!V399</f>
      </c>
      <c r="V54" s="4">
        <f>'Pod by trading day'!W399</f>
      </c>
      <c r="W54" s="4">
        <f>'Pod by trading day'!X399</f>
      </c>
      <c r="X54" s="4">
        <f>'Pod by trading day'!Y399</f>
      </c>
      <c r="Y54" s="4">
        <f>'Pod by trading day'!Z399</f>
      </c>
      <c r="Z54" s="4">
        <f>'Pod by trading day'!AA399</f>
      </c>
      <c r="AA54" s="4">
        <f>'Pod by trading day'!AB399</f>
      </c>
      <c r="AB54" s="4">
        <f>'Pod by trading day'!AC399</f>
      </c>
      <c r="AC54" s="4">
        <f>'Pod by trading day'!AD399</f>
      </c>
      <c r="AD54" s="4">
        <f>'Pod by trading day'!AE399</f>
      </c>
      <c r="AE54" s="4">
        <f>'Pod by trading day'!AF399</f>
      </c>
      <c r="AF54" s="4">
        <f>'Pod by trading day'!AG399</f>
      </c>
      <c r="AG54" s="4">
        <f>'Pod by trading day'!AH399</f>
      </c>
      <c r="AH54" s="4">
        <f>'Pod by trading day'!AI399</f>
      </c>
      <c r="AI54" s="4">
        <f>'Pod by trading day'!AJ399</f>
      </c>
      <c r="AJ54" s="4">
        <f>'Pod by trading day'!AK399</f>
      </c>
      <c r="AK54" s="4">
        <f>'Pod by trading day'!AL399</f>
      </c>
      <c r="AL54" s="4">
        <f>'Pod by trading day'!AM399</f>
      </c>
      <c r="AM54" s="4">
        <f>'Pod by trading day'!AN399</f>
      </c>
      <c r="AN54" s="4">
        <f>'Pod by trading day'!AO399</f>
      </c>
      <c r="AO54" s="4">
        <f>'Pod by trading day'!AP399</f>
      </c>
      <c r="AP54" s="4">
        <f>'Pod by trading day'!AQ399</f>
      </c>
      <c r="AQ54" s="4">
        <f>'Pod by trading day'!AR399</f>
      </c>
      <c r="AR54" s="4">
        <f>'Pod by trading day'!AS399</f>
      </c>
      <c r="AS54" s="4">
        <f>'Pod by trading day'!AT399</f>
      </c>
      <c r="AT54" s="4">
        <f>'Pod by trading day'!AU399</f>
      </c>
      <c r="AU54" s="4">
        <f>'Pod by trading day'!AV399</f>
      </c>
      <c r="AV54" s="4">
        <f>'Pod by trading day'!AW399</f>
      </c>
      <c r="AW54" s="4">
        <f>'Pod by trading day'!AX399</f>
      </c>
      <c r="AX54" s="4">
        <f>'Pod by trading day'!AY399</f>
      </c>
      <c r="AY54" s="4">
        <f>'Pod by trading day'!AZ399</f>
      </c>
      <c r="AZ54" s="4">
        <f>'Pod by trading day'!BA399</f>
      </c>
      <c r="BA54" s="4">
        <f>'Pod by trading day'!BB399</f>
      </c>
      <c r="BB54" s="4">
        <f>'Pod by trading day'!BC399</f>
      </c>
      <c r="BC54" s="4">
        <f>'Pod by trading day'!BD399</f>
      </c>
      <c r="BD54" s="4">
        <f>'Pod by trading day'!BE399</f>
      </c>
      <c r="BE54" s="4">
        <f>'Pod by trading day'!BF399</f>
      </c>
      <c r="BF54" s="4">
        <f>'Pod by trading day'!BG399</f>
      </c>
      <c r="BG54" s="4">
        <f>'Pod by trading day'!BH399</f>
      </c>
      <c r="BH54" s="4">
        <f>'Pod by trading day'!BI399</f>
      </c>
      <c r="BI54" s="4">
        <f>'Pod by trading day'!BJ399</f>
      </c>
      <c r="BJ54" s="4">
        <f>'Pod by trading day'!BK399</f>
      </c>
      <c r="BK54" s="4">
        <f>'Pod by trading day'!BL399</f>
      </c>
      <c r="BL54" s="4">
        <f>'Pod by trading day'!BM399</f>
      </c>
      <c r="BM54" s="4">
        <f>'Pod by trading day'!BN399</f>
      </c>
      <c r="BN54" s="4">
        <f>'Pod by trading day'!BO399</f>
      </c>
      <c r="BO54" s="4">
        <f>'Pod by trading day'!BP399</f>
      </c>
      <c r="BP54" s="4">
        <f>'Pod by trading day'!BQ399</f>
      </c>
      <c r="BQ54" s="4">
        <f>'Pod by trading day'!BR399</f>
      </c>
      <c r="BR54" s="4">
        <f>'Pod by trading day'!BS399</f>
      </c>
      <c r="BS54" s="4">
        <f>'Pod by trading day'!BT399</f>
      </c>
      <c r="BT54" s="4">
        <f>'Pod by trading day'!BU399</f>
      </c>
      <c r="BU54" s="4">
        <f>'Pod by trading day'!BV399</f>
      </c>
      <c r="BV54" s="4">
        <f>'Pod by trading day'!BW399</f>
      </c>
      <c r="BW54" s="4">
        <f>'Pod by trading day'!BX399</f>
      </c>
      <c r="BX54" s="4">
        <f>'Pod by trading day'!BY399</f>
      </c>
      <c r="BY54" s="4">
        <f>'Pod by trading day'!BZ399</f>
      </c>
      <c r="BZ54" s="4">
        <f>'Pod by trading day'!CA399</f>
      </c>
      <c r="CA54" s="4">
        <f>'Pod by trading day'!CB399</f>
      </c>
      <c r="CB54" s="4">
        <f>'Pod by trading day'!CC399</f>
      </c>
      <c r="CC54" s="4">
        <f>'Pod by trading day'!CD399</f>
      </c>
      <c r="CD54" s="4">
        <f>'Pod by trading day'!CE399</f>
      </c>
      <c r="CE54" s="4">
        <f>'Pod by trading day'!CF399</f>
      </c>
      <c r="CF54" s="4">
        <f>'Pod by trading day'!CG399</f>
      </c>
      <c r="CG54" s="4">
        <f>'Pod by trading day'!CH399</f>
      </c>
      <c r="CH54" s="4">
        <f>'Pod by trading day'!CI399</f>
      </c>
      <c r="CI54" s="4">
        <f>'Pod by trading day'!CJ399</f>
      </c>
      <c r="CJ54" s="4">
        <f>'Pod by trading day'!CK399</f>
      </c>
      <c r="CK54" s="4">
        <f>'Pod by trading day'!CL399</f>
      </c>
      <c r="CL54" s="4">
        <f>'Pod by trading day'!CM399</f>
      </c>
      <c r="CM54" s="4">
        <f>'Pod by trading day'!CN399</f>
      </c>
      <c r="CN54" s="4">
        <f>'Pod by trading day'!CO399</f>
      </c>
      <c r="CO54" s="4">
        <f>'Pod by trading day'!CP399</f>
      </c>
      <c r="CP54" s="4">
        <f>'Pod by trading day'!CQ399</f>
      </c>
      <c r="CQ54" s="4">
        <f>'Pod by trading day'!CR399</f>
      </c>
      <c r="CR54" s="4">
        <f>'Pod by trading day'!CS399</f>
      </c>
      <c r="CS54" s="4">
        <f>'Pod by trading day'!CT399</f>
      </c>
      <c r="CT54" s="4">
        <f>'Pod by trading day'!CU399</f>
      </c>
      <c r="CU54" s="4">
        <f>'Pod by trading day'!CV399</f>
      </c>
      <c r="CV54" s="4">
        <f>'Pod by trading day'!CW399</f>
      </c>
      <c r="CW54" s="4">
        <f>'Pod by trading day'!CX399</f>
      </c>
    </row>
    <row r="55">
      <c r="A55" s="0" t="inlineStr">
        <is>
          <t xml:space="preserve">Overnight Return Persistence</t>
        </is>
      </c>
      <c r="B55" s="4">
        <f>'Pod by trading day'!C400</f>
      </c>
      <c r="C55" s="4">
        <f>'Pod by trading day'!D400</f>
      </c>
      <c r="D55" s="4">
        <f>'Pod by trading day'!E400</f>
      </c>
      <c r="E55" s="4">
        <f>'Pod by trading day'!F400</f>
      </c>
      <c r="F55" s="4">
        <f>'Pod by trading day'!G400</f>
      </c>
      <c r="G55" s="4">
        <f>'Pod by trading day'!H400</f>
      </c>
      <c r="H55" s="4">
        <f>'Pod by trading day'!I400</f>
      </c>
      <c r="I55" s="4">
        <f>'Pod by trading day'!J400</f>
      </c>
      <c r="J55" s="4">
        <f>'Pod by trading day'!K400</f>
      </c>
      <c r="K55" s="4">
        <f>'Pod by trading day'!L400</f>
      </c>
      <c r="L55" s="4">
        <f>'Pod by trading day'!M400</f>
      </c>
      <c r="M55" s="4">
        <f>'Pod by trading day'!N400</f>
      </c>
      <c r="N55" s="4">
        <f>'Pod by trading day'!O400</f>
      </c>
      <c r="O55" s="4">
        <f>'Pod by trading day'!P400</f>
      </c>
      <c r="P55" s="4">
        <f>'Pod by trading day'!Q400</f>
      </c>
      <c r="Q55" s="4">
        <f>'Pod by trading day'!R400</f>
      </c>
      <c r="R55" s="4">
        <f>'Pod by trading day'!S400</f>
      </c>
      <c r="S55" s="4">
        <f>'Pod by trading day'!T400</f>
      </c>
      <c r="T55" s="4">
        <f>'Pod by trading day'!U400</f>
      </c>
      <c r="U55" s="4">
        <f>'Pod by trading day'!V400</f>
      </c>
      <c r="V55" s="4">
        <f>'Pod by trading day'!W400</f>
      </c>
      <c r="W55" s="4">
        <f>'Pod by trading day'!X400</f>
      </c>
      <c r="X55" s="4">
        <f>'Pod by trading day'!Y400</f>
      </c>
      <c r="Y55" s="4">
        <f>'Pod by trading day'!Z400</f>
      </c>
      <c r="Z55" s="4">
        <f>'Pod by trading day'!AA400</f>
      </c>
      <c r="AA55" s="4">
        <f>'Pod by trading day'!AB400</f>
      </c>
      <c r="AB55" s="4">
        <f>'Pod by trading day'!AC400</f>
      </c>
      <c r="AC55" s="4">
        <f>'Pod by trading day'!AD400</f>
      </c>
      <c r="AD55" s="4">
        <f>'Pod by trading day'!AE400</f>
      </c>
      <c r="AE55" s="4">
        <f>'Pod by trading day'!AF400</f>
      </c>
      <c r="AF55" s="4">
        <f>'Pod by trading day'!AG400</f>
      </c>
      <c r="AG55" s="4">
        <f>'Pod by trading day'!AH400</f>
      </c>
      <c r="AH55" s="4">
        <f>'Pod by trading day'!AI400</f>
      </c>
      <c r="AI55" s="4">
        <f>'Pod by trading day'!AJ400</f>
      </c>
      <c r="AJ55" s="4">
        <f>'Pod by trading day'!AK400</f>
      </c>
      <c r="AK55" s="4">
        <f>'Pod by trading day'!AL400</f>
      </c>
      <c r="AL55" s="4">
        <f>'Pod by trading day'!AM400</f>
      </c>
      <c r="AM55" s="4">
        <f>'Pod by trading day'!AN400</f>
      </c>
      <c r="AN55" s="4">
        <f>'Pod by trading day'!AO400</f>
      </c>
      <c r="AO55" s="4">
        <f>'Pod by trading day'!AP400</f>
      </c>
      <c r="AP55" s="4">
        <f>'Pod by trading day'!AQ400</f>
      </c>
      <c r="AQ55" s="4">
        <f>'Pod by trading day'!AR400</f>
      </c>
      <c r="AR55" s="4">
        <f>'Pod by trading day'!AS400</f>
      </c>
      <c r="AS55" s="4">
        <f>'Pod by trading day'!AT400</f>
      </c>
      <c r="AT55" s="4">
        <f>'Pod by trading day'!AU400</f>
      </c>
      <c r="AU55" s="4">
        <f>'Pod by trading day'!AV400</f>
      </c>
      <c r="AV55" s="4">
        <f>'Pod by trading day'!AW400</f>
      </c>
      <c r="AW55" s="4">
        <f>'Pod by trading day'!AX400</f>
      </c>
      <c r="AX55" s="4">
        <f>'Pod by trading day'!AY400</f>
      </c>
      <c r="AY55" s="4">
        <f>'Pod by trading day'!AZ400</f>
      </c>
      <c r="AZ55" s="4">
        <f>'Pod by trading day'!BA400</f>
      </c>
      <c r="BA55" s="4">
        <f>'Pod by trading day'!BB400</f>
      </c>
      <c r="BB55" s="4">
        <f>'Pod by trading day'!BC400</f>
      </c>
      <c r="BC55" s="4">
        <f>'Pod by trading day'!BD400</f>
      </c>
      <c r="BD55" s="4">
        <f>'Pod by trading day'!BE400</f>
      </c>
      <c r="BE55" s="4">
        <f>'Pod by trading day'!BF400</f>
      </c>
      <c r="BF55" s="4">
        <f>'Pod by trading day'!BG400</f>
      </c>
      <c r="BG55" s="4">
        <f>'Pod by trading day'!BH400</f>
      </c>
      <c r="BH55" s="4">
        <f>'Pod by trading day'!BI400</f>
      </c>
      <c r="BI55" s="4">
        <f>'Pod by trading day'!BJ400</f>
      </c>
      <c r="BJ55" s="4">
        <f>'Pod by trading day'!BK400</f>
      </c>
      <c r="BK55" s="4">
        <f>'Pod by trading day'!BL400</f>
      </c>
      <c r="BL55" s="4">
        <f>'Pod by trading day'!BM400</f>
      </c>
      <c r="BM55" s="4">
        <f>'Pod by trading day'!BN400</f>
      </c>
      <c r="BN55" s="4">
        <f>'Pod by trading day'!BO400</f>
      </c>
      <c r="BO55" s="4">
        <f>'Pod by trading day'!BP400</f>
      </c>
      <c r="BP55" s="4">
        <f>'Pod by trading day'!BQ400</f>
      </c>
      <c r="BQ55" s="4">
        <f>'Pod by trading day'!BR400</f>
      </c>
      <c r="BR55" s="4">
        <f>'Pod by trading day'!BS400</f>
      </c>
      <c r="BS55" s="4">
        <f>'Pod by trading day'!BT400</f>
      </c>
      <c r="BT55" s="4">
        <f>'Pod by trading day'!BU400</f>
      </c>
      <c r="BU55" s="4">
        <f>'Pod by trading day'!BV400</f>
      </c>
      <c r="BV55" s="4">
        <f>'Pod by trading day'!BW400</f>
      </c>
      <c r="BW55" s="4">
        <f>'Pod by trading day'!BX400</f>
      </c>
      <c r="BX55" s="4">
        <f>'Pod by trading day'!BY400</f>
      </c>
      <c r="BY55" s="4">
        <f>'Pod by trading day'!BZ400</f>
      </c>
      <c r="BZ55" s="4">
        <f>'Pod by trading day'!CA400</f>
      </c>
      <c r="CA55" s="4">
        <f>'Pod by trading day'!CB400</f>
      </c>
      <c r="CB55" s="4">
        <f>'Pod by trading day'!CC400</f>
      </c>
      <c r="CC55" s="4">
        <f>'Pod by trading day'!CD400</f>
      </c>
      <c r="CD55" s="4">
        <f>'Pod by trading day'!CE400</f>
      </c>
      <c r="CE55" s="4">
        <f>'Pod by trading day'!CF400</f>
      </c>
      <c r="CF55" s="4">
        <f>'Pod by trading day'!CG400</f>
      </c>
      <c r="CG55" s="4">
        <f>'Pod by trading day'!CH400</f>
      </c>
      <c r="CH55" s="4">
        <f>'Pod by trading day'!CI400</f>
      </c>
      <c r="CI55" s="4">
        <f>'Pod by trading day'!CJ400</f>
      </c>
      <c r="CJ55" s="4">
        <f>'Pod by trading day'!CK400</f>
      </c>
      <c r="CK55" s="4">
        <f>'Pod by trading day'!CL400</f>
      </c>
      <c r="CL55" s="4">
        <f>'Pod by trading day'!CM400</f>
      </c>
      <c r="CM55" s="4">
        <f>'Pod by trading day'!CN400</f>
      </c>
      <c r="CN55" s="4">
        <f>'Pod by trading day'!CO400</f>
      </c>
      <c r="CO55" s="4">
        <f>'Pod by trading day'!CP400</f>
      </c>
      <c r="CP55" s="4">
        <f>'Pod by trading day'!CQ400</f>
      </c>
      <c r="CQ55" s="4">
        <f>'Pod by trading day'!CR400</f>
      </c>
      <c r="CR55" s="4">
        <f>'Pod by trading day'!CS400</f>
      </c>
      <c r="CS55" s="4">
        <f>'Pod by trading day'!CT400</f>
      </c>
      <c r="CT55" s="4">
        <f>'Pod by trading day'!CU400</f>
      </c>
      <c r="CU55" s="4">
        <f>'Pod by trading day'!CV400</f>
      </c>
      <c r="CV55" s="4">
        <f>'Pod by trading day'!CW400</f>
      </c>
      <c r="CW55" s="4">
        <f>'Pod by trading day'!CX400</f>
      </c>
    </row>
    <row r="56">
      <c r="A56" s="0" t="inlineStr">
        <is>
          <t xml:space="preserve">52-Week-High Anchoring</t>
        </is>
      </c>
      <c r="B56" s="4">
        <f>'Pod by trading day'!C401</f>
      </c>
      <c r="C56" s="4">
        <f>'Pod by trading day'!D401</f>
      </c>
      <c r="D56" s="4">
        <f>'Pod by trading day'!E401</f>
      </c>
      <c r="E56" s="4">
        <f>'Pod by trading day'!F401</f>
      </c>
      <c r="F56" s="4">
        <f>'Pod by trading day'!G401</f>
      </c>
      <c r="G56" s="4">
        <f>'Pod by trading day'!H401</f>
      </c>
      <c r="H56" s="4">
        <f>'Pod by trading day'!I401</f>
      </c>
      <c r="I56" s="4">
        <f>'Pod by trading day'!J401</f>
      </c>
      <c r="J56" s="4">
        <f>'Pod by trading day'!K401</f>
      </c>
      <c r="K56" s="4">
        <f>'Pod by trading day'!L401</f>
      </c>
      <c r="L56" s="4">
        <f>'Pod by trading day'!M401</f>
      </c>
      <c r="M56" s="4">
        <f>'Pod by trading day'!N401</f>
      </c>
      <c r="N56" s="4">
        <f>'Pod by trading day'!O401</f>
      </c>
      <c r="O56" s="4">
        <f>'Pod by trading day'!P401</f>
      </c>
      <c r="P56" s="4">
        <f>'Pod by trading day'!Q401</f>
      </c>
      <c r="Q56" s="4">
        <f>'Pod by trading day'!R401</f>
      </c>
      <c r="R56" s="4">
        <f>'Pod by trading day'!S401</f>
      </c>
      <c r="S56" s="4">
        <f>'Pod by trading day'!T401</f>
      </c>
      <c r="T56" s="4">
        <f>'Pod by trading day'!U401</f>
      </c>
      <c r="U56" s="4">
        <f>'Pod by trading day'!V401</f>
      </c>
      <c r="V56" s="4">
        <f>'Pod by trading day'!W401</f>
      </c>
      <c r="W56" s="4">
        <f>'Pod by trading day'!X401</f>
      </c>
      <c r="X56" s="4">
        <f>'Pod by trading day'!Y401</f>
      </c>
      <c r="Y56" s="4">
        <f>'Pod by trading day'!Z401</f>
      </c>
      <c r="Z56" s="4">
        <f>'Pod by trading day'!AA401</f>
      </c>
      <c r="AA56" s="4">
        <f>'Pod by trading day'!AB401</f>
      </c>
      <c r="AB56" s="4">
        <f>'Pod by trading day'!AC401</f>
      </c>
      <c r="AC56" s="4">
        <f>'Pod by trading day'!AD401</f>
      </c>
      <c r="AD56" s="4">
        <f>'Pod by trading day'!AE401</f>
      </c>
      <c r="AE56" s="4">
        <f>'Pod by trading day'!AF401</f>
      </c>
      <c r="AF56" s="4">
        <f>'Pod by trading day'!AG401</f>
      </c>
      <c r="AG56" s="4">
        <f>'Pod by trading day'!AH401</f>
      </c>
      <c r="AH56" s="4">
        <f>'Pod by trading day'!AI401</f>
      </c>
      <c r="AI56" s="4">
        <f>'Pod by trading day'!AJ401</f>
      </c>
      <c r="AJ56" s="4">
        <f>'Pod by trading day'!AK401</f>
      </c>
      <c r="AK56" s="4">
        <f>'Pod by trading day'!AL401</f>
      </c>
      <c r="AL56" s="4">
        <f>'Pod by trading day'!AM401</f>
      </c>
      <c r="AM56" s="4">
        <f>'Pod by trading day'!AN401</f>
      </c>
      <c r="AN56" s="4">
        <f>'Pod by trading day'!AO401</f>
      </c>
      <c r="AO56" s="4">
        <f>'Pod by trading day'!AP401</f>
      </c>
      <c r="AP56" s="4">
        <f>'Pod by trading day'!AQ401</f>
      </c>
      <c r="AQ56" s="4">
        <f>'Pod by trading day'!AR401</f>
      </c>
      <c r="AR56" s="4">
        <f>'Pod by trading day'!AS401</f>
      </c>
      <c r="AS56" s="4">
        <f>'Pod by trading day'!AT401</f>
      </c>
      <c r="AT56" s="4">
        <f>'Pod by trading day'!AU401</f>
      </c>
      <c r="AU56" s="4">
        <f>'Pod by trading day'!AV401</f>
      </c>
      <c r="AV56" s="4">
        <f>'Pod by trading day'!AW401</f>
      </c>
      <c r="AW56" s="4">
        <f>'Pod by trading day'!AX401</f>
      </c>
      <c r="AX56" s="4">
        <f>'Pod by trading day'!AY401</f>
      </c>
      <c r="AY56" s="4">
        <f>'Pod by trading day'!AZ401</f>
      </c>
      <c r="AZ56" s="4">
        <f>'Pod by trading day'!BA401</f>
      </c>
      <c r="BA56" s="4">
        <f>'Pod by trading day'!BB401</f>
      </c>
      <c r="BB56" s="4">
        <f>'Pod by trading day'!BC401</f>
      </c>
      <c r="BC56" s="4">
        <f>'Pod by trading day'!BD401</f>
      </c>
      <c r="BD56" s="4">
        <f>'Pod by trading day'!BE401</f>
      </c>
      <c r="BE56" s="4">
        <f>'Pod by trading day'!BF401</f>
      </c>
      <c r="BF56" s="4">
        <f>'Pod by trading day'!BG401</f>
      </c>
      <c r="BG56" s="4">
        <f>'Pod by trading day'!BH401</f>
      </c>
      <c r="BH56" s="4">
        <f>'Pod by trading day'!BI401</f>
      </c>
      <c r="BI56" s="4">
        <f>'Pod by trading day'!BJ401</f>
      </c>
      <c r="BJ56" s="4">
        <f>'Pod by trading day'!BK401</f>
      </c>
      <c r="BK56" s="4">
        <f>'Pod by trading day'!BL401</f>
      </c>
      <c r="BL56" s="4">
        <f>'Pod by trading day'!BM401</f>
      </c>
      <c r="BM56" s="4">
        <f>'Pod by trading day'!BN401</f>
      </c>
      <c r="BN56" s="4">
        <f>'Pod by trading day'!BO401</f>
      </c>
      <c r="BO56" s="4">
        <f>'Pod by trading day'!BP401</f>
      </c>
      <c r="BP56" s="4">
        <f>'Pod by trading day'!BQ401</f>
      </c>
      <c r="BQ56" s="4">
        <f>'Pod by trading day'!BR401</f>
      </c>
      <c r="BR56" s="4">
        <f>'Pod by trading day'!BS401</f>
      </c>
      <c r="BS56" s="4">
        <f>'Pod by trading day'!BT401</f>
      </c>
      <c r="BT56" s="4">
        <f>'Pod by trading day'!BU401</f>
      </c>
      <c r="BU56" s="4">
        <f>'Pod by trading day'!BV401</f>
      </c>
      <c r="BV56" s="4">
        <f>'Pod by trading day'!BW401</f>
      </c>
      <c r="BW56" s="4">
        <f>'Pod by trading day'!BX401</f>
      </c>
      <c r="BX56" s="4">
        <f>'Pod by trading day'!BY401</f>
      </c>
      <c r="BY56" s="4">
        <f>'Pod by trading day'!BZ401</f>
      </c>
      <c r="BZ56" s="4">
        <f>'Pod by trading day'!CA401</f>
      </c>
      <c r="CA56" s="4">
        <f>'Pod by trading day'!CB401</f>
      </c>
      <c r="CB56" s="4">
        <f>'Pod by trading day'!CC401</f>
      </c>
      <c r="CC56" s="4">
        <f>'Pod by trading day'!CD401</f>
      </c>
      <c r="CD56" s="4">
        <f>'Pod by trading day'!CE401</f>
      </c>
      <c r="CE56" s="4">
        <f>'Pod by trading day'!CF401</f>
      </c>
      <c r="CF56" s="4">
        <f>'Pod by trading day'!CG401</f>
      </c>
      <c r="CG56" s="4">
        <f>'Pod by trading day'!CH401</f>
      </c>
      <c r="CH56" s="4">
        <f>'Pod by trading day'!CI401</f>
      </c>
      <c r="CI56" s="4">
        <f>'Pod by trading day'!CJ401</f>
      </c>
      <c r="CJ56" s="4">
        <f>'Pod by trading day'!CK401</f>
      </c>
      <c r="CK56" s="4">
        <f>'Pod by trading day'!CL401</f>
      </c>
      <c r="CL56" s="4">
        <f>'Pod by trading day'!CM401</f>
      </c>
      <c r="CM56" s="4">
        <f>'Pod by trading day'!CN401</f>
      </c>
      <c r="CN56" s="4">
        <f>'Pod by trading day'!CO401</f>
      </c>
      <c r="CO56" s="4">
        <f>'Pod by trading day'!CP401</f>
      </c>
      <c r="CP56" s="4">
        <f>'Pod by trading day'!CQ401</f>
      </c>
      <c r="CQ56" s="4">
        <f>'Pod by trading day'!CR401</f>
      </c>
      <c r="CR56" s="4">
        <f>'Pod by trading day'!CS401</f>
      </c>
      <c r="CS56" s="4">
        <f>'Pod by trading day'!CT401</f>
      </c>
      <c r="CT56" s="4">
        <f>'Pod by trading day'!CU401</f>
      </c>
      <c r="CU56" s="4">
        <f>'Pod by trading day'!CV401</f>
      </c>
      <c r="CV56" s="4">
        <f>'Pod by trading day'!CW401</f>
      </c>
      <c r="CW56" s="4">
        <f>'Pod by trading day'!CX401</f>
      </c>
    </row>
    <row r="75">
      <c r="A75" s="1" t="inlineStr">
        <is>
          <t xml:space="preserve">Cumulative excess, realized then projected at the running mean (bps)</t>
        </is>
      </c>
    </row>
    <row r="76">
      <c r="A76" s="1" t="inlineStr">
        <is>
          <t xml:space="preserve">pod</t>
        </is>
      </c>
      <c r="B76" s="1" t="inlineStr">
        <is>
          <t xml:space="preserve">09-22</t>
        </is>
      </c>
      <c r="C76" s="1" t="inlineStr">
        <is>
          <t xml:space="preserve">09-23</t>
        </is>
      </c>
      <c r="D76" s="1" t="inlineStr">
        <is>
          <t xml:space="preserve">09-24</t>
        </is>
      </c>
      <c r="E76" s="1" t="inlineStr">
        <is>
          <t xml:space="preserve">09-25</t>
        </is>
      </c>
      <c r="F76" s="1" t="inlineStr">
        <is>
          <t xml:space="preserve">09-28</t>
        </is>
      </c>
      <c r="G76" s="1" t="inlineStr">
        <is>
          <t xml:space="preserve">09-29</t>
        </is>
      </c>
      <c r="H76" s="1" t="inlineStr">
        <is>
          <t xml:space="preserve">09-30</t>
        </is>
      </c>
      <c r="I76" s="1" t="inlineStr">
        <is>
          <t xml:space="preserve">10-01</t>
        </is>
      </c>
      <c r="J76" s="1" t="inlineStr">
        <is>
          <t xml:space="preserve">10-02</t>
        </is>
      </c>
      <c r="K76" s="1" t="inlineStr">
        <is>
          <t xml:space="preserve">10-05</t>
        </is>
      </c>
      <c r="L76" s="1" t="inlineStr">
        <is>
          <t xml:space="preserve">10-06</t>
        </is>
      </c>
      <c r="M76" s="1" t="inlineStr">
        <is>
          <t xml:space="preserve">10-07</t>
        </is>
      </c>
      <c r="N76" s="1" t="inlineStr">
        <is>
          <t xml:space="preserve">10-08</t>
        </is>
      </c>
      <c r="O76" s="1" t="inlineStr">
        <is>
          <t xml:space="preserve">10-09</t>
        </is>
      </c>
      <c r="P76" s="1" t="inlineStr">
        <is>
          <t xml:space="preserve">10-12</t>
        </is>
      </c>
      <c r="Q76" s="1" t="inlineStr">
        <is>
          <t xml:space="preserve">10-13</t>
        </is>
      </c>
      <c r="R76" s="1" t="inlineStr">
        <is>
          <t xml:space="preserve">10-14</t>
        </is>
      </c>
      <c r="S76" s="1" t="inlineStr">
        <is>
          <t xml:space="preserve">10-15</t>
        </is>
      </c>
      <c r="T76" s="1" t="inlineStr">
        <is>
          <t xml:space="preserve">10-16</t>
        </is>
      </c>
      <c r="U76" s="1" t="inlineStr">
        <is>
          <t xml:space="preserve">10-19</t>
        </is>
      </c>
      <c r="V76" s="1" t="inlineStr">
        <is>
          <t xml:space="preserve">10-20</t>
        </is>
      </c>
      <c r="W76" s="1" t="inlineStr">
        <is>
          <t xml:space="preserve">10-21</t>
        </is>
      </c>
      <c r="X76" s="1" t="inlineStr">
        <is>
          <t xml:space="preserve">10-22</t>
        </is>
      </c>
      <c r="Y76" s="1" t="inlineStr">
        <is>
          <t xml:space="preserve">10-23</t>
        </is>
      </c>
      <c r="Z76" s="1" t="inlineStr">
        <is>
          <t xml:space="preserve">10-26</t>
        </is>
      </c>
      <c r="AA76" s="1" t="inlineStr">
        <is>
          <t xml:space="preserve">10-27</t>
        </is>
      </c>
      <c r="AB76" s="1" t="inlineStr">
        <is>
          <t xml:space="preserve">10-28</t>
        </is>
      </c>
      <c r="AC76" s="1" t="inlineStr">
        <is>
          <t xml:space="preserve">10-29</t>
        </is>
      </c>
      <c r="AD76" s="1" t="inlineStr">
        <is>
          <t xml:space="preserve">10-30</t>
        </is>
      </c>
      <c r="AE76" s="1" t="inlineStr">
        <is>
          <t xml:space="preserve">11-02</t>
        </is>
      </c>
      <c r="AF76" s="1" t="inlineStr">
        <is>
          <t xml:space="preserve">11-03</t>
        </is>
      </c>
      <c r="AG76" s="1" t="inlineStr">
        <is>
          <t xml:space="preserve">11-04</t>
        </is>
      </c>
      <c r="AH76" s="1" t="inlineStr">
        <is>
          <t xml:space="preserve">11-05</t>
        </is>
      </c>
      <c r="AI76" s="1" t="inlineStr">
        <is>
          <t xml:space="preserve">11-06</t>
        </is>
      </c>
      <c r="AJ76" s="1" t="inlineStr">
        <is>
          <t xml:space="preserve">11-09</t>
        </is>
      </c>
      <c r="AK76" s="1" t="inlineStr">
        <is>
          <t xml:space="preserve">11-10</t>
        </is>
      </c>
      <c r="AL76" s="1" t="inlineStr">
        <is>
          <t xml:space="preserve">11-11</t>
        </is>
      </c>
      <c r="AM76" s="1" t="inlineStr">
        <is>
          <t xml:space="preserve">11-12</t>
        </is>
      </c>
      <c r="AN76" s="1" t="inlineStr">
        <is>
          <t xml:space="preserve">11-13</t>
        </is>
      </c>
      <c r="AO76" s="1" t="inlineStr">
        <is>
          <t xml:space="preserve">11-16</t>
        </is>
      </c>
      <c r="AP76" s="1" t="inlineStr">
        <is>
          <t xml:space="preserve">11-17</t>
        </is>
      </c>
      <c r="AQ76" s="1" t="inlineStr">
        <is>
          <t xml:space="preserve">11-18</t>
        </is>
      </c>
      <c r="AR76" s="1" t="inlineStr">
        <is>
          <t xml:space="preserve">11-19</t>
        </is>
      </c>
      <c r="AS76" s="1" t="inlineStr">
        <is>
          <t xml:space="preserve">11-20</t>
        </is>
      </c>
      <c r="AT76" s="1" t="inlineStr">
        <is>
          <t xml:space="preserve">11-23</t>
        </is>
      </c>
      <c r="AU76" s="1" t="inlineStr">
        <is>
          <t xml:space="preserve">11-24</t>
        </is>
      </c>
      <c r="AV76" s="1" t="inlineStr">
        <is>
          <t xml:space="preserve">11-25</t>
        </is>
      </c>
      <c r="AW76" s="1" t="inlineStr">
        <is>
          <t xml:space="preserve">11-27</t>
        </is>
      </c>
      <c r="AX76" s="1" t="inlineStr">
        <is>
          <t xml:space="preserve">11-30</t>
        </is>
      </c>
      <c r="AY76" s="1" t="inlineStr">
        <is>
          <t xml:space="preserve">12-01</t>
        </is>
      </c>
      <c r="AZ76" s="1" t="inlineStr">
        <is>
          <t xml:space="preserve">12-02</t>
        </is>
      </c>
      <c r="BA76" s="1" t="inlineStr">
        <is>
          <t xml:space="preserve">12-03</t>
        </is>
      </c>
      <c r="BB76" s="1" t="inlineStr">
        <is>
          <t xml:space="preserve">12-04</t>
        </is>
      </c>
      <c r="BC76" s="1" t="inlineStr">
        <is>
          <t xml:space="preserve">12-07</t>
        </is>
      </c>
      <c r="BD76" s="1" t="inlineStr">
        <is>
          <t xml:space="preserve">12-08</t>
        </is>
      </c>
      <c r="BE76" s="1" t="inlineStr">
        <is>
          <t xml:space="preserve">12-09</t>
        </is>
      </c>
      <c r="BF76" s="1" t="inlineStr">
        <is>
          <t xml:space="preserve">12-10</t>
        </is>
      </c>
      <c r="BG76" s="1" t="inlineStr">
        <is>
          <t xml:space="preserve">12-11</t>
        </is>
      </c>
      <c r="BH76" s="1" t="inlineStr">
        <is>
          <t xml:space="preserve">12-14</t>
        </is>
      </c>
      <c r="BI76" s="1" t="inlineStr">
        <is>
          <t xml:space="preserve">12-15</t>
        </is>
      </c>
      <c r="BJ76" s="1" t="inlineStr">
        <is>
          <t xml:space="preserve">12-16</t>
        </is>
      </c>
      <c r="BK76" s="1" t="inlineStr">
        <is>
          <t xml:space="preserve">12-17</t>
        </is>
      </c>
      <c r="BL76" s="1" t="inlineStr">
        <is>
          <t xml:space="preserve">12-18</t>
        </is>
      </c>
      <c r="BM76" s="1" t="inlineStr">
        <is>
          <t xml:space="preserve">12-21</t>
        </is>
      </c>
      <c r="BN76" s="1" t="inlineStr">
        <is>
          <t xml:space="preserve">12-22</t>
        </is>
      </c>
      <c r="BO76" s="1" t="inlineStr">
        <is>
          <t xml:space="preserve">12-23</t>
        </is>
      </c>
      <c r="BP76" s="1" t="inlineStr">
        <is>
          <t xml:space="preserve">12-24</t>
        </is>
      </c>
      <c r="BQ76" s="1" t="inlineStr">
        <is>
          <t xml:space="preserve">12-28</t>
        </is>
      </c>
      <c r="BR76" s="1" t="inlineStr">
        <is>
          <t xml:space="preserve">12-29</t>
        </is>
      </c>
      <c r="BS76" s="1" t="inlineStr">
        <is>
          <t xml:space="preserve">12-30</t>
        </is>
      </c>
      <c r="BT76" s="1" t="inlineStr">
        <is>
          <t xml:space="preserve">12-31</t>
        </is>
      </c>
      <c r="BU76" s="1" t="inlineStr">
        <is>
          <t xml:space="preserve">01-04</t>
        </is>
      </c>
      <c r="BV76" s="1" t="inlineStr">
        <is>
          <t xml:space="preserve">01-05</t>
        </is>
      </c>
      <c r="BW76" s="1" t="inlineStr">
        <is>
          <t xml:space="preserve">01-06</t>
        </is>
      </c>
      <c r="BX76" s="1" t="inlineStr">
        <is>
          <t xml:space="preserve">01-07</t>
        </is>
      </c>
      <c r="BY76" s="1" t="inlineStr">
        <is>
          <t xml:space="preserve">01-08</t>
        </is>
      </c>
      <c r="BZ76" s="1" t="inlineStr">
        <is>
          <t xml:space="preserve">01-11</t>
        </is>
      </c>
      <c r="CA76" s="1" t="inlineStr">
        <is>
          <t xml:space="preserve">01-12</t>
        </is>
      </c>
      <c r="CB76" s="1" t="inlineStr">
        <is>
          <t xml:space="preserve">01-13</t>
        </is>
      </c>
      <c r="CC76" s="1" t="inlineStr">
        <is>
          <t xml:space="preserve">01-14</t>
        </is>
      </c>
      <c r="CD76" s="1" t="inlineStr">
        <is>
          <t xml:space="preserve">01-15</t>
        </is>
      </c>
      <c r="CE76" s="1" t="inlineStr">
        <is>
          <t xml:space="preserve">01-19</t>
        </is>
      </c>
      <c r="CF76" s="1" t="inlineStr">
        <is>
          <t xml:space="preserve">01-20</t>
        </is>
      </c>
      <c r="CG76" s="1" t="inlineStr">
        <is>
          <t xml:space="preserve">01-21</t>
        </is>
      </c>
      <c r="CH76" s="1" t="inlineStr">
        <is>
          <t xml:space="preserve">01-22</t>
        </is>
      </c>
      <c r="CI76" s="1" t="inlineStr">
        <is>
          <t xml:space="preserve">01-25</t>
        </is>
      </c>
      <c r="CJ76" s="1" t="inlineStr">
        <is>
          <t xml:space="preserve">01-26</t>
        </is>
      </c>
      <c r="CK76" s="1" t="inlineStr">
        <is>
          <t xml:space="preserve">01-27</t>
        </is>
      </c>
      <c r="CL76" s="1" t="inlineStr">
        <is>
          <t xml:space="preserve">01-28</t>
        </is>
      </c>
      <c r="CM76" s="1" t="inlineStr">
        <is>
          <t xml:space="preserve">01-29</t>
        </is>
      </c>
      <c r="CN76" s="1" t="inlineStr">
        <is>
          <t xml:space="preserve">02-01</t>
        </is>
      </c>
      <c r="CO76" s="1" t="inlineStr">
        <is>
          <t xml:space="preserve">02-02</t>
        </is>
      </c>
      <c r="CP76" s="1" t="inlineStr">
        <is>
          <t xml:space="preserve">02-03</t>
        </is>
      </c>
      <c r="CQ76" s="1" t="inlineStr">
        <is>
          <t xml:space="preserve">02-04</t>
        </is>
      </c>
      <c r="CR76" s="1" t="inlineStr">
        <is>
          <t xml:space="preserve">02-05</t>
        </is>
      </c>
      <c r="CS76" s="1" t="inlineStr">
        <is>
          <t xml:space="preserve">02-08</t>
        </is>
      </c>
      <c r="CT76" s="1" t="inlineStr">
        <is>
          <t xml:space="preserve">02-09</t>
        </is>
      </c>
      <c r="CU76" s="1" t="inlineStr">
        <is>
          <t xml:space="preserve">02-10</t>
        </is>
      </c>
      <c r="CV76" s="1" t="inlineStr">
        <is>
          <t xml:space="preserve">02-11</t>
        </is>
      </c>
      <c r="CW76" s="1" t="inlineStr">
        <is>
          <t xml:space="preserve">02-12</t>
        </is>
      </c>
    </row>
    <row r="77">
      <c r="A77" s="0" t="inlineStr">
        <is>
          <t xml:space="preserve">Retail Attention Overnight</t>
        </is>
      </c>
      <c r="B77" s="8">
        <f>'Pod by trading day'!C497</f>
        <v>-19.56</v>
      </c>
      <c r="C77" s="8">
        <f>'Pod by trading day'!D497</f>
        <v>-39.12</v>
      </c>
      <c r="D77" s="8">
        <f>'Pod by trading day'!E497</f>
        <v>-58.67999999999999</v>
      </c>
      <c r="E77" s="8">
        <f>'Pod by trading day'!F497</f>
        <v>-78.24</v>
      </c>
      <c r="F77" s="8">
        <f>'Pod by trading day'!G497</f>
        <v>-97.8</v>
      </c>
      <c r="G77" s="8">
        <f>'Pod by trading day'!H497</f>
        <v>-117.36</v>
      </c>
      <c r="H77" s="8">
        <f>'Pod by trading day'!I497</f>
        <v>-136.92</v>
      </c>
      <c r="I77" s="8">
        <f>'Pod by trading day'!J497</f>
        <v>-156.48</v>
      </c>
      <c r="J77" s="8">
        <f>'Pod by trading day'!K497</f>
        <v>-176.04</v>
      </c>
      <c r="K77" s="8">
        <f>'Pod by trading day'!L497</f>
        <v>-195.6</v>
      </c>
      <c r="L77" s="8">
        <f>'Pod by trading day'!M497</f>
        <v>-215.16</v>
      </c>
      <c r="M77" s="8">
        <f>'Pod by trading day'!N497</f>
        <v>-234.72</v>
      </c>
      <c r="N77" s="8">
        <f>'Pod by trading day'!O497</f>
        <v>-254.27999999999997</v>
      </c>
      <c r="O77" s="8">
        <f>'Pod by trading day'!P497</f>
        <v>-273.84</v>
      </c>
      <c r="P77" s="8">
        <f>'Pod by trading day'!Q497</f>
        <v>-293.4</v>
      </c>
      <c r="Q77" s="8">
        <f>'Pod by trading day'!R497</f>
        <v>-312.96</v>
      </c>
      <c r="R77" s="8">
        <f>'Pod by trading day'!S497</f>
        <v>-332.52</v>
      </c>
      <c r="S77" s="8">
        <f>'Pod by trading day'!T497</f>
        <v>-352.08</v>
      </c>
      <c r="T77" s="8">
        <f>'Pod by trading day'!U497</f>
        <v>-371.64</v>
      </c>
      <c r="U77" s="8">
        <f>'Pod by trading day'!V497</f>
        <v>-391.2</v>
      </c>
      <c r="V77" s="8">
        <f>'Pod by trading day'!W497</f>
        <v>-410.76</v>
      </c>
      <c r="W77" s="8">
        <f>'Pod by trading day'!X497</f>
        <v>-430.32</v>
      </c>
      <c r="X77" s="8">
        <f>'Pod by trading day'!Y497</f>
        <v>-449.88</v>
      </c>
      <c r="Y77" s="8">
        <f>'Pod by trading day'!Z497</f>
        <v>-469.44</v>
      </c>
      <c r="Z77" s="8">
        <f>'Pod by trading day'!AA497</f>
        <v>-488.99999999999994</v>
      </c>
      <c r="AA77" s="8">
        <f>'Pod by trading day'!AB497</f>
        <v>-508.55999999999995</v>
      </c>
      <c r="AB77" s="8">
        <f>'Pod by trading day'!AC497</f>
        <v>-528.1199999999999</v>
      </c>
      <c r="AC77" s="8">
        <f>'Pod by trading day'!AD497</f>
        <v>-547.68</v>
      </c>
      <c r="AD77" s="8">
        <f>'Pod by trading day'!AE497</f>
        <v>-567.2399999999999</v>
      </c>
      <c r="AE77" s="8">
        <f>'Pod by trading day'!AF497</f>
        <v>-586.8</v>
      </c>
      <c r="AF77" s="8">
        <f>'Pod by trading day'!AG497</f>
        <v>-606.3599999999999</v>
      </c>
      <c r="AG77" s="8">
        <f>'Pod by trading day'!AH497</f>
        <v>-625.92</v>
      </c>
      <c r="AH77" s="8">
        <f>'Pod by trading day'!AI497</f>
        <v>-645.4799999999999</v>
      </c>
      <c r="AI77" s="8">
        <f>'Pod by trading day'!AJ497</f>
        <v>-665.0399999999998</v>
      </c>
      <c r="AJ77" s="8">
        <f>'Pod by trading day'!AK497</f>
        <v>-684.5999999999999</v>
      </c>
      <c r="AK77" s="8">
        <f>'Pod by trading day'!AL497</f>
        <v>-704.1599999999999</v>
      </c>
      <c r="AL77" s="8">
        <f>'Pod by trading day'!AM497</f>
        <v>-723.7199999999999</v>
      </c>
      <c r="AM77" s="8">
        <f>'Pod by trading day'!AN497</f>
        <v>-743.2799999999999</v>
      </c>
      <c r="AN77" s="8">
        <f>'Pod by trading day'!AO497</f>
        <v>-762.8399999999999</v>
      </c>
      <c r="AO77" s="8">
        <f>'Pod by trading day'!AP497</f>
        <v>-782.3999999999999</v>
      </c>
      <c r="AP77" s="8">
        <f>'Pod by trading day'!AQ497</f>
        <v>-801.9599999999999</v>
      </c>
      <c r="AQ77" s="8">
        <f>'Pod by trading day'!AR497</f>
        <v>-821.5199999999999</v>
      </c>
      <c r="AR77" s="8">
        <f>'Pod by trading day'!AS497</f>
        <v>-841.0799999999999</v>
      </c>
      <c r="AS77" s="8">
        <f>'Pod by trading day'!AT497</f>
        <v>-860.6399999999999</v>
      </c>
      <c r="AT77" s="8">
        <f>'Pod by trading day'!AU497</f>
        <v>-880.1999999999999</v>
      </c>
      <c r="AU77" s="8">
        <f>'Pod by trading day'!AV497</f>
        <v>-899.7599999999999</v>
      </c>
      <c r="AV77" s="8">
        <f>'Pod by trading day'!AW497</f>
        <v>-919.3199999999999</v>
      </c>
      <c r="AW77" s="8">
        <f>'Pod by trading day'!AX497</f>
        <v>-938.8799999999999</v>
      </c>
      <c r="AX77" s="8">
        <f>'Pod by trading day'!AY497</f>
        <v>-958.4399999999998</v>
      </c>
      <c r="AY77" s="8">
        <f>'Pod by trading day'!AZ497</f>
        <v>-977.9999999999999</v>
      </c>
      <c r="AZ77" s="8">
        <f>'Pod by trading day'!BA497</f>
        <v>-997.5599999999998</v>
      </c>
      <c r="BA77" s="8">
        <f>'Pod by trading day'!BB497</f>
        <v>-1017.1199999999999</v>
      </c>
      <c r="BB77" s="8">
        <f>'Pod by trading day'!BC497</f>
        <v>-1036.6799999999998</v>
      </c>
      <c r="BC77" s="8">
        <f>'Pod by trading day'!BD497</f>
        <v>-1056.2399999999998</v>
      </c>
      <c r="BD77" s="8">
        <f>'Pod by trading day'!BE497</f>
        <v>-1075.8</v>
      </c>
      <c r="BE77" s="8">
        <f>'Pod by trading day'!BF497</f>
        <v>-1095.36</v>
      </c>
      <c r="BF77" s="8">
        <f>'Pod by trading day'!BG497</f>
        <v>-1114.9199999999998</v>
      </c>
      <c r="BG77" s="8">
        <f>'Pod by trading day'!BH497</f>
        <v>-1134.4799999999998</v>
      </c>
      <c r="BH77" s="8">
        <f>'Pod by trading day'!BI497</f>
        <v>-1154.04</v>
      </c>
      <c r="BI77" s="8">
        <f>'Pod by trading day'!BJ497</f>
        <v>-1173.6</v>
      </c>
      <c r="BJ77" s="8">
        <f>'Pod by trading day'!BK497</f>
        <v>-1193.1599999999999</v>
      </c>
      <c r="BK77" s="8">
        <f>'Pod by trading day'!BL497</f>
        <v>-1212.7199999999998</v>
      </c>
      <c r="BL77" s="8">
        <f>'Pod by trading day'!BM497</f>
        <v>-1232.28</v>
      </c>
      <c r="BM77" s="8">
        <f>'Pod by trading day'!BN497</f>
        <v>-1251.84</v>
      </c>
      <c r="BN77" s="8">
        <f>'Pod by trading day'!BO497</f>
        <v>-1271.3999999999999</v>
      </c>
      <c r="BO77" s="8">
        <f>'Pod by trading day'!BP497</f>
        <v>-1290.9599999999998</v>
      </c>
      <c r="BP77" s="8">
        <f>'Pod by trading day'!BQ497</f>
        <v>-1310.5199999999998</v>
      </c>
      <c r="BQ77" s="8">
        <f>'Pod by trading day'!BR497</f>
        <v>-1330.08</v>
      </c>
      <c r="BR77" s="8">
        <f>'Pod by trading day'!BS497</f>
        <v>-1349.6399999999999</v>
      </c>
      <c r="BS77" s="8">
        <f>'Pod by trading day'!BT497</f>
        <v>-1369.1999999999998</v>
      </c>
      <c r="BT77" s="8">
        <f>'Pod by trading day'!BU497</f>
        <v>-1388.7599999999998</v>
      </c>
      <c r="BU77" s="8">
        <f>'Pod by trading day'!BV497</f>
        <v>-1408.32</v>
      </c>
      <c r="BV77" s="8">
        <f>'Pod by trading day'!BW497</f>
        <v>-1427.8799999999999</v>
      </c>
      <c r="BW77" s="8">
        <f>'Pod by trading day'!BX497</f>
        <v>-1447.4399999999998</v>
      </c>
      <c r="BX77" s="8">
        <f>'Pod by trading day'!BY497</f>
        <v>-1466.9999999999998</v>
      </c>
      <c r="BY77" s="8">
        <f>'Pod by trading day'!BZ497</f>
        <v>-1486.56</v>
      </c>
      <c r="BZ77" s="8">
        <f>'Pod by trading day'!CA497</f>
        <v>-1506.12</v>
      </c>
      <c r="CA77" s="8">
        <f>'Pod by trading day'!CB497</f>
        <v>-1525.6799999999998</v>
      </c>
      <c r="CB77" s="8">
        <f>'Pod by trading day'!CC497</f>
        <v>-1545.2399999999998</v>
      </c>
      <c r="CC77" s="8">
        <f>'Pod by trading day'!CD497</f>
        <v>-1564.8</v>
      </c>
      <c r="CD77" s="8">
        <f>'Pod by trading day'!CE497</f>
        <v>-1584.36</v>
      </c>
      <c r="CE77" s="8">
        <f>'Pod by trading day'!CF497</f>
        <v>-1603.9199999999998</v>
      </c>
      <c r="CF77" s="8">
        <f>'Pod by trading day'!CG497</f>
        <v>-1623.4799999999998</v>
      </c>
      <c r="CG77" s="8">
        <f>'Pod by trading day'!CH497</f>
        <v>-1643.0399999999997</v>
      </c>
      <c r="CH77" s="8">
        <f>'Pod by trading day'!CI497</f>
        <v>-1662.6</v>
      </c>
      <c r="CI77" s="8">
        <f>'Pod by trading day'!CJ497</f>
        <v>-1682.1599999999999</v>
      </c>
      <c r="CJ77" s="8">
        <f>'Pod by trading day'!CK497</f>
        <v>-1701.7199999999998</v>
      </c>
      <c r="CK77" s="8">
        <f>'Pod by trading day'!CL497</f>
        <v>-1721.2799999999997</v>
      </c>
      <c r="CL77" s="8">
        <f>'Pod by trading day'!CM497</f>
        <v>-1740.84</v>
      </c>
      <c r="CM77" s="8">
        <f>'Pod by trading day'!CN497</f>
        <v>-1760.3999999999999</v>
      </c>
      <c r="CN77" s="8">
        <f>'Pod by trading day'!CO497</f>
        <v>-1779.9599999999998</v>
      </c>
      <c r="CO77" s="8">
        <f>'Pod by trading day'!CP497</f>
        <v>-1799.5199999999998</v>
      </c>
      <c r="CP77" s="8">
        <f>'Pod by trading day'!CQ497</f>
        <v>-1819.08</v>
      </c>
      <c r="CQ77" s="8">
        <f>'Pod by trading day'!CR497</f>
        <v>-1838.6399999999999</v>
      </c>
      <c r="CR77" s="8">
        <f>'Pod by trading day'!CS497</f>
        <v>-1858.1999999999998</v>
      </c>
      <c r="CS77" s="8">
        <f>'Pod by trading day'!CT497</f>
        <v>-1877.7599999999998</v>
      </c>
      <c r="CT77" s="8">
        <f>'Pod by trading day'!CU497</f>
        <v>-1897.3199999999997</v>
      </c>
      <c r="CU77" s="8">
        <f>'Pod by trading day'!CV497</f>
        <v>-1916.8799999999999</v>
      </c>
      <c r="CV77" s="8">
        <f>'Pod by trading day'!CW497</f>
        <v>-1936.4399999999998</v>
      </c>
      <c r="CW77" s="8">
        <f>'Pod by trading day'!CX497</f>
        <v>-1955.9999999999998</v>
      </c>
    </row>
    <row r="78">
      <c r="A78" s="0" t="inlineStr">
        <is>
          <t xml:space="preserve">Post-Earnings Drift, Overnight Leg</t>
        </is>
      </c>
      <c r="B78" s="8">
        <f>'Pod by trading day'!C498</f>
        <v>11.704</v>
      </c>
      <c r="C78" s="8">
        <f>'Pod by trading day'!D498</f>
        <v>23.408</v>
      </c>
      <c r="D78" s="8">
        <f>'Pod by trading day'!E498</f>
        <v>35.112</v>
      </c>
      <c r="E78" s="8">
        <f>'Pod by trading day'!F498</f>
        <v>46.816</v>
      </c>
      <c r="F78" s="8">
        <f>'Pod by trading day'!G498</f>
        <v>58.52</v>
      </c>
      <c r="G78" s="8">
        <f>'Pod by trading day'!H498</f>
        <v>70.224</v>
      </c>
      <c r="H78" s="8">
        <f>'Pod by trading day'!I498</f>
        <v>81.928</v>
      </c>
      <c r="I78" s="8">
        <f>'Pod by trading day'!J498</f>
        <v>93.632</v>
      </c>
      <c r="J78" s="8">
        <f>'Pod by trading day'!K498</f>
        <v>105.33600000000001</v>
      </c>
      <c r="K78" s="8">
        <f>'Pod by trading day'!L498</f>
        <v>117.04000000000002</v>
      </c>
      <c r="L78" s="8">
        <f>'Pod by trading day'!M498</f>
        <v>128.744</v>
      </c>
      <c r="M78" s="8">
        <f>'Pod by trading day'!N498</f>
        <v>140.448</v>
      </c>
      <c r="N78" s="8">
        <f>'Pod by trading day'!O498</f>
        <v>152.15200000000002</v>
      </c>
      <c r="O78" s="8">
        <f>'Pod by trading day'!P498</f>
        <v>163.85600000000002</v>
      </c>
      <c r="P78" s="8">
        <f>'Pod by trading day'!Q498</f>
        <v>175.56</v>
      </c>
      <c r="Q78" s="8">
        <f>'Pod by trading day'!R498</f>
        <v>187.264</v>
      </c>
      <c r="R78" s="8">
        <f>'Pod by trading day'!S498</f>
        <v>198.96800000000002</v>
      </c>
      <c r="S78" s="8">
        <f>'Pod by trading day'!T498</f>
        <v>210.67200000000003</v>
      </c>
      <c r="T78" s="8">
        <f>'Pod by trading day'!U498</f>
        <v>222.37600000000003</v>
      </c>
      <c r="U78" s="8">
        <f>'Pod by trading day'!V498</f>
        <v>234.08</v>
      </c>
      <c r="V78" s="8">
        <f>'Pod by trading day'!W498</f>
        <v>245.78400000000002</v>
      </c>
      <c r="W78" s="8">
        <f>'Pod by trading day'!X498</f>
        <v>257.488</v>
      </c>
      <c r="X78" s="8">
        <f>'Pod by trading day'!Y498</f>
        <v>269.192</v>
      </c>
      <c r="Y78" s="8">
        <f>'Pod by trading day'!Z498</f>
        <v>280.896</v>
      </c>
      <c r="Z78" s="8">
        <f>'Pod by trading day'!AA498</f>
        <v>292.6</v>
      </c>
      <c r="AA78" s="8">
        <f>'Pod by trading day'!AB498</f>
        <v>304.30400000000003</v>
      </c>
      <c r="AB78" s="8">
        <f>'Pod by trading day'!AC498</f>
        <v>316.00800000000004</v>
      </c>
      <c r="AC78" s="8">
        <f>'Pod by trading day'!AD498</f>
        <v>327.71200000000005</v>
      </c>
      <c r="AD78" s="8">
        <f>'Pod by trading day'!AE498</f>
        <v>339.416</v>
      </c>
      <c r="AE78" s="8">
        <f>'Pod by trading day'!AF498</f>
        <v>351.12</v>
      </c>
      <c r="AF78" s="8">
        <f>'Pod by trading day'!AG498</f>
        <v>362.824</v>
      </c>
      <c r="AG78" s="8">
        <f>'Pod by trading day'!AH498</f>
        <v>374.528</v>
      </c>
      <c r="AH78" s="8">
        <f>'Pod by trading day'!AI498</f>
        <v>386.232</v>
      </c>
      <c r="AI78" s="8">
        <f>'Pod by trading day'!AJ498</f>
        <v>397.93600000000004</v>
      </c>
      <c r="AJ78" s="8">
        <f>'Pod by trading day'!AK498</f>
        <v>409.64000000000004</v>
      </c>
      <c r="AK78" s="8">
        <f>'Pod by trading day'!AL498</f>
        <v>421.34400000000005</v>
      </c>
      <c r="AL78" s="8">
        <f>'Pod by trading day'!AM498</f>
        <v>433.04800000000006</v>
      </c>
      <c r="AM78" s="8">
        <f>'Pod by trading day'!AN498</f>
        <v>444.752</v>
      </c>
      <c r="AN78" s="8">
        <f>'Pod by trading day'!AO498</f>
        <v>456.456</v>
      </c>
      <c r="AO78" s="8">
        <f>'Pod by trading day'!AP498</f>
        <v>468.16</v>
      </c>
      <c r="AP78" s="8">
        <f>'Pod by trading day'!AQ498</f>
        <v>479.86400000000003</v>
      </c>
      <c r="AQ78" s="8">
        <f>'Pod by trading day'!AR498</f>
        <v>491.56800000000004</v>
      </c>
      <c r="AR78" s="8">
        <f>'Pod by trading day'!AS498</f>
        <v>503.27200000000005</v>
      </c>
      <c r="AS78" s="8">
        <f>'Pod by trading day'!AT498</f>
        <v>514.976</v>
      </c>
      <c r="AT78" s="8">
        <f>'Pod by trading day'!AU498</f>
        <v>526.68</v>
      </c>
      <c r="AU78" s="8">
        <f>'Pod by trading day'!AV498</f>
        <v>538.384</v>
      </c>
      <c r="AV78" s="8">
        <f>'Pod by trading day'!AW498</f>
        <v>550.088</v>
      </c>
      <c r="AW78" s="8">
        <f>'Pod by trading day'!AX498</f>
        <v>561.792</v>
      </c>
      <c r="AX78" s="8">
        <f>'Pod by trading day'!AY498</f>
        <v>573.496</v>
      </c>
      <c r="AY78" s="8">
        <f>'Pod by trading day'!AZ498</f>
        <v>585.1999999999999</v>
      </c>
      <c r="AZ78" s="8">
        <f>'Pod by trading day'!BA498</f>
        <v>596.904</v>
      </c>
      <c r="BA78" s="8">
        <f>'Pod by trading day'!BB498</f>
        <v>608.608</v>
      </c>
      <c r="BB78" s="8">
        <f>'Pod by trading day'!BC498</f>
        <v>620.312</v>
      </c>
      <c r="BC78" s="8">
        <f>'Pod by trading day'!BD498</f>
        <v>632.016</v>
      </c>
      <c r="BD78" s="8">
        <f>'Pod by trading day'!BE498</f>
        <v>643.72</v>
      </c>
      <c r="BE78" s="8">
        <f>'Pod by trading day'!BF498</f>
        <v>655.424</v>
      </c>
      <c r="BF78" s="8">
        <f>'Pod by trading day'!BG498</f>
        <v>667.1279999999999</v>
      </c>
      <c r="BG78" s="8">
        <f>'Pod by trading day'!BH498</f>
        <v>678.832</v>
      </c>
      <c r="BH78" s="8">
        <f>'Pod by trading day'!BI498</f>
        <v>690.536</v>
      </c>
      <c r="BI78" s="8">
        <f>'Pod by trading day'!BJ498</f>
        <v>702.24</v>
      </c>
      <c r="BJ78" s="8">
        <f>'Pod by trading day'!BK498</f>
        <v>713.944</v>
      </c>
      <c r="BK78" s="8">
        <f>'Pod by trading day'!BL498</f>
        <v>725.648</v>
      </c>
      <c r="BL78" s="8">
        <f>'Pod by trading day'!BM498</f>
        <v>737.352</v>
      </c>
      <c r="BM78" s="8">
        <f>'Pod by trading day'!BN498</f>
        <v>749.056</v>
      </c>
      <c r="BN78" s="8">
        <f>'Pod by trading day'!BO498</f>
        <v>760.76</v>
      </c>
      <c r="BO78" s="8">
        <f>'Pod by trading day'!BP498</f>
        <v>772.4639999999999</v>
      </c>
      <c r="BP78" s="8">
        <f>'Pod by trading day'!BQ498</f>
        <v>784.168</v>
      </c>
      <c r="BQ78" s="8">
        <f>'Pod by trading day'!BR498</f>
        <v>795.872</v>
      </c>
      <c r="BR78" s="8">
        <f>'Pod by trading day'!BS498</f>
        <v>807.576</v>
      </c>
      <c r="BS78" s="8">
        <f>'Pod by trading day'!BT498</f>
        <v>819.28</v>
      </c>
      <c r="BT78" s="8">
        <f>'Pod by trading day'!BU498</f>
        <v>830.984</v>
      </c>
      <c r="BU78" s="8">
        <f>'Pod by trading day'!BV498</f>
        <v>842.688</v>
      </c>
      <c r="BV78" s="8">
        <f>'Pod by trading day'!BW498</f>
        <v>854.392</v>
      </c>
      <c r="BW78" s="8">
        <f>'Pod by trading day'!BX498</f>
        <v>866.096</v>
      </c>
      <c r="BX78" s="8">
        <f>'Pod by trading day'!BY498</f>
        <v>877.8</v>
      </c>
      <c r="BY78" s="8">
        <f>'Pod by trading day'!BZ498</f>
        <v>889.504</v>
      </c>
      <c r="BZ78" s="8">
        <f>'Pod by trading day'!CA498</f>
        <v>901.208</v>
      </c>
      <c r="CA78" s="8">
        <f>'Pod by trading day'!CB498</f>
        <v>912.912</v>
      </c>
      <c r="CB78" s="8">
        <f>'Pod by trading day'!CC498</f>
        <v>924.616</v>
      </c>
      <c r="CC78" s="8">
        <f>'Pod by trading day'!CD498</f>
        <v>936.32</v>
      </c>
      <c r="CD78" s="8">
        <f>'Pod by trading day'!CE498</f>
        <v>948.024</v>
      </c>
      <c r="CE78" s="8">
        <f>'Pod by trading day'!CF498</f>
        <v>959.728</v>
      </c>
      <c r="CF78" s="8">
        <f>'Pod by trading day'!CG498</f>
        <v>971.432</v>
      </c>
      <c r="CG78" s="8">
        <f>'Pod by trading day'!CH498</f>
        <v>983.136</v>
      </c>
      <c r="CH78" s="8">
        <f>'Pod by trading day'!CI498</f>
        <v>994.84</v>
      </c>
      <c r="CI78" s="8">
        <f>'Pod by trading day'!CJ498</f>
        <v>1006.544</v>
      </c>
      <c r="CJ78" s="8">
        <f>'Pod by trading day'!CK498</f>
        <v>1018.248</v>
      </c>
      <c r="CK78" s="8">
        <f>'Pod by trading day'!CL498</f>
        <v>1029.952</v>
      </c>
      <c r="CL78" s="8">
        <f>'Pod by trading day'!CM498</f>
        <v>1041.656</v>
      </c>
      <c r="CM78" s="8">
        <f>'Pod by trading day'!CN498</f>
        <v>1053.36</v>
      </c>
      <c r="CN78" s="8">
        <f>'Pod by trading day'!CO498</f>
        <v>1065.064</v>
      </c>
      <c r="CO78" s="8">
        <f>'Pod by trading day'!CP498</f>
        <v>1076.768</v>
      </c>
      <c r="CP78" s="8">
        <f>'Pod by trading day'!CQ498</f>
        <v>1088.472</v>
      </c>
      <c r="CQ78" s="8">
        <f>'Pod by trading day'!CR498</f>
        <v>1100.176</v>
      </c>
      <c r="CR78" s="8">
        <f>'Pod by trading day'!CS498</f>
        <v>1111.88</v>
      </c>
      <c r="CS78" s="8">
        <f>'Pod by trading day'!CT498</f>
        <v>1123.584</v>
      </c>
      <c r="CT78" s="8">
        <f>'Pod by trading day'!CU498</f>
        <v>1135.288</v>
      </c>
      <c r="CU78" s="8">
        <f>'Pod by trading day'!CV498</f>
        <v>1146.992</v>
      </c>
      <c r="CV78" s="8">
        <f>'Pod by trading day'!CW498</f>
        <v>1158.696</v>
      </c>
      <c r="CW78" s="8">
        <f>'Pod by trading day'!CX498</f>
        <v>1170.4</v>
      </c>
    </row>
    <row r="79">
      <c r="A79" s="0" t="inlineStr">
        <is>
          <t xml:space="preserve">Intraday-to-Overnight Reversal</t>
        </is>
      </c>
      <c r="B79" s="8">
        <f>'Pod by trading day'!C499</f>
        <v>4.098</v>
      </c>
      <c r="C79" s="8">
        <f>'Pod by trading day'!D499</f>
        <v>8.196</v>
      </c>
      <c r="D79" s="8">
        <f>'Pod by trading day'!E499</f>
        <v>12.294</v>
      </c>
      <c r="E79" s="8">
        <f>'Pod by trading day'!F499</f>
        <v>16.392</v>
      </c>
      <c r="F79" s="8">
        <f>'Pod by trading day'!G499</f>
        <v>20.49</v>
      </c>
      <c r="G79" s="8">
        <f>'Pod by trading day'!H499</f>
        <v>24.587999999999997</v>
      </c>
      <c r="H79" s="8">
        <f>'Pod by trading day'!I499</f>
        <v>28.686</v>
      </c>
      <c r="I79" s="8">
        <f>'Pod by trading day'!J499</f>
        <v>32.784</v>
      </c>
      <c r="J79" s="8">
        <f>'Pod by trading day'!K499</f>
        <v>36.882</v>
      </c>
      <c r="K79" s="8">
        <f>'Pod by trading day'!L499</f>
        <v>40.98</v>
      </c>
      <c r="L79" s="8">
        <f>'Pod by trading day'!M499</f>
        <v>45.077999999999996</v>
      </c>
      <c r="M79" s="8">
        <f>'Pod by trading day'!N499</f>
        <v>49.175999999999995</v>
      </c>
      <c r="N79" s="8">
        <f>'Pod by trading day'!O499</f>
        <v>53.274</v>
      </c>
      <c r="O79" s="8">
        <f>'Pod by trading day'!P499</f>
        <v>57.372</v>
      </c>
      <c r="P79" s="8">
        <f>'Pod by trading day'!Q499</f>
        <v>61.47</v>
      </c>
      <c r="Q79" s="8">
        <f>'Pod by trading day'!R499</f>
        <v>65.568</v>
      </c>
      <c r="R79" s="8">
        <f>'Pod by trading day'!S499</f>
        <v>69.666</v>
      </c>
      <c r="S79" s="8">
        <f>'Pod by trading day'!T499</f>
        <v>73.764</v>
      </c>
      <c r="T79" s="8">
        <f>'Pod by trading day'!U499</f>
        <v>77.862</v>
      </c>
      <c r="U79" s="8">
        <f>'Pod by trading day'!V499</f>
        <v>81.96</v>
      </c>
      <c r="V79" s="8">
        <f>'Pod by trading day'!W499</f>
        <v>86.05799999999999</v>
      </c>
      <c r="W79" s="8">
        <f>'Pod by trading day'!X499</f>
        <v>90.15599999999999</v>
      </c>
      <c r="X79" s="8">
        <f>'Pod by trading day'!Y499</f>
        <v>94.25399999999999</v>
      </c>
      <c r="Y79" s="8">
        <f>'Pod by trading day'!Z499</f>
        <v>98.35199999999999</v>
      </c>
      <c r="Z79" s="8">
        <f>'Pod by trading day'!AA499</f>
        <v>102.45</v>
      </c>
      <c r="AA79" s="8">
        <f>'Pod by trading day'!AB499</f>
        <v>106.548</v>
      </c>
      <c r="AB79" s="8">
        <f>'Pod by trading day'!AC499</f>
        <v>110.646</v>
      </c>
      <c r="AC79" s="8">
        <f>'Pod by trading day'!AD499</f>
        <v>114.744</v>
      </c>
      <c r="AD79" s="8">
        <f>'Pod by trading day'!AE499</f>
        <v>118.842</v>
      </c>
      <c r="AE79" s="8">
        <f>'Pod by trading day'!AF499</f>
        <v>122.94</v>
      </c>
      <c r="AF79" s="8">
        <f>'Pod by trading day'!AG499</f>
        <v>127.038</v>
      </c>
      <c r="AG79" s="8">
        <f>'Pod by trading day'!AH499</f>
        <v>131.136</v>
      </c>
      <c r="AH79" s="8">
        <f>'Pod by trading day'!AI499</f>
        <v>135.234</v>
      </c>
      <c r="AI79" s="8">
        <f>'Pod by trading day'!AJ499</f>
        <v>139.33200000000002</v>
      </c>
      <c r="AJ79" s="8">
        <f>'Pod by trading day'!AK499</f>
        <v>143.43</v>
      </c>
      <c r="AK79" s="8">
        <f>'Pod by trading day'!AL499</f>
        <v>147.52800000000002</v>
      </c>
      <c r="AL79" s="8">
        <f>'Pod by trading day'!AM499</f>
        <v>151.626</v>
      </c>
      <c r="AM79" s="8">
        <f>'Pod by trading day'!AN499</f>
        <v>155.72400000000002</v>
      </c>
      <c r="AN79" s="8">
        <f>'Pod by trading day'!AO499</f>
        <v>159.822</v>
      </c>
      <c r="AO79" s="8">
        <f>'Pod by trading day'!AP499</f>
        <v>163.92000000000002</v>
      </c>
      <c r="AP79" s="8">
        <f>'Pod by trading day'!AQ499</f>
        <v>168.018</v>
      </c>
      <c r="AQ79" s="8">
        <f>'Pod by trading day'!AR499</f>
        <v>172.116</v>
      </c>
      <c r="AR79" s="8">
        <f>'Pod by trading day'!AS499</f>
        <v>176.214</v>
      </c>
      <c r="AS79" s="8">
        <f>'Pod by trading day'!AT499</f>
        <v>180.312</v>
      </c>
      <c r="AT79" s="8">
        <f>'Pod by trading day'!AU499</f>
        <v>184.41</v>
      </c>
      <c r="AU79" s="8">
        <f>'Pod by trading day'!AV499</f>
        <v>188.508</v>
      </c>
      <c r="AV79" s="8">
        <f>'Pod by trading day'!AW499</f>
        <v>192.606</v>
      </c>
      <c r="AW79" s="8">
        <f>'Pod by trading day'!AX499</f>
        <v>196.704</v>
      </c>
      <c r="AX79" s="8">
        <f>'Pod by trading day'!AY499</f>
        <v>200.80200000000002</v>
      </c>
      <c r="AY79" s="8">
        <f>'Pod by trading day'!AZ499</f>
        <v>204.9</v>
      </c>
      <c r="AZ79" s="8">
        <f>'Pod by trading day'!BA499</f>
        <v>208.99800000000002</v>
      </c>
      <c r="BA79" s="8">
        <f>'Pod by trading day'!BB499</f>
        <v>213.096</v>
      </c>
      <c r="BB79" s="8">
        <f>'Pod by trading day'!BC499</f>
        <v>217.19400000000002</v>
      </c>
      <c r="BC79" s="8">
        <f>'Pod by trading day'!BD499</f>
        <v>221.292</v>
      </c>
      <c r="BD79" s="8">
        <f>'Pod by trading day'!BE499</f>
        <v>225.39000000000001</v>
      </c>
      <c r="BE79" s="8">
        <f>'Pod by trading day'!BF499</f>
        <v>229.488</v>
      </c>
      <c r="BF79" s="8">
        <f>'Pod by trading day'!BG499</f>
        <v>233.586</v>
      </c>
      <c r="BG79" s="8">
        <f>'Pod by trading day'!BH499</f>
        <v>237.684</v>
      </c>
      <c r="BH79" s="8">
        <f>'Pod by trading day'!BI499</f>
        <v>241.782</v>
      </c>
      <c r="BI79" s="8">
        <f>'Pod by trading day'!BJ499</f>
        <v>245.88</v>
      </c>
      <c r="BJ79" s="8">
        <f>'Pod by trading day'!BK499</f>
        <v>249.978</v>
      </c>
      <c r="BK79" s="8">
        <f>'Pod by trading day'!BL499</f>
        <v>254.076</v>
      </c>
      <c r="BL79" s="8">
        <f>'Pod by trading day'!BM499</f>
        <v>258.174</v>
      </c>
      <c r="BM79" s="8">
        <f>'Pod by trading day'!BN499</f>
        <v>262.272</v>
      </c>
      <c r="BN79" s="8">
        <f>'Pod by trading day'!BO499</f>
        <v>266.37</v>
      </c>
      <c r="BO79" s="8">
        <f>'Pod by trading day'!BP499</f>
        <v>270.468</v>
      </c>
      <c r="BP79" s="8">
        <f>'Pod by trading day'!BQ499</f>
        <v>274.56600000000003</v>
      </c>
      <c r="BQ79" s="8">
        <f>'Pod by trading day'!BR499</f>
        <v>278.664</v>
      </c>
      <c r="BR79" s="8">
        <f>'Pod by trading day'!BS499</f>
        <v>282.762</v>
      </c>
      <c r="BS79" s="8">
        <f>'Pod by trading day'!BT499</f>
        <v>286.86</v>
      </c>
      <c r="BT79" s="8">
        <f>'Pod by trading day'!BU499</f>
        <v>290.958</v>
      </c>
      <c r="BU79" s="8">
        <f>'Pod by trading day'!BV499</f>
        <v>295.056</v>
      </c>
      <c r="BV79" s="8">
        <f>'Pod by trading day'!BW499</f>
        <v>299.154</v>
      </c>
      <c r="BW79" s="8">
        <f>'Pod by trading day'!BX499</f>
        <v>303.252</v>
      </c>
      <c r="BX79" s="8">
        <f>'Pod by trading day'!BY499</f>
        <v>307.35</v>
      </c>
      <c r="BY79" s="8">
        <f>'Pod by trading day'!BZ499</f>
        <v>311.448</v>
      </c>
      <c r="BZ79" s="8">
        <f>'Pod by trading day'!CA499</f>
        <v>315.546</v>
      </c>
      <c r="CA79" s="8">
        <f>'Pod by trading day'!CB499</f>
        <v>319.644</v>
      </c>
      <c r="CB79" s="8">
        <f>'Pod by trading day'!CC499</f>
        <v>323.742</v>
      </c>
      <c r="CC79" s="8">
        <f>'Pod by trading day'!CD499</f>
        <v>327.84</v>
      </c>
      <c r="CD79" s="8">
        <f>'Pod by trading day'!CE499</f>
        <v>331.938</v>
      </c>
      <c r="CE79" s="8">
        <f>'Pod by trading day'!CF499</f>
        <v>336.036</v>
      </c>
      <c r="CF79" s="8">
        <f>'Pod by trading day'!CG499</f>
        <v>340.134</v>
      </c>
      <c r="CG79" s="8">
        <f>'Pod by trading day'!CH499</f>
        <v>344.232</v>
      </c>
      <c r="CH79" s="8">
        <f>'Pod by trading day'!CI499</f>
        <v>348.33</v>
      </c>
      <c r="CI79" s="8">
        <f>'Pod by trading day'!CJ499</f>
        <v>352.428</v>
      </c>
      <c r="CJ79" s="8">
        <f>'Pod by trading day'!CK499</f>
        <v>356.526</v>
      </c>
      <c r="CK79" s="8">
        <f>'Pod by trading day'!CL499</f>
        <v>360.624</v>
      </c>
      <c r="CL79" s="8">
        <f>'Pod by trading day'!CM499</f>
        <v>364.722</v>
      </c>
      <c r="CM79" s="8">
        <f>'Pod by trading day'!CN499</f>
        <v>368.82</v>
      </c>
      <c r="CN79" s="8">
        <f>'Pod by trading day'!CO499</f>
        <v>372.918</v>
      </c>
      <c r="CO79" s="8">
        <f>'Pod by trading day'!CP499</f>
        <v>377.016</v>
      </c>
      <c r="CP79" s="8">
        <f>'Pod by trading day'!CQ499</f>
        <v>381.114</v>
      </c>
      <c r="CQ79" s="8">
        <f>'Pod by trading day'!CR499</f>
        <v>385.212</v>
      </c>
      <c r="CR79" s="8">
        <f>'Pod by trading day'!CS499</f>
        <v>389.31</v>
      </c>
      <c r="CS79" s="8">
        <f>'Pod by trading day'!CT499</f>
        <v>393.408</v>
      </c>
      <c r="CT79" s="8">
        <f>'Pod by trading day'!CU499</f>
        <v>397.50600000000003</v>
      </c>
      <c r="CU79" s="8">
        <f>'Pod by trading day'!CV499</f>
        <v>401.604</v>
      </c>
      <c r="CV79" s="8">
        <f>'Pod by trading day'!CW499</f>
        <v>405.702</v>
      </c>
      <c r="CW79" s="8">
        <f>'Pod by trading day'!CX499</f>
        <v>409.8</v>
      </c>
    </row>
    <row r="80">
      <c r="A80" s="0" t="inlineStr">
        <is>
          <t xml:space="preserve">Analyst Revision Momentum</t>
        </is>
      </c>
      <c r="B80" s="8">
        <f>'Pod by trading day'!C500</f>
        <v>-2.965</v>
      </c>
      <c r="C80" s="8">
        <f>'Pod by trading day'!D500</f>
        <v>-5.93</v>
      </c>
      <c r="D80" s="8">
        <f>'Pod by trading day'!E500</f>
        <v>-8.895</v>
      </c>
      <c r="E80" s="8">
        <f>'Pod by trading day'!F500</f>
        <v>-11.86</v>
      </c>
      <c r="F80" s="8">
        <f>'Pod by trading day'!G500</f>
        <v>-14.825</v>
      </c>
      <c r="G80" s="8">
        <f>'Pod by trading day'!H500</f>
        <v>-17.79</v>
      </c>
      <c r="H80" s="8">
        <f>'Pod by trading day'!I500</f>
        <v>-20.755</v>
      </c>
      <c r="I80" s="8">
        <f>'Pod by trading day'!J500</f>
        <v>-23.72</v>
      </c>
      <c r="J80" s="8">
        <f>'Pod by trading day'!K500</f>
        <v>-26.685</v>
      </c>
      <c r="K80" s="8">
        <f>'Pod by trading day'!L500</f>
        <v>-29.65</v>
      </c>
      <c r="L80" s="8">
        <f>'Pod by trading day'!M500</f>
        <v>-32.614999999999995</v>
      </c>
      <c r="M80" s="8">
        <f>'Pod by trading day'!N500</f>
        <v>-35.58</v>
      </c>
      <c r="N80" s="8">
        <f>'Pod by trading day'!O500</f>
        <v>-38.545</v>
      </c>
      <c r="O80" s="8">
        <f>'Pod by trading day'!P500</f>
        <v>-41.510000000000005</v>
      </c>
      <c r="P80" s="8">
        <f>'Pod by trading day'!Q500</f>
        <v>-44.474999999999994</v>
      </c>
      <c r="Q80" s="8">
        <f>'Pod by trading day'!R500</f>
        <v>-47.44</v>
      </c>
      <c r="R80" s="8">
        <f>'Pod by trading day'!S500</f>
        <v>-50.405</v>
      </c>
      <c r="S80" s="8">
        <f>'Pod by trading day'!T500</f>
        <v>-53.370000000000005</v>
      </c>
      <c r="T80" s="8">
        <f>'Pod by trading day'!U500</f>
        <v>-56.334999999999994</v>
      </c>
      <c r="U80" s="8">
        <f>'Pod by trading day'!V500</f>
        <v>-59.3</v>
      </c>
      <c r="V80" s="8">
        <f>'Pod by trading day'!W500</f>
        <v>-62.265</v>
      </c>
      <c r="W80" s="8">
        <f>'Pod by trading day'!X500</f>
        <v>-65.23</v>
      </c>
      <c r="X80" s="8">
        <f>'Pod by trading day'!Y500</f>
        <v>-68.195</v>
      </c>
      <c r="Y80" s="8">
        <f>'Pod by trading day'!Z500</f>
        <v>-71.16</v>
      </c>
      <c r="Z80" s="8">
        <f>'Pod by trading day'!AA500</f>
        <v>-74.125</v>
      </c>
      <c r="AA80" s="8">
        <f>'Pod by trading day'!AB500</f>
        <v>-77.09</v>
      </c>
      <c r="AB80" s="8">
        <f>'Pod by trading day'!AC500</f>
        <v>-80.055</v>
      </c>
      <c r="AC80" s="8">
        <f>'Pod by trading day'!AD500</f>
        <v>-83.02</v>
      </c>
      <c r="AD80" s="8">
        <f>'Pod by trading day'!AE500</f>
        <v>-85.985</v>
      </c>
      <c r="AE80" s="8">
        <f>'Pod by trading day'!AF500</f>
        <v>-88.95</v>
      </c>
      <c r="AF80" s="8">
        <f>'Pod by trading day'!AG500</f>
        <v>-91.91499999999999</v>
      </c>
      <c r="AG80" s="8">
        <f>'Pod by trading day'!AH500</f>
        <v>-94.88</v>
      </c>
      <c r="AH80" s="8">
        <f>'Pod by trading day'!AI500</f>
        <v>-97.845</v>
      </c>
      <c r="AI80" s="8">
        <f>'Pod by trading day'!AJ500</f>
        <v>-100.81</v>
      </c>
      <c r="AJ80" s="8">
        <f>'Pod by trading day'!AK500</f>
        <v>-103.775</v>
      </c>
      <c r="AK80" s="8">
        <f>'Pod by trading day'!AL500</f>
        <v>-106.74</v>
      </c>
      <c r="AL80" s="8">
        <f>'Pod by trading day'!AM500</f>
        <v>-109.705</v>
      </c>
      <c r="AM80" s="8">
        <f>'Pod by trading day'!AN500</f>
        <v>-112.67</v>
      </c>
      <c r="AN80" s="8">
        <f>'Pod by trading day'!AO500</f>
        <v>-115.63499999999999</v>
      </c>
      <c r="AO80" s="8">
        <f>'Pod by trading day'!AP500</f>
        <v>-118.6</v>
      </c>
      <c r="AP80" s="8">
        <f>'Pod by trading day'!AQ500</f>
        <v>-121.565</v>
      </c>
      <c r="AQ80" s="8">
        <f>'Pod by trading day'!AR500</f>
        <v>-124.53</v>
      </c>
      <c r="AR80" s="8">
        <f>'Pod by trading day'!AS500</f>
        <v>-127.495</v>
      </c>
      <c r="AS80" s="8">
        <f>'Pod by trading day'!AT500</f>
        <v>-130.45999999999998</v>
      </c>
      <c r="AT80" s="8">
        <f>'Pod by trading day'!AU500</f>
        <v>-133.42499999999998</v>
      </c>
      <c r="AU80" s="8">
        <f>'Pod by trading day'!AV500</f>
        <v>-136.39</v>
      </c>
      <c r="AV80" s="8">
        <f>'Pod by trading day'!AW500</f>
        <v>-139.355</v>
      </c>
      <c r="AW80" s="8">
        <f>'Pod by trading day'!AX500</f>
        <v>-142.32</v>
      </c>
      <c r="AX80" s="8">
        <f>'Pod by trading day'!AY500</f>
        <v>-145.285</v>
      </c>
      <c r="AY80" s="8">
        <f>'Pod by trading day'!AZ500</f>
        <v>-148.25</v>
      </c>
      <c r="AZ80" s="8">
        <f>'Pod by trading day'!BA500</f>
        <v>-151.215</v>
      </c>
      <c r="BA80" s="8">
        <f>'Pod by trading day'!BB500</f>
        <v>-154.18</v>
      </c>
      <c r="BB80" s="8">
        <f>'Pod by trading day'!BC500</f>
        <v>-157.145</v>
      </c>
      <c r="BC80" s="8">
        <f>'Pod by trading day'!BD500</f>
        <v>-160.10999999999999</v>
      </c>
      <c r="BD80" s="8">
        <f>'Pod by trading day'!BE500</f>
        <v>-163.075</v>
      </c>
      <c r="BE80" s="8">
        <f>'Pod by trading day'!BF500</f>
        <v>-166.04</v>
      </c>
      <c r="BF80" s="8">
        <f>'Pod by trading day'!BG500</f>
        <v>-169.005</v>
      </c>
      <c r="BG80" s="8">
        <f>'Pod by trading day'!BH500</f>
        <v>-171.97</v>
      </c>
      <c r="BH80" s="8">
        <f>'Pod by trading day'!BI500</f>
        <v>-174.935</v>
      </c>
      <c r="BI80" s="8">
        <f>'Pod by trading day'!BJ500</f>
        <v>-177.9</v>
      </c>
      <c r="BJ80" s="8">
        <f>'Pod by trading day'!BK500</f>
        <v>-180.86499999999998</v>
      </c>
      <c r="BK80" s="8">
        <f>'Pod by trading day'!BL500</f>
        <v>-183.82999999999998</v>
      </c>
      <c r="BL80" s="8">
        <f>'Pod by trading day'!BM500</f>
        <v>-186.795</v>
      </c>
      <c r="BM80" s="8">
        <f>'Pod by trading day'!BN500</f>
        <v>-189.76</v>
      </c>
      <c r="BN80" s="8">
        <f>'Pod by trading day'!BO500</f>
        <v>-192.725</v>
      </c>
      <c r="BO80" s="8">
        <f>'Pod by trading day'!BP500</f>
        <v>-195.69</v>
      </c>
      <c r="BP80" s="8">
        <f>'Pod by trading day'!BQ500</f>
        <v>-198.655</v>
      </c>
      <c r="BQ80" s="8">
        <f>'Pod by trading day'!BR500</f>
        <v>-201.62</v>
      </c>
      <c r="BR80" s="8">
        <f>'Pod by trading day'!BS500</f>
        <v>-204.585</v>
      </c>
      <c r="BS80" s="8">
        <f>'Pod by trading day'!BT500</f>
        <v>-207.54999999999998</v>
      </c>
      <c r="BT80" s="8">
        <f>'Pod by trading day'!BU500</f>
        <v>-210.515</v>
      </c>
      <c r="BU80" s="8">
        <f>'Pod by trading day'!BV500</f>
        <v>-213.48</v>
      </c>
      <c r="BV80" s="8">
        <f>'Pod by trading day'!BW500</f>
        <v>-216.445</v>
      </c>
      <c r="BW80" s="8">
        <f>'Pod by trading day'!BX500</f>
        <v>-219.41</v>
      </c>
      <c r="BX80" s="8">
        <f>'Pod by trading day'!BY500</f>
        <v>-222.375</v>
      </c>
      <c r="BY80" s="8">
        <f>'Pod by trading day'!BZ500</f>
        <v>-225.34</v>
      </c>
      <c r="BZ80" s="8">
        <f>'Pod by trading day'!CA500</f>
        <v>-228.30499999999998</v>
      </c>
      <c r="CA80" s="8">
        <f>'Pod by trading day'!CB500</f>
        <v>-231.26999999999998</v>
      </c>
      <c r="CB80" s="8">
        <f>'Pod by trading day'!CC500</f>
        <v>-234.23499999999999</v>
      </c>
      <c r="CC80" s="8">
        <f>'Pod by trading day'!CD500</f>
        <v>-237.2</v>
      </c>
      <c r="CD80" s="8">
        <f>'Pod by trading day'!CE500</f>
        <v>-240.165</v>
      </c>
      <c r="CE80" s="8">
        <f>'Pod by trading day'!CF500</f>
        <v>-243.13</v>
      </c>
      <c r="CF80" s="8">
        <f>'Pod by trading day'!CG500</f>
        <v>-246.095</v>
      </c>
      <c r="CG80" s="8">
        <f>'Pod by trading day'!CH500</f>
        <v>-249.06</v>
      </c>
      <c r="CH80" s="8">
        <f>'Pod by trading day'!CI500</f>
        <v>-252.025</v>
      </c>
      <c r="CI80" s="8">
        <f>'Pod by trading day'!CJ500</f>
        <v>-254.98999999999998</v>
      </c>
      <c r="CJ80" s="8">
        <f>'Pod by trading day'!CK500</f>
        <v>-257.955</v>
      </c>
      <c r="CK80" s="8">
        <f>'Pod by trading day'!CL500</f>
        <v>-260.91999999999996</v>
      </c>
      <c r="CL80" s="8">
        <f>'Pod by trading day'!CM500</f>
        <v>-263.88499999999993</v>
      </c>
      <c r="CM80" s="8">
        <f>'Pod by trading day'!CN500</f>
        <v>-266.84999999999997</v>
      </c>
      <c r="CN80" s="8">
        <f>'Pod by trading day'!CO500</f>
        <v>-269.81499999999994</v>
      </c>
      <c r="CO80" s="8">
        <f>'Pod by trading day'!CP500</f>
        <v>-272.78</v>
      </c>
      <c r="CP80" s="8">
        <f>'Pod by trading day'!CQ500</f>
        <v>-275.74499999999995</v>
      </c>
      <c r="CQ80" s="8">
        <f>'Pod by trading day'!CR500</f>
        <v>-278.71</v>
      </c>
      <c r="CR80" s="8">
        <f>'Pod by trading day'!CS500</f>
        <v>-281.67499999999995</v>
      </c>
      <c r="CS80" s="8">
        <f>'Pod by trading day'!CT500</f>
        <v>-284.64</v>
      </c>
      <c r="CT80" s="8">
        <f>'Pod by trading day'!CU500</f>
        <v>-287.60499999999996</v>
      </c>
      <c r="CU80" s="8">
        <f>'Pod by trading day'!CV500</f>
        <v>-290.56999999999994</v>
      </c>
      <c r="CV80" s="8">
        <f>'Pod by trading day'!CW500</f>
        <v>-293.53499999999997</v>
      </c>
      <c r="CW80" s="8">
        <f>'Pod by trading day'!CX500</f>
        <v>-296.49999999999994</v>
      </c>
    </row>
    <row r="81">
      <c r="A81" s="0" t="inlineStr">
        <is>
          <t xml:space="preserve">Clustered Insider Buying</t>
        </is>
      </c>
      <c r="B81" s="8">
        <f>'Pod by trading day'!C501</f>
        <v>2.143</v>
      </c>
      <c r="C81" s="8">
        <f>'Pod by trading day'!D501</f>
        <v>4.286</v>
      </c>
      <c r="D81" s="8">
        <f>'Pod by trading day'!E501</f>
        <v>6.428999999999999</v>
      </c>
      <c r="E81" s="8">
        <f>'Pod by trading day'!F501</f>
        <v>8.572</v>
      </c>
      <c r="F81" s="8">
        <f>'Pod by trading day'!G501</f>
        <v>10.715</v>
      </c>
      <c r="G81" s="8">
        <f>'Pod by trading day'!H501</f>
        <v>12.858</v>
      </c>
      <c r="H81" s="8">
        <f>'Pod by trading day'!I501</f>
        <v>15.000999999999998</v>
      </c>
      <c r="I81" s="8">
        <f>'Pod by trading day'!J501</f>
        <v>17.144</v>
      </c>
      <c r="J81" s="8">
        <f>'Pod by trading day'!K501</f>
        <v>19.287</v>
      </c>
      <c r="K81" s="8">
        <f>'Pod by trading day'!L501</f>
        <v>21.43</v>
      </c>
      <c r="L81" s="8">
        <f>'Pod by trading day'!M501</f>
        <v>23.573</v>
      </c>
      <c r="M81" s="8">
        <f>'Pod by trading day'!N501</f>
        <v>25.715999999999998</v>
      </c>
      <c r="N81" s="8">
        <f>'Pod by trading day'!O501</f>
        <v>27.858999999999998</v>
      </c>
      <c r="O81" s="8">
        <f>'Pod by trading day'!P501</f>
        <v>30.002</v>
      </c>
      <c r="P81" s="8">
        <f>'Pod by trading day'!Q501</f>
        <v>32.144999999999996</v>
      </c>
      <c r="Q81" s="8">
        <f>'Pod by trading day'!R501</f>
        <v>34.288</v>
      </c>
      <c r="R81" s="8">
        <f>'Pod by trading day'!S501</f>
        <v>36.431</v>
      </c>
      <c r="S81" s="8">
        <f>'Pod by trading day'!T501</f>
        <v>38.574</v>
      </c>
      <c r="T81" s="8">
        <f>'Pod by trading day'!U501</f>
        <v>40.717</v>
      </c>
      <c r="U81" s="8">
        <f>'Pod by trading day'!V501</f>
        <v>42.86</v>
      </c>
      <c r="V81" s="8">
        <f>'Pod by trading day'!W501</f>
        <v>45.003</v>
      </c>
      <c r="W81" s="8">
        <f>'Pod by trading day'!X501</f>
        <v>47.145999999999994</v>
      </c>
      <c r="X81" s="8">
        <f>'Pod by trading day'!Y501</f>
        <v>49.288999999999994</v>
      </c>
      <c r="Y81" s="8">
        <f>'Pod by trading day'!Z501</f>
        <v>51.431999999999995</v>
      </c>
      <c r="Z81" s="8">
        <f>'Pod by trading day'!AA501</f>
        <v>53.574999999999996</v>
      </c>
      <c r="AA81" s="8">
        <f>'Pod by trading day'!AB501</f>
        <v>55.717999999999996</v>
      </c>
      <c r="AB81" s="8">
        <f>'Pod by trading day'!AC501</f>
        <v>57.861</v>
      </c>
      <c r="AC81" s="8">
        <f>'Pod by trading day'!AD501</f>
        <v>60.004</v>
      </c>
      <c r="AD81" s="8">
        <f>'Pod by trading day'!AE501</f>
        <v>62.14699999999999</v>
      </c>
      <c r="AE81" s="8">
        <f>'Pod by trading day'!AF501</f>
        <v>64.28999999999999</v>
      </c>
      <c r="AF81" s="8">
        <f>'Pod by trading day'!AG501</f>
        <v>66.43299999999999</v>
      </c>
      <c r="AG81" s="8">
        <f>'Pod by trading day'!AH501</f>
        <v>68.576</v>
      </c>
      <c r="AH81" s="8">
        <f>'Pod by trading day'!AI501</f>
        <v>70.719</v>
      </c>
      <c r="AI81" s="8">
        <f>'Pod by trading day'!AJ501</f>
        <v>72.862</v>
      </c>
      <c r="AJ81" s="8">
        <f>'Pod by trading day'!AK501</f>
        <v>75.005</v>
      </c>
      <c r="AK81" s="8">
        <f>'Pod by trading day'!AL501</f>
        <v>77.148</v>
      </c>
      <c r="AL81" s="8">
        <f>'Pod by trading day'!AM501</f>
        <v>79.291</v>
      </c>
      <c r="AM81" s="8">
        <f>'Pod by trading day'!AN501</f>
        <v>81.434</v>
      </c>
      <c r="AN81" s="8">
        <f>'Pod by trading day'!AO501</f>
        <v>83.577</v>
      </c>
      <c r="AO81" s="8">
        <f>'Pod by trading day'!AP501</f>
        <v>85.72</v>
      </c>
      <c r="AP81" s="8">
        <f>'Pod by trading day'!AQ501</f>
        <v>87.863</v>
      </c>
      <c r="AQ81" s="8">
        <f>'Pod by trading day'!AR501</f>
        <v>90.00599999999999</v>
      </c>
      <c r="AR81" s="8">
        <f>'Pod by trading day'!AS501</f>
        <v>92.14899999999999</v>
      </c>
      <c r="AS81" s="8">
        <f>'Pod by trading day'!AT501</f>
        <v>94.29199999999999</v>
      </c>
      <c r="AT81" s="8">
        <f>'Pod by trading day'!AU501</f>
        <v>96.43499999999999</v>
      </c>
      <c r="AU81" s="8">
        <f>'Pod by trading day'!AV501</f>
        <v>98.57799999999999</v>
      </c>
      <c r="AV81" s="8">
        <f>'Pod by trading day'!AW501</f>
        <v>100.72099999999999</v>
      </c>
      <c r="AW81" s="8">
        <f>'Pod by trading day'!AX501</f>
        <v>102.86399999999999</v>
      </c>
      <c r="AX81" s="8">
        <f>'Pod by trading day'!AY501</f>
        <v>105.00699999999999</v>
      </c>
      <c r="AY81" s="8">
        <f>'Pod by trading day'!AZ501</f>
        <v>107.14999999999999</v>
      </c>
      <c r="AZ81" s="8">
        <f>'Pod by trading day'!BA501</f>
        <v>109.29299999999999</v>
      </c>
      <c r="BA81" s="8">
        <f>'Pod by trading day'!BB501</f>
        <v>111.43599999999999</v>
      </c>
      <c r="BB81" s="8">
        <f>'Pod by trading day'!BC501</f>
        <v>113.579</v>
      </c>
      <c r="BC81" s="8">
        <f>'Pod by trading day'!BD501</f>
        <v>115.722</v>
      </c>
      <c r="BD81" s="8">
        <f>'Pod by trading day'!BE501</f>
        <v>117.865</v>
      </c>
      <c r="BE81" s="8">
        <f>'Pod by trading day'!BF501</f>
        <v>120.008</v>
      </c>
      <c r="BF81" s="8">
        <f>'Pod by trading day'!BG501</f>
        <v>122.15099999999998</v>
      </c>
      <c r="BG81" s="8">
        <f>'Pod by trading day'!BH501</f>
        <v>124.29399999999998</v>
      </c>
      <c r="BH81" s="8">
        <f>'Pod by trading day'!BI501</f>
        <v>126.43699999999998</v>
      </c>
      <c r="BI81" s="8">
        <f>'Pod by trading day'!BJ501</f>
        <v>128.57999999999998</v>
      </c>
      <c r="BJ81" s="8">
        <f>'Pod by trading day'!BK501</f>
        <v>130.72299999999998</v>
      </c>
      <c r="BK81" s="8">
        <f>'Pod by trading day'!BL501</f>
        <v>132.86599999999999</v>
      </c>
      <c r="BL81" s="8">
        <f>'Pod by trading day'!BM501</f>
        <v>135.009</v>
      </c>
      <c r="BM81" s="8">
        <f>'Pod by trading day'!BN501</f>
        <v>137.152</v>
      </c>
      <c r="BN81" s="8">
        <f>'Pod by trading day'!BO501</f>
        <v>139.295</v>
      </c>
      <c r="BO81" s="8">
        <f>'Pod by trading day'!BP501</f>
        <v>141.438</v>
      </c>
      <c r="BP81" s="8">
        <f>'Pod by trading day'!BQ501</f>
        <v>143.581</v>
      </c>
      <c r="BQ81" s="8">
        <f>'Pod by trading day'!BR501</f>
        <v>145.724</v>
      </c>
      <c r="BR81" s="8">
        <f>'Pod by trading day'!BS501</f>
        <v>147.867</v>
      </c>
      <c r="BS81" s="8">
        <f>'Pod by trading day'!BT501</f>
        <v>150.01</v>
      </c>
      <c r="BT81" s="8">
        <f>'Pod by trading day'!BU501</f>
        <v>152.153</v>
      </c>
      <c r="BU81" s="8">
        <f>'Pod by trading day'!BV501</f>
        <v>154.296</v>
      </c>
      <c r="BV81" s="8">
        <f>'Pod by trading day'!BW501</f>
        <v>156.439</v>
      </c>
      <c r="BW81" s="8">
        <f>'Pod by trading day'!BX501</f>
        <v>158.582</v>
      </c>
      <c r="BX81" s="8">
        <f>'Pod by trading day'!BY501</f>
        <v>160.725</v>
      </c>
      <c r="BY81" s="8">
        <f>'Pod by trading day'!BZ501</f>
        <v>162.868</v>
      </c>
      <c r="BZ81" s="8">
        <f>'Pod by trading day'!CA501</f>
        <v>165.011</v>
      </c>
      <c r="CA81" s="8">
        <f>'Pod by trading day'!CB501</f>
        <v>167.154</v>
      </c>
      <c r="CB81" s="8">
        <f>'Pod by trading day'!CC501</f>
        <v>169.297</v>
      </c>
      <c r="CC81" s="8">
        <f>'Pod by trading day'!CD501</f>
        <v>171.44</v>
      </c>
      <c r="CD81" s="8">
        <f>'Pod by trading day'!CE501</f>
        <v>173.583</v>
      </c>
      <c r="CE81" s="8">
        <f>'Pod by trading day'!CF501</f>
        <v>175.72599999999997</v>
      </c>
      <c r="CF81" s="8">
        <f>'Pod by trading day'!CG501</f>
        <v>177.86899999999997</v>
      </c>
      <c r="CG81" s="8">
        <f>'Pod by trading day'!CH501</f>
        <v>180.01199999999997</v>
      </c>
      <c r="CH81" s="8">
        <f>'Pod by trading day'!CI501</f>
        <v>182.15499999999997</v>
      </c>
      <c r="CI81" s="8">
        <f>'Pod by trading day'!CJ501</f>
        <v>184.29799999999997</v>
      </c>
      <c r="CJ81" s="8">
        <f>'Pod by trading day'!CK501</f>
        <v>186.44099999999997</v>
      </c>
      <c r="CK81" s="8">
        <f>'Pod by trading day'!CL501</f>
        <v>188.58399999999997</v>
      </c>
      <c r="CL81" s="8">
        <f>'Pod by trading day'!CM501</f>
        <v>190.72699999999998</v>
      </c>
      <c r="CM81" s="8">
        <f>'Pod by trading day'!CN501</f>
        <v>192.86999999999998</v>
      </c>
      <c r="CN81" s="8">
        <f>'Pod by trading day'!CO501</f>
        <v>195.01299999999998</v>
      </c>
      <c r="CO81" s="8">
        <f>'Pod by trading day'!CP501</f>
        <v>197.15599999999998</v>
      </c>
      <c r="CP81" s="8">
        <f>'Pod by trading day'!CQ501</f>
        <v>199.29899999999998</v>
      </c>
      <c r="CQ81" s="8">
        <f>'Pod by trading day'!CR501</f>
        <v>201.44199999999998</v>
      </c>
      <c r="CR81" s="8">
        <f>'Pod by trading day'!CS501</f>
        <v>203.58499999999998</v>
      </c>
      <c r="CS81" s="8">
        <f>'Pod by trading day'!CT501</f>
        <v>205.72799999999998</v>
      </c>
      <c r="CT81" s="8">
        <f>'Pod by trading day'!CU501</f>
        <v>207.87099999999998</v>
      </c>
      <c r="CU81" s="8">
        <f>'Pod by trading day'!CV501</f>
        <v>210.01399999999998</v>
      </c>
      <c r="CV81" s="8">
        <f>'Pod by trading day'!CW501</f>
        <v>212.15699999999998</v>
      </c>
      <c r="CW81" s="8">
        <f>'Pod by trading day'!CX501</f>
        <v>214.29999999999998</v>
      </c>
    </row>
    <row r="82">
      <c r="A82" s="0" t="inlineStr">
        <is>
          <t xml:space="preserve">Same-Month Seasonality</t>
        </is>
      </c>
      <c r="B82" s="8">
        <f>'Pod by trading day'!C502</f>
        <v>-21.574</v>
      </c>
      <c r="C82" s="8">
        <f>'Pod by trading day'!D502</f>
        <v>-43.148</v>
      </c>
      <c r="D82" s="8">
        <f>'Pod by trading day'!E502</f>
        <v>-64.72200000000001</v>
      </c>
      <c r="E82" s="8">
        <f>'Pod by trading day'!F502</f>
        <v>-86.296</v>
      </c>
      <c r="F82" s="8">
        <f>'Pod by trading day'!G502</f>
        <v>-107.87</v>
      </c>
      <c r="G82" s="8">
        <f>'Pod by trading day'!H502</f>
        <v>-129.44400000000002</v>
      </c>
      <c r="H82" s="8">
        <f>'Pod by trading day'!I502</f>
        <v>-151.01800000000003</v>
      </c>
      <c r="I82" s="8">
        <f>'Pod by trading day'!J502</f>
        <v>-172.592</v>
      </c>
      <c r="J82" s="8">
        <f>'Pod by trading day'!K502</f>
        <v>-194.16600000000003</v>
      </c>
      <c r="K82" s="8">
        <f>'Pod by trading day'!L502</f>
        <v>-215.74000000000004</v>
      </c>
      <c r="L82" s="8">
        <f>'Pod by trading day'!M502</f>
        <v>-237.31400000000002</v>
      </c>
      <c r="M82" s="8">
        <f>'Pod by trading day'!N502</f>
        <v>-258.88800000000003</v>
      </c>
      <c r="N82" s="8">
        <f>'Pod by trading day'!O502</f>
        <v>-280.46200000000005</v>
      </c>
      <c r="O82" s="8">
        <f>'Pod by trading day'!P502</f>
        <v>-302.03600000000006</v>
      </c>
      <c r="P82" s="8">
        <f>'Pod by trading day'!Q502</f>
        <v>-323.61</v>
      </c>
      <c r="Q82" s="8">
        <f>'Pod by trading day'!R502</f>
        <v>-345.184</v>
      </c>
      <c r="R82" s="8">
        <f>'Pod by trading day'!S502</f>
        <v>-366.75800000000004</v>
      </c>
      <c r="S82" s="8">
        <f>'Pod by trading day'!T502</f>
        <v>-388.33200000000005</v>
      </c>
      <c r="T82" s="8">
        <f>'Pod by trading day'!U502</f>
        <v>-409.90600000000006</v>
      </c>
      <c r="U82" s="8">
        <f>'Pod by trading day'!V502</f>
        <v>-431.48</v>
      </c>
      <c r="V82" s="8">
        <f>'Pod by trading day'!W502</f>
        <v>-453.05400000000003</v>
      </c>
      <c r="W82" s="8">
        <f>'Pod by trading day'!X502</f>
        <v>-474.62800000000004</v>
      </c>
      <c r="X82" s="8">
        <f>'Pod by trading day'!Y502</f>
        <v>-496.20200000000006</v>
      </c>
      <c r="Y82" s="8">
        <f>'Pod by trading day'!Z502</f>
        <v>-517.7760000000001</v>
      </c>
      <c r="Z82" s="8">
        <f>'Pod by trading day'!AA502</f>
        <v>-539.35</v>
      </c>
      <c r="AA82" s="8">
        <f>'Pod by trading day'!AB502</f>
        <v>-560.924</v>
      </c>
      <c r="AB82" s="8">
        <f>'Pod by trading day'!AC502</f>
        <v>-582.498</v>
      </c>
      <c r="AC82" s="8">
        <f>'Pod by trading day'!AD502</f>
        <v>-604.072</v>
      </c>
      <c r="AD82" s="8">
        <f>'Pod by trading day'!AE502</f>
        <v>-625.646</v>
      </c>
      <c r="AE82" s="8">
        <f>'Pod by trading day'!AF502</f>
        <v>-647.22</v>
      </c>
      <c r="AF82" s="8">
        <f>'Pod by trading day'!AG502</f>
        <v>-668.794</v>
      </c>
      <c r="AG82" s="8">
        <f>'Pod by trading day'!AH502</f>
        <v>-690.368</v>
      </c>
      <c r="AH82" s="8">
        <f>'Pod by trading day'!AI502</f>
        <v>-711.942</v>
      </c>
      <c r="AI82" s="8">
        <f>'Pod by trading day'!AJ502</f>
        <v>-733.516</v>
      </c>
      <c r="AJ82" s="8">
        <f>'Pod by trading day'!AK502</f>
        <v>-755.09</v>
      </c>
      <c r="AK82" s="8">
        <f>'Pod by trading day'!AL502</f>
        <v>-776.664</v>
      </c>
      <c r="AL82" s="8">
        <f>'Pod by trading day'!AM502</f>
        <v>-798.238</v>
      </c>
      <c r="AM82" s="8">
        <f>'Pod by trading day'!AN502</f>
        <v>-819.812</v>
      </c>
      <c r="AN82" s="8">
        <f>'Pod by trading day'!AO502</f>
        <v>-841.386</v>
      </c>
      <c r="AO82" s="8">
        <f>'Pod by trading day'!AP502</f>
        <v>-862.96</v>
      </c>
      <c r="AP82" s="8">
        <f>'Pod by trading day'!AQ502</f>
        <v>-884.534</v>
      </c>
      <c r="AQ82" s="8">
        <f>'Pod by trading day'!AR502</f>
        <v>-906.1080000000001</v>
      </c>
      <c r="AR82" s="8">
        <f>'Pod by trading day'!AS502</f>
        <v>-927.682</v>
      </c>
      <c r="AS82" s="8">
        <f>'Pod by trading day'!AT502</f>
        <v>-949.256</v>
      </c>
      <c r="AT82" s="8">
        <f>'Pod by trading day'!AU502</f>
        <v>-970.83</v>
      </c>
      <c r="AU82" s="8">
        <f>'Pod by trading day'!AV502</f>
        <v>-992.404</v>
      </c>
      <c r="AV82" s="8">
        <f>'Pod by trading day'!AW502</f>
        <v>-1013.9780000000001</v>
      </c>
      <c r="AW82" s="8">
        <f>'Pod by trading day'!AX502</f>
        <v>-1035.5520000000001</v>
      </c>
      <c r="AX82" s="8">
        <f>'Pod by trading day'!AY502</f>
        <v>-1057.1260000000002</v>
      </c>
      <c r="AY82" s="8">
        <f>'Pod by trading day'!AZ502</f>
        <v>-1078.7</v>
      </c>
      <c r="AZ82" s="8">
        <f>'Pod by trading day'!BA502</f>
        <v>-1100.2740000000001</v>
      </c>
      <c r="BA82" s="8">
        <f>'Pod by trading day'!BB502</f>
        <v>-1121.8480000000002</v>
      </c>
      <c r="BB82" s="8">
        <f>'Pod by trading day'!BC502</f>
        <v>-1143.4220000000003</v>
      </c>
      <c r="BC82" s="8">
        <f>'Pod by trading day'!BD502</f>
        <v>-1164.996</v>
      </c>
      <c r="BD82" s="8">
        <f>'Pod by trading day'!BE502</f>
        <v>-1186.5700000000002</v>
      </c>
      <c r="BE82" s="8">
        <f>'Pod by trading day'!BF502</f>
        <v>-1208.1440000000002</v>
      </c>
      <c r="BF82" s="8">
        <f>'Pod by trading day'!BG502</f>
        <v>-1229.718</v>
      </c>
      <c r="BG82" s="8">
        <f>'Pod by trading day'!BH502</f>
        <v>-1251.2920000000001</v>
      </c>
      <c r="BH82" s="8">
        <f>'Pod by trading day'!BI502</f>
        <v>-1272.8660000000002</v>
      </c>
      <c r="BI82" s="8">
        <f>'Pod by trading day'!BJ502</f>
        <v>-1294.44</v>
      </c>
      <c r="BJ82" s="8">
        <f>'Pod by trading day'!BK502</f>
        <v>-1316.0140000000001</v>
      </c>
      <c r="BK82" s="8">
        <f>'Pod by trading day'!BL502</f>
        <v>-1337.5880000000002</v>
      </c>
      <c r="BL82" s="8">
        <f>'Pod by trading day'!BM502</f>
        <v>-1359.1620000000003</v>
      </c>
      <c r="BM82" s="8">
        <f>'Pod by trading day'!BN502</f>
        <v>-1380.736</v>
      </c>
      <c r="BN82" s="8">
        <f>'Pod by trading day'!BO502</f>
        <v>-1402.3100000000002</v>
      </c>
      <c r="BO82" s="8">
        <f>'Pod by trading day'!BP502</f>
        <v>-1423.8840000000002</v>
      </c>
      <c r="BP82" s="8">
        <f>'Pod by trading day'!BQ502</f>
        <v>-1445.458</v>
      </c>
      <c r="BQ82" s="8">
        <f>'Pod by trading day'!BR502</f>
        <v>-1467.0320000000002</v>
      </c>
      <c r="BR82" s="8">
        <f>'Pod by trading day'!BS502</f>
        <v>-1488.6060000000002</v>
      </c>
      <c r="BS82" s="8">
        <f>'Pod by trading day'!BT502</f>
        <v>-1510.1800000000003</v>
      </c>
      <c r="BT82" s="8">
        <f>'Pod by trading day'!BU502</f>
        <v>-1531.7540000000001</v>
      </c>
      <c r="BU82" s="8">
        <f>'Pod by trading day'!BV502</f>
        <v>-1553.3280000000002</v>
      </c>
      <c r="BV82" s="8">
        <f>'Pod by trading day'!BW502</f>
        <v>-1574.9020000000003</v>
      </c>
      <c r="BW82" s="8">
        <f>'Pod by trading day'!BX502</f>
        <v>-1596.476</v>
      </c>
      <c r="BX82" s="8">
        <f>'Pod by trading day'!BY502</f>
        <v>-1618.0500000000002</v>
      </c>
      <c r="BY82" s="8">
        <f>'Pod by trading day'!BZ502</f>
        <v>-1639.6240000000003</v>
      </c>
      <c r="BZ82" s="8">
        <f>'Pod by trading day'!CA502</f>
        <v>-1661.198</v>
      </c>
      <c r="CA82" s="8">
        <f>'Pod by trading day'!CB502</f>
        <v>-1682.7720000000002</v>
      </c>
      <c r="CB82" s="8">
        <f>'Pod by trading day'!CC502</f>
        <v>-1704.3460000000002</v>
      </c>
      <c r="CC82" s="8">
        <f>'Pod by trading day'!CD502</f>
        <v>-1725.9200000000003</v>
      </c>
      <c r="CD82" s="8">
        <f>'Pod by trading day'!CE502</f>
        <v>-1747.4940000000001</v>
      </c>
      <c r="CE82" s="8">
        <f>'Pod by trading day'!CF502</f>
        <v>-1769.0680000000002</v>
      </c>
      <c r="CF82" s="8">
        <f>'Pod by trading day'!CG502</f>
        <v>-1790.6420000000003</v>
      </c>
      <c r="CG82" s="8">
        <f>'Pod by trading day'!CH502</f>
        <v>-1812.2160000000001</v>
      </c>
      <c r="CH82" s="8">
        <f>'Pod by trading day'!CI502</f>
        <v>-1833.7900000000002</v>
      </c>
      <c r="CI82" s="8">
        <f>'Pod by trading day'!CJ502</f>
        <v>-1855.3640000000003</v>
      </c>
      <c r="CJ82" s="8">
        <f>'Pod by trading day'!CK502</f>
        <v>-1876.938</v>
      </c>
      <c r="CK82" s="8">
        <f>'Pod by trading day'!CL502</f>
        <v>-1898.5120000000002</v>
      </c>
      <c r="CL82" s="8">
        <f>'Pod by trading day'!CM502</f>
        <v>-1920.0860000000002</v>
      </c>
      <c r="CM82" s="8">
        <f>'Pod by trading day'!CN502</f>
        <v>-1941.6600000000003</v>
      </c>
      <c r="CN82" s="8">
        <f>'Pod by trading day'!CO502</f>
        <v>-1963.2340000000002</v>
      </c>
      <c r="CO82" s="8">
        <f>'Pod by trading day'!CP502</f>
        <v>-1984.8080000000002</v>
      </c>
      <c r="CP82" s="8">
        <f>'Pod by trading day'!CQ502</f>
        <v>-2006.3820000000003</v>
      </c>
      <c r="CQ82" s="8">
        <f>'Pod by trading day'!CR502</f>
        <v>-2027.9560000000001</v>
      </c>
      <c r="CR82" s="8">
        <f>'Pod by trading day'!CS502</f>
        <v>-2049.53</v>
      </c>
      <c r="CS82" s="8">
        <f>'Pod by trading day'!CT502</f>
        <v>-2071.1040000000003</v>
      </c>
      <c r="CT82" s="8">
        <f>'Pod by trading day'!CU502</f>
        <v>-2092.6780000000003</v>
      </c>
      <c r="CU82" s="8">
        <f>'Pod by trading day'!CV502</f>
        <v>-2114.2520000000004</v>
      </c>
      <c r="CV82" s="8">
        <f>'Pod by trading day'!CW502</f>
        <v>-2135.826</v>
      </c>
      <c r="CW82" s="8">
        <f>'Pod by trading day'!CX502</f>
        <v>-2157.4</v>
      </c>
    </row>
    <row r="83">
      <c r="A83" s="0" t="inlineStr">
        <is>
          <t xml:space="preserve">Quality at a Reasonable Price</t>
        </is>
      </c>
      <c r="B83" s="8">
        <f>'Pod by trading day'!C503</f>
        <v>-0.086</v>
      </c>
      <c r="C83" s="8">
        <f>'Pod by trading day'!D503</f>
        <v>-0.172</v>
      </c>
      <c r="D83" s="8">
        <f>'Pod by trading day'!E503</f>
        <v>-0.258</v>
      </c>
      <c r="E83" s="8">
        <f>'Pod by trading day'!F503</f>
        <v>-0.344</v>
      </c>
      <c r="F83" s="8">
        <f>'Pod by trading day'!G503</f>
        <v>-0.42999999999999994</v>
      </c>
      <c r="G83" s="8">
        <f>'Pod by trading day'!H503</f>
        <v>-0.5159999999999999</v>
      </c>
      <c r="H83" s="8">
        <f>'Pod by trading day'!I503</f>
        <v>-0.602</v>
      </c>
      <c r="I83" s="8">
        <f>'Pod by trading day'!J503</f>
        <v>-0.688</v>
      </c>
      <c r="J83" s="8">
        <f>'Pod by trading day'!K503</f>
        <v>-0.7739999999999999</v>
      </c>
      <c r="K83" s="8">
        <f>'Pod by trading day'!L503</f>
        <v>-0.8599999999999999</v>
      </c>
      <c r="L83" s="8">
        <f>'Pod by trading day'!M503</f>
        <v>-0.9459999999999998</v>
      </c>
      <c r="M83" s="8">
        <f>'Pod by trading day'!N503</f>
        <v>-1.032</v>
      </c>
      <c r="N83" s="8">
        <f>'Pod by trading day'!O503</f>
        <v>-1.118</v>
      </c>
      <c r="O83" s="8">
        <f>'Pod by trading day'!P503</f>
        <v>-1.204</v>
      </c>
      <c r="P83" s="8">
        <f>'Pod by trading day'!Q503</f>
        <v>-1.29</v>
      </c>
      <c r="Q83" s="8">
        <f>'Pod by trading day'!R503</f>
        <v>-1.376</v>
      </c>
      <c r="R83" s="8">
        <f>'Pod by trading day'!S503</f>
        <v>-1.462</v>
      </c>
      <c r="S83" s="8">
        <f>'Pod by trading day'!T503</f>
        <v>-1.548</v>
      </c>
      <c r="T83" s="8">
        <f>'Pod by trading day'!U503</f>
        <v>-1.634</v>
      </c>
      <c r="U83" s="8">
        <f>'Pod by trading day'!V503</f>
        <v>-1.72</v>
      </c>
      <c r="V83" s="8">
        <f>'Pod by trading day'!W503</f>
        <v>-1.8059999999999998</v>
      </c>
      <c r="W83" s="8">
        <f>'Pod by trading day'!X503</f>
        <v>-1.892</v>
      </c>
      <c r="X83" s="8">
        <f>'Pod by trading day'!Y503</f>
        <v>-1.978</v>
      </c>
      <c r="Y83" s="8">
        <f>'Pod by trading day'!Z503</f>
        <v>-2.0639999999999996</v>
      </c>
      <c r="Z83" s="8">
        <f>'Pod by trading day'!AA503</f>
        <v>-2.15</v>
      </c>
      <c r="AA83" s="8">
        <f>'Pod by trading day'!AB503</f>
        <v>-2.2359999999999998</v>
      </c>
      <c r="AB83" s="8">
        <f>'Pod by trading day'!AC503</f>
        <v>-2.3219999999999996</v>
      </c>
      <c r="AC83" s="8">
        <f>'Pod by trading day'!AD503</f>
        <v>-2.4079999999999995</v>
      </c>
      <c r="AD83" s="8">
        <f>'Pod by trading day'!AE503</f>
        <v>-2.4939999999999998</v>
      </c>
      <c r="AE83" s="8">
        <f>'Pod by trading day'!AF503</f>
        <v>-2.5799999999999996</v>
      </c>
      <c r="AF83" s="8">
        <f>'Pod by trading day'!AG503</f>
        <v>-2.6659999999999995</v>
      </c>
      <c r="AG83" s="8">
        <f>'Pod by trading day'!AH503</f>
        <v>-2.752</v>
      </c>
      <c r="AH83" s="8">
        <f>'Pod by trading day'!AI503</f>
        <v>-2.8379999999999996</v>
      </c>
      <c r="AI83" s="8">
        <f>'Pod by trading day'!AJ503</f>
        <v>-2.9239999999999995</v>
      </c>
      <c r="AJ83" s="8">
        <f>'Pod by trading day'!AK503</f>
        <v>-3.01</v>
      </c>
      <c r="AK83" s="8">
        <f>'Pod by trading day'!AL503</f>
        <v>-3.0959999999999996</v>
      </c>
      <c r="AL83" s="8">
        <f>'Pod by trading day'!AM503</f>
        <v>-3.1819999999999995</v>
      </c>
      <c r="AM83" s="8">
        <f>'Pod by trading day'!AN503</f>
        <v>-3.268</v>
      </c>
      <c r="AN83" s="8">
        <f>'Pod by trading day'!AO503</f>
        <v>-3.3539999999999996</v>
      </c>
      <c r="AO83" s="8">
        <f>'Pod by trading day'!AP503</f>
        <v>-3.4399999999999995</v>
      </c>
      <c r="AP83" s="8">
        <f>'Pod by trading day'!AQ503</f>
        <v>-3.5259999999999994</v>
      </c>
      <c r="AQ83" s="8">
        <f>'Pod by trading day'!AR503</f>
        <v>-3.6119999999999997</v>
      </c>
      <c r="AR83" s="8">
        <f>'Pod by trading day'!AS503</f>
        <v>-3.6979999999999995</v>
      </c>
      <c r="AS83" s="8">
        <f>'Pod by trading day'!AT503</f>
        <v>-3.7839999999999994</v>
      </c>
      <c r="AT83" s="8">
        <f>'Pod by trading day'!AU503</f>
        <v>-3.8699999999999997</v>
      </c>
      <c r="AU83" s="8">
        <f>'Pod by trading day'!AV503</f>
        <v>-3.9559999999999995</v>
      </c>
      <c r="AV83" s="8">
        <f>'Pod by trading day'!AW503</f>
        <v>-4.042</v>
      </c>
      <c r="AW83" s="8">
        <f>'Pod by trading day'!AX503</f>
        <v>-4.128</v>
      </c>
      <c r="AX83" s="8">
        <f>'Pod by trading day'!AY503</f>
        <v>-4.214</v>
      </c>
      <c r="AY83" s="8">
        <f>'Pod by trading day'!AZ503</f>
        <v>-4.3</v>
      </c>
      <c r="AZ83" s="8">
        <f>'Pod by trading day'!BA503</f>
        <v>-4.386</v>
      </c>
      <c r="BA83" s="8">
        <f>'Pod by trading day'!BB503</f>
        <v>-4.4719999999999995</v>
      </c>
      <c r="BB83" s="8">
        <f>'Pod by trading day'!BC503</f>
        <v>-4.558</v>
      </c>
      <c r="BC83" s="8">
        <f>'Pod by trading day'!BD503</f>
        <v>-4.644</v>
      </c>
      <c r="BD83" s="8">
        <f>'Pod by trading day'!BE503</f>
        <v>-4.7299999999999995</v>
      </c>
      <c r="BE83" s="8">
        <f>'Pod by trading day'!BF503</f>
        <v>-4.816</v>
      </c>
      <c r="BF83" s="8">
        <f>'Pod by trading day'!BG503</f>
        <v>-4.902</v>
      </c>
      <c r="BG83" s="8">
        <f>'Pod by trading day'!BH503</f>
        <v>-4.9879999999999995</v>
      </c>
      <c r="BH83" s="8">
        <f>'Pod by trading day'!BI503</f>
        <v>-5.074</v>
      </c>
      <c r="BI83" s="8">
        <f>'Pod by trading day'!BJ503</f>
        <v>-5.16</v>
      </c>
      <c r="BJ83" s="8">
        <f>'Pod by trading day'!BK503</f>
        <v>-5.2459999999999996</v>
      </c>
      <c r="BK83" s="8">
        <f>'Pod by trading day'!BL503</f>
        <v>-5.332</v>
      </c>
      <c r="BL83" s="8">
        <f>'Pod by trading day'!BM503</f>
        <v>-5.418</v>
      </c>
      <c r="BM83" s="8">
        <f>'Pod by trading day'!BN503</f>
        <v>-5.504</v>
      </c>
      <c r="BN83" s="8">
        <f>'Pod by trading day'!BO503</f>
        <v>-5.59</v>
      </c>
      <c r="BO83" s="8">
        <f>'Pod by trading day'!BP503</f>
        <v>-5.676</v>
      </c>
      <c r="BP83" s="8">
        <f>'Pod by trading day'!BQ503</f>
        <v>-5.762</v>
      </c>
      <c r="BQ83" s="8">
        <f>'Pod by trading day'!BR503</f>
        <v>-5.848</v>
      </c>
      <c r="BR83" s="8">
        <f>'Pod by trading day'!BS503</f>
        <v>-5.934</v>
      </c>
      <c r="BS83" s="8">
        <f>'Pod by trading day'!BT503</f>
        <v>-6.02</v>
      </c>
      <c r="BT83" s="8">
        <f>'Pod by trading day'!BU503</f>
        <v>-6.106</v>
      </c>
      <c r="BU83" s="8">
        <f>'Pod by trading day'!BV503</f>
        <v>-6.192</v>
      </c>
      <c r="BV83" s="8">
        <f>'Pod by trading day'!BW503</f>
        <v>-6.278</v>
      </c>
      <c r="BW83" s="8">
        <f>'Pod by trading day'!BX503</f>
        <v>-6.364</v>
      </c>
      <c r="BX83" s="8">
        <f>'Pod by trading day'!BY503</f>
        <v>-6.45</v>
      </c>
      <c r="BY83" s="8">
        <f>'Pod by trading day'!BZ503</f>
        <v>-6.536</v>
      </c>
      <c r="BZ83" s="8">
        <f>'Pod by trading day'!CA503</f>
        <v>-6.622</v>
      </c>
      <c r="CA83" s="8">
        <f>'Pod by trading day'!CB503</f>
        <v>-6.708</v>
      </c>
      <c r="CB83" s="8">
        <f>'Pod by trading day'!CC503</f>
        <v>-6.794</v>
      </c>
      <c r="CC83" s="8">
        <f>'Pod by trading day'!CD503</f>
        <v>-6.88</v>
      </c>
      <c r="CD83" s="8">
        <f>'Pod by trading day'!CE503</f>
        <v>-6.965999999999999</v>
      </c>
      <c r="CE83" s="8">
        <f>'Pod by trading day'!CF503</f>
        <v>-7.052</v>
      </c>
      <c r="CF83" s="8">
        <f>'Pod by trading day'!CG503</f>
        <v>-7.138</v>
      </c>
      <c r="CG83" s="8">
        <f>'Pod by trading day'!CH503</f>
        <v>-7.223999999999999</v>
      </c>
      <c r="CH83" s="8">
        <f>'Pod by trading day'!CI503</f>
        <v>-7.31</v>
      </c>
      <c r="CI83" s="8">
        <f>'Pod by trading day'!CJ503</f>
        <v>-7.396</v>
      </c>
      <c r="CJ83" s="8">
        <f>'Pod by trading day'!CK503</f>
        <v>-7.481999999999999</v>
      </c>
      <c r="CK83" s="8">
        <f>'Pod by trading day'!CL503</f>
        <v>-7.568</v>
      </c>
      <c r="CL83" s="8">
        <f>'Pod by trading day'!CM503</f>
        <v>-7.654</v>
      </c>
      <c r="CM83" s="8">
        <f>'Pod by trading day'!CN503</f>
        <v>-7.739999999999999</v>
      </c>
      <c r="CN83" s="8">
        <f>'Pod by trading day'!CO503</f>
        <v>-7.826</v>
      </c>
      <c r="CO83" s="8">
        <f>'Pod by trading day'!CP503</f>
        <v>-7.912</v>
      </c>
      <c r="CP83" s="8">
        <f>'Pod by trading day'!CQ503</f>
        <v>-7.997999999999999</v>
      </c>
      <c r="CQ83" s="8">
        <f>'Pod by trading day'!CR503</f>
        <v>-8.084</v>
      </c>
      <c r="CR83" s="8">
        <f>'Pod by trading day'!CS503</f>
        <v>-8.17</v>
      </c>
      <c r="CS83" s="8">
        <f>'Pod by trading day'!CT503</f>
        <v>-8.256</v>
      </c>
      <c r="CT83" s="8">
        <f>'Pod by trading day'!CU503</f>
        <v>-8.342</v>
      </c>
      <c r="CU83" s="8">
        <f>'Pod by trading day'!CV503</f>
        <v>-8.427999999999999</v>
      </c>
      <c r="CV83" s="8">
        <f>'Pod by trading day'!CW503</f>
        <v>-8.514</v>
      </c>
      <c r="CW83" s="8">
        <f>'Pod by trading day'!CX503</f>
        <v>-8.6</v>
      </c>
    </row>
    <row r="84">
      <c r="A84" s="0" t="inlineStr">
        <is>
          <t xml:space="preserve">Residual Momentum</t>
        </is>
      </c>
      <c r="B84" s="8">
        <f>'Pod by trading day'!C504</f>
        <v>13.936</v>
      </c>
      <c r="C84" s="8">
        <f>'Pod by trading day'!D504</f>
        <v>27.872</v>
      </c>
      <c r="D84" s="8">
        <f>'Pod by trading day'!E504</f>
        <v>41.808</v>
      </c>
      <c r="E84" s="8">
        <f>'Pod by trading day'!F504</f>
        <v>55.744</v>
      </c>
      <c r="F84" s="8">
        <f>'Pod by trading day'!G504</f>
        <v>69.68</v>
      </c>
      <c r="G84" s="8">
        <f>'Pod by trading day'!H504</f>
        <v>83.61600000000001</v>
      </c>
      <c r="H84" s="8">
        <f>'Pod by trading day'!I504</f>
        <v>97.55199999999999</v>
      </c>
      <c r="I84" s="8">
        <f>'Pod by trading day'!J504</f>
        <v>111.488</v>
      </c>
      <c r="J84" s="8">
        <f>'Pod by trading day'!K504</f>
        <v>125.424</v>
      </c>
      <c r="K84" s="8">
        <f>'Pod by trading day'!L504</f>
        <v>139.36</v>
      </c>
      <c r="L84" s="8">
        <f>'Pod by trading day'!M504</f>
        <v>153.29600000000002</v>
      </c>
      <c r="M84" s="8">
        <f>'Pod by trading day'!N504</f>
        <v>167.232</v>
      </c>
      <c r="N84" s="8">
        <f>'Pod by trading day'!O504</f>
        <v>181.168</v>
      </c>
      <c r="O84" s="8">
        <f>'Pod by trading day'!P504</f>
        <v>195.104</v>
      </c>
      <c r="P84" s="8">
        <f>'Pod by trading day'!Q504</f>
        <v>209.04</v>
      </c>
      <c r="Q84" s="8">
        <f>'Pod by trading day'!R504</f>
        <v>222.976</v>
      </c>
      <c r="R84" s="8">
        <f>'Pod by trading day'!S504</f>
        <v>236.912</v>
      </c>
      <c r="S84" s="8">
        <f>'Pod by trading day'!T504</f>
        <v>250.848</v>
      </c>
      <c r="T84" s="8">
        <f>'Pod by trading day'!U504</f>
        <v>264.784</v>
      </c>
      <c r="U84" s="8">
        <f>'Pod by trading day'!V504</f>
        <v>278.71999999999997</v>
      </c>
      <c r="V84" s="8">
        <f>'Pod by trading day'!W504</f>
        <v>292.656</v>
      </c>
      <c r="W84" s="8">
        <f>'Pod by trading day'!X504</f>
        <v>306.592</v>
      </c>
      <c r="X84" s="8">
        <f>'Pod by trading day'!Y504</f>
        <v>320.52799999999996</v>
      </c>
      <c r="Y84" s="8">
        <f>'Pod by trading day'!Z504</f>
        <v>334.464</v>
      </c>
      <c r="Z84" s="8">
        <f>'Pod by trading day'!AA504</f>
        <v>348.4</v>
      </c>
      <c r="AA84" s="8">
        <f>'Pod by trading day'!AB504</f>
        <v>362.33599999999996</v>
      </c>
      <c r="AB84" s="8">
        <f>'Pod by trading day'!AC504</f>
        <v>376.272</v>
      </c>
      <c r="AC84" s="8">
        <f>'Pod by trading day'!AD504</f>
        <v>390.20799999999997</v>
      </c>
      <c r="AD84" s="8">
        <f>'Pod by trading day'!AE504</f>
        <v>404.14399999999995</v>
      </c>
      <c r="AE84" s="8">
        <f>'Pod by trading day'!AF504</f>
        <v>418.08</v>
      </c>
      <c r="AF84" s="8">
        <f>'Pod by trading day'!AG504</f>
        <v>432.01599999999996</v>
      </c>
      <c r="AG84" s="8">
        <f>'Pod by trading day'!AH504</f>
        <v>445.952</v>
      </c>
      <c r="AH84" s="8">
        <f>'Pod by trading day'!AI504</f>
        <v>459.888</v>
      </c>
      <c r="AI84" s="8">
        <f>'Pod by trading day'!AJ504</f>
        <v>473.82399999999996</v>
      </c>
      <c r="AJ84" s="8">
        <f>'Pod by trading day'!AK504</f>
        <v>487.76</v>
      </c>
      <c r="AK84" s="8">
        <f>'Pod by trading day'!AL504</f>
        <v>501.69599999999997</v>
      </c>
      <c r="AL84" s="8">
        <f>'Pod by trading day'!AM504</f>
        <v>515.6320000000001</v>
      </c>
      <c r="AM84" s="8">
        <f>'Pod by trading day'!AN504</f>
        <v>529.568</v>
      </c>
      <c r="AN84" s="8">
        <f>'Pod by trading day'!AO504</f>
        <v>543.504</v>
      </c>
      <c r="AO84" s="8">
        <f>'Pod by trading day'!AP504</f>
        <v>557.44</v>
      </c>
      <c r="AP84" s="8">
        <f>'Pod by trading day'!AQ504</f>
        <v>571.3760000000001</v>
      </c>
      <c r="AQ84" s="8">
        <f>'Pod by trading day'!AR504</f>
        <v>585.312</v>
      </c>
      <c r="AR84" s="8">
        <f>'Pod by trading day'!AS504</f>
        <v>599.248</v>
      </c>
      <c r="AS84" s="8">
        <f>'Pod by trading day'!AT504</f>
        <v>613.1840000000001</v>
      </c>
      <c r="AT84" s="8">
        <f>'Pod by trading day'!AU504</f>
        <v>627.12</v>
      </c>
      <c r="AU84" s="8">
        <f>'Pod by trading day'!AV504</f>
        <v>641.056</v>
      </c>
      <c r="AV84" s="8">
        <f>'Pod by trading day'!AW504</f>
        <v>654.9920000000001</v>
      </c>
      <c r="AW84" s="8">
        <f>'Pod by trading day'!AX504</f>
        <v>668.928</v>
      </c>
      <c r="AX84" s="8">
        <f>'Pod by trading day'!AY504</f>
        <v>682.864</v>
      </c>
      <c r="AY84" s="8">
        <f>'Pod by trading day'!AZ504</f>
        <v>696.8000000000001</v>
      </c>
      <c r="AZ84" s="8">
        <f>'Pod by trading day'!BA504</f>
        <v>710.736</v>
      </c>
      <c r="BA84" s="8">
        <f>'Pod by trading day'!BB504</f>
        <v>724.672</v>
      </c>
      <c r="BB84" s="8">
        <f>'Pod by trading day'!BC504</f>
        <v>738.6080000000001</v>
      </c>
      <c r="BC84" s="8">
        <f>'Pod by trading day'!BD504</f>
        <v>752.544</v>
      </c>
      <c r="BD84" s="8">
        <f>'Pod by trading day'!BE504</f>
        <v>766.48</v>
      </c>
      <c r="BE84" s="8">
        <f>'Pod by trading day'!BF504</f>
        <v>780.416</v>
      </c>
      <c r="BF84" s="8">
        <f>'Pod by trading day'!BG504</f>
        <v>794.352</v>
      </c>
      <c r="BG84" s="8">
        <f>'Pod by trading day'!BH504</f>
        <v>808.288</v>
      </c>
      <c r="BH84" s="8">
        <f>'Pod by trading day'!BI504</f>
        <v>822.224</v>
      </c>
      <c r="BI84" s="8">
        <f>'Pod by trading day'!BJ504</f>
        <v>836.1600000000001</v>
      </c>
      <c r="BJ84" s="8">
        <f>'Pod by trading day'!BK504</f>
        <v>850.096</v>
      </c>
      <c r="BK84" s="8">
        <f>'Pod by trading day'!BL504</f>
        <v>864.032</v>
      </c>
      <c r="BL84" s="8">
        <f>'Pod by trading day'!BM504</f>
        <v>877.9680000000001</v>
      </c>
      <c r="BM84" s="8">
        <f>'Pod by trading day'!BN504</f>
        <v>891.904</v>
      </c>
      <c r="BN84" s="8">
        <f>'Pod by trading day'!BO504</f>
        <v>905.84</v>
      </c>
      <c r="BO84" s="8">
        <f>'Pod by trading day'!BP504</f>
        <v>919.7760000000001</v>
      </c>
      <c r="BP84" s="8">
        <f>'Pod by trading day'!BQ504</f>
        <v>933.712</v>
      </c>
      <c r="BQ84" s="8">
        <f>'Pod by trading day'!BR504</f>
        <v>947.648</v>
      </c>
      <c r="BR84" s="8">
        <f>'Pod by trading day'!BS504</f>
        <v>961.5840000000001</v>
      </c>
      <c r="BS84" s="8">
        <f>'Pod by trading day'!BT504</f>
        <v>975.52</v>
      </c>
      <c r="BT84" s="8">
        <f>'Pod by trading day'!BU504</f>
        <v>989.456</v>
      </c>
      <c r="BU84" s="8">
        <f>'Pod by trading day'!BV504</f>
        <v>1003.392</v>
      </c>
      <c r="BV84" s="8">
        <f>'Pod by trading day'!BW504</f>
        <v>1017.3280000000001</v>
      </c>
      <c r="BW84" s="8">
        <f>'Pod by trading day'!BX504</f>
        <v>1031.264</v>
      </c>
      <c r="BX84" s="8">
        <f>'Pod by trading day'!BY504</f>
        <v>1045.1999999999998</v>
      </c>
      <c r="BY84" s="8">
        <f>'Pod by trading day'!BZ504</f>
        <v>1059.136</v>
      </c>
      <c r="BZ84" s="8">
        <f>'Pod by trading day'!CA504</f>
        <v>1073.072</v>
      </c>
      <c r="CA84" s="8">
        <f>'Pod by trading day'!CB504</f>
        <v>1087.0079999999998</v>
      </c>
      <c r="CB84" s="8">
        <f>'Pod by trading day'!CC504</f>
        <v>1100.944</v>
      </c>
      <c r="CC84" s="8">
        <f>'Pod by trading day'!CD504</f>
        <v>1114.8799999999999</v>
      </c>
      <c r="CD84" s="8">
        <f>'Pod by trading day'!CE504</f>
        <v>1128.816</v>
      </c>
      <c r="CE84" s="8">
        <f>'Pod by trading day'!CF504</f>
        <v>1142.752</v>
      </c>
      <c r="CF84" s="8">
        <f>'Pod by trading day'!CG504</f>
        <v>1156.6879999999999</v>
      </c>
      <c r="CG84" s="8">
        <f>'Pod by trading day'!CH504</f>
        <v>1170.624</v>
      </c>
      <c r="CH84" s="8">
        <f>'Pod by trading day'!CI504</f>
        <v>1184.56</v>
      </c>
      <c r="CI84" s="8">
        <f>'Pod by trading day'!CJ504</f>
        <v>1198.4959999999999</v>
      </c>
      <c r="CJ84" s="8">
        <f>'Pod by trading day'!CK504</f>
        <v>1212.432</v>
      </c>
      <c r="CK84" s="8">
        <f>'Pod by trading day'!CL504</f>
        <v>1226.368</v>
      </c>
      <c r="CL84" s="8">
        <f>'Pod by trading day'!CM504</f>
        <v>1240.3039999999999</v>
      </c>
      <c r="CM84" s="8">
        <f>'Pod by trading day'!CN504</f>
        <v>1254.24</v>
      </c>
      <c r="CN84" s="8">
        <f>'Pod by trading day'!CO504</f>
        <v>1268.176</v>
      </c>
      <c r="CO84" s="8">
        <f>'Pod by trading day'!CP504</f>
        <v>1282.1119999999999</v>
      </c>
      <c r="CP84" s="8">
        <f>'Pod by trading day'!CQ504</f>
        <v>1296.048</v>
      </c>
      <c r="CQ84" s="8">
        <f>'Pod by trading day'!CR504</f>
        <v>1309.984</v>
      </c>
      <c r="CR84" s="8">
        <f>'Pod by trading day'!CS504</f>
        <v>1323.9199999999998</v>
      </c>
      <c r="CS84" s="8">
        <f>'Pod by trading day'!CT504</f>
        <v>1337.856</v>
      </c>
      <c r="CT84" s="8">
        <f>'Pod by trading day'!CU504</f>
        <v>1351.792</v>
      </c>
      <c r="CU84" s="8">
        <f>'Pod by trading day'!CV504</f>
        <v>1365.7279999999998</v>
      </c>
      <c r="CV84" s="8">
        <f>'Pod by trading day'!CW504</f>
        <v>1379.664</v>
      </c>
      <c r="CW84" s="8">
        <f>'Pod by trading day'!CX504</f>
        <v>1393.6</v>
      </c>
    </row>
    <row r="85">
      <c r="A85" s="0" t="inlineStr">
        <is>
          <t xml:space="preserve">Overnight Return Persistence</t>
        </is>
      </c>
      <c r="B85" s="8">
        <f>'Pod by trading day'!C505</f>
        <v>8.172</v>
      </c>
      <c r="C85" s="8">
        <f>'Pod by trading day'!D505</f>
        <v>16.344</v>
      </c>
      <c r="D85" s="8">
        <f>'Pod by trading day'!E505</f>
        <v>24.516000000000002</v>
      </c>
      <c r="E85" s="8">
        <f>'Pod by trading day'!F505</f>
        <v>32.688</v>
      </c>
      <c r="F85" s="8">
        <f>'Pod by trading day'!G505</f>
        <v>40.86</v>
      </c>
      <c r="G85" s="8">
        <f>'Pod by trading day'!H505</f>
        <v>49.032</v>
      </c>
      <c r="H85" s="8">
        <f>'Pod by trading day'!I505</f>
        <v>57.20400000000001</v>
      </c>
      <c r="I85" s="8">
        <f>'Pod by trading day'!J505</f>
        <v>65.376</v>
      </c>
      <c r="J85" s="8">
        <f>'Pod by trading day'!K505</f>
        <v>73.548</v>
      </c>
      <c r="K85" s="8">
        <f>'Pod by trading day'!L505</f>
        <v>81.72</v>
      </c>
      <c r="L85" s="8">
        <f>'Pod by trading day'!M505</f>
        <v>89.892</v>
      </c>
      <c r="M85" s="8">
        <f>'Pod by trading day'!N505</f>
        <v>98.06400000000001</v>
      </c>
      <c r="N85" s="8">
        <f>'Pod by trading day'!O505</f>
        <v>106.236</v>
      </c>
      <c r="O85" s="8">
        <f>'Pod by trading day'!P505</f>
        <v>114.408</v>
      </c>
      <c r="P85" s="8">
        <f>'Pod by trading day'!Q505</f>
        <v>122.58000000000001</v>
      </c>
      <c r="Q85" s="8">
        <f>'Pod by trading day'!R505</f>
        <v>130.752</v>
      </c>
      <c r="R85" s="8">
        <f>'Pod by trading day'!S505</f>
        <v>138.924</v>
      </c>
      <c r="S85" s="8">
        <f>'Pod by trading day'!T505</f>
        <v>147.096</v>
      </c>
      <c r="T85" s="8">
        <f>'Pod by trading day'!U505</f>
        <v>155.268</v>
      </c>
      <c r="U85" s="8">
        <f>'Pod by trading day'!V505</f>
        <v>163.44</v>
      </c>
      <c r="V85" s="8">
        <f>'Pod by trading day'!W505</f>
        <v>171.612</v>
      </c>
      <c r="W85" s="8">
        <f>'Pod by trading day'!X505</f>
        <v>179.78400000000002</v>
      </c>
      <c r="X85" s="8">
        <f>'Pod by trading day'!Y505</f>
        <v>187.95600000000002</v>
      </c>
      <c r="Y85" s="8">
        <f>'Pod by trading day'!Z505</f>
        <v>196.12800000000001</v>
      </c>
      <c r="Z85" s="8">
        <f>'Pod by trading day'!AA505</f>
        <v>204.3</v>
      </c>
      <c r="AA85" s="8">
        <f>'Pod by trading day'!AB505</f>
        <v>212.472</v>
      </c>
      <c r="AB85" s="8">
        <f>'Pod by trading day'!AC505</f>
        <v>220.644</v>
      </c>
      <c r="AC85" s="8">
        <f>'Pod by trading day'!AD505</f>
        <v>228.816</v>
      </c>
      <c r="AD85" s="8">
        <f>'Pod by trading day'!AE505</f>
        <v>236.98800000000003</v>
      </c>
      <c r="AE85" s="8">
        <f>'Pod by trading day'!AF505</f>
        <v>245.16000000000003</v>
      </c>
      <c r="AF85" s="8">
        <f>'Pod by trading day'!AG505</f>
        <v>253.33200000000002</v>
      </c>
      <c r="AG85" s="8">
        <f>'Pod by trading day'!AH505</f>
        <v>261.504</v>
      </c>
      <c r="AH85" s="8">
        <f>'Pod by trading day'!AI505</f>
        <v>269.67600000000004</v>
      </c>
      <c r="AI85" s="8">
        <f>'Pod by trading day'!AJ505</f>
        <v>277.84800000000007</v>
      </c>
      <c r="AJ85" s="8">
        <f>'Pod by trading day'!AK505</f>
        <v>286.02000000000004</v>
      </c>
      <c r="AK85" s="8">
        <f>'Pod by trading day'!AL505</f>
        <v>294.19200000000006</v>
      </c>
      <c r="AL85" s="8">
        <f>'Pod by trading day'!AM505</f>
        <v>302.36400000000003</v>
      </c>
      <c r="AM85" s="8">
        <f>'Pod by trading day'!AN505</f>
        <v>310.53600000000006</v>
      </c>
      <c r="AN85" s="8">
        <f>'Pod by trading day'!AO505</f>
        <v>318.708</v>
      </c>
      <c r="AO85" s="8">
        <f>'Pod by trading day'!AP505</f>
        <v>326.88000000000005</v>
      </c>
      <c r="AP85" s="8">
        <f>'Pod by trading day'!AQ505</f>
        <v>335.052</v>
      </c>
      <c r="AQ85" s="8">
        <f>'Pod by trading day'!AR505</f>
        <v>343.22400000000005</v>
      </c>
      <c r="AR85" s="8">
        <f>'Pod by trading day'!AS505</f>
        <v>351.3960000000001</v>
      </c>
      <c r="AS85" s="8">
        <f>'Pod by trading day'!AT505</f>
        <v>359.56800000000004</v>
      </c>
      <c r="AT85" s="8">
        <f>'Pod by trading day'!AU505</f>
        <v>367.74000000000007</v>
      </c>
      <c r="AU85" s="8">
        <f>'Pod by trading day'!AV505</f>
        <v>375.91200000000003</v>
      </c>
      <c r="AV85" s="8">
        <f>'Pod by trading day'!AW505</f>
        <v>384.08400000000006</v>
      </c>
      <c r="AW85" s="8">
        <f>'Pod by trading day'!AX505</f>
        <v>392.25600000000003</v>
      </c>
      <c r="AX85" s="8">
        <f>'Pod by trading day'!AY505</f>
        <v>400.42800000000005</v>
      </c>
      <c r="AY85" s="8">
        <f>'Pod by trading day'!AZ505</f>
        <v>408.6000000000001</v>
      </c>
      <c r="AZ85" s="8">
        <f>'Pod by trading day'!BA505</f>
        <v>416.77200000000005</v>
      </c>
      <c r="BA85" s="8">
        <f>'Pod by trading day'!BB505</f>
        <v>424.9440000000001</v>
      </c>
      <c r="BB85" s="8">
        <f>'Pod by trading day'!BC505</f>
        <v>433.11600000000004</v>
      </c>
      <c r="BC85" s="8">
        <f>'Pod by trading day'!BD505</f>
        <v>441.28800000000007</v>
      </c>
      <c r="BD85" s="8">
        <f>'Pod by trading day'!BE505</f>
        <v>449.46000000000004</v>
      </c>
      <c r="BE85" s="8">
        <f>'Pod by trading day'!BF505</f>
        <v>457.63200000000006</v>
      </c>
      <c r="BF85" s="8">
        <f>'Pod by trading day'!BG505</f>
        <v>465.8040000000001</v>
      </c>
      <c r="BG85" s="8">
        <f>'Pod by trading day'!BH505</f>
        <v>473.97600000000006</v>
      </c>
      <c r="BH85" s="8">
        <f>'Pod by trading day'!BI505</f>
        <v>482.1480000000001</v>
      </c>
      <c r="BI85" s="8">
        <f>'Pod by trading day'!BJ505</f>
        <v>490.32000000000005</v>
      </c>
      <c r="BJ85" s="8">
        <f>'Pod by trading day'!BK505</f>
        <v>498.4920000000001</v>
      </c>
      <c r="BK85" s="8">
        <f>'Pod by trading day'!BL505</f>
        <v>506.66400000000004</v>
      </c>
      <c r="BL85" s="8">
        <f>'Pod by trading day'!BM505</f>
        <v>514.836</v>
      </c>
      <c r="BM85" s="8">
        <f>'Pod by trading day'!BN505</f>
        <v>523.008</v>
      </c>
      <c r="BN85" s="8">
        <f>'Pod by trading day'!BO505</f>
        <v>531.1800000000001</v>
      </c>
      <c r="BO85" s="8">
        <f>'Pod by trading day'!BP505</f>
        <v>539.3520000000001</v>
      </c>
      <c r="BP85" s="8">
        <f>'Pod by trading day'!BQ505</f>
        <v>547.5240000000001</v>
      </c>
      <c r="BQ85" s="8">
        <f>'Pod by trading day'!BR505</f>
        <v>555.696</v>
      </c>
      <c r="BR85" s="8">
        <f>'Pod by trading day'!BS505</f>
        <v>563.868</v>
      </c>
      <c r="BS85" s="8">
        <f>'Pod by trading day'!BT505</f>
        <v>572.0400000000001</v>
      </c>
      <c r="BT85" s="8">
        <f>'Pod by trading day'!BU505</f>
        <v>580.2120000000001</v>
      </c>
      <c r="BU85" s="8">
        <f>'Pod by trading day'!BV505</f>
        <v>588.384</v>
      </c>
      <c r="BV85" s="8">
        <f>'Pod by trading day'!BW505</f>
        <v>596.556</v>
      </c>
      <c r="BW85" s="8">
        <f>'Pod by trading day'!BX505</f>
        <v>604.7280000000001</v>
      </c>
      <c r="BX85" s="8">
        <f>'Pod by trading day'!BY505</f>
        <v>612.9000000000001</v>
      </c>
      <c r="BY85" s="8">
        <f>'Pod by trading day'!BZ505</f>
        <v>621.0720000000001</v>
      </c>
      <c r="BZ85" s="8">
        <f>'Pod by trading day'!CA505</f>
        <v>629.244</v>
      </c>
      <c r="CA85" s="8">
        <f>'Pod by trading day'!CB505</f>
        <v>637.416</v>
      </c>
      <c r="CB85" s="8">
        <f>'Pod by trading day'!CC505</f>
        <v>645.5880000000001</v>
      </c>
      <c r="CC85" s="8">
        <f>'Pod by trading day'!CD505</f>
        <v>653.7600000000001</v>
      </c>
      <c r="CD85" s="8">
        <f>'Pod by trading day'!CE505</f>
        <v>661.932</v>
      </c>
      <c r="CE85" s="8">
        <f>'Pod by trading day'!CF505</f>
        <v>670.104</v>
      </c>
      <c r="CF85" s="8">
        <f>'Pod by trading day'!CG505</f>
        <v>678.2760000000001</v>
      </c>
      <c r="CG85" s="8">
        <f>'Pod by trading day'!CH505</f>
        <v>686.4480000000001</v>
      </c>
      <c r="CH85" s="8">
        <f>'Pod by trading day'!CI505</f>
        <v>694.6200000000001</v>
      </c>
      <c r="CI85" s="8">
        <f>'Pod by trading day'!CJ505</f>
        <v>702.792</v>
      </c>
      <c r="CJ85" s="8">
        <f>'Pod by trading day'!CK505</f>
        <v>710.964</v>
      </c>
      <c r="CK85" s="8">
        <f>'Pod by trading day'!CL505</f>
        <v>719.1360000000001</v>
      </c>
      <c r="CL85" s="8">
        <f>'Pod by trading day'!CM505</f>
        <v>727.3080000000001</v>
      </c>
      <c r="CM85" s="8">
        <f>'Pod by trading day'!CN505</f>
        <v>735.4800000000001</v>
      </c>
      <c r="CN85" s="8">
        <f>'Pod by trading day'!CO505</f>
        <v>743.652</v>
      </c>
      <c r="CO85" s="8">
        <f>'Pod by trading day'!CP505</f>
        <v>751.8240000000001</v>
      </c>
      <c r="CP85" s="8">
        <f>'Pod by trading day'!CQ505</f>
        <v>759.9960000000001</v>
      </c>
      <c r="CQ85" s="8">
        <f>'Pod by trading day'!CR505</f>
        <v>768.1680000000001</v>
      </c>
      <c r="CR85" s="8">
        <f>'Pod by trading day'!CS505</f>
        <v>776.34</v>
      </c>
      <c r="CS85" s="8">
        <f>'Pod by trading day'!CT505</f>
        <v>784.5120000000001</v>
      </c>
      <c r="CT85" s="8">
        <f>'Pod by trading day'!CU505</f>
        <v>792.6840000000001</v>
      </c>
      <c r="CU85" s="8">
        <f>'Pod by trading day'!CV505</f>
        <v>800.8560000000001</v>
      </c>
      <c r="CV85" s="8">
        <f>'Pod by trading day'!CW505</f>
        <v>809.0280000000001</v>
      </c>
      <c r="CW85" s="8">
        <f>'Pod by trading day'!CX505</f>
        <v>817.2</v>
      </c>
    </row>
    <row r="86">
      <c r="A86" s="0" t="inlineStr">
        <is>
          <t xml:space="preserve">52-Week-High Anchoring</t>
        </is>
      </c>
      <c r="B86" s="8">
        <f>'Pod by trading day'!C506</f>
        <v>17.164</v>
      </c>
      <c r="C86" s="8">
        <f>'Pod by trading day'!D506</f>
        <v>34.328</v>
      </c>
      <c r="D86" s="8">
        <f>'Pod by trading day'!E506</f>
        <v>51.492000000000004</v>
      </c>
      <c r="E86" s="8">
        <f>'Pod by trading day'!F506</f>
        <v>68.656</v>
      </c>
      <c r="F86" s="8">
        <f>'Pod by trading day'!G506</f>
        <v>85.82000000000001</v>
      </c>
      <c r="G86" s="8">
        <f>'Pod by trading day'!H506</f>
        <v>102.98400000000001</v>
      </c>
      <c r="H86" s="8">
        <f>'Pod by trading day'!I506</f>
        <v>120.14800000000001</v>
      </c>
      <c r="I86" s="8">
        <f>'Pod by trading day'!J506</f>
        <v>137.312</v>
      </c>
      <c r="J86" s="8">
        <f>'Pod by trading day'!K506</f>
        <v>154.476</v>
      </c>
      <c r="K86" s="8">
        <f>'Pod by trading day'!L506</f>
        <v>171.64</v>
      </c>
      <c r="L86" s="8">
        <f>'Pod by trading day'!M506</f>
        <v>188.80400000000003</v>
      </c>
      <c r="M86" s="8">
        <f>'Pod by trading day'!N506</f>
        <v>205.96800000000002</v>
      </c>
      <c r="N86" s="8">
        <f>'Pod by trading day'!O506</f>
        <v>223.132</v>
      </c>
      <c r="O86" s="8">
        <f>'Pod by trading day'!P506</f>
        <v>240.296</v>
      </c>
      <c r="P86" s="8">
        <f>'Pod by trading day'!Q506</f>
        <v>257.46000000000004</v>
      </c>
      <c r="Q86" s="8">
        <f>'Pod by trading day'!R506</f>
        <v>274.624</v>
      </c>
      <c r="R86" s="8">
        <f>'Pod by trading day'!S506</f>
        <v>291.788</v>
      </c>
      <c r="S86" s="8">
        <f>'Pod by trading day'!T506</f>
        <v>308.952</v>
      </c>
      <c r="T86" s="8">
        <f>'Pod by trading day'!U506</f>
        <v>326.116</v>
      </c>
      <c r="U86" s="8">
        <f>'Pod by trading day'!V506</f>
        <v>343.28000000000003</v>
      </c>
      <c r="V86" s="8">
        <f>'Pod by trading day'!W506</f>
        <v>360.444</v>
      </c>
      <c r="W86" s="8">
        <f>'Pod by trading day'!X506</f>
        <v>377.608</v>
      </c>
      <c r="X86" s="8">
        <f>'Pod by trading day'!Y506</f>
        <v>394.77200000000005</v>
      </c>
      <c r="Y86" s="8">
        <f>'Pod by trading day'!Z506</f>
        <v>411.93600000000004</v>
      </c>
      <c r="Z86" s="8">
        <f>'Pod by trading day'!AA506</f>
        <v>429.1</v>
      </c>
      <c r="AA86" s="8">
        <f>'Pod by trading day'!AB506</f>
        <v>446.264</v>
      </c>
      <c r="AB86" s="8">
        <f>'Pod by trading day'!AC506</f>
        <v>463.428</v>
      </c>
      <c r="AC86" s="8">
        <f>'Pod by trading day'!AD506</f>
        <v>480.59200000000004</v>
      </c>
      <c r="AD86" s="8">
        <f>'Pod by trading day'!AE506</f>
        <v>497.75600000000003</v>
      </c>
      <c r="AE86" s="8">
        <f>'Pod by trading day'!AF506</f>
        <v>514.9200000000001</v>
      </c>
      <c r="AF86" s="8">
        <f>'Pod by trading day'!AG506</f>
        <v>532.0840000000001</v>
      </c>
      <c r="AG86" s="8">
        <f>'Pod by trading day'!AH506</f>
        <v>549.248</v>
      </c>
      <c r="AH86" s="8">
        <f>'Pod by trading day'!AI506</f>
        <v>566.412</v>
      </c>
      <c r="AI86" s="8">
        <f>'Pod by trading day'!AJ506</f>
        <v>583.576</v>
      </c>
      <c r="AJ86" s="8">
        <f>'Pod by trading day'!AK506</f>
        <v>600.74</v>
      </c>
      <c r="AK86" s="8">
        <f>'Pod by trading day'!AL506</f>
        <v>617.904</v>
      </c>
      <c r="AL86" s="8">
        <f>'Pod by trading day'!AM506</f>
        <v>635.068</v>
      </c>
      <c r="AM86" s="8">
        <f>'Pod by trading day'!AN506</f>
        <v>652.2320000000001</v>
      </c>
      <c r="AN86" s="8">
        <f>'Pod by trading day'!AO506</f>
        <v>669.3960000000001</v>
      </c>
      <c r="AO86" s="8">
        <f>'Pod by trading day'!AP506</f>
        <v>686.5600000000001</v>
      </c>
      <c r="AP86" s="8">
        <f>'Pod by trading day'!AQ506</f>
        <v>703.724</v>
      </c>
      <c r="AQ86" s="8">
        <f>'Pod by trading day'!AR506</f>
        <v>720.888</v>
      </c>
      <c r="AR86" s="8">
        <f>'Pod by trading day'!AS506</f>
        <v>738.052</v>
      </c>
      <c r="AS86" s="8">
        <f>'Pod by trading day'!AT506</f>
        <v>755.216</v>
      </c>
      <c r="AT86" s="8">
        <f>'Pod by trading day'!AU506</f>
        <v>772.3800000000001</v>
      </c>
      <c r="AU86" s="8">
        <f>'Pod by trading day'!AV506</f>
        <v>789.5440000000001</v>
      </c>
      <c r="AV86" s="8">
        <f>'Pod by trading day'!AW506</f>
        <v>806.7080000000001</v>
      </c>
      <c r="AW86" s="8">
        <f>'Pod by trading day'!AX506</f>
        <v>823.8720000000001</v>
      </c>
      <c r="AX86" s="8">
        <f>'Pod by trading day'!AY506</f>
        <v>841.0360000000001</v>
      </c>
      <c r="AY86" s="8">
        <f>'Pod by trading day'!AZ506</f>
        <v>858.2</v>
      </c>
      <c r="AZ86" s="8">
        <f>'Pod by trading day'!BA506</f>
        <v>875.364</v>
      </c>
      <c r="BA86" s="8">
        <f>'Pod by trading day'!BB506</f>
        <v>892.528</v>
      </c>
      <c r="BB86" s="8">
        <f>'Pod by trading day'!BC506</f>
        <v>909.692</v>
      </c>
      <c r="BC86" s="8">
        <f>'Pod by trading day'!BD506</f>
        <v>926.8560000000001</v>
      </c>
      <c r="BD86" s="8">
        <f>'Pod by trading day'!BE506</f>
        <v>944.0200000000001</v>
      </c>
      <c r="BE86" s="8">
        <f>'Pod by trading day'!BF506</f>
        <v>961.1840000000001</v>
      </c>
      <c r="BF86" s="8">
        <f>'Pod by trading day'!BG506</f>
        <v>978.3480000000001</v>
      </c>
      <c r="BG86" s="8">
        <f>'Pod by trading day'!BH506</f>
        <v>995.5120000000001</v>
      </c>
      <c r="BH86" s="8">
        <f>'Pod by trading day'!BI506</f>
        <v>1012.676</v>
      </c>
      <c r="BI86" s="8">
        <f>'Pod by trading day'!BJ506</f>
        <v>1029.8400000000001</v>
      </c>
      <c r="BJ86" s="8">
        <f>'Pod by trading day'!BK506</f>
        <v>1047.0040000000001</v>
      </c>
      <c r="BK86" s="8">
        <f>'Pod by trading day'!BL506</f>
        <v>1064.1680000000001</v>
      </c>
      <c r="BL86" s="8">
        <f>'Pod by trading day'!BM506</f>
        <v>1081.332</v>
      </c>
      <c r="BM86" s="8">
        <f>'Pod by trading day'!BN506</f>
        <v>1098.496</v>
      </c>
      <c r="BN86" s="8">
        <f>'Pod by trading day'!BO506</f>
        <v>1115.66</v>
      </c>
      <c r="BO86" s="8">
        <f>'Pod by trading day'!BP506</f>
        <v>1132.824</v>
      </c>
      <c r="BP86" s="8">
        <f>'Pod by trading day'!BQ506</f>
        <v>1149.988</v>
      </c>
      <c r="BQ86" s="8">
        <f>'Pod by trading day'!BR506</f>
        <v>1167.152</v>
      </c>
      <c r="BR86" s="8">
        <f>'Pod by trading day'!BS506</f>
        <v>1184.316</v>
      </c>
      <c r="BS86" s="8">
        <f>'Pod by trading day'!BT506</f>
        <v>1201.48</v>
      </c>
      <c r="BT86" s="8">
        <f>'Pod by trading day'!BU506</f>
        <v>1218.644</v>
      </c>
      <c r="BU86" s="8">
        <f>'Pod by trading day'!BV506</f>
        <v>1235.808</v>
      </c>
      <c r="BV86" s="8">
        <f>'Pod by trading day'!BW506</f>
        <v>1252.972</v>
      </c>
      <c r="BW86" s="8">
        <f>'Pod by trading day'!BX506</f>
        <v>1270.1360000000002</v>
      </c>
      <c r="BX86" s="8">
        <f>'Pod by trading day'!BY506</f>
        <v>1287.3000000000002</v>
      </c>
      <c r="BY86" s="8">
        <f>'Pod by trading day'!BZ506</f>
        <v>1304.4640000000002</v>
      </c>
      <c r="BZ86" s="8">
        <f>'Pod by trading day'!CA506</f>
        <v>1321.6280000000002</v>
      </c>
      <c r="CA86" s="8">
        <f>'Pod by trading day'!CB506</f>
        <v>1338.7920000000001</v>
      </c>
      <c r="CB86" s="8">
        <f>'Pod by trading day'!CC506</f>
        <v>1355.9560000000001</v>
      </c>
      <c r="CC86" s="8">
        <f>'Pod by trading day'!CD506</f>
        <v>1373.1200000000001</v>
      </c>
      <c r="CD86" s="8">
        <f>'Pod by trading day'!CE506</f>
        <v>1390.284</v>
      </c>
      <c r="CE86" s="8">
        <f>'Pod by trading day'!CF506</f>
        <v>1407.448</v>
      </c>
      <c r="CF86" s="8">
        <f>'Pod by trading day'!CG506</f>
        <v>1424.612</v>
      </c>
      <c r="CG86" s="8">
        <f>'Pod by trading day'!CH506</f>
        <v>1441.776</v>
      </c>
      <c r="CH86" s="8">
        <f>'Pod by trading day'!CI506</f>
        <v>1458.94</v>
      </c>
      <c r="CI86" s="8">
        <f>'Pod by trading day'!CJ506</f>
        <v>1476.104</v>
      </c>
      <c r="CJ86" s="8">
        <f>'Pod by trading day'!CK506</f>
        <v>1493.268</v>
      </c>
      <c r="CK86" s="8">
        <f>'Pod by trading day'!CL506</f>
        <v>1510.432</v>
      </c>
      <c r="CL86" s="8">
        <f>'Pod by trading day'!CM506</f>
        <v>1527.5960000000002</v>
      </c>
      <c r="CM86" s="8">
        <f>'Pod by trading day'!CN506</f>
        <v>1544.7600000000002</v>
      </c>
      <c r="CN86" s="8">
        <f>'Pod by trading day'!CO506</f>
        <v>1561.9240000000002</v>
      </c>
      <c r="CO86" s="8">
        <f>'Pod by trading day'!CP506</f>
        <v>1579.0880000000002</v>
      </c>
      <c r="CP86" s="8">
        <f>'Pod by trading day'!CQ506</f>
        <v>1596.2520000000002</v>
      </c>
      <c r="CQ86" s="8">
        <f>'Pod by trading day'!CR506</f>
        <v>1613.4160000000002</v>
      </c>
      <c r="CR86" s="8">
        <f>'Pod by trading day'!CS506</f>
        <v>1630.5800000000002</v>
      </c>
      <c r="CS86" s="8">
        <f>'Pod by trading day'!CT506</f>
        <v>1647.7440000000001</v>
      </c>
      <c r="CT86" s="8">
        <f>'Pod by trading day'!CU506</f>
        <v>1664.9080000000001</v>
      </c>
      <c r="CU86" s="8">
        <f>'Pod by trading day'!CV506</f>
        <v>1682.0720000000001</v>
      </c>
      <c r="CV86" s="8">
        <f>'Pod by trading day'!CW506</f>
        <v>1699.236</v>
      </c>
      <c r="CW86" s="8">
        <f>'Pod by trading day'!CX506</f>
        <v>1716.4</v>
      </c>
    </row>
    <row r="105">
      <c r="A105" s="1" t="inlineStr">
        <is>
          <t xml:space="preserve">Research process per pod</t>
        </is>
      </c>
    </row>
    <row r="106">
      <c r="A106" s="1" t="inlineStr">
        <is>
          <t xml:space="preserve">pod</t>
        </is>
      </c>
      <c r="B106" s="1" t="inlineStr">
        <is>
          <t xml:space="preserve">Submissions</t>
        </is>
      </c>
      <c r="C106" s="1" t="inlineStr">
        <is>
          <t xml:space="preserve">Thesis-compliant submissions</t>
        </is>
      </c>
      <c r="D106" s="1" t="inlineStr">
        <is>
          <t xml:space="preserve">Names scored per day</t>
        </is>
      </c>
      <c r="E106" s="1" t="inlineStr">
        <is>
          <t xml:space="preserve">Input tokens</t>
        </is>
      </c>
      <c r="F106" s="1" t="inlineStr">
        <is>
          <t xml:space="preserve">Output tokens</t>
        </is>
      </c>
      <c r="G106" s="1" t="inlineStr">
        <is>
          <t xml:space="preserve">LLM cost, $</t>
        </is>
      </c>
    </row>
    <row r="107">
      <c r="A107" s="0" t="inlineStr">
        <is>
          <t xml:space="preserve">Retail Attention Overnight</t>
        </is>
      </c>
      <c r="B107" s="8">
        <f>'Pod summary (leaderboard)'!G20</f>
        <v>2</v>
      </c>
      <c r="C107" s="12">
        <f>'Pod summary (leaderboard)'!G21</f>
        <v>1</v>
      </c>
      <c r="D107" s="8">
        <f>'Pod summary (leaderboard)'!G22</f>
        <v>1489</v>
      </c>
      <c r="E107" s="8">
        <f>'Pod summary (leaderboard)'!G17</f>
        <v>700587</v>
      </c>
      <c r="F107" s="8">
        <f>'Pod summary (leaderboard)'!G18</f>
        <v>44676</v>
      </c>
      <c r="G107" s="8">
        <f>'Pod summary (leaderboard)'!G19</f>
        <v>0.20597318999999997</v>
      </c>
    </row>
    <row r="108">
      <c r="A108" s="0" t="inlineStr">
        <is>
          <t xml:space="preserve">Post-Earnings Drift, Overnight Leg</t>
        </is>
      </c>
      <c r="B108" s="8">
        <f>'Pod summary (leaderboard)'!H20</f>
        <v>2</v>
      </c>
      <c r="C108" s="12">
        <f>'Pod summary (leaderboard)'!H21</f>
        <v>1</v>
      </c>
      <c r="D108" s="8">
        <f>'Pod summary (leaderboard)'!H22</f>
        <v>1489</v>
      </c>
      <c r="E108" s="8">
        <f>'Pod summary (leaderboard)'!H17</f>
        <v>218657</v>
      </c>
      <c r="F108" s="8">
        <f>'Pod summary (leaderboard)'!H18</f>
        <v>21148</v>
      </c>
      <c r="G108" s="8">
        <f>'Pod summary (leaderboard)'!H19</f>
        <v>0.06925637</v>
      </c>
    </row>
    <row r="109">
      <c r="A109" s="0" t="inlineStr">
        <is>
          <t xml:space="preserve">Intraday-to-Overnight Reversal</t>
        </is>
      </c>
      <c r="B109" s="8">
        <f>'Pod summary (leaderboard)'!I20</f>
        <v>2</v>
      </c>
      <c r="C109" s="12">
        <f>'Pod summary (leaderboard)'!I21</f>
        <v>1</v>
      </c>
      <c r="D109" s="8">
        <f>'Pod summary (leaderboard)'!I22</f>
        <v>1489</v>
      </c>
      <c r="E109" s="8">
        <f>'Pod summary (leaderboard)'!I17</f>
        <v>40739</v>
      </c>
      <c r="F109" s="8">
        <f>'Pod summary (leaderboard)'!I18</f>
        <v>8581</v>
      </c>
      <c r="G109" s="8">
        <f>'Pod summary (leaderboard)'!I19</f>
        <v>0.016105639999999997</v>
      </c>
    </row>
    <row r="110">
      <c r="A110" s="0" t="inlineStr">
        <is>
          <t xml:space="preserve">Analyst Revision Momentum</t>
        </is>
      </c>
      <c r="B110" s="8">
        <f>'Pod summary (leaderboard)'!J20</f>
        <v>2</v>
      </c>
      <c r="C110" s="12">
        <f>'Pod summary (leaderboard)'!J21</f>
        <v>1</v>
      </c>
      <c r="D110" s="8">
        <f>'Pod summary (leaderboard)'!J22</f>
        <v>1489</v>
      </c>
      <c r="E110" s="8">
        <f>'Pod summary (leaderboard)'!J17</f>
        <v>123403</v>
      </c>
      <c r="F110" s="8">
        <f>'Pod summary (leaderboard)'!J18</f>
        <v>12472</v>
      </c>
      <c r="G110" s="8">
        <f>'Pod summary (leaderboard)'!J19</f>
        <v>0.03945643</v>
      </c>
    </row>
    <row r="111">
      <c r="A111" s="0" t="inlineStr">
        <is>
          <t xml:space="preserve">Clustered Insider Buying</t>
        </is>
      </c>
      <c r="B111" s="8">
        <f>'Pod summary (leaderboard)'!K20</f>
        <v>2</v>
      </c>
      <c r="C111" s="12">
        <f>'Pod summary (leaderboard)'!K21</f>
        <v>1</v>
      </c>
      <c r="D111" s="8">
        <f>'Pod summary (leaderboard)'!K22</f>
        <v>1489</v>
      </c>
      <c r="E111" s="8">
        <f>'Pod summary (leaderboard)'!K17</f>
        <v>1625546</v>
      </c>
      <c r="F111" s="8">
        <f>'Pod summary (leaderboard)'!K18</f>
        <v>84835</v>
      </c>
      <c r="G111" s="8">
        <f>'Pod summary (leaderboard)'!K19</f>
        <v>0.46492265</v>
      </c>
    </row>
    <row r="112">
      <c r="A112" s="0" t="inlineStr">
        <is>
          <t xml:space="preserve">Same-Month Seasonality</t>
        </is>
      </c>
      <c r="B112" s="8">
        <f>'Pod summary (leaderboard)'!L20</f>
        <v>2</v>
      </c>
      <c r="C112" s="12">
        <f>'Pod summary (leaderboard)'!L21</f>
        <v>1</v>
      </c>
      <c r="D112" s="8">
        <f>'Pod summary (leaderboard)'!L22</f>
        <v>1463</v>
      </c>
      <c r="E112" s="8">
        <f>'Pod summary (leaderboard)'!L17</f>
        <v>87641</v>
      </c>
      <c r="F112" s="8">
        <f>'Pod summary (leaderboard)'!L18</f>
        <v>13195</v>
      </c>
      <c r="G112" s="8">
        <f>'Pod summary (leaderboard)'!L19</f>
        <v>0.0310148</v>
      </c>
    </row>
    <row r="113">
      <c r="A113" s="0" t="inlineStr">
        <is>
          <t xml:space="preserve">Quality at a Reasonable Price</t>
        </is>
      </c>
      <c r="B113" s="8">
        <f>'Pod summary (leaderboard)'!M20</f>
        <v>2</v>
      </c>
      <c r="C113" s="12">
        <f>'Pod summary (leaderboard)'!M21</f>
        <v>1</v>
      </c>
      <c r="D113" s="8">
        <f>'Pod summary (leaderboard)'!M22</f>
        <v>1485</v>
      </c>
      <c r="E113" s="8">
        <f>'Pod summary (leaderboard)'!M17</f>
        <v>195149</v>
      </c>
      <c r="F113" s="8">
        <f>'Pod summary (leaderboard)'!M18</f>
        <v>10226</v>
      </c>
      <c r="G113" s="8">
        <f>'Pod summary (leaderboard)'!M19</f>
        <v>0.05584319</v>
      </c>
    </row>
    <row r="114">
      <c r="A114" s="0" t="inlineStr">
        <is>
          <t xml:space="preserve">Residual Momentum</t>
        </is>
      </c>
      <c r="B114" s="8">
        <f>'Pod summary (leaderboard)'!N20</f>
        <v>2</v>
      </c>
      <c r="C114" s="12">
        <f>'Pod summary (leaderboard)'!N21</f>
        <v>1</v>
      </c>
      <c r="D114" s="8">
        <f>'Pod summary (leaderboard)'!N22</f>
        <v>1465.5</v>
      </c>
      <c r="E114" s="8">
        <f>'Pod summary (leaderboard)'!N17</f>
        <v>70769</v>
      </c>
      <c r="F114" s="8">
        <f>'Pod summary (leaderboard)'!N18</f>
        <v>11557</v>
      </c>
      <c r="G114" s="8">
        <f>'Pod summary (leaderboard)'!N19</f>
        <v>0.025666579999999998</v>
      </c>
    </row>
    <row r="115">
      <c r="A115" s="0" t="inlineStr">
        <is>
          <t xml:space="preserve">Overnight Return Persistence</t>
        </is>
      </c>
      <c r="B115" s="8">
        <f>'Pod summary (leaderboard)'!O20</f>
        <v>2</v>
      </c>
      <c r="C115" s="12">
        <f>'Pod summary (leaderboard)'!O21</f>
        <v>1</v>
      </c>
      <c r="D115" s="8">
        <f>'Pod summary (leaderboard)'!O22</f>
        <v>1488.5</v>
      </c>
      <c r="E115" s="8">
        <f>'Pod summary (leaderboard)'!O17</f>
        <v>78647</v>
      </c>
      <c r="F115" s="8">
        <f>'Pod summary (leaderboard)'!O18</f>
        <v>9689</v>
      </c>
      <c r="G115" s="8">
        <f>'Pod summary (leaderboard)'!O19</f>
        <v>0.026347159999999998</v>
      </c>
    </row>
    <row r="116">
      <c r="A116" s="0" t="inlineStr">
        <is>
          <t xml:space="preserve">52-Week-High Anchoring</t>
        </is>
      </c>
      <c r="B116" s="8">
        <f>'Pod summary (leaderboard)'!P20</f>
        <v>2</v>
      </c>
      <c r="C116" s="12">
        <f>'Pod summary (leaderboard)'!P21</f>
        <v>1</v>
      </c>
      <c r="D116" s="8">
        <f>'Pod summary (leaderboard)'!P22</f>
        <v>1489</v>
      </c>
      <c r="E116" s="8">
        <f>'Pod summary (leaderboard)'!P17</f>
        <v>113993</v>
      </c>
      <c r="F116" s="8">
        <f>'Pod summary (leaderboard)'!P18</f>
        <v>12618</v>
      </c>
      <c r="G116" s="8">
        <f>'Pod summary (leaderboard)'!P19</f>
        <v>0.037204669999999995</v>
      </c>
    </row>
    <row r="118">
      <c r="A118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LLM price, $ per M input tokens</t>
        </is>
      </c>
      <c r="B2" s="10">
        <v>0.25</v>
      </c>
    </row>
    <row r="3">
      <c r="A3" s="0" t="inlineStr">
        <is>
          <t xml:space="preserve">LLM price, $ per M output tokens</t>
        </is>
      </c>
      <c r="B3" s="10">
        <v>0.69</v>
      </c>
    </row>
    <row r="4">
      <c r="A4" s="0" t="inlineStr">
        <is>
          <t xml:space="preserve">Assumed round-trip cost, bps</t>
        </is>
      </c>
      <c r="B4" s="6">
        <v>10</v>
      </c>
    </row>
    <row r="5">
      <c r="A5" s="0" t="inlineStr">
        <is>
          <t xml:space="preserve">t-stat required to call it skill</t>
        </is>
      </c>
      <c r="B5" s="6">
        <v>3</v>
      </c>
    </row>
    <row r="6">
      <c r="A6" s="0" t="inlineStr">
        <is>
          <t xml:space="preserve">Watch horizon, trading days</t>
        </is>
      </c>
      <c r="B6" s="6">
        <v>100</v>
      </c>
    </row>
    <row r="7">
      <c r="A7" s="0" t="inlineStr">
        <is>
          <t xml:space="preserve">Notional per pod, $</t>
        </is>
      </c>
      <c r="B7" s="6">
        <v>100000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cols>
    <col min="1" max="1" width="18" customWidth="1"/>
    <col min="2" max="2" width="3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  <col min="102" max="102" width="12" customWidth="1"/>
  </cols>
  <sheetData>
    <row r="1">
      <c r="A1" s="1" t="inlineStr">
        <is>
          <t xml:space="preserve">line</t>
        </is>
      </c>
      <c r="B1" s="1" t="inlineStr">
        <is>
          <t xml:space="preserve">pod</t>
        </is>
      </c>
      <c r="C1" s="1" t="inlineStr">
        <is>
          <t xml:space="preserve">09-22</t>
        </is>
      </c>
      <c r="D1" s="1" t="inlineStr">
        <is>
          <t xml:space="preserve">09-23</t>
        </is>
      </c>
      <c r="E1" s="1" t="inlineStr">
        <is>
          <t xml:space="preserve">09-24</t>
        </is>
      </c>
      <c r="F1" s="1" t="inlineStr">
        <is>
          <t xml:space="preserve">09-25</t>
        </is>
      </c>
      <c r="G1" s="1" t="inlineStr">
        <is>
          <t xml:space="preserve">09-28</t>
        </is>
      </c>
      <c r="H1" s="1" t="inlineStr">
        <is>
          <t xml:space="preserve">09-29</t>
        </is>
      </c>
      <c r="I1" s="1" t="inlineStr">
        <is>
          <t xml:space="preserve">09-30</t>
        </is>
      </c>
      <c r="J1" s="1" t="inlineStr">
        <is>
          <t xml:space="preserve">10-01</t>
        </is>
      </c>
      <c r="K1" s="1" t="inlineStr">
        <is>
          <t xml:space="preserve">10-02</t>
        </is>
      </c>
      <c r="L1" s="1" t="inlineStr">
        <is>
          <t xml:space="preserve">10-05</t>
        </is>
      </c>
      <c r="M1" s="1" t="inlineStr">
        <is>
          <t xml:space="preserve">10-06</t>
        </is>
      </c>
      <c r="N1" s="1" t="inlineStr">
        <is>
          <t xml:space="preserve">10-07</t>
        </is>
      </c>
      <c r="O1" s="1" t="inlineStr">
        <is>
          <t xml:space="preserve">10-08</t>
        </is>
      </c>
      <c r="P1" s="1" t="inlineStr">
        <is>
          <t xml:space="preserve">10-09</t>
        </is>
      </c>
      <c r="Q1" s="1" t="inlineStr">
        <is>
          <t xml:space="preserve">10-12</t>
        </is>
      </c>
      <c r="R1" s="1" t="inlineStr">
        <is>
          <t xml:space="preserve">10-13</t>
        </is>
      </c>
      <c r="S1" s="1" t="inlineStr">
        <is>
          <t xml:space="preserve">10-14</t>
        </is>
      </c>
      <c r="T1" s="1" t="inlineStr">
        <is>
          <t xml:space="preserve">10-15</t>
        </is>
      </c>
      <c r="U1" s="1" t="inlineStr">
        <is>
          <t xml:space="preserve">10-16</t>
        </is>
      </c>
      <c r="V1" s="1" t="inlineStr">
        <is>
          <t xml:space="preserve">10-19</t>
        </is>
      </c>
      <c r="W1" s="1" t="inlineStr">
        <is>
          <t xml:space="preserve">10-20</t>
        </is>
      </c>
      <c r="X1" s="1" t="inlineStr">
        <is>
          <t xml:space="preserve">10-21</t>
        </is>
      </c>
      <c r="Y1" s="1" t="inlineStr">
        <is>
          <t xml:space="preserve">10-22</t>
        </is>
      </c>
      <c r="Z1" s="1" t="inlineStr">
        <is>
          <t xml:space="preserve">10-23</t>
        </is>
      </c>
      <c r="AA1" s="1" t="inlineStr">
        <is>
          <t xml:space="preserve">10-26</t>
        </is>
      </c>
      <c r="AB1" s="1" t="inlineStr">
        <is>
          <t xml:space="preserve">10-27</t>
        </is>
      </c>
      <c r="AC1" s="1" t="inlineStr">
        <is>
          <t xml:space="preserve">10-28</t>
        </is>
      </c>
      <c r="AD1" s="1" t="inlineStr">
        <is>
          <t xml:space="preserve">10-29</t>
        </is>
      </c>
      <c r="AE1" s="1" t="inlineStr">
        <is>
          <t xml:space="preserve">10-30</t>
        </is>
      </c>
      <c r="AF1" s="1" t="inlineStr">
        <is>
          <t xml:space="preserve">11-02</t>
        </is>
      </c>
      <c r="AG1" s="1" t="inlineStr">
        <is>
          <t xml:space="preserve">11-03</t>
        </is>
      </c>
      <c r="AH1" s="1" t="inlineStr">
        <is>
          <t xml:space="preserve">11-04</t>
        </is>
      </c>
      <c r="AI1" s="1" t="inlineStr">
        <is>
          <t xml:space="preserve">11-05</t>
        </is>
      </c>
      <c r="AJ1" s="1" t="inlineStr">
        <is>
          <t xml:space="preserve">11-06</t>
        </is>
      </c>
      <c r="AK1" s="1" t="inlineStr">
        <is>
          <t xml:space="preserve">11-09</t>
        </is>
      </c>
      <c r="AL1" s="1" t="inlineStr">
        <is>
          <t xml:space="preserve">11-10</t>
        </is>
      </c>
      <c r="AM1" s="1" t="inlineStr">
        <is>
          <t xml:space="preserve">11-11</t>
        </is>
      </c>
      <c r="AN1" s="1" t="inlineStr">
        <is>
          <t xml:space="preserve">11-12</t>
        </is>
      </c>
      <c r="AO1" s="1" t="inlineStr">
        <is>
          <t xml:space="preserve">11-13</t>
        </is>
      </c>
      <c r="AP1" s="1" t="inlineStr">
        <is>
          <t xml:space="preserve">11-16</t>
        </is>
      </c>
      <c r="AQ1" s="1" t="inlineStr">
        <is>
          <t xml:space="preserve">11-17</t>
        </is>
      </c>
      <c r="AR1" s="1" t="inlineStr">
        <is>
          <t xml:space="preserve">11-18</t>
        </is>
      </c>
      <c r="AS1" s="1" t="inlineStr">
        <is>
          <t xml:space="preserve">11-19</t>
        </is>
      </c>
      <c r="AT1" s="1" t="inlineStr">
        <is>
          <t xml:space="preserve">11-20</t>
        </is>
      </c>
      <c r="AU1" s="1" t="inlineStr">
        <is>
          <t xml:space="preserve">11-23</t>
        </is>
      </c>
      <c r="AV1" s="1" t="inlineStr">
        <is>
          <t xml:space="preserve">11-24</t>
        </is>
      </c>
      <c r="AW1" s="1" t="inlineStr">
        <is>
          <t xml:space="preserve">11-25</t>
        </is>
      </c>
      <c r="AX1" s="1" t="inlineStr">
        <is>
          <t xml:space="preserve">11-27</t>
        </is>
      </c>
      <c r="AY1" s="1" t="inlineStr">
        <is>
          <t xml:space="preserve">11-30</t>
        </is>
      </c>
      <c r="AZ1" s="1" t="inlineStr">
        <is>
          <t xml:space="preserve">12-01</t>
        </is>
      </c>
      <c r="BA1" s="1" t="inlineStr">
        <is>
          <t xml:space="preserve">12-02</t>
        </is>
      </c>
      <c r="BB1" s="1" t="inlineStr">
        <is>
          <t xml:space="preserve">12-03</t>
        </is>
      </c>
      <c r="BC1" s="1" t="inlineStr">
        <is>
          <t xml:space="preserve">12-04</t>
        </is>
      </c>
      <c r="BD1" s="1" t="inlineStr">
        <is>
          <t xml:space="preserve">12-07</t>
        </is>
      </c>
      <c r="BE1" s="1" t="inlineStr">
        <is>
          <t xml:space="preserve">12-08</t>
        </is>
      </c>
      <c r="BF1" s="1" t="inlineStr">
        <is>
          <t xml:space="preserve">12-09</t>
        </is>
      </c>
      <c r="BG1" s="1" t="inlineStr">
        <is>
          <t xml:space="preserve">12-10</t>
        </is>
      </c>
      <c r="BH1" s="1" t="inlineStr">
        <is>
          <t xml:space="preserve">12-11</t>
        </is>
      </c>
      <c r="BI1" s="1" t="inlineStr">
        <is>
          <t xml:space="preserve">12-14</t>
        </is>
      </c>
      <c r="BJ1" s="1" t="inlineStr">
        <is>
          <t xml:space="preserve">12-15</t>
        </is>
      </c>
      <c r="BK1" s="1" t="inlineStr">
        <is>
          <t xml:space="preserve">12-16</t>
        </is>
      </c>
      <c r="BL1" s="1" t="inlineStr">
        <is>
          <t xml:space="preserve">12-17</t>
        </is>
      </c>
      <c r="BM1" s="1" t="inlineStr">
        <is>
          <t xml:space="preserve">12-18</t>
        </is>
      </c>
      <c r="BN1" s="1" t="inlineStr">
        <is>
          <t xml:space="preserve">12-21</t>
        </is>
      </c>
      <c r="BO1" s="1" t="inlineStr">
        <is>
          <t xml:space="preserve">12-22</t>
        </is>
      </c>
      <c r="BP1" s="1" t="inlineStr">
        <is>
          <t xml:space="preserve">12-23</t>
        </is>
      </c>
      <c r="BQ1" s="1" t="inlineStr">
        <is>
          <t xml:space="preserve">12-24</t>
        </is>
      </c>
      <c r="BR1" s="1" t="inlineStr">
        <is>
          <t xml:space="preserve">12-28</t>
        </is>
      </c>
      <c r="BS1" s="1" t="inlineStr">
        <is>
          <t xml:space="preserve">12-29</t>
        </is>
      </c>
      <c r="BT1" s="1" t="inlineStr">
        <is>
          <t xml:space="preserve">12-30</t>
        </is>
      </c>
      <c r="BU1" s="1" t="inlineStr">
        <is>
          <t xml:space="preserve">12-31</t>
        </is>
      </c>
      <c r="BV1" s="1" t="inlineStr">
        <is>
          <t xml:space="preserve">01-04</t>
        </is>
      </c>
      <c r="BW1" s="1" t="inlineStr">
        <is>
          <t xml:space="preserve">01-05</t>
        </is>
      </c>
      <c r="BX1" s="1" t="inlineStr">
        <is>
          <t xml:space="preserve">01-06</t>
        </is>
      </c>
      <c r="BY1" s="1" t="inlineStr">
        <is>
          <t xml:space="preserve">01-07</t>
        </is>
      </c>
      <c r="BZ1" s="1" t="inlineStr">
        <is>
          <t xml:space="preserve">01-08</t>
        </is>
      </c>
      <c r="CA1" s="1" t="inlineStr">
        <is>
          <t xml:space="preserve">01-11</t>
        </is>
      </c>
      <c r="CB1" s="1" t="inlineStr">
        <is>
          <t xml:space="preserve">01-12</t>
        </is>
      </c>
      <c r="CC1" s="1" t="inlineStr">
        <is>
          <t xml:space="preserve">01-13</t>
        </is>
      </c>
      <c r="CD1" s="1" t="inlineStr">
        <is>
          <t xml:space="preserve">01-14</t>
        </is>
      </c>
      <c r="CE1" s="1" t="inlineStr">
        <is>
          <t xml:space="preserve">01-15</t>
        </is>
      </c>
      <c r="CF1" s="1" t="inlineStr">
        <is>
          <t xml:space="preserve">01-19</t>
        </is>
      </c>
      <c r="CG1" s="1" t="inlineStr">
        <is>
          <t xml:space="preserve">01-20</t>
        </is>
      </c>
      <c r="CH1" s="1" t="inlineStr">
        <is>
          <t xml:space="preserve">01-21</t>
        </is>
      </c>
      <c r="CI1" s="1" t="inlineStr">
        <is>
          <t xml:space="preserve">01-22</t>
        </is>
      </c>
      <c r="CJ1" s="1" t="inlineStr">
        <is>
          <t xml:space="preserve">01-25</t>
        </is>
      </c>
      <c r="CK1" s="1" t="inlineStr">
        <is>
          <t xml:space="preserve">01-26</t>
        </is>
      </c>
      <c r="CL1" s="1" t="inlineStr">
        <is>
          <t xml:space="preserve">01-27</t>
        </is>
      </c>
      <c r="CM1" s="1" t="inlineStr">
        <is>
          <t xml:space="preserve">01-28</t>
        </is>
      </c>
      <c r="CN1" s="1" t="inlineStr">
        <is>
          <t xml:space="preserve">01-29</t>
        </is>
      </c>
      <c r="CO1" s="1" t="inlineStr">
        <is>
          <t xml:space="preserve">02-01</t>
        </is>
      </c>
      <c r="CP1" s="1" t="inlineStr">
        <is>
          <t xml:space="preserve">02-02</t>
        </is>
      </c>
      <c r="CQ1" s="1" t="inlineStr">
        <is>
          <t xml:space="preserve">02-03</t>
        </is>
      </c>
      <c r="CR1" s="1" t="inlineStr">
        <is>
          <t xml:space="preserve">02-04</t>
        </is>
      </c>
      <c r="CS1" s="1" t="inlineStr">
        <is>
          <t xml:space="preserve">02-05</t>
        </is>
      </c>
      <c r="CT1" s="1" t="inlineStr">
        <is>
          <t xml:space="preserve">02-08</t>
        </is>
      </c>
      <c r="CU1" s="1" t="inlineStr">
        <is>
          <t xml:space="preserve">02-09</t>
        </is>
      </c>
      <c r="CV1" s="1" t="inlineStr">
        <is>
          <t xml:space="preserve">02-10</t>
        </is>
      </c>
      <c r="CW1" s="1" t="inlineStr">
        <is>
          <t xml:space="preserve">02-11</t>
        </is>
      </c>
      <c r="CX1" s="1" t="inlineStr">
        <is>
          <t xml:space="preserve">02-12</t>
        </is>
      </c>
    </row>
    <row r="2">
      <c r="A2" s="0" t="inlineStr">
        <is>
          <t xml:space="preserve">Sector-neutral overnight excess, bps</t>
        </is>
      </c>
      <c r="B2" s="0" t="inlineStr">
        <is>
          <t xml:space="preserve">worst 100 by yesterday's close-to-close return</t>
        </is>
      </c>
      <c r="C2" s="8">
        <f>IF((1=1),SUMIFS('Daily evaluations'!$D$2:$D$36,'Daily evaluations'!$B$2:$B$36,"=naive_loser1d",'Daily evaluations'!$C$2:$C$36,"=d20260922"),"")</f>
        <v>13.654</v>
      </c>
      <c r="D2" s="8">
        <f>IF((0=1),SUMIFS('Daily evaluations'!$D$2:$D$36,'Daily evaluations'!$B$2:$B$36,"=naive_loser1d",'Daily evaluations'!$C$2:$C$36,"=d20260923"),"")</f>
      </c>
      <c r="E2" s="8">
        <f>IF((0=1),SUMIFS('Daily evaluations'!$D$2:$D$36,'Daily evaluations'!$B$2:$B$36,"=naive_loser1d",'Daily evaluations'!$C$2:$C$36,"=d20260924"),"")</f>
      </c>
      <c r="F2" s="8">
        <f>IF((0=1),SUMIFS('Daily evaluations'!$D$2:$D$36,'Daily evaluations'!$B$2:$B$36,"=naive_loser1d",'Daily evaluations'!$C$2:$C$36,"=d20260925"),"")</f>
      </c>
      <c r="G2" s="8">
        <f>IF((0=1),SUMIFS('Daily evaluations'!$D$2:$D$36,'Daily evaluations'!$B$2:$B$36,"=naive_loser1d",'Daily evaluations'!$C$2:$C$36,"=d20260928"),"")</f>
      </c>
      <c r="H2" s="8">
        <f>IF((0=1),SUMIFS('Daily evaluations'!$D$2:$D$36,'Daily evaluations'!$B$2:$B$36,"=naive_loser1d",'Daily evaluations'!$C$2:$C$36,"=d20260929"),"")</f>
      </c>
      <c r="I2" s="8">
        <f>IF((0=1),SUMIFS('Daily evaluations'!$D$2:$D$36,'Daily evaluations'!$B$2:$B$36,"=naive_loser1d",'Daily evaluations'!$C$2:$C$36,"=d20260930"),"")</f>
      </c>
      <c r="J2" s="8">
        <f>IF((0=1),SUMIFS('Daily evaluations'!$D$2:$D$36,'Daily evaluations'!$B$2:$B$36,"=naive_loser1d",'Daily evaluations'!$C$2:$C$36,"=d20261001"),"")</f>
      </c>
      <c r="K2" s="8">
        <f>IF((0=1),SUMIFS('Daily evaluations'!$D$2:$D$36,'Daily evaluations'!$B$2:$B$36,"=naive_loser1d",'Daily evaluations'!$C$2:$C$36,"=d20261002"),"")</f>
      </c>
      <c r="L2" s="8">
        <f>IF((0=1),SUMIFS('Daily evaluations'!$D$2:$D$36,'Daily evaluations'!$B$2:$B$36,"=naive_loser1d",'Daily evaluations'!$C$2:$C$36,"=d20261005"),"")</f>
      </c>
      <c r="M2" s="8">
        <f>IF((0=1),SUMIFS('Daily evaluations'!$D$2:$D$36,'Daily evaluations'!$B$2:$B$36,"=naive_loser1d",'Daily evaluations'!$C$2:$C$36,"=d20261006"),"")</f>
      </c>
      <c r="N2" s="8">
        <f>IF((0=1),SUMIFS('Daily evaluations'!$D$2:$D$36,'Daily evaluations'!$B$2:$B$36,"=naive_loser1d",'Daily evaluations'!$C$2:$C$36,"=d20261007"),"")</f>
      </c>
      <c r="O2" s="8">
        <f>IF((0=1),SUMIFS('Daily evaluations'!$D$2:$D$36,'Daily evaluations'!$B$2:$B$36,"=naive_loser1d",'Daily evaluations'!$C$2:$C$36,"=d20261008"),"")</f>
      </c>
      <c r="P2" s="8">
        <f>IF((0=1),SUMIFS('Daily evaluations'!$D$2:$D$36,'Daily evaluations'!$B$2:$B$36,"=naive_loser1d",'Daily evaluations'!$C$2:$C$36,"=d20261009"),"")</f>
      </c>
      <c r="Q2" s="8">
        <f>IF((0=1),SUMIFS('Daily evaluations'!$D$2:$D$36,'Daily evaluations'!$B$2:$B$36,"=naive_loser1d",'Daily evaluations'!$C$2:$C$36,"=d20261012"),"")</f>
      </c>
      <c r="R2" s="8">
        <f>IF((0=1),SUMIFS('Daily evaluations'!$D$2:$D$36,'Daily evaluations'!$B$2:$B$36,"=naive_loser1d",'Daily evaluations'!$C$2:$C$36,"=d20261013"),"")</f>
      </c>
      <c r="S2" s="8">
        <f>IF((0=1),SUMIFS('Daily evaluations'!$D$2:$D$36,'Daily evaluations'!$B$2:$B$36,"=naive_loser1d",'Daily evaluations'!$C$2:$C$36,"=d20261014"),"")</f>
      </c>
      <c r="T2" s="8">
        <f>IF((0=1),SUMIFS('Daily evaluations'!$D$2:$D$36,'Daily evaluations'!$B$2:$B$36,"=naive_loser1d",'Daily evaluations'!$C$2:$C$36,"=d20261015"),"")</f>
      </c>
      <c r="U2" s="8">
        <f>IF((0=1),SUMIFS('Daily evaluations'!$D$2:$D$36,'Daily evaluations'!$B$2:$B$36,"=naive_loser1d",'Daily evaluations'!$C$2:$C$36,"=d20261016"),"")</f>
      </c>
      <c r="V2" s="8">
        <f>IF((0=1),SUMIFS('Daily evaluations'!$D$2:$D$36,'Daily evaluations'!$B$2:$B$36,"=naive_loser1d",'Daily evaluations'!$C$2:$C$36,"=d20261019"),"")</f>
      </c>
      <c r="W2" s="8">
        <f>IF((0=1),SUMIFS('Daily evaluations'!$D$2:$D$36,'Daily evaluations'!$B$2:$B$36,"=naive_loser1d",'Daily evaluations'!$C$2:$C$36,"=d20261020"),"")</f>
      </c>
      <c r="X2" s="8">
        <f>IF((0=1),SUMIFS('Daily evaluations'!$D$2:$D$36,'Daily evaluations'!$B$2:$B$36,"=naive_loser1d",'Daily evaluations'!$C$2:$C$36,"=d20261021"),"")</f>
      </c>
      <c r="Y2" s="8">
        <f>IF((0=1),SUMIFS('Daily evaluations'!$D$2:$D$36,'Daily evaluations'!$B$2:$B$36,"=naive_loser1d",'Daily evaluations'!$C$2:$C$36,"=d20261022"),"")</f>
      </c>
      <c r="Z2" s="8">
        <f>IF((0=1),SUMIFS('Daily evaluations'!$D$2:$D$36,'Daily evaluations'!$B$2:$B$36,"=naive_loser1d",'Daily evaluations'!$C$2:$C$36,"=d20261023"),"")</f>
      </c>
      <c r="AA2" s="8">
        <f>IF((0=1),SUMIFS('Daily evaluations'!$D$2:$D$36,'Daily evaluations'!$B$2:$B$36,"=naive_loser1d",'Daily evaluations'!$C$2:$C$36,"=d20261026"),"")</f>
      </c>
      <c r="AB2" s="8">
        <f>IF((0=1),SUMIFS('Daily evaluations'!$D$2:$D$36,'Daily evaluations'!$B$2:$B$36,"=naive_loser1d",'Daily evaluations'!$C$2:$C$36,"=d20261027"),"")</f>
      </c>
      <c r="AC2" s="8">
        <f>IF((0=1),SUMIFS('Daily evaluations'!$D$2:$D$36,'Daily evaluations'!$B$2:$B$36,"=naive_loser1d",'Daily evaluations'!$C$2:$C$36,"=d20261028"),"")</f>
      </c>
      <c r="AD2" s="8">
        <f>IF((0=1),SUMIFS('Daily evaluations'!$D$2:$D$36,'Daily evaluations'!$B$2:$B$36,"=naive_loser1d",'Daily evaluations'!$C$2:$C$36,"=d20261029"),"")</f>
      </c>
      <c r="AE2" s="8">
        <f>IF((0=1),SUMIFS('Daily evaluations'!$D$2:$D$36,'Daily evaluations'!$B$2:$B$36,"=naive_loser1d",'Daily evaluations'!$C$2:$C$36,"=d20261030"),"")</f>
      </c>
      <c r="AF2" s="8">
        <f>IF((0=1),SUMIFS('Daily evaluations'!$D$2:$D$36,'Daily evaluations'!$B$2:$B$36,"=naive_loser1d",'Daily evaluations'!$C$2:$C$36,"=d20261102"),"")</f>
      </c>
      <c r="AG2" s="8">
        <f>IF((0=1),SUMIFS('Daily evaluations'!$D$2:$D$36,'Daily evaluations'!$B$2:$B$36,"=naive_loser1d",'Daily evaluations'!$C$2:$C$36,"=d20261103"),"")</f>
      </c>
      <c r="AH2" s="8">
        <f>IF((0=1),SUMIFS('Daily evaluations'!$D$2:$D$36,'Daily evaluations'!$B$2:$B$36,"=naive_loser1d",'Daily evaluations'!$C$2:$C$36,"=d20261104"),"")</f>
      </c>
      <c r="AI2" s="8">
        <f>IF((0=1),SUMIFS('Daily evaluations'!$D$2:$D$36,'Daily evaluations'!$B$2:$B$36,"=naive_loser1d",'Daily evaluations'!$C$2:$C$36,"=d20261105"),"")</f>
      </c>
      <c r="AJ2" s="8">
        <f>IF((0=1),SUMIFS('Daily evaluations'!$D$2:$D$36,'Daily evaluations'!$B$2:$B$36,"=naive_loser1d",'Daily evaluations'!$C$2:$C$36,"=d20261106"),"")</f>
      </c>
      <c r="AK2" s="8">
        <f>IF((0=1),SUMIFS('Daily evaluations'!$D$2:$D$36,'Daily evaluations'!$B$2:$B$36,"=naive_loser1d",'Daily evaluations'!$C$2:$C$36,"=d20261109"),"")</f>
      </c>
      <c r="AL2" s="8">
        <f>IF((0=1),SUMIFS('Daily evaluations'!$D$2:$D$36,'Daily evaluations'!$B$2:$B$36,"=naive_loser1d",'Daily evaluations'!$C$2:$C$36,"=d20261110"),"")</f>
      </c>
      <c r="AM2" s="8">
        <f>IF((0=1),SUMIFS('Daily evaluations'!$D$2:$D$36,'Daily evaluations'!$B$2:$B$36,"=naive_loser1d",'Daily evaluations'!$C$2:$C$36,"=d20261111"),"")</f>
      </c>
      <c r="AN2" s="8">
        <f>IF((0=1),SUMIFS('Daily evaluations'!$D$2:$D$36,'Daily evaluations'!$B$2:$B$36,"=naive_loser1d",'Daily evaluations'!$C$2:$C$36,"=d20261112"),"")</f>
      </c>
      <c r="AO2" s="8">
        <f>IF((0=1),SUMIFS('Daily evaluations'!$D$2:$D$36,'Daily evaluations'!$B$2:$B$36,"=naive_loser1d",'Daily evaluations'!$C$2:$C$36,"=d20261113"),"")</f>
      </c>
      <c r="AP2" s="8">
        <f>IF((0=1),SUMIFS('Daily evaluations'!$D$2:$D$36,'Daily evaluations'!$B$2:$B$36,"=naive_loser1d",'Daily evaluations'!$C$2:$C$36,"=d20261116"),"")</f>
      </c>
      <c r="AQ2" s="8">
        <f>IF((0=1),SUMIFS('Daily evaluations'!$D$2:$D$36,'Daily evaluations'!$B$2:$B$36,"=naive_loser1d",'Daily evaluations'!$C$2:$C$36,"=d20261117"),"")</f>
      </c>
      <c r="AR2" s="8">
        <f>IF((0=1),SUMIFS('Daily evaluations'!$D$2:$D$36,'Daily evaluations'!$B$2:$B$36,"=naive_loser1d",'Daily evaluations'!$C$2:$C$36,"=d20261118"),"")</f>
      </c>
      <c r="AS2" s="8">
        <f>IF((0=1),SUMIFS('Daily evaluations'!$D$2:$D$36,'Daily evaluations'!$B$2:$B$36,"=naive_loser1d",'Daily evaluations'!$C$2:$C$36,"=d20261119"),"")</f>
      </c>
      <c r="AT2" s="8">
        <f>IF((0=1),SUMIFS('Daily evaluations'!$D$2:$D$36,'Daily evaluations'!$B$2:$B$36,"=naive_loser1d",'Daily evaluations'!$C$2:$C$36,"=d20261120"),"")</f>
      </c>
      <c r="AU2" s="8">
        <f>IF((0=1),SUMIFS('Daily evaluations'!$D$2:$D$36,'Daily evaluations'!$B$2:$B$36,"=naive_loser1d",'Daily evaluations'!$C$2:$C$36,"=d20261123"),"")</f>
      </c>
      <c r="AV2" s="8">
        <f>IF((0=1),SUMIFS('Daily evaluations'!$D$2:$D$36,'Daily evaluations'!$B$2:$B$36,"=naive_loser1d",'Daily evaluations'!$C$2:$C$36,"=d20261124"),"")</f>
      </c>
      <c r="AW2" s="8">
        <f>IF((0=1),SUMIFS('Daily evaluations'!$D$2:$D$36,'Daily evaluations'!$B$2:$B$36,"=naive_loser1d",'Daily evaluations'!$C$2:$C$36,"=d20261125"),"")</f>
      </c>
      <c r="AX2" s="8">
        <f>IF((0=1),SUMIFS('Daily evaluations'!$D$2:$D$36,'Daily evaluations'!$B$2:$B$36,"=naive_loser1d",'Daily evaluations'!$C$2:$C$36,"=d20261127"),"")</f>
      </c>
      <c r="AY2" s="8">
        <f>IF((0=1),SUMIFS('Daily evaluations'!$D$2:$D$36,'Daily evaluations'!$B$2:$B$36,"=naive_loser1d",'Daily evaluations'!$C$2:$C$36,"=d20261130"),"")</f>
      </c>
      <c r="AZ2" s="8">
        <f>IF((0=1),SUMIFS('Daily evaluations'!$D$2:$D$36,'Daily evaluations'!$B$2:$B$36,"=naive_loser1d",'Daily evaluations'!$C$2:$C$36,"=d20261201"),"")</f>
      </c>
      <c r="BA2" s="8">
        <f>IF((0=1),SUMIFS('Daily evaluations'!$D$2:$D$36,'Daily evaluations'!$B$2:$B$36,"=naive_loser1d",'Daily evaluations'!$C$2:$C$36,"=d20261202"),"")</f>
      </c>
      <c r="BB2" s="8">
        <f>IF((0=1),SUMIFS('Daily evaluations'!$D$2:$D$36,'Daily evaluations'!$B$2:$B$36,"=naive_loser1d",'Daily evaluations'!$C$2:$C$36,"=d20261203"),"")</f>
      </c>
      <c r="BC2" s="8">
        <f>IF((0=1),SUMIFS('Daily evaluations'!$D$2:$D$36,'Daily evaluations'!$B$2:$B$36,"=naive_loser1d",'Daily evaluations'!$C$2:$C$36,"=d20261204"),"")</f>
      </c>
      <c r="BD2" s="8">
        <f>IF((0=1),SUMIFS('Daily evaluations'!$D$2:$D$36,'Daily evaluations'!$B$2:$B$36,"=naive_loser1d",'Daily evaluations'!$C$2:$C$36,"=d20261207"),"")</f>
      </c>
      <c r="BE2" s="8">
        <f>IF((0=1),SUMIFS('Daily evaluations'!$D$2:$D$36,'Daily evaluations'!$B$2:$B$36,"=naive_loser1d",'Daily evaluations'!$C$2:$C$36,"=d20261208"),"")</f>
      </c>
      <c r="BF2" s="8">
        <f>IF((0=1),SUMIFS('Daily evaluations'!$D$2:$D$36,'Daily evaluations'!$B$2:$B$36,"=naive_loser1d",'Daily evaluations'!$C$2:$C$36,"=d20261209"),"")</f>
      </c>
      <c r="BG2" s="8">
        <f>IF((0=1),SUMIFS('Daily evaluations'!$D$2:$D$36,'Daily evaluations'!$B$2:$B$36,"=naive_loser1d",'Daily evaluations'!$C$2:$C$36,"=d20261210"),"")</f>
      </c>
      <c r="BH2" s="8">
        <f>IF((0=1),SUMIFS('Daily evaluations'!$D$2:$D$36,'Daily evaluations'!$B$2:$B$36,"=naive_loser1d",'Daily evaluations'!$C$2:$C$36,"=d20261211"),"")</f>
      </c>
      <c r="BI2" s="8">
        <f>IF((0=1),SUMIFS('Daily evaluations'!$D$2:$D$36,'Daily evaluations'!$B$2:$B$36,"=naive_loser1d",'Daily evaluations'!$C$2:$C$36,"=d20261214"),"")</f>
      </c>
      <c r="BJ2" s="8">
        <f>IF((0=1),SUMIFS('Daily evaluations'!$D$2:$D$36,'Daily evaluations'!$B$2:$B$36,"=naive_loser1d",'Daily evaluations'!$C$2:$C$36,"=d20261215"),"")</f>
      </c>
      <c r="BK2" s="8">
        <f>IF((0=1),SUMIFS('Daily evaluations'!$D$2:$D$36,'Daily evaluations'!$B$2:$B$36,"=naive_loser1d",'Daily evaluations'!$C$2:$C$36,"=d20261216"),"")</f>
      </c>
      <c r="BL2" s="8">
        <f>IF((0=1),SUMIFS('Daily evaluations'!$D$2:$D$36,'Daily evaluations'!$B$2:$B$36,"=naive_loser1d",'Daily evaluations'!$C$2:$C$36,"=d20261217"),"")</f>
      </c>
      <c r="BM2" s="8">
        <f>IF((0=1),SUMIFS('Daily evaluations'!$D$2:$D$36,'Daily evaluations'!$B$2:$B$36,"=naive_loser1d",'Daily evaluations'!$C$2:$C$36,"=d20261218"),"")</f>
      </c>
      <c r="BN2" s="8">
        <f>IF((0=1),SUMIFS('Daily evaluations'!$D$2:$D$36,'Daily evaluations'!$B$2:$B$36,"=naive_loser1d",'Daily evaluations'!$C$2:$C$36,"=d20261221"),"")</f>
      </c>
      <c r="BO2" s="8">
        <f>IF((0=1),SUMIFS('Daily evaluations'!$D$2:$D$36,'Daily evaluations'!$B$2:$B$36,"=naive_loser1d",'Daily evaluations'!$C$2:$C$36,"=d20261222"),"")</f>
      </c>
      <c r="BP2" s="8">
        <f>IF((0=1),SUMIFS('Daily evaluations'!$D$2:$D$36,'Daily evaluations'!$B$2:$B$36,"=naive_loser1d",'Daily evaluations'!$C$2:$C$36,"=d20261223"),"")</f>
      </c>
      <c r="BQ2" s="8">
        <f>IF((0=1),SUMIFS('Daily evaluations'!$D$2:$D$36,'Daily evaluations'!$B$2:$B$36,"=naive_loser1d",'Daily evaluations'!$C$2:$C$36,"=d20261224"),"")</f>
      </c>
      <c r="BR2" s="8">
        <f>IF((0=1),SUMIFS('Daily evaluations'!$D$2:$D$36,'Daily evaluations'!$B$2:$B$36,"=naive_loser1d",'Daily evaluations'!$C$2:$C$36,"=d20261228"),"")</f>
      </c>
      <c r="BS2" s="8">
        <f>IF((0=1),SUMIFS('Daily evaluations'!$D$2:$D$36,'Daily evaluations'!$B$2:$B$36,"=naive_loser1d",'Daily evaluations'!$C$2:$C$36,"=d20261229"),"")</f>
      </c>
      <c r="BT2" s="8">
        <f>IF((0=1),SUMIFS('Daily evaluations'!$D$2:$D$36,'Daily evaluations'!$B$2:$B$36,"=naive_loser1d",'Daily evaluations'!$C$2:$C$36,"=d20261230"),"")</f>
      </c>
      <c r="BU2" s="8">
        <f>IF((0=1),SUMIFS('Daily evaluations'!$D$2:$D$36,'Daily evaluations'!$B$2:$B$36,"=naive_loser1d",'Daily evaluations'!$C$2:$C$36,"=d20261231"),"")</f>
      </c>
      <c r="BV2" s="8">
        <f>IF((0=1),SUMIFS('Daily evaluations'!$D$2:$D$36,'Daily evaluations'!$B$2:$B$36,"=naive_loser1d",'Daily evaluations'!$C$2:$C$36,"=d20270104"),"")</f>
      </c>
      <c r="BW2" s="8">
        <f>IF((0=1),SUMIFS('Daily evaluations'!$D$2:$D$36,'Daily evaluations'!$B$2:$B$36,"=naive_loser1d",'Daily evaluations'!$C$2:$C$36,"=d20270105"),"")</f>
      </c>
      <c r="BX2" s="8">
        <f>IF((0=1),SUMIFS('Daily evaluations'!$D$2:$D$36,'Daily evaluations'!$B$2:$B$36,"=naive_loser1d",'Daily evaluations'!$C$2:$C$36,"=d20270106"),"")</f>
      </c>
      <c r="BY2" s="8">
        <f>IF((0=1),SUMIFS('Daily evaluations'!$D$2:$D$36,'Daily evaluations'!$B$2:$B$36,"=naive_loser1d",'Daily evaluations'!$C$2:$C$36,"=d20270107"),"")</f>
      </c>
      <c r="BZ2" s="8">
        <f>IF((0=1),SUMIFS('Daily evaluations'!$D$2:$D$36,'Daily evaluations'!$B$2:$B$36,"=naive_loser1d",'Daily evaluations'!$C$2:$C$36,"=d20270108"),"")</f>
      </c>
      <c r="CA2" s="8">
        <f>IF((0=1),SUMIFS('Daily evaluations'!$D$2:$D$36,'Daily evaluations'!$B$2:$B$36,"=naive_loser1d",'Daily evaluations'!$C$2:$C$36,"=d20270111"),"")</f>
      </c>
      <c r="CB2" s="8">
        <f>IF((0=1),SUMIFS('Daily evaluations'!$D$2:$D$36,'Daily evaluations'!$B$2:$B$36,"=naive_loser1d",'Daily evaluations'!$C$2:$C$36,"=d20270112"),"")</f>
      </c>
      <c r="CC2" s="8">
        <f>IF((0=1),SUMIFS('Daily evaluations'!$D$2:$D$36,'Daily evaluations'!$B$2:$B$36,"=naive_loser1d",'Daily evaluations'!$C$2:$C$36,"=d20270113"),"")</f>
      </c>
      <c r="CD2" s="8">
        <f>IF((0=1),SUMIFS('Daily evaluations'!$D$2:$D$36,'Daily evaluations'!$B$2:$B$36,"=naive_loser1d",'Daily evaluations'!$C$2:$C$36,"=d20270114"),"")</f>
      </c>
      <c r="CE2" s="8">
        <f>IF((0=1),SUMIFS('Daily evaluations'!$D$2:$D$36,'Daily evaluations'!$B$2:$B$36,"=naive_loser1d",'Daily evaluations'!$C$2:$C$36,"=d20270115"),"")</f>
      </c>
      <c r="CF2" s="8">
        <f>IF((0=1),SUMIFS('Daily evaluations'!$D$2:$D$36,'Daily evaluations'!$B$2:$B$36,"=naive_loser1d",'Daily evaluations'!$C$2:$C$36,"=d20270119"),"")</f>
      </c>
      <c r="CG2" s="8">
        <f>IF((0=1),SUMIFS('Daily evaluations'!$D$2:$D$36,'Daily evaluations'!$B$2:$B$36,"=naive_loser1d",'Daily evaluations'!$C$2:$C$36,"=d20270120"),"")</f>
      </c>
      <c r="CH2" s="8">
        <f>IF((0=1),SUMIFS('Daily evaluations'!$D$2:$D$36,'Daily evaluations'!$B$2:$B$36,"=naive_loser1d",'Daily evaluations'!$C$2:$C$36,"=d20270121"),"")</f>
      </c>
      <c r="CI2" s="8">
        <f>IF((0=1),SUMIFS('Daily evaluations'!$D$2:$D$36,'Daily evaluations'!$B$2:$B$36,"=naive_loser1d",'Daily evaluations'!$C$2:$C$36,"=d20270122"),"")</f>
      </c>
      <c r="CJ2" s="8">
        <f>IF((0=1),SUMIFS('Daily evaluations'!$D$2:$D$36,'Daily evaluations'!$B$2:$B$36,"=naive_loser1d",'Daily evaluations'!$C$2:$C$36,"=d20270125"),"")</f>
      </c>
      <c r="CK2" s="8">
        <f>IF((0=1),SUMIFS('Daily evaluations'!$D$2:$D$36,'Daily evaluations'!$B$2:$B$36,"=naive_loser1d",'Daily evaluations'!$C$2:$C$36,"=d20270126"),"")</f>
      </c>
      <c r="CL2" s="8">
        <f>IF((0=1),SUMIFS('Daily evaluations'!$D$2:$D$36,'Daily evaluations'!$B$2:$B$36,"=naive_loser1d",'Daily evaluations'!$C$2:$C$36,"=d20270127"),"")</f>
      </c>
      <c r="CM2" s="8">
        <f>IF((0=1),SUMIFS('Daily evaluations'!$D$2:$D$36,'Daily evaluations'!$B$2:$B$36,"=naive_loser1d",'Daily evaluations'!$C$2:$C$36,"=d20270128"),"")</f>
      </c>
      <c r="CN2" s="8">
        <f>IF((0=1),SUMIFS('Daily evaluations'!$D$2:$D$36,'Daily evaluations'!$B$2:$B$36,"=naive_loser1d",'Daily evaluations'!$C$2:$C$36,"=d20270129"),"")</f>
      </c>
      <c r="CO2" s="8">
        <f>IF((0=1),SUMIFS('Daily evaluations'!$D$2:$D$36,'Daily evaluations'!$B$2:$B$36,"=naive_loser1d",'Daily evaluations'!$C$2:$C$36,"=d20270201"),"")</f>
      </c>
      <c r="CP2" s="8">
        <f>IF((0=1),SUMIFS('Daily evaluations'!$D$2:$D$36,'Daily evaluations'!$B$2:$B$36,"=naive_loser1d",'Daily evaluations'!$C$2:$C$36,"=d20270202"),"")</f>
      </c>
      <c r="CQ2" s="8">
        <f>IF((0=1),SUMIFS('Daily evaluations'!$D$2:$D$36,'Daily evaluations'!$B$2:$B$36,"=naive_loser1d",'Daily evaluations'!$C$2:$C$36,"=d20270203"),"")</f>
      </c>
      <c r="CR2" s="8">
        <f>IF((0=1),SUMIFS('Daily evaluations'!$D$2:$D$36,'Daily evaluations'!$B$2:$B$36,"=naive_loser1d",'Daily evaluations'!$C$2:$C$36,"=d20270204"),"")</f>
      </c>
      <c r="CS2" s="8">
        <f>IF((0=1),SUMIFS('Daily evaluations'!$D$2:$D$36,'Daily evaluations'!$B$2:$B$36,"=naive_loser1d",'Daily evaluations'!$C$2:$C$36,"=d20270205"),"")</f>
      </c>
      <c r="CT2" s="8">
        <f>IF((0=1),SUMIFS('Daily evaluations'!$D$2:$D$36,'Daily evaluations'!$B$2:$B$36,"=naive_loser1d",'Daily evaluations'!$C$2:$C$36,"=d20270208"),"")</f>
      </c>
      <c r="CU2" s="8">
        <f>IF((0=1),SUMIFS('Daily evaluations'!$D$2:$D$36,'Daily evaluations'!$B$2:$B$36,"=naive_loser1d",'Daily evaluations'!$C$2:$C$36,"=d20270209"),"")</f>
      </c>
      <c r="CV2" s="8">
        <f>IF((0=1),SUMIFS('Daily evaluations'!$D$2:$D$36,'Daily evaluations'!$B$2:$B$36,"=naive_loser1d",'Daily evaluations'!$C$2:$C$36,"=d20270210"),"")</f>
      </c>
      <c r="CW2" s="8">
        <f>IF((0=1),SUMIFS('Daily evaluations'!$D$2:$D$36,'Daily evaluations'!$B$2:$B$36,"=naive_loser1d",'Daily evaluations'!$C$2:$C$36,"=d20270211"),"")</f>
      </c>
      <c r="CX2" s="8">
        <f>IF((0=1),SUMIFS('Daily evaluations'!$D$2:$D$36,'Daily evaluations'!$B$2:$B$36,"=naive_loser1d",'Daily evaluations'!$C$2:$C$36,"=d20270212"),"")</f>
      </c>
    </row>
    <row r="3">
      <c r="A3" s="0" t="inlineStr">
        <is>
          <t xml:space="preserve">Sector-neutral overnight excess, bps</t>
        </is>
      </c>
      <c r="B3" s="0" t="inlineStr">
        <is>
          <t xml:space="preserve">lowest 100 by 60-day volatility</t>
        </is>
      </c>
      <c r="C3" s="8">
        <f>IF((1=1),SUMIFS('Daily evaluations'!$D$2:$D$36,'Daily evaluations'!$B$2:$B$36,"=naive_lowvol",'Daily evaluations'!$C$2:$C$36,"=d20260922"),"")</f>
        <v>12.648</v>
      </c>
      <c r="D3" s="8">
        <f>IF((0=1),SUMIFS('Daily evaluations'!$D$2:$D$36,'Daily evaluations'!$B$2:$B$36,"=naive_lowvol",'Daily evaluations'!$C$2:$C$36,"=d20260923"),"")</f>
      </c>
      <c r="E3" s="8">
        <f>IF((0=1),SUMIFS('Daily evaluations'!$D$2:$D$36,'Daily evaluations'!$B$2:$B$36,"=naive_lowvol",'Daily evaluations'!$C$2:$C$36,"=d20260924"),"")</f>
      </c>
      <c r="F3" s="8">
        <f>IF((0=1),SUMIFS('Daily evaluations'!$D$2:$D$36,'Daily evaluations'!$B$2:$B$36,"=naive_lowvol",'Daily evaluations'!$C$2:$C$36,"=d20260925"),"")</f>
      </c>
      <c r="G3" s="8">
        <f>IF((0=1),SUMIFS('Daily evaluations'!$D$2:$D$36,'Daily evaluations'!$B$2:$B$36,"=naive_lowvol",'Daily evaluations'!$C$2:$C$36,"=d20260928"),"")</f>
      </c>
      <c r="H3" s="8">
        <f>IF((0=1),SUMIFS('Daily evaluations'!$D$2:$D$36,'Daily evaluations'!$B$2:$B$36,"=naive_lowvol",'Daily evaluations'!$C$2:$C$36,"=d20260929"),"")</f>
      </c>
      <c r="I3" s="8">
        <f>IF((0=1),SUMIFS('Daily evaluations'!$D$2:$D$36,'Daily evaluations'!$B$2:$B$36,"=naive_lowvol",'Daily evaluations'!$C$2:$C$36,"=d20260930"),"")</f>
      </c>
      <c r="J3" s="8">
        <f>IF((0=1),SUMIFS('Daily evaluations'!$D$2:$D$36,'Daily evaluations'!$B$2:$B$36,"=naive_lowvol",'Daily evaluations'!$C$2:$C$36,"=d20261001"),"")</f>
      </c>
      <c r="K3" s="8">
        <f>IF((0=1),SUMIFS('Daily evaluations'!$D$2:$D$36,'Daily evaluations'!$B$2:$B$36,"=naive_lowvol",'Daily evaluations'!$C$2:$C$36,"=d20261002"),"")</f>
      </c>
      <c r="L3" s="8">
        <f>IF((0=1),SUMIFS('Daily evaluations'!$D$2:$D$36,'Daily evaluations'!$B$2:$B$36,"=naive_lowvol",'Daily evaluations'!$C$2:$C$36,"=d20261005"),"")</f>
      </c>
      <c r="M3" s="8">
        <f>IF((0=1),SUMIFS('Daily evaluations'!$D$2:$D$36,'Daily evaluations'!$B$2:$B$36,"=naive_lowvol",'Daily evaluations'!$C$2:$C$36,"=d20261006"),"")</f>
      </c>
      <c r="N3" s="8">
        <f>IF((0=1),SUMIFS('Daily evaluations'!$D$2:$D$36,'Daily evaluations'!$B$2:$B$36,"=naive_lowvol",'Daily evaluations'!$C$2:$C$36,"=d20261007"),"")</f>
      </c>
      <c r="O3" s="8">
        <f>IF((0=1),SUMIFS('Daily evaluations'!$D$2:$D$36,'Daily evaluations'!$B$2:$B$36,"=naive_lowvol",'Daily evaluations'!$C$2:$C$36,"=d20261008"),"")</f>
      </c>
      <c r="P3" s="8">
        <f>IF((0=1),SUMIFS('Daily evaluations'!$D$2:$D$36,'Daily evaluations'!$B$2:$B$36,"=naive_lowvol",'Daily evaluations'!$C$2:$C$36,"=d20261009"),"")</f>
      </c>
      <c r="Q3" s="8">
        <f>IF((0=1),SUMIFS('Daily evaluations'!$D$2:$D$36,'Daily evaluations'!$B$2:$B$36,"=naive_lowvol",'Daily evaluations'!$C$2:$C$36,"=d20261012"),"")</f>
      </c>
      <c r="R3" s="8">
        <f>IF((0=1),SUMIFS('Daily evaluations'!$D$2:$D$36,'Daily evaluations'!$B$2:$B$36,"=naive_lowvol",'Daily evaluations'!$C$2:$C$36,"=d20261013"),"")</f>
      </c>
      <c r="S3" s="8">
        <f>IF((0=1),SUMIFS('Daily evaluations'!$D$2:$D$36,'Daily evaluations'!$B$2:$B$36,"=naive_lowvol",'Daily evaluations'!$C$2:$C$36,"=d20261014"),"")</f>
      </c>
      <c r="T3" s="8">
        <f>IF((0=1),SUMIFS('Daily evaluations'!$D$2:$D$36,'Daily evaluations'!$B$2:$B$36,"=naive_lowvol",'Daily evaluations'!$C$2:$C$36,"=d20261015"),"")</f>
      </c>
      <c r="U3" s="8">
        <f>IF((0=1),SUMIFS('Daily evaluations'!$D$2:$D$36,'Daily evaluations'!$B$2:$B$36,"=naive_lowvol",'Daily evaluations'!$C$2:$C$36,"=d20261016"),"")</f>
      </c>
      <c r="V3" s="8">
        <f>IF((0=1),SUMIFS('Daily evaluations'!$D$2:$D$36,'Daily evaluations'!$B$2:$B$36,"=naive_lowvol",'Daily evaluations'!$C$2:$C$36,"=d20261019"),"")</f>
      </c>
      <c r="W3" s="8">
        <f>IF((0=1),SUMIFS('Daily evaluations'!$D$2:$D$36,'Daily evaluations'!$B$2:$B$36,"=naive_lowvol",'Daily evaluations'!$C$2:$C$36,"=d20261020"),"")</f>
      </c>
      <c r="X3" s="8">
        <f>IF((0=1),SUMIFS('Daily evaluations'!$D$2:$D$36,'Daily evaluations'!$B$2:$B$36,"=naive_lowvol",'Daily evaluations'!$C$2:$C$36,"=d20261021"),"")</f>
      </c>
      <c r="Y3" s="8">
        <f>IF((0=1),SUMIFS('Daily evaluations'!$D$2:$D$36,'Daily evaluations'!$B$2:$B$36,"=naive_lowvol",'Daily evaluations'!$C$2:$C$36,"=d20261022"),"")</f>
      </c>
      <c r="Z3" s="8">
        <f>IF((0=1),SUMIFS('Daily evaluations'!$D$2:$D$36,'Daily evaluations'!$B$2:$B$36,"=naive_lowvol",'Daily evaluations'!$C$2:$C$36,"=d20261023"),"")</f>
      </c>
      <c r="AA3" s="8">
        <f>IF((0=1),SUMIFS('Daily evaluations'!$D$2:$D$36,'Daily evaluations'!$B$2:$B$36,"=naive_lowvol",'Daily evaluations'!$C$2:$C$36,"=d20261026"),"")</f>
      </c>
      <c r="AB3" s="8">
        <f>IF((0=1),SUMIFS('Daily evaluations'!$D$2:$D$36,'Daily evaluations'!$B$2:$B$36,"=naive_lowvol",'Daily evaluations'!$C$2:$C$36,"=d20261027"),"")</f>
      </c>
      <c r="AC3" s="8">
        <f>IF((0=1),SUMIFS('Daily evaluations'!$D$2:$D$36,'Daily evaluations'!$B$2:$B$36,"=naive_lowvol",'Daily evaluations'!$C$2:$C$36,"=d20261028"),"")</f>
      </c>
      <c r="AD3" s="8">
        <f>IF((0=1),SUMIFS('Daily evaluations'!$D$2:$D$36,'Daily evaluations'!$B$2:$B$36,"=naive_lowvol",'Daily evaluations'!$C$2:$C$36,"=d20261029"),"")</f>
      </c>
      <c r="AE3" s="8">
        <f>IF((0=1),SUMIFS('Daily evaluations'!$D$2:$D$36,'Daily evaluations'!$B$2:$B$36,"=naive_lowvol",'Daily evaluations'!$C$2:$C$36,"=d20261030"),"")</f>
      </c>
      <c r="AF3" s="8">
        <f>IF((0=1),SUMIFS('Daily evaluations'!$D$2:$D$36,'Daily evaluations'!$B$2:$B$36,"=naive_lowvol",'Daily evaluations'!$C$2:$C$36,"=d20261102"),"")</f>
      </c>
      <c r="AG3" s="8">
        <f>IF((0=1),SUMIFS('Daily evaluations'!$D$2:$D$36,'Daily evaluations'!$B$2:$B$36,"=naive_lowvol",'Daily evaluations'!$C$2:$C$36,"=d20261103"),"")</f>
      </c>
      <c r="AH3" s="8">
        <f>IF((0=1),SUMIFS('Daily evaluations'!$D$2:$D$36,'Daily evaluations'!$B$2:$B$36,"=naive_lowvol",'Daily evaluations'!$C$2:$C$36,"=d20261104"),"")</f>
      </c>
      <c r="AI3" s="8">
        <f>IF((0=1),SUMIFS('Daily evaluations'!$D$2:$D$36,'Daily evaluations'!$B$2:$B$36,"=naive_lowvol",'Daily evaluations'!$C$2:$C$36,"=d20261105"),"")</f>
      </c>
      <c r="AJ3" s="8">
        <f>IF((0=1),SUMIFS('Daily evaluations'!$D$2:$D$36,'Daily evaluations'!$B$2:$B$36,"=naive_lowvol",'Daily evaluations'!$C$2:$C$36,"=d20261106"),"")</f>
      </c>
      <c r="AK3" s="8">
        <f>IF((0=1),SUMIFS('Daily evaluations'!$D$2:$D$36,'Daily evaluations'!$B$2:$B$36,"=naive_lowvol",'Daily evaluations'!$C$2:$C$36,"=d20261109"),"")</f>
      </c>
      <c r="AL3" s="8">
        <f>IF((0=1),SUMIFS('Daily evaluations'!$D$2:$D$36,'Daily evaluations'!$B$2:$B$36,"=naive_lowvol",'Daily evaluations'!$C$2:$C$36,"=d20261110"),"")</f>
      </c>
      <c r="AM3" s="8">
        <f>IF((0=1),SUMIFS('Daily evaluations'!$D$2:$D$36,'Daily evaluations'!$B$2:$B$36,"=naive_lowvol",'Daily evaluations'!$C$2:$C$36,"=d20261111"),"")</f>
      </c>
      <c r="AN3" s="8">
        <f>IF((0=1),SUMIFS('Daily evaluations'!$D$2:$D$36,'Daily evaluations'!$B$2:$B$36,"=naive_lowvol",'Daily evaluations'!$C$2:$C$36,"=d20261112"),"")</f>
      </c>
      <c r="AO3" s="8">
        <f>IF((0=1),SUMIFS('Daily evaluations'!$D$2:$D$36,'Daily evaluations'!$B$2:$B$36,"=naive_lowvol",'Daily evaluations'!$C$2:$C$36,"=d20261113"),"")</f>
      </c>
      <c r="AP3" s="8">
        <f>IF((0=1),SUMIFS('Daily evaluations'!$D$2:$D$36,'Daily evaluations'!$B$2:$B$36,"=naive_lowvol",'Daily evaluations'!$C$2:$C$36,"=d20261116"),"")</f>
      </c>
      <c r="AQ3" s="8">
        <f>IF((0=1),SUMIFS('Daily evaluations'!$D$2:$D$36,'Daily evaluations'!$B$2:$B$36,"=naive_lowvol",'Daily evaluations'!$C$2:$C$36,"=d20261117"),"")</f>
      </c>
      <c r="AR3" s="8">
        <f>IF((0=1),SUMIFS('Daily evaluations'!$D$2:$D$36,'Daily evaluations'!$B$2:$B$36,"=naive_lowvol",'Daily evaluations'!$C$2:$C$36,"=d20261118"),"")</f>
      </c>
      <c r="AS3" s="8">
        <f>IF((0=1),SUMIFS('Daily evaluations'!$D$2:$D$36,'Daily evaluations'!$B$2:$B$36,"=naive_lowvol",'Daily evaluations'!$C$2:$C$36,"=d20261119"),"")</f>
      </c>
      <c r="AT3" s="8">
        <f>IF((0=1),SUMIFS('Daily evaluations'!$D$2:$D$36,'Daily evaluations'!$B$2:$B$36,"=naive_lowvol",'Daily evaluations'!$C$2:$C$36,"=d20261120"),"")</f>
      </c>
      <c r="AU3" s="8">
        <f>IF((0=1),SUMIFS('Daily evaluations'!$D$2:$D$36,'Daily evaluations'!$B$2:$B$36,"=naive_lowvol",'Daily evaluations'!$C$2:$C$36,"=d20261123"),"")</f>
      </c>
      <c r="AV3" s="8">
        <f>IF((0=1),SUMIFS('Daily evaluations'!$D$2:$D$36,'Daily evaluations'!$B$2:$B$36,"=naive_lowvol",'Daily evaluations'!$C$2:$C$36,"=d20261124"),"")</f>
      </c>
      <c r="AW3" s="8">
        <f>IF((0=1),SUMIFS('Daily evaluations'!$D$2:$D$36,'Daily evaluations'!$B$2:$B$36,"=naive_lowvol",'Daily evaluations'!$C$2:$C$36,"=d20261125"),"")</f>
      </c>
      <c r="AX3" s="8">
        <f>IF((0=1),SUMIFS('Daily evaluations'!$D$2:$D$36,'Daily evaluations'!$B$2:$B$36,"=naive_lowvol",'Daily evaluations'!$C$2:$C$36,"=d20261127"),"")</f>
      </c>
      <c r="AY3" s="8">
        <f>IF((0=1),SUMIFS('Daily evaluations'!$D$2:$D$36,'Daily evaluations'!$B$2:$B$36,"=naive_lowvol",'Daily evaluations'!$C$2:$C$36,"=d20261130"),"")</f>
      </c>
      <c r="AZ3" s="8">
        <f>IF((0=1),SUMIFS('Daily evaluations'!$D$2:$D$36,'Daily evaluations'!$B$2:$B$36,"=naive_lowvol",'Daily evaluations'!$C$2:$C$36,"=d20261201"),"")</f>
      </c>
      <c r="BA3" s="8">
        <f>IF((0=1),SUMIFS('Daily evaluations'!$D$2:$D$36,'Daily evaluations'!$B$2:$B$36,"=naive_lowvol",'Daily evaluations'!$C$2:$C$36,"=d20261202"),"")</f>
      </c>
      <c r="BB3" s="8">
        <f>IF((0=1),SUMIFS('Daily evaluations'!$D$2:$D$36,'Daily evaluations'!$B$2:$B$36,"=naive_lowvol",'Daily evaluations'!$C$2:$C$36,"=d20261203"),"")</f>
      </c>
      <c r="BC3" s="8">
        <f>IF((0=1),SUMIFS('Daily evaluations'!$D$2:$D$36,'Daily evaluations'!$B$2:$B$36,"=naive_lowvol",'Daily evaluations'!$C$2:$C$36,"=d20261204"),"")</f>
      </c>
      <c r="BD3" s="8">
        <f>IF((0=1),SUMIFS('Daily evaluations'!$D$2:$D$36,'Daily evaluations'!$B$2:$B$36,"=naive_lowvol",'Daily evaluations'!$C$2:$C$36,"=d20261207"),"")</f>
      </c>
      <c r="BE3" s="8">
        <f>IF((0=1),SUMIFS('Daily evaluations'!$D$2:$D$36,'Daily evaluations'!$B$2:$B$36,"=naive_lowvol",'Daily evaluations'!$C$2:$C$36,"=d20261208"),"")</f>
      </c>
      <c r="BF3" s="8">
        <f>IF((0=1),SUMIFS('Daily evaluations'!$D$2:$D$36,'Daily evaluations'!$B$2:$B$36,"=naive_lowvol",'Daily evaluations'!$C$2:$C$36,"=d20261209"),"")</f>
      </c>
      <c r="BG3" s="8">
        <f>IF((0=1),SUMIFS('Daily evaluations'!$D$2:$D$36,'Daily evaluations'!$B$2:$B$36,"=naive_lowvol",'Daily evaluations'!$C$2:$C$36,"=d20261210"),"")</f>
      </c>
      <c r="BH3" s="8">
        <f>IF((0=1),SUMIFS('Daily evaluations'!$D$2:$D$36,'Daily evaluations'!$B$2:$B$36,"=naive_lowvol",'Daily evaluations'!$C$2:$C$36,"=d20261211"),"")</f>
      </c>
      <c r="BI3" s="8">
        <f>IF((0=1),SUMIFS('Daily evaluations'!$D$2:$D$36,'Daily evaluations'!$B$2:$B$36,"=naive_lowvol",'Daily evaluations'!$C$2:$C$36,"=d20261214"),"")</f>
      </c>
      <c r="BJ3" s="8">
        <f>IF((0=1),SUMIFS('Daily evaluations'!$D$2:$D$36,'Daily evaluations'!$B$2:$B$36,"=naive_lowvol",'Daily evaluations'!$C$2:$C$36,"=d20261215"),"")</f>
      </c>
      <c r="BK3" s="8">
        <f>IF((0=1),SUMIFS('Daily evaluations'!$D$2:$D$36,'Daily evaluations'!$B$2:$B$36,"=naive_lowvol",'Daily evaluations'!$C$2:$C$36,"=d20261216"),"")</f>
      </c>
      <c r="BL3" s="8">
        <f>IF((0=1),SUMIFS('Daily evaluations'!$D$2:$D$36,'Daily evaluations'!$B$2:$B$36,"=naive_lowvol",'Daily evaluations'!$C$2:$C$36,"=d20261217"),"")</f>
      </c>
      <c r="BM3" s="8">
        <f>IF((0=1),SUMIFS('Daily evaluations'!$D$2:$D$36,'Daily evaluations'!$B$2:$B$36,"=naive_lowvol",'Daily evaluations'!$C$2:$C$36,"=d20261218"),"")</f>
      </c>
      <c r="BN3" s="8">
        <f>IF((0=1),SUMIFS('Daily evaluations'!$D$2:$D$36,'Daily evaluations'!$B$2:$B$36,"=naive_lowvol",'Daily evaluations'!$C$2:$C$36,"=d20261221"),"")</f>
      </c>
      <c r="BO3" s="8">
        <f>IF((0=1),SUMIFS('Daily evaluations'!$D$2:$D$36,'Daily evaluations'!$B$2:$B$36,"=naive_lowvol",'Daily evaluations'!$C$2:$C$36,"=d20261222"),"")</f>
      </c>
      <c r="BP3" s="8">
        <f>IF((0=1),SUMIFS('Daily evaluations'!$D$2:$D$36,'Daily evaluations'!$B$2:$B$36,"=naive_lowvol",'Daily evaluations'!$C$2:$C$36,"=d20261223"),"")</f>
      </c>
      <c r="BQ3" s="8">
        <f>IF((0=1),SUMIFS('Daily evaluations'!$D$2:$D$36,'Daily evaluations'!$B$2:$B$36,"=naive_lowvol",'Daily evaluations'!$C$2:$C$36,"=d20261224"),"")</f>
      </c>
      <c r="BR3" s="8">
        <f>IF((0=1),SUMIFS('Daily evaluations'!$D$2:$D$36,'Daily evaluations'!$B$2:$B$36,"=naive_lowvol",'Daily evaluations'!$C$2:$C$36,"=d20261228"),"")</f>
      </c>
      <c r="BS3" s="8">
        <f>IF((0=1),SUMIFS('Daily evaluations'!$D$2:$D$36,'Daily evaluations'!$B$2:$B$36,"=naive_lowvol",'Daily evaluations'!$C$2:$C$36,"=d20261229"),"")</f>
      </c>
      <c r="BT3" s="8">
        <f>IF((0=1),SUMIFS('Daily evaluations'!$D$2:$D$36,'Daily evaluations'!$B$2:$B$36,"=naive_lowvol",'Daily evaluations'!$C$2:$C$36,"=d20261230"),"")</f>
      </c>
      <c r="BU3" s="8">
        <f>IF((0=1),SUMIFS('Daily evaluations'!$D$2:$D$36,'Daily evaluations'!$B$2:$B$36,"=naive_lowvol",'Daily evaluations'!$C$2:$C$36,"=d20261231"),"")</f>
      </c>
      <c r="BV3" s="8">
        <f>IF((0=1),SUMIFS('Daily evaluations'!$D$2:$D$36,'Daily evaluations'!$B$2:$B$36,"=naive_lowvol",'Daily evaluations'!$C$2:$C$36,"=d20270104"),"")</f>
      </c>
      <c r="BW3" s="8">
        <f>IF((0=1),SUMIFS('Daily evaluations'!$D$2:$D$36,'Daily evaluations'!$B$2:$B$36,"=naive_lowvol",'Daily evaluations'!$C$2:$C$36,"=d20270105"),"")</f>
      </c>
      <c r="BX3" s="8">
        <f>IF((0=1),SUMIFS('Daily evaluations'!$D$2:$D$36,'Daily evaluations'!$B$2:$B$36,"=naive_lowvol",'Daily evaluations'!$C$2:$C$36,"=d20270106"),"")</f>
      </c>
      <c r="BY3" s="8">
        <f>IF((0=1),SUMIFS('Daily evaluations'!$D$2:$D$36,'Daily evaluations'!$B$2:$B$36,"=naive_lowvol",'Daily evaluations'!$C$2:$C$36,"=d20270107"),"")</f>
      </c>
      <c r="BZ3" s="8">
        <f>IF((0=1),SUMIFS('Daily evaluations'!$D$2:$D$36,'Daily evaluations'!$B$2:$B$36,"=naive_lowvol",'Daily evaluations'!$C$2:$C$36,"=d20270108"),"")</f>
      </c>
      <c r="CA3" s="8">
        <f>IF((0=1),SUMIFS('Daily evaluations'!$D$2:$D$36,'Daily evaluations'!$B$2:$B$36,"=naive_lowvol",'Daily evaluations'!$C$2:$C$36,"=d20270111"),"")</f>
      </c>
      <c r="CB3" s="8">
        <f>IF((0=1),SUMIFS('Daily evaluations'!$D$2:$D$36,'Daily evaluations'!$B$2:$B$36,"=naive_lowvol",'Daily evaluations'!$C$2:$C$36,"=d20270112"),"")</f>
      </c>
      <c r="CC3" s="8">
        <f>IF((0=1),SUMIFS('Daily evaluations'!$D$2:$D$36,'Daily evaluations'!$B$2:$B$36,"=naive_lowvol",'Daily evaluations'!$C$2:$C$36,"=d20270113"),"")</f>
      </c>
      <c r="CD3" s="8">
        <f>IF((0=1),SUMIFS('Daily evaluations'!$D$2:$D$36,'Daily evaluations'!$B$2:$B$36,"=naive_lowvol",'Daily evaluations'!$C$2:$C$36,"=d20270114"),"")</f>
      </c>
      <c r="CE3" s="8">
        <f>IF((0=1),SUMIFS('Daily evaluations'!$D$2:$D$36,'Daily evaluations'!$B$2:$B$36,"=naive_lowvol",'Daily evaluations'!$C$2:$C$36,"=d20270115"),"")</f>
      </c>
      <c r="CF3" s="8">
        <f>IF((0=1),SUMIFS('Daily evaluations'!$D$2:$D$36,'Daily evaluations'!$B$2:$B$36,"=naive_lowvol",'Daily evaluations'!$C$2:$C$36,"=d20270119"),"")</f>
      </c>
      <c r="CG3" s="8">
        <f>IF((0=1),SUMIFS('Daily evaluations'!$D$2:$D$36,'Daily evaluations'!$B$2:$B$36,"=naive_lowvol",'Daily evaluations'!$C$2:$C$36,"=d20270120"),"")</f>
      </c>
      <c r="CH3" s="8">
        <f>IF((0=1),SUMIFS('Daily evaluations'!$D$2:$D$36,'Daily evaluations'!$B$2:$B$36,"=naive_lowvol",'Daily evaluations'!$C$2:$C$36,"=d20270121"),"")</f>
      </c>
      <c r="CI3" s="8">
        <f>IF((0=1),SUMIFS('Daily evaluations'!$D$2:$D$36,'Daily evaluations'!$B$2:$B$36,"=naive_lowvol",'Daily evaluations'!$C$2:$C$36,"=d20270122"),"")</f>
      </c>
      <c r="CJ3" s="8">
        <f>IF((0=1),SUMIFS('Daily evaluations'!$D$2:$D$36,'Daily evaluations'!$B$2:$B$36,"=naive_lowvol",'Daily evaluations'!$C$2:$C$36,"=d20270125"),"")</f>
      </c>
      <c r="CK3" s="8">
        <f>IF((0=1),SUMIFS('Daily evaluations'!$D$2:$D$36,'Daily evaluations'!$B$2:$B$36,"=naive_lowvol",'Daily evaluations'!$C$2:$C$36,"=d20270126"),"")</f>
      </c>
      <c r="CL3" s="8">
        <f>IF((0=1),SUMIFS('Daily evaluations'!$D$2:$D$36,'Daily evaluations'!$B$2:$B$36,"=naive_lowvol",'Daily evaluations'!$C$2:$C$36,"=d20270127"),"")</f>
      </c>
      <c r="CM3" s="8">
        <f>IF((0=1),SUMIFS('Daily evaluations'!$D$2:$D$36,'Daily evaluations'!$B$2:$B$36,"=naive_lowvol",'Daily evaluations'!$C$2:$C$36,"=d20270128"),"")</f>
      </c>
      <c r="CN3" s="8">
        <f>IF((0=1),SUMIFS('Daily evaluations'!$D$2:$D$36,'Daily evaluations'!$B$2:$B$36,"=naive_lowvol",'Daily evaluations'!$C$2:$C$36,"=d20270129"),"")</f>
      </c>
      <c r="CO3" s="8">
        <f>IF((0=1),SUMIFS('Daily evaluations'!$D$2:$D$36,'Daily evaluations'!$B$2:$B$36,"=naive_lowvol",'Daily evaluations'!$C$2:$C$36,"=d20270201"),"")</f>
      </c>
      <c r="CP3" s="8">
        <f>IF((0=1),SUMIFS('Daily evaluations'!$D$2:$D$36,'Daily evaluations'!$B$2:$B$36,"=naive_lowvol",'Daily evaluations'!$C$2:$C$36,"=d20270202"),"")</f>
      </c>
      <c r="CQ3" s="8">
        <f>IF((0=1),SUMIFS('Daily evaluations'!$D$2:$D$36,'Daily evaluations'!$B$2:$B$36,"=naive_lowvol",'Daily evaluations'!$C$2:$C$36,"=d20270203"),"")</f>
      </c>
      <c r="CR3" s="8">
        <f>IF((0=1),SUMIFS('Daily evaluations'!$D$2:$D$36,'Daily evaluations'!$B$2:$B$36,"=naive_lowvol",'Daily evaluations'!$C$2:$C$36,"=d20270204"),"")</f>
      </c>
      <c r="CS3" s="8">
        <f>IF((0=1),SUMIFS('Daily evaluations'!$D$2:$D$36,'Daily evaluations'!$B$2:$B$36,"=naive_lowvol",'Daily evaluations'!$C$2:$C$36,"=d20270205"),"")</f>
      </c>
      <c r="CT3" s="8">
        <f>IF((0=1),SUMIFS('Daily evaluations'!$D$2:$D$36,'Daily evaluations'!$B$2:$B$36,"=naive_lowvol",'Daily evaluations'!$C$2:$C$36,"=d20270208"),"")</f>
      </c>
      <c r="CU3" s="8">
        <f>IF((0=1),SUMIFS('Daily evaluations'!$D$2:$D$36,'Daily evaluations'!$B$2:$B$36,"=naive_lowvol",'Daily evaluations'!$C$2:$C$36,"=d20270209"),"")</f>
      </c>
      <c r="CV3" s="8">
        <f>IF((0=1),SUMIFS('Daily evaluations'!$D$2:$D$36,'Daily evaluations'!$B$2:$B$36,"=naive_lowvol",'Daily evaluations'!$C$2:$C$36,"=d20270210"),"")</f>
      </c>
      <c r="CW3" s="8">
        <f>IF((0=1),SUMIFS('Daily evaluations'!$D$2:$D$36,'Daily evaluations'!$B$2:$B$36,"=naive_lowvol",'Daily evaluations'!$C$2:$C$36,"=d20270211"),"")</f>
      </c>
      <c r="CX3" s="8">
        <f>IF((0=1),SUMIFS('Daily evaluations'!$D$2:$D$36,'Daily evaluations'!$B$2:$B$36,"=naive_lowvol",'Daily evaluations'!$C$2:$C$36,"=d20270212"),"")</f>
      </c>
    </row>
    <row r="4">
      <c r="A4" s="0" t="inlineStr">
        <is>
          <t xml:space="preserve">Sector-neutral overnight excess, bps</t>
        </is>
      </c>
      <c r="B4" s="0" t="inlineStr">
        <is>
          <t xml:space="preserve">largest 100 by market cap</t>
        </is>
      </c>
      <c r="C4" s="8">
        <f>IF((1=1),SUMIFS('Daily evaluations'!$D$2:$D$36,'Daily evaluations'!$B$2:$B$36,"=naive_mcap",'Daily evaluations'!$C$2:$C$36,"=d20260922"),"")</f>
        <v>4.751</v>
      </c>
      <c r="D4" s="8">
        <f>IF((0=1),SUMIFS('Daily evaluations'!$D$2:$D$36,'Daily evaluations'!$B$2:$B$36,"=naive_mcap",'Daily evaluations'!$C$2:$C$36,"=d20260923"),"")</f>
      </c>
      <c r="E4" s="8">
        <f>IF((0=1),SUMIFS('Daily evaluations'!$D$2:$D$36,'Daily evaluations'!$B$2:$B$36,"=naive_mcap",'Daily evaluations'!$C$2:$C$36,"=d20260924"),"")</f>
      </c>
      <c r="F4" s="8">
        <f>IF((0=1),SUMIFS('Daily evaluations'!$D$2:$D$36,'Daily evaluations'!$B$2:$B$36,"=naive_mcap",'Daily evaluations'!$C$2:$C$36,"=d20260925"),"")</f>
      </c>
      <c r="G4" s="8">
        <f>IF((0=1),SUMIFS('Daily evaluations'!$D$2:$D$36,'Daily evaluations'!$B$2:$B$36,"=naive_mcap",'Daily evaluations'!$C$2:$C$36,"=d20260928"),"")</f>
      </c>
      <c r="H4" s="8">
        <f>IF((0=1),SUMIFS('Daily evaluations'!$D$2:$D$36,'Daily evaluations'!$B$2:$B$36,"=naive_mcap",'Daily evaluations'!$C$2:$C$36,"=d20260929"),"")</f>
      </c>
      <c r="I4" s="8">
        <f>IF((0=1),SUMIFS('Daily evaluations'!$D$2:$D$36,'Daily evaluations'!$B$2:$B$36,"=naive_mcap",'Daily evaluations'!$C$2:$C$36,"=d20260930"),"")</f>
      </c>
      <c r="J4" s="8">
        <f>IF((0=1),SUMIFS('Daily evaluations'!$D$2:$D$36,'Daily evaluations'!$B$2:$B$36,"=naive_mcap",'Daily evaluations'!$C$2:$C$36,"=d20261001"),"")</f>
      </c>
      <c r="K4" s="8">
        <f>IF((0=1),SUMIFS('Daily evaluations'!$D$2:$D$36,'Daily evaluations'!$B$2:$B$36,"=naive_mcap",'Daily evaluations'!$C$2:$C$36,"=d20261002"),"")</f>
      </c>
      <c r="L4" s="8">
        <f>IF((0=1),SUMIFS('Daily evaluations'!$D$2:$D$36,'Daily evaluations'!$B$2:$B$36,"=naive_mcap",'Daily evaluations'!$C$2:$C$36,"=d20261005"),"")</f>
      </c>
      <c r="M4" s="8">
        <f>IF((0=1),SUMIFS('Daily evaluations'!$D$2:$D$36,'Daily evaluations'!$B$2:$B$36,"=naive_mcap",'Daily evaluations'!$C$2:$C$36,"=d20261006"),"")</f>
      </c>
      <c r="N4" s="8">
        <f>IF((0=1),SUMIFS('Daily evaluations'!$D$2:$D$36,'Daily evaluations'!$B$2:$B$36,"=naive_mcap",'Daily evaluations'!$C$2:$C$36,"=d20261007"),"")</f>
      </c>
      <c r="O4" s="8">
        <f>IF((0=1),SUMIFS('Daily evaluations'!$D$2:$D$36,'Daily evaluations'!$B$2:$B$36,"=naive_mcap",'Daily evaluations'!$C$2:$C$36,"=d20261008"),"")</f>
      </c>
      <c r="P4" s="8">
        <f>IF((0=1),SUMIFS('Daily evaluations'!$D$2:$D$36,'Daily evaluations'!$B$2:$B$36,"=naive_mcap",'Daily evaluations'!$C$2:$C$36,"=d20261009"),"")</f>
      </c>
      <c r="Q4" s="8">
        <f>IF((0=1),SUMIFS('Daily evaluations'!$D$2:$D$36,'Daily evaluations'!$B$2:$B$36,"=naive_mcap",'Daily evaluations'!$C$2:$C$36,"=d20261012"),"")</f>
      </c>
      <c r="R4" s="8">
        <f>IF((0=1),SUMIFS('Daily evaluations'!$D$2:$D$36,'Daily evaluations'!$B$2:$B$36,"=naive_mcap",'Daily evaluations'!$C$2:$C$36,"=d20261013"),"")</f>
      </c>
      <c r="S4" s="8">
        <f>IF((0=1),SUMIFS('Daily evaluations'!$D$2:$D$36,'Daily evaluations'!$B$2:$B$36,"=naive_mcap",'Daily evaluations'!$C$2:$C$36,"=d20261014"),"")</f>
      </c>
      <c r="T4" s="8">
        <f>IF((0=1),SUMIFS('Daily evaluations'!$D$2:$D$36,'Daily evaluations'!$B$2:$B$36,"=naive_mcap",'Daily evaluations'!$C$2:$C$36,"=d20261015"),"")</f>
      </c>
      <c r="U4" s="8">
        <f>IF((0=1),SUMIFS('Daily evaluations'!$D$2:$D$36,'Daily evaluations'!$B$2:$B$36,"=naive_mcap",'Daily evaluations'!$C$2:$C$36,"=d20261016"),"")</f>
      </c>
      <c r="V4" s="8">
        <f>IF((0=1),SUMIFS('Daily evaluations'!$D$2:$D$36,'Daily evaluations'!$B$2:$B$36,"=naive_mcap",'Daily evaluations'!$C$2:$C$36,"=d20261019"),"")</f>
      </c>
      <c r="W4" s="8">
        <f>IF((0=1),SUMIFS('Daily evaluations'!$D$2:$D$36,'Daily evaluations'!$B$2:$B$36,"=naive_mcap",'Daily evaluations'!$C$2:$C$36,"=d20261020"),"")</f>
      </c>
      <c r="X4" s="8">
        <f>IF((0=1),SUMIFS('Daily evaluations'!$D$2:$D$36,'Daily evaluations'!$B$2:$B$36,"=naive_mcap",'Daily evaluations'!$C$2:$C$36,"=d20261021"),"")</f>
      </c>
      <c r="Y4" s="8">
        <f>IF((0=1),SUMIFS('Daily evaluations'!$D$2:$D$36,'Daily evaluations'!$B$2:$B$36,"=naive_mcap",'Daily evaluations'!$C$2:$C$36,"=d20261022"),"")</f>
      </c>
      <c r="Z4" s="8">
        <f>IF((0=1),SUMIFS('Daily evaluations'!$D$2:$D$36,'Daily evaluations'!$B$2:$B$36,"=naive_mcap",'Daily evaluations'!$C$2:$C$36,"=d20261023"),"")</f>
      </c>
      <c r="AA4" s="8">
        <f>IF((0=1),SUMIFS('Daily evaluations'!$D$2:$D$36,'Daily evaluations'!$B$2:$B$36,"=naive_mcap",'Daily evaluations'!$C$2:$C$36,"=d20261026"),"")</f>
      </c>
      <c r="AB4" s="8">
        <f>IF((0=1),SUMIFS('Daily evaluations'!$D$2:$D$36,'Daily evaluations'!$B$2:$B$36,"=naive_mcap",'Daily evaluations'!$C$2:$C$36,"=d20261027"),"")</f>
      </c>
      <c r="AC4" s="8">
        <f>IF((0=1),SUMIFS('Daily evaluations'!$D$2:$D$36,'Daily evaluations'!$B$2:$B$36,"=naive_mcap",'Daily evaluations'!$C$2:$C$36,"=d20261028"),"")</f>
      </c>
      <c r="AD4" s="8">
        <f>IF((0=1),SUMIFS('Daily evaluations'!$D$2:$D$36,'Daily evaluations'!$B$2:$B$36,"=naive_mcap",'Daily evaluations'!$C$2:$C$36,"=d20261029"),"")</f>
      </c>
      <c r="AE4" s="8">
        <f>IF((0=1),SUMIFS('Daily evaluations'!$D$2:$D$36,'Daily evaluations'!$B$2:$B$36,"=naive_mcap",'Daily evaluations'!$C$2:$C$36,"=d20261030"),"")</f>
      </c>
      <c r="AF4" s="8">
        <f>IF((0=1),SUMIFS('Daily evaluations'!$D$2:$D$36,'Daily evaluations'!$B$2:$B$36,"=naive_mcap",'Daily evaluations'!$C$2:$C$36,"=d20261102"),"")</f>
      </c>
      <c r="AG4" s="8">
        <f>IF((0=1),SUMIFS('Daily evaluations'!$D$2:$D$36,'Daily evaluations'!$B$2:$B$36,"=naive_mcap",'Daily evaluations'!$C$2:$C$36,"=d20261103"),"")</f>
      </c>
      <c r="AH4" s="8">
        <f>IF((0=1),SUMIFS('Daily evaluations'!$D$2:$D$36,'Daily evaluations'!$B$2:$B$36,"=naive_mcap",'Daily evaluations'!$C$2:$C$36,"=d20261104"),"")</f>
      </c>
      <c r="AI4" s="8">
        <f>IF((0=1),SUMIFS('Daily evaluations'!$D$2:$D$36,'Daily evaluations'!$B$2:$B$36,"=naive_mcap",'Daily evaluations'!$C$2:$C$36,"=d20261105"),"")</f>
      </c>
      <c r="AJ4" s="8">
        <f>IF((0=1),SUMIFS('Daily evaluations'!$D$2:$D$36,'Daily evaluations'!$B$2:$B$36,"=naive_mcap",'Daily evaluations'!$C$2:$C$36,"=d20261106"),"")</f>
      </c>
      <c r="AK4" s="8">
        <f>IF((0=1),SUMIFS('Daily evaluations'!$D$2:$D$36,'Daily evaluations'!$B$2:$B$36,"=naive_mcap",'Daily evaluations'!$C$2:$C$36,"=d20261109"),"")</f>
      </c>
      <c r="AL4" s="8">
        <f>IF((0=1),SUMIFS('Daily evaluations'!$D$2:$D$36,'Daily evaluations'!$B$2:$B$36,"=naive_mcap",'Daily evaluations'!$C$2:$C$36,"=d20261110"),"")</f>
      </c>
      <c r="AM4" s="8">
        <f>IF((0=1),SUMIFS('Daily evaluations'!$D$2:$D$36,'Daily evaluations'!$B$2:$B$36,"=naive_mcap",'Daily evaluations'!$C$2:$C$36,"=d20261111"),"")</f>
      </c>
      <c r="AN4" s="8">
        <f>IF((0=1),SUMIFS('Daily evaluations'!$D$2:$D$36,'Daily evaluations'!$B$2:$B$36,"=naive_mcap",'Daily evaluations'!$C$2:$C$36,"=d20261112"),"")</f>
      </c>
      <c r="AO4" s="8">
        <f>IF((0=1),SUMIFS('Daily evaluations'!$D$2:$D$36,'Daily evaluations'!$B$2:$B$36,"=naive_mcap",'Daily evaluations'!$C$2:$C$36,"=d20261113"),"")</f>
      </c>
      <c r="AP4" s="8">
        <f>IF((0=1),SUMIFS('Daily evaluations'!$D$2:$D$36,'Daily evaluations'!$B$2:$B$36,"=naive_mcap",'Daily evaluations'!$C$2:$C$36,"=d20261116"),"")</f>
      </c>
      <c r="AQ4" s="8">
        <f>IF((0=1),SUMIFS('Daily evaluations'!$D$2:$D$36,'Daily evaluations'!$B$2:$B$36,"=naive_mcap",'Daily evaluations'!$C$2:$C$36,"=d20261117"),"")</f>
      </c>
      <c r="AR4" s="8">
        <f>IF((0=1),SUMIFS('Daily evaluations'!$D$2:$D$36,'Daily evaluations'!$B$2:$B$36,"=naive_mcap",'Daily evaluations'!$C$2:$C$36,"=d20261118"),"")</f>
      </c>
      <c r="AS4" s="8">
        <f>IF((0=1),SUMIFS('Daily evaluations'!$D$2:$D$36,'Daily evaluations'!$B$2:$B$36,"=naive_mcap",'Daily evaluations'!$C$2:$C$36,"=d20261119"),"")</f>
      </c>
      <c r="AT4" s="8">
        <f>IF((0=1),SUMIFS('Daily evaluations'!$D$2:$D$36,'Daily evaluations'!$B$2:$B$36,"=naive_mcap",'Daily evaluations'!$C$2:$C$36,"=d20261120"),"")</f>
      </c>
      <c r="AU4" s="8">
        <f>IF((0=1),SUMIFS('Daily evaluations'!$D$2:$D$36,'Daily evaluations'!$B$2:$B$36,"=naive_mcap",'Daily evaluations'!$C$2:$C$36,"=d20261123"),"")</f>
      </c>
      <c r="AV4" s="8">
        <f>IF((0=1),SUMIFS('Daily evaluations'!$D$2:$D$36,'Daily evaluations'!$B$2:$B$36,"=naive_mcap",'Daily evaluations'!$C$2:$C$36,"=d20261124"),"")</f>
      </c>
      <c r="AW4" s="8">
        <f>IF((0=1),SUMIFS('Daily evaluations'!$D$2:$D$36,'Daily evaluations'!$B$2:$B$36,"=naive_mcap",'Daily evaluations'!$C$2:$C$36,"=d20261125"),"")</f>
      </c>
      <c r="AX4" s="8">
        <f>IF((0=1),SUMIFS('Daily evaluations'!$D$2:$D$36,'Daily evaluations'!$B$2:$B$36,"=naive_mcap",'Daily evaluations'!$C$2:$C$36,"=d20261127"),"")</f>
      </c>
      <c r="AY4" s="8">
        <f>IF((0=1),SUMIFS('Daily evaluations'!$D$2:$D$36,'Daily evaluations'!$B$2:$B$36,"=naive_mcap",'Daily evaluations'!$C$2:$C$36,"=d20261130"),"")</f>
      </c>
      <c r="AZ4" s="8">
        <f>IF((0=1),SUMIFS('Daily evaluations'!$D$2:$D$36,'Daily evaluations'!$B$2:$B$36,"=naive_mcap",'Daily evaluations'!$C$2:$C$36,"=d20261201"),"")</f>
      </c>
      <c r="BA4" s="8">
        <f>IF((0=1),SUMIFS('Daily evaluations'!$D$2:$D$36,'Daily evaluations'!$B$2:$B$36,"=naive_mcap",'Daily evaluations'!$C$2:$C$36,"=d20261202"),"")</f>
      </c>
      <c r="BB4" s="8">
        <f>IF((0=1),SUMIFS('Daily evaluations'!$D$2:$D$36,'Daily evaluations'!$B$2:$B$36,"=naive_mcap",'Daily evaluations'!$C$2:$C$36,"=d20261203"),"")</f>
      </c>
      <c r="BC4" s="8">
        <f>IF((0=1),SUMIFS('Daily evaluations'!$D$2:$D$36,'Daily evaluations'!$B$2:$B$36,"=naive_mcap",'Daily evaluations'!$C$2:$C$36,"=d20261204"),"")</f>
      </c>
      <c r="BD4" s="8">
        <f>IF((0=1),SUMIFS('Daily evaluations'!$D$2:$D$36,'Daily evaluations'!$B$2:$B$36,"=naive_mcap",'Daily evaluations'!$C$2:$C$36,"=d20261207"),"")</f>
      </c>
      <c r="BE4" s="8">
        <f>IF((0=1),SUMIFS('Daily evaluations'!$D$2:$D$36,'Daily evaluations'!$B$2:$B$36,"=naive_mcap",'Daily evaluations'!$C$2:$C$36,"=d20261208"),"")</f>
      </c>
      <c r="BF4" s="8">
        <f>IF((0=1),SUMIFS('Daily evaluations'!$D$2:$D$36,'Daily evaluations'!$B$2:$B$36,"=naive_mcap",'Daily evaluations'!$C$2:$C$36,"=d20261209"),"")</f>
      </c>
      <c r="BG4" s="8">
        <f>IF((0=1),SUMIFS('Daily evaluations'!$D$2:$D$36,'Daily evaluations'!$B$2:$B$36,"=naive_mcap",'Daily evaluations'!$C$2:$C$36,"=d20261210"),"")</f>
      </c>
      <c r="BH4" s="8">
        <f>IF((0=1),SUMIFS('Daily evaluations'!$D$2:$D$36,'Daily evaluations'!$B$2:$B$36,"=naive_mcap",'Daily evaluations'!$C$2:$C$36,"=d20261211"),"")</f>
      </c>
      <c r="BI4" s="8">
        <f>IF((0=1),SUMIFS('Daily evaluations'!$D$2:$D$36,'Daily evaluations'!$B$2:$B$36,"=naive_mcap",'Daily evaluations'!$C$2:$C$36,"=d20261214"),"")</f>
      </c>
      <c r="BJ4" s="8">
        <f>IF((0=1),SUMIFS('Daily evaluations'!$D$2:$D$36,'Daily evaluations'!$B$2:$B$36,"=naive_mcap",'Daily evaluations'!$C$2:$C$36,"=d20261215"),"")</f>
      </c>
      <c r="BK4" s="8">
        <f>IF((0=1),SUMIFS('Daily evaluations'!$D$2:$D$36,'Daily evaluations'!$B$2:$B$36,"=naive_mcap",'Daily evaluations'!$C$2:$C$36,"=d20261216"),"")</f>
      </c>
      <c r="BL4" s="8">
        <f>IF((0=1),SUMIFS('Daily evaluations'!$D$2:$D$36,'Daily evaluations'!$B$2:$B$36,"=naive_mcap",'Daily evaluations'!$C$2:$C$36,"=d20261217"),"")</f>
      </c>
      <c r="BM4" s="8">
        <f>IF((0=1),SUMIFS('Daily evaluations'!$D$2:$D$36,'Daily evaluations'!$B$2:$B$36,"=naive_mcap",'Daily evaluations'!$C$2:$C$36,"=d20261218"),"")</f>
      </c>
      <c r="BN4" s="8">
        <f>IF((0=1),SUMIFS('Daily evaluations'!$D$2:$D$36,'Daily evaluations'!$B$2:$B$36,"=naive_mcap",'Daily evaluations'!$C$2:$C$36,"=d20261221"),"")</f>
      </c>
      <c r="BO4" s="8">
        <f>IF((0=1),SUMIFS('Daily evaluations'!$D$2:$D$36,'Daily evaluations'!$B$2:$B$36,"=naive_mcap",'Daily evaluations'!$C$2:$C$36,"=d20261222"),"")</f>
      </c>
      <c r="BP4" s="8">
        <f>IF((0=1),SUMIFS('Daily evaluations'!$D$2:$D$36,'Daily evaluations'!$B$2:$B$36,"=naive_mcap",'Daily evaluations'!$C$2:$C$36,"=d20261223"),"")</f>
      </c>
      <c r="BQ4" s="8">
        <f>IF((0=1),SUMIFS('Daily evaluations'!$D$2:$D$36,'Daily evaluations'!$B$2:$B$36,"=naive_mcap",'Daily evaluations'!$C$2:$C$36,"=d20261224"),"")</f>
      </c>
      <c r="BR4" s="8">
        <f>IF((0=1),SUMIFS('Daily evaluations'!$D$2:$D$36,'Daily evaluations'!$B$2:$B$36,"=naive_mcap",'Daily evaluations'!$C$2:$C$36,"=d20261228"),"")</f>
      </c>
      <c r="BS4" s="8">
        <f>IF((0=1),SUMIFS('Daily evaluations'!$D$2:$D$36,'Daily evaluations'!$B$2:$B$36,"=naive_mcap",'Daily evaluations'!$C$2:$C$36,"=d20261229"),"")</f>
      </c>
      <c r="BT4" s="8">
        <f>IF((0=1),SUMIFS('Daily evaluations'!$D$2:$D$36,'Daily evaluations'!$B$2:$B$36,"=naive_mcap",'Daily evaluations'!$C$2:$C$36,"=d20261230"),"")</f>
      </c>
      <c r="BU4" s="8">
        <f>IF((0=1),SUMIFS('Daily evaluations'!$D$2:$D$36,'Daily evaluations'!$B$2:$B$36,"=naive_mcap",'Daily evaluations'!$C$2:$C$36,"=d20261231"),"")</f>
      </c>
      <c r="BV4" s="8">
        <f>IF((0=1),SUMIFS('Daily evaluations'!$D$2:$D$36,'Daily evaluations'!$B$2:$B$36,"=naive_mcap",'Daily evaluations'!$C$2:$C$36,"=d20270104"),"")</f>
      </c>
      <c r="BW4" s="8">
        <f>IF((0=1),SUMIFS('Daily evaluations'!$D$2:$D$36,'Daily evaluations'!$B$2:$B$36,"=naive_mcap",'Daily evaluations'!$C$2:$C$36,"=d20270105"),"")</f>
      </c>
      <c r="BX4" s="8">
        <f>IF((0=1),SUMIFS('Daily evaluations'!$D$2:$D$36,'Daily evaluations'!$B$2:$B$36,"=naive_mcap",'Daily evaluations'!$C$2:$C$36,"=d20270106"),"")</f>
      </c>
      <c r="BY4" s="8">
        <f>IF((0=1),SUMIFS('Daily evaluations'!$D$2:$D$36,'Daily evaluations'!$B$2:$B$36,"=naive_mcap",'Daily evaluations'!$C$2:$C$36,"=d20270107"),"")</f>
      </c>
      <c r="BZ4" s="8">
        <f>IF((0=1),SUMIFS('Daily evaluations'!$D$2:$D$36,'Daily evaluations'!$B$2:$B$36,"=naive_mcap",'Daily evaluations'!$C$2:$C$36,"=d20270108"),"")</f>
      </c>
      <c r="CA4" s="8">
        <f>IF((0=1),SUMIFS('Daily evaluations'!$D$2:$D$36,'Daily evaluations'!$B$2:$B$36,"=naive_mcap",'Daily evaluations'!$C$2:$C$36,"=d20270111"),"")</f>
      </c>
      <c r="CB4" s="8">
        <f>IF((0=1),SUMIFS('Daily evaluations'!$D$2:$D$36,'Daily evaluations'!$B$2:$B$36,"=naive_mcap",'Daily evaluations'!$C$2:$C$36,"=d20270112"),"")</f>
      </c>
      <c r="CC4" s="8">
        <f>IF((0=1),SUMIFS('Daily evaluations'!$D$2:$D$36,'Daily evaluations'!$B$2:$B$36,"=naive_mcap",'Daily evaluations'!$C$2:$C$36,"=d20270113"),"")</f>
      </c>
      <c r="CD4" s="8">
        <f>IF((0=1),SUMIFS('Daily evaluations'!$D$2:$D$36,'Daily evaluations'!$B$2:$B$36,"=naive_mcap",'Daily evaluations'!$C$2:$C$36,"=d20270114"),"")</f>
      </c>
      <c r="CE4" s="8">
        <f>IF((0=1),SUMIFS('Daily evaluations'!$D$2:$D$36,'Daily evaluations'!$B$2:$B$36,"=naive_mcap",'Daily evaluations'!$C$2:$C$36,"=d20270115"),"")</f>
      </c>
      <c r="CF4" s="8">
        <f>IF((0=1),SUMIFS('Daily evaluations'!$D$2:$D$36,'Daily evaluations'!$B$2:$B$36,"=naive_mcap",'Daily evaluations'!$C$2:$C$36,"=d20270119"),"")</f>
      </c>
      <c r="CG4" s="8">
        <f>IF((0=1),SUMIFS('Daily evaluations'!$D$2:$D$36,'Daily evaluations'!$B$2:$B$36,"=naive_mcap",'Daily evaluations'!$C$2:$C$36,"=d20270120"),"")</f>
      </c>
      <c r="CH4" s="8">
        <f>IF((0=1),SUMIFS('Daily evaluations'!$D$2:$D$36,'Daily evaluations'!$B$2:$B$36,"=naive_mcap",'Daily evaluations'!$C$2:$C$36,"=d20270121"),"")</f>
      </c>
      <c r="CI4" s="8">
        <f>IF((0=1),SUMIFS('Daily evaluations'!$D$2:$D$36,'Daily evaluations'!$B$2:$B$36,"=naive_mcap",'Daily evaluations'!$C$2:$C$36,"=d20270122"),"")</f>
      </c>
      <c r="CJ4" s="8">
        <f>IF((0=1),SUMIFS('Daily evaluations'!$D$2:$D$36,'Daily evaluations'!$B$2:$B$36,"=naive_mcap",'Daily evaluations'!$C$2:$C$36,"=d20270125"),"")</f>
      </c>
      <c r="CK4" s="8">
        <f>IF((0=1),SUMIFS('Daily evaluations'!$D$2:$D$36,'Daily evaluations'!$B$2:$B$36,"=naive_mcap",'Daily evaluations'!$C$2:$C$36,"=d20270126"),"")</f>
      </c>
      <c r="CL4" s="8">
        <f>IF((0=1),SUMIFS('Daily evaluations'!$D$2:$D$36,'Daily evaluations'!$B$2:$B$36,"=naive_mcap",'Daily evaluations'!$C$2:$C$36,"=d20270127"),"")</f>
      </c>
      <c r="CM4" s="8">
        <f>IF((0=1),SUMIFS('Daily evaluations'!$D$2:$D$36,'Daily evaluations'!$B$2:$B$36,"=naive_mcap",'Daily evaluations'!$C$2:$C$36,"=d20270128"),"")</f>
      </c>
      <c r="CN4" s="8">
        <f>IF((0=1),SUMIFS('Daily evaluations'!$D$2:$D$36,'Daily evaluations'!$B$2:$B$36,"=naive_mcap",'Daily evaluations'!$C$2:$C$36,"=d20270129"),"")</f>
      </c>
      <c r="CO4" s="8">
        <f>IF((0=1),SUMIFS('Daily evaluations'!$D$2:$D$36,'Daily evaluations'!$B$2:$B$36,"=naive_mcap",'Daily evaluations'!$C$2:$C$36,"=d20270201"),"")</f>
      </c>
      <c r="CP4" s="8">
        <f>IF((0=1),SUMIFS('Daily evaluations'!$D$2:$D$36,'Daily evaluations'!$B$2:$B$36,"=naive_mcap",'Daily evaluations'!$C$2:$C$36,"=d20270202"),"")</f>
      </c>
      <c r="CQ4" s="8">
        <f>IF((0=1),SUMIFS('Daily evaluations'!$D$2:$D$36,'Daily evaluations'!$B$2:$B$36,"=naive_mcap",'Daily evaluations'!$C$2:$C$36,"=d20270203"),"")</f>
      </c>
      <c r="CR4" s="8">
        <f>IF((0=1),SUMIFS('Daily evaluations'!$D$2:$D$36,'Daily evaluations'!$B$2:$B$36,"=naive_mcap",'Daily evaluations'!$C$2:$C$36,"=d20270204"),"")</f>
      </c>
      <c r="CS4" s="8">
        <f>IF((0=1),SUMIFS('Daily evaluations'!$D$2:$D$36,'Daily evaluations'!$B$2:$B$36,"=naive_mcap",'Daily evaluations'!$C$2:$C$36,"=d20270205"),"")</f>
      </c>
      <c r="CT4" s="8">
        <f>IF((0=1),SUMIFS('Daily evaluations'!$D$2:$D$36,'Daily evaluations'!$B$2:$B$36,"=naive_mcap",'Daily evaluations'!$C$2:$C$36,"=d20270208"),"")</f>
      </c>
      <c r="CU4" s="8">
        <f>IF((0=1),SUMIFS('Daily evaluations'!$D$2:$D$36,'Daily evaluations'!$B$2:$B$36,"=naive_mcap",'Daily evaluations'!$C$2:$C$36,"=d20270209"),"")</f>
      </c>
      <c r="CV4" s="8">
        <f>IF((0=1),SUMIFS('Daily evaluations'!$D$2:$D$36,'Daily evaluations'!$B$2:$B$36,"=naive_mcap",'Daily evaluations'!$C$2:$C$36,"=d20270210"),"")</f>
      </c>
      <c r="CW4" s="8">
        <f>IF((0=1),SUMIFS('Daily evaluations'!$D$2:$D$36,'Daily evaluations'!$B$2:$B$36,"=naive_mcap",'Daily evaluations'!$C$2:$C$36,"=d20270211"),"")</f>
      </c>
      <c r="CX4" s="8">
        <f>IF((0=1),SUMIFS('Daily evaluations'!$D$2:$D$36,'Daily evaluations'!$B$2:$B$36,"=naive_mcap",'Daily evaluations'!$C$2:$C$36,"=d20270212"),"")</f>
      </c>
    </row>
    <row r="5">
      <c r="A5" s="0" t="inlineStr">
        <is>
          <t xml:space="preserve">Sector-neutral overnight excess, bps</t>
        </is>
      </c>
      <c r="B5" s="0" t="inlineStr">
        <is>
          <t xml:space="preserve">top 100 by 12-1 month return</t>
        </is>
      </c>
      <c r="C5" s="8">
        <f>IF((1=1),SUMIFS('Daily evaluations'!$D$2:$D$36,'Daily evaluations'!$B$2:$B$36,"=naive_mom",'Daily evaluations'!$C$2:$C$36,"=d20260922"),"")</f>
        <v>-23.532</v>
      </c>
      <c r="D5" s="8">
        <f>IF((0=1),SUMIFS('Daily evaluations'!$D$2:$D$36,'Daily evaluations'!$B$2:$B$36,"=naive_mom",'Daily evaluations'!$C$2:$C$36,"=d20260923"),"")</f>
      </c>
      <c r="E5" s="8">
        <f>IF((0=1),SUMIFS('Daily evaluations'!$D$2:$D$36,'Daily evaluations'!$B$2:$B$36,"=naive_mom",'Daily evaluations'!$C$2:$C$36,"=d20260924"),"")</f>
      </c>
      <c r="F5" s="8">
        <f>IF((0=1),SUMIFS('Daily evaluations'!$D$2:$D$36,'Daily evaluations'!$B$2:$B$36,"=naive_mom",'Daily evaluations'!$C$2:$C$36,"=d20260925"),"")</f>
      </c>
      <c r="G5" s="8">
        <f>IF((0=1),SUMIFS('Daily evaluations'!$D$2:$D$36,'Daily evaluations'!$B$2:$B$36,"=naive_mom",'Daily evaluations'!$C$2:$C$36,"=d20260928"),"")</f>
      </c>
      <c r="H5" s="8">
        <f>IF((0=1),SUMIFS('Daily evaluations'!$D$2:$D$36,'Daily evaluations'!$B$2:$B$36,"=naive_mom",'Daily evaluations'!$C$2:$C$36,"=d20260929"),"")</f>
      </c>
      <c r="I5" s="8">
        <f>IF((0=1),SUMIFS('Daily evaluations'!$D$2:$D$36,'Daily evaluations'!$B$2:$B$36,"=naive_mom",'Daily evaluations'!$C$2:$C$36,"=d20260930"),"")</f>
      </c>
      <c r="J5" s="8">
        <f>IF((0=1),SUMIFS('Daily evaluations'!$D$2:$D$36,'Daily evaluations'!$B$2:$B$36,"=naive_mom",'Daily evaluations'!$C$2:$C$36,"=d20261001"),"")</f>
      </c>
      <c r="K5" s="8">
        <f>IF((0=1),SUMIFS('Daily evaluations'!$D$2:$D$36,'Daily evaluations'!$B$2:$B$36,"=naive_mom",'Daily evaluations'!$C$2:$C$36,"=d20261002"),"")</f>
      </c>
      <c r="L5" s="8">
        <f>IF((0=1),SUMIFS('Daily evaluations'!$D$2:$D$36,'Daily evaluations'!$B$2:$B$36,"=naive_mom",'Daily evaluations'!$C$2:$C$36,"=d20261005"),"")</f>
      </c>
      <c r="M5" s="8">
        <f>IF((0=1),SUMIFS('Daily evaluations'!$D$2:$D$36,'Daily evaluations'!$B$2:$B$36,"=naive_mom",'Daily evaluations'!$C$2:$C$36,"=d20261006"),"")</f>
      </c>
      <c r="N5" s="8">
        <f>IF((0=1),SUMIFS('Daily evaluations'!$D$2:$D$36,'Daily evaluations'!$B$2:$B$36,"=naive_mom",'Daily evaluations'!$C$2:$C$36,"=d20261007"),"")</f>
      </c>
      <c r="O5" s="8">
        <f>IF((0=1),SUMIFS('Daily evaluations'!$D$2:$D$36,'Daily evaluations'!$B$2:$B$36,"=naive_mom",'Daily evaluations'!$C$2:$C$36,"=d20261008"),"")</f>
      </c>
      <c r="P5" s="8">
        <f>IF((0=1),SUMIFS('Daily evaluations'!$D$2:$D$36,'Daily evaluations'!$B$2:$B$36,"=naive_mom",'Daily evaluations'!$C$2:$C$36,"=d20261009"),"")</f>
      </c>
      <c r="Q5" s="8">
        <f>IF((0=1),SUMIFS('Daily evaluations'!$D$2:$D$36,'Daily evaluations'!$B$2:$B$36,"=naive_mom",'Daily evaluations'!$C$2:$C$36,"=d20261012"),"")</f>
      </c>
      <c r="R5" s="8">
        <f>IF((0=1),SUMIFS('Daily evaluations'!$D$2:$D$36,'Daily evaluations'!$B$2:$B$36,"=naive_mom",'Daily evaluations'!$C$2:$C$36,"=d20261013"),"")</f>
      </c>
      <c r="S5" s="8">
        <f>IF((0=1),SUMIFS('Daily evaluations'!$D$2:$D$36,'Daily evaluations'!$B$2:$B$36,"=naive_mom",'Daily evaluations'!$C$2:$C$36,"=d20261014"),"")</f>
      </c>
      <c r="T5" s="8">
        <f>IF((0=1),SUMIFS('Daily evaluations'!$D$2:$D$36,'Daily evaluations'!$B$2:$B$36,"=naive_mom",'Daily evaluations'!$C$2:$C$36,"=d20261015"),"")</f>
      </c>
      <c r="U5" s="8">
        <f>IF((0=1),SUMIFS('Daily evaluations'!$D$2:$D$36,'Daily evaluations'!$B$2:$B$36,"=naive_mom",'Daily evaluations'!$C$2:$C$36,"=d20261016"),"")</f>
      </c>
      <c r="V5" s="8">
        <f>IF((0=1),SUMIFS('Daily evaluations'!$D$2:$D$36,'Daily evaluations'!$B$2:$B$36,"=naive_mom",'Daily evaluations'!$C$2:$C$36,"=d20261019"),"")</f>
      </c>
      <c r="W5" s="8">
        <f>IF((0=1),SUMIFS('Daily evaluations'!$D$2:$D$36,'Daily evaluations'!$B$2:$B$36,"=naive_mom",'Daily evaluations'!$C$2:$C$36,"=d20261020"),"")</f>
      </c>
      <c r="X5" s="8">
        <f>IF((0=1),SUMIFS('Daily evaluations'!$D$2:$D$36,'Daily evaluations'!$B$2:$B$36,"=naive_mom",'Daily evaluations'!$C$2:$C$36,"=d20261021"),"")</f>
      </c>
      <c r="Y5" s="8">
        <f>IF((0=1),SUMIFS('Daily evaluations'!$D$2:$D$36,'Daily evaluations'!$B$2:$B$36,"=naive_mom",'Daily evaluations'!$C$2:$C$36,"=d20261022"),"")</f>
      </c>
      <c r="Z5" s="8">
        <f>IF((0=1),SUMIFS('Daily evaluations'!$D$2:$D$36,'Daily evaluations'!$B$2:$B$36,"=naive_mom",'Daily evaluations'!$C$2:$C$36,"=d20261023"),"")</f>
      </c>
      <c r="AA5" s="8">
        <f>IF((0=1),SUMIFS('Daily evaluations'!$D$2:$D$36,'Daily evaluations'!$B$2:$B$36,"=naive_mom",'Daily evaluations'!$C$2:$C$36,"=d20261026"),"")</f>
      </c>
      <c r="AB5" s="8">
        <f>IF((0=1),SUMIFS('Daily evaluations'!$D$2:$D$36,'Daily evaluations'!$B$2:$B$36,"=naive_mom",'Daily evaluations'!$C$2:$C$36,"=d20261027"),"")</f>
      </c>
      <c r="AC5" s="8">
        <f>IF((0=1),SUMIFS('Daily evaluations'!$D$2:$D$36,'Daily evaluations'!$B$2:$B$36,"=naive_mom",'Daily evaluations'!$C$2:$C$36,"=d20261028"),"")</f>
      </c>
      <c r="AD5" s="8">
        <f>IF((0=1),SUMIFS('Daily evaluations'!$D$2:$D$36,'Daily evaluations'!$B$2:$B$36,"=naive_mom",'Daily evaluations'!$C$2:$C$36,"=d20261029"),"")</f>
      </c>
      <c r="AE5" s="8">
        <f>IF((0=1),SUMIFS('Daily evaluations'!$D$2:$D$36,'Daily evaluations'!$B$2:$B$36,"=naive_mom",'Daily evaluations'!$C$2:$C$36,"=d20261030"),"")</f>
      </c>
      <c r="AF5" s="8">
        <f>IF((0=1),SUMIFS('Daily evaluations'!$D$2:$D$36,'Daily evaluations'!$B$2:$B$36,"=naive_mom",'Daily evaluations'!$C$2:$C$36,"=d20261102"),"")</f>
      </c>
      <c r="AG5" s="8">
        <f>IF((0=1),SUMIFS('Daily evaluations'!$D$2:$D$36,'Daily evaluations'!$B$2:$B$36,"=naive_mom",'Daily evaluations'!$C$2:$C$36,"=d20261103"),"")</f>
      </c>
      <c r="AH5" s="8">
        <f>IF((0=1),SUMIFS('Daily evaluations'!$D$2:$D$36,'Daily evaluations'!$B$2:$B$36,"=naive_mom",'Daily evaluations'!$C$2:$C$36,"=d20261104"),"")</f>
      </c>
      <c r="AI5" s="8">
        <f>IF((0=1),SUMIFS('Daily evaluations'!$D$2:$D$36,'Daily evaluations'!$B$2:$B$36,"=naive_mom",'Daily evaluations'!$C$2:$C$36,"=d20261105"),"")</f>
      </c>
      <c r="AJ5" s="8">
        <f>IF((0=1),SUMIFS('Daily evaluations'!$D$2:$D$36,'Daily evaluations'!$B$2:$B$36,"=naive_mom",'Daily evaluations'!$C$2:$C$36,"=d20261106"),"")</f>
      </c>
      <c r="AK5" s="8">
        <f>IF((0=1),SUMIFS('Daily evaluations'!$D$2:$D$36,'Daily evaluations'!$B$2:$B$36,"=naive_mom",'Daily evaluations'!$C$2:$C$36,"=d20261109"),"")</f>
      </c>
      <c r="AL5" s="8">
        <f>IF((0=1),SUMIFS('Daily evaluations'!$D$2:$D$36,'Daily evaluations'!$B$2:$B$36,"=naive_mom",'Daily evaluations'!$C$2:$C$36,"=d20261110"),"")</f>
      </c>
      <c r="AM5" s="8">
        <f>IF((0=1),SUMIFS('Daily evaluations'!$D$2:$D$36,'Daily evaluations'!$B$2:$B$36,"=naive_mom",'Daily evaluations'!$C$2:$C$36,"=d20261111"),"")</f>
      </c>
      <c r="AN5" s="8">
        <f>IF((0=1),SUMIFS('Daily evaluations'!$D$2:$D$36,'Daily evaluations'!$B$2:$B$36,"=naive_mom",'Daily evaluations'!$C$2:$C$36,"=d20261112"),"")</f>
      </c>
      <c r="AO5" s="8">
        <f>IF((0=1),SUMIFS('Daily evaluations'!$D$2:$D$36,'Daily evaluations'!$B$2:$B$36,"=naive_mom",'Daily evaluations'!$C$2:$C$36,"=d20261113"),"")</f>
      </c>
      <c r="AP5" s="8">
        <f>IF((0=1),SUMIFS('Daily evaluations'!$D$2:$D$36,'Daily evaluations'!$B$2:$B$36,"=naive_mom",'Daily evaluations'!$C$2:$C$36,"=d20261116"),"")</f>
      </c>
      <c r="AQ5" s="8">
        <f>IF((0=1),SUMIFS('Daily evaluations'!$D$2:$D$36,'Daily evaluations'!$B$2:$B$36,"=naive_mom",'Daily evaluations'!$C$2:$C$36,"=d20261117"),"")</f>
      </c>
      <c r="AR5" s="8">
        <f>IF((0=1),SUMIFS('Daily evaluations'!$D$2:$D$36,'Daily evaluations'!$B$2:$B$36,"=naive_mom",'Daily evaluations'!$C$2:$C$36,"=d20261118"),"")</f>
      </c>
      <c r="AS5" s="8">
        <f>IF((0=1),SUMIFS('Daily evaluations'!$D$2:$D$36,'Daily evaluations'!$B$2:$B$36,"=naive_mom",'Daily evaluations'!$C$2:$C$36,"=d20261119"),"")</f>
      </c>
      <c r="AT5" s="8">
        <f>IF((0=1),SUMIFS('Daily evaluations'!$D$2:$D$36,'Daily evaluations'!$B$2:$B$36,"=naive_mom",'Daily evaluations'!$C$2:$C$36,"=d20261120"),"")</f>
      </c>
      <c r="AU5" s="8">
        <f>IF((0=1),SUMIFS('Daily evaluations'!$D$2:$D$36,'Daily evaluations'!$B$2:$B$36,"=naive_mom",'Daily evaluations'!$C$2:$C$36,"=d20261123"),"")</f>
      </c>
      <c r="AV5" s="8">
        <f>IF((0=1),SUMIFS('Daily evaluations'!$D$2:$D$36,'Daily evaluations'!$B$2:$B$36,"=naive_mom",'Daily evaluations'!$C$2:$C$36,"=d20261124"),"")</f>
      </c>
      <c r="AW5" s="8">
        <f>IF((0=1),SUMIFS('Daily evaluations'!$D$2:$D$36,'Daily evaluations'!$B$2:$B$36,"=naive_mom",'Daily evaluations'!$C$2:$C$36,"=d20261125"),"")</f>
      </c>
      <c r="AX5" s="8">
        <f>IF((0=1),SUMIFS('Daily evaluations'!$D$2:$D$36,'Daily evaluations'!$B$2:$B$36,"=naive_mom",'Daily evaluations'!$C$2:$C$36,"=d20261127"),"")</f>
      </c>
      <c r="AY5" s="8">
        <f>IF((0=1),SUMIFS('Daily evaluations'!$D$2:$D$36,'Daily evaluations'!$B$2:$B$36,"=naive_mom",'Daily evaluations'!$C$2:$C$36,"=d20261130"),"")</f>
      </c>
      <c r="AZ5" s="8">
        <f>IF((0=1),SUMIFS('Daily evaluations'!$D$2:$D$36,'Daily evaluations'!$B$2:$B$36,"=naive_mom",'Daily evaluations'!$C$2:$C$36,"=d20261201"),"")</f>
      </c>
      <c r="BA5" s="8">
        <f>IF((0=1),SUMIFS('Daily evaluations'!$D$2:$D$36,'Daily evaluations'!$B$2:$B$36,"=naive_mom",'Daily evaluations'!$C$2:$C$36,"=d20261202"),"")</f>
      </c>
      <c r="BB5" s="8">
        <f>IF((0=1),SUMIFS('Daily evaluations'!$D$2:$D$36,'Daily evaluations'!$B$2:$B$36,"=naive_mom",'Daily evaluations'!$C$2:$C$36,"=d20261203"),"")</f>
      </c>
      <c r="BC5" s="8">
        <f>IF((0=1),SUMIFS('Daily evaluations'!$D$2:$D$36,'Daily evaluations'!$B$2:$B$36,"=naive_mom",'Daily evaluations'!$C$2:$C$36,"=d20261204"),"")</f>
      </c>
      <c r="BD5" s="8">
        <f>IF((0=1),SUMIFS('Daily evaluations'!$D$2:$D$36,'Daily evaluations'!$B$2:$B$36,"=naive_mom",'Daily evaluations'!$C$2:$C$36,"=d20261207"),"")</f>
      </c>
      <c r="BE5" s="8">
        <f>IF((0=1),SUMIFS('Daily evaluations'!$D$2:$D$36,'Daily evaluations'!$B$2:$B$36,"=naive_mom",'Daily evaluations'!$C$2:$C$36,"=d20261208"),"")</f>
      </c>
      <c r="BF5" s="8">
        <f>IF((0=1),SUMIFS('Daily evaluations'!$D$2:$D$36,'Daily evaluations'!$B$2:$B$36,"=naive_mom",'Daily evaluations'!$C$2:$C$36,"=d20261209"),"")</f>
      </c>
      <c r="BG5" s="8">
        <f>IF((0=1),SUMIFS('Daily evaluations'!$D$2:$D$36,'Daily evaluations'!$B$2:$B$36,"=naive_mom",'Daily evaluations'!$C$2:$C$36,"=d20261210"),"")</f>
      </c>
      <c r="BH5" s="8">
        <f>IF((0=1),SUMIFS('Daily evaluations'!$D$2:$D$36,'Daily evaluations'!$B$2:$B$36,"=naive_mom",'Daily evaluations'!$C$2:$C$36,"=d20261211"),"")</f>
      </c>
      <c r="BI5" s="8">
        <f>IF((0=1),SUMIFS('Daily evaluations'!$D$2:$D$36,'Daily evaluations'!$B$2:$B$36,"=naive_mom",'Daily evaluations'!$C$2:$C$36,"=d20261214"),"")</f>
      </c>
      <c r="BJ5" s="8">
        <f>IF((0=1),SUMIFS('Daily evaluations'!$D$2:$D$36,'Daily evaluations'!$B$2:$B$36,"=naive_mom",'Daily evaluations'!$C$2:$C$36,"=d20261215"),"")</f>
      </c>
      <c r="BK5" s="8">
        <f>IF((0=1),SUMIFS('Daily evaluations'!$D$2:$D$36,'Daily evaluations'!$B$2:$B$36,"=naive_mom",'Daily evaluations'!$C$2:$C$36,"=d20261216"),"")</f>
      </c>
      <c r="BL5" s="8">
        <f>IF((0=1),SUMIFS('Daily evaluations'!$D$2:$D$36,'Daily evaluations'!$B$2:$B$36,"=naive_mom",'Daily evaluations'!$C$2:$C$36,"=d20261217"),"")</f>
      </c>
      <c r="BM5" s="8">
        <f>IF((0=1),SUMIFS('Daily evaluations'!$D$2:$D$36,'Daily evaluations'!$B$2:$B$36,"=naive_mom",'Daily evaluations'!$C$2:$C$36,"=d20261218"),"")</f>
      </c>
      <c r="BN5" s="8">
        <f>IF((0=1),SUMIFS('Daily evaluations'!$D$2:$D$36,'Daily evaluations'!$B$2:$B$36,"=naive_mom",'Daily evaluations'!$C$2:$C$36,"=d20261221"),"")</f>
      </c>
      <c r="BO5" s="8">
        <f>IF((0=1),SUMIFS('Daily evaluations'!$D$2:$D$36,'Daily evaluations'!$B$2:$B$36,"=naive_mom",'Daily evaluations'!$C$2:$C$36,"=d20261222"),"")</f>
      </c>
      <c r="BP5" s="8">
        <f>IF((0=1),SUMIFS('Daily evaluations'!$D$2:$D$36,'Daily evaluations'!$B$2:$B$36,"=naive_mom",'Daily evaluations'!$C$2:$C$36,"=d20261223"),"")</f>
      </c>
      <c r="BQ5" s="8">
        <f>IF((0=1),SUMIFS('Daily evaluations'!$D$2:$D$36,'Daily evaluations'!$B$2:$B$36,"=naive_mom",'Daily evaluations'!$C$2:$C$36,"=d20261224"),"")</f>
      </c>
      <c r="BR5" s="8">
        <f>IF((0=1),SUMIFS('Daily evaluations'!$D$2:$D$36,'Daily evaluations'!$B$2:$B$36,"=naive_mom",'Daily evaluations'!$C$2:$C$36,"=d20261228"),"")</f>
      </c>
      <c r="BS5" s="8">
        <f>IF((0=1),SUMIFS('Daily evaluations'!$D$2:$D$36,'Daily evaluations'!$B$2:$B$36,"=naive_mom",'Daily evaluations'!$C$2:$C$36,"=d20261229"),"")</f>
      </c>
      <c r="BT5" s="8">
        <f>IF((0=1),SUMIFS('Daily evaluations'!$D$2:$D$36,'Daily evaluations'!$B$2:$B$36,"=naive_mom",'Daily evaluations'!$C$2:$C$36,"=d20261230"),"")</f>
      </c>
      <c r="BU5" s="8">
        <f>IF((0=1),SUMIFS('Daily evaluations'!$D$2:$D$36,'Daily evaluations'!$B$2:$B$36,"=naive_mom",'Daily evaluations'!$C$2:$C$36,"=d20261231"),"")</f>
      </c>
      <c r="BV5" s="8">
        <f>IF((0=1),SUMIFS('Daily evaluations'!$D$2:$D$36,'Daily evaluations'!$B$2:$B$36,"=naive_mom",'Daily evaluations'!$C$2:$C$36,"=d20270104"),"")</f>
      </c>
      <c r="BW5" s="8">
        <f>IF((0=1),SUMIFS('Daily evaluations'!$D$2:$D$36,'Daily evaluations'!$B$2:$B$36,"=naive_mom",'Daily evaluations'!$C$2:$C$36,"=d20270105"),"")</f>
      </c>
      <c r="BX5" s="8">
        <f>IF((0=1),SUMIFS('Daily evaluations'!$D$2:$D$36,'Daily evaluations'!$B$2:$B$36,"=naive_mom",'Daily evaluations'!$C$2:$C$36,"=d20270106"),"")</f>
      </c>
      <c r="BY5" s="8">
        <f>IF((0=1),SUMIFS('Daily evaluations'!$D$2:$D$36,'Daily evaluations'!$B$2:$B$36,"=naive_mom",'Daily evaluations'!$C$2:$C$36,"=d20270107"),"")</f>
      </c>
      <c r="BZ5" s="8">
        <f>IF((0=1),SUMIFS('Daily evaluations'!$D$2:$D$36,'Daily evaluations'!$B$2:$B$36,"=naive_mom",'Daily evaluations'!$C$2:$C$36,"=d20270108"),"")</f>
      </c>
      <c r="CA5" s="8">
        <f>IF((0=1),SUMIFS('Daily evaluations'!$D$2:$D$36,'Daily evaluations'!$B$2:$B$36,"=naive_mom",'Daily evaluations'!$C$2:$C$36,"=d20270111"),"")</f>
      </c>
      <c r="CB5" s="8">
        <f>IF((0=1),SUMIFS('Daily evaluations'!$D$2:$D$36,'Daily evaluations'!$B$2:$B$36,"=naive_mom",'Daily evaluations'!$C$2:$C$36,"=d20270112"),"")</f>
      </c>
      <c r="CC5" s="8">
        <f>IF((0=1),SUMIFS('Daily evaluations'!$D$2:$D$36,'Daily evaluations'!$B$2:$B$36,"=naive_mom",'Daily evaluations'!$C$2:$C$36,"=d20270113"),"")</f>
      </c>
      <c r="CD5" s="8">
        <f>IF((0=1),SUMIFS('Daily evaluations'!$D$2:$D$36,'Daily evaluations'!$B$2:$B$36,"=naive_mom",'Daily evaluations'!$C$2:$C$36,"=d20270114"),"")</f>
      </c>
      <c r="CE5" s="8">
        <f>IF((0=1),SUMIFS('Daily evaluations'!$D$2:$D$36,'Daily evaluations'!$B$2:$B$36,"=naive_mom",'Daily evaluations'!$C$2:$C$36,"=d20270115"),"")</f>
      </c>
      <c r="CF5" s="8">
        <f>IF((0=1),SUMIFS('Daily evaluations'!$D$2:$D$36,'Daily evaluations'!$B$2:$B$36,"=naive_mom",'Daily evaluations'!$C$2:$C$36,"=d20270119"),"")</f>
      </c>
      <c r="CG5" s="8">
        <f>IF((0=1),SUMIFS('Daily evaluations'!$D$2:$D$36,'Daily evaluations'!$B$2:$B$36,"=naive_mom",'Daily evaluations'!$C$2:$C$36,"=d20270120"),"")</f>
      </c>
      <c r="CH5" s="8">
        <f>IF((0=1),SUMIFS('Daily evaluations'!$D$2:$D$36,'Daily evaluations'!$B$2:$B$36,"=naive_mom",'Daily evaluations'!$C$2:$C$36,"=d20270121"),"")</f>
      </c>
      <c r="CI5" s="8">
        <f>IF((0=1),SUMIFS('Daily evaluations'!$D$2:$D$36,'Daily evaluations'!$B$2:$B$36,"=naive_mom",'Daily evaluations'!$C$2:$C$36,"=d20270122"),"")</f>
      </c>
      <c r="CJ5" s="8">
        <f>IF((0=1),SUMIFS('Daily evaluations'!$D$2:$D$36,'Daily evaluations'!$B$2:$B$36,"=naive_mom",'Daily evaluations'!$C$2:$C$36,"=d20270125"),"")</f>
      </c>
      <c r="CK5" s="8">
        <f>IF((0=1),SUMIFS('Daily evaluations'!$D$2:$D$36,'Daily evaluations'!$B$2:$B$36,"=naive_mom",'Daily evaluations'!$C$2:$C$36,"=d20270126"),"")</f>
      </c>
      <c r="CL5" s="8">
        <f>IF((0=1),SUMIFS('Daily evaluations'!$D$2:$D$36,'Daily evaluations'!$B$2:$B$36,"=naive_mom",'Daily evaluations'!$C$2:$C$36,"=d20270127"),"")</f>
      </c>
      <c r="CM5" s="8">
        <f>IF((0=1),SUMIFS('Daily evaluations'!$D$2:$D$36,'Daily evaluations'!$B$2:$B$36,"=naive_mom",'Daily evaluations'!$C$2:$C$36,"=d20270128"),"")</f>
      </c>
      <c r="CN5" s="8">
        <f>IF((0=1),SUMIFS('Daily evaluations'!$D$2:$D$36,'Daily evaluations'!$B$2:$B$36,"=naive_mom",'Daily evaluations'!$C$2:$C$36,"=d20270129"),"")</f>
      </c>
      <c r="CO5" s="8">
        <f>IF((0=1),SUMIFS('Daily evaluations'!$D$2:$D$36,'Daily evaluations'!$B$2:$B$36,"=naive_mom",'Daily evaluations'!$C$2:$C$36,"=d20270201"),"")</f>
      </c>
      <c r="CP5" s="8">
        <f>IF((0=1),SUMIFS('Daily evaluations'!$D$2:$D$36,'Daily evaluations'!$B$2:$B$36,"=naive_mom",'Daily evaluations'!$C$2:$C$36,"=d20270202"),"")</f>
      </c>
      <c r="CQ5" s="8">
        <f>IF((0=1),SUMIFS('Daily evaluations'!$D$2:$D$36,'Daily evaluations'!$B$2:$B$36,"=naive_mom",'Daily evaluations'!$C$2:$C$36,"=d20270203"),"")</f>
      </c>
      <c r="CR5" s="8">
        <f>IF((0=1),SUMIFS('Daily evaluations'!$D$2:$D$36,'Daily evaluations'!$B$2:$B$36,"=naive_mom",'Daily evaluations'!$C$2:$C$36,"=d20270204"),"")</f>
      </c>
      <c r="CS5" s="8">
        <f>IF((0=1),SUMIFS('Daily evaluations'!$D$2:$D$36,'Daily evaluations'!$B$2:$B$36,"=naive_mom",'Daily evaluations'!$C$2:$C$36,"=d20270205"),"")</f>
      </c>
      <c r="CT5" s="8">
        <f>IF((0=1),SUMIFS('Daily evaluations'!$D$2:$D$36,'Daily evaluations'!$B$2:$B$36,"=naive_mom",'Daily evaluations'!$C$2:$C$36,"=d20270208"),"")</f>
      </c>
      <c r="CU5" s="8">
        <f>IF((0=1),SUMIFS('Daily evaluations'!$D$2:$D$36,'Daily evaluations'!$B$2:$B$36,"=naive_mom",'Daily evaluations'!$C$2:$C$36,"=d20270209"),"")</f>
      </c>
      <c r="CV5" s="8">
        <f>IF((0=1),SUMIFS('Daily evaluations'!$D$2:$D$36,'Daily evaluations'!$B$2:$B$36,"=naive_mom",'Daily evaluations'!$C$2:$C$36,"=d20270210"),"")</f>
      </c>
      <c r="CW5" s="8">
        <f>IF((0=1),SUMIFS('Daily evaluations'!$D$2:$D$36,'Daily evaluations'!$B$2:$B$36,"=naive_mom",'Daily evaluations'!$C$2:$C$36,"=d20270211"),"")</f>
      </c>
      <c r="CX5" s="8">
        <f>IF((0=1),SUMIFS('Daily evaluations'!$D$2:$D$36,'Daily evaluations'!$B$2:$B$36,"=naive_mom",'Daily evaluations'!$C$2:$C$36,"=d20270212"),"")</f>
      </c>
    </row>
    <row r="6">
      <c r="A6" s="0" t="inlineStr">
        <is>
          <t xml:space="preserve">Sector-neutral overnight excess, bps</t>
        </is>
      </c>
      <c r="B6" s="0" t="inlineStr">
        <is>
          <t xml:space="preserve">best 100 by yesterday's close-to-close return</t>
        </is>
      </c>
      <c r="C6" s="8">
        <f>IF((1=1),SUMIFS('Daily evaluations'!$D$2:$D$36,'Daily evaluations'!$B$2:$B$36,"=naive_winner1d",'Daily evaluations'!$C$2:$C$36,"=d20260922"),"")</f>
        <v>-14.463</v>
      </c>
      <c r="D6" s="8">
        <f>IF((0=1),SUMIFS('Daily evaluations'!$D$2:$D$36,'Daily evaluations'!$B$2:$B$36,"=naive_winner1d",'Daily evaluations'!$C$2:$C$36,"=d20260923"),"")</f>
      </c>
      <c r="E6" s="8">
        <f>IF((0=1),SUMIFS('Daily evaluations'!$D$2:$D$36,'Daily evaluations'!$B$2:$B$36,"=naive_winner1d",'Daily evaluations'!$C$2:$C$36,"=d20260924"),"")</f>
      </c>
      <c r="F6" s="8">
        <f>IF((0=1),SUMIFS('Daily evaluations'!$D$2:$D$36,'Daily evaluations'!$B$2:$B$36,"=naive_winner1d",'Daily evaluations'!$C$2:$C$36,"=d20260925"),"")</f>
      </c>
      <c r="G6" s="8">
        <f>IF((0=1),SUMIFS('Daily evaluations'!$D$2:$D$36,'Daily evaluations'!$B$2:$B$36,"=naive_winner1d",'Daily evaluations'!$C$2:$C$36,"=d20260928"),"")</f>
      </c>
      <c r="H6" s="8">
        <f>IF((0=1),SUMIFS('Daily evaluations'!$D$2:$D$36,'Daily evaluations'!$B$2:$B$36,"=naive_winner1d",'Daily evaluations'!$C$2:$C$36,"=d20260929"),"")</f>
      </c>
      <c r="I6" s="8">
        <f>IF((0=1),SUMIFS('Daily evaluations'!$D$2:$D$36,'Daily evaluations'!$B$2:$B$36,"=naive_winner1d",'Daily evaluations'!$C$2:$C$36,"=d20260930"),"")</f>
      </c>
      <c r="J6" s="8">
        <f>IF((0=1),SUMIFS('Daily evaluations'!$D$2:$D$36,'Daily evaluations'!$B$2:$B$36,"=naive_winner1d",'Daily evaluations'!$C$2:$C$36,"=d20261001"),"")</f>
      </c>
      <c r="K6" s="8">
        <f>IF((0=1),SUMIFS('Daily evaluations'!$D$2:$D$36,'Daily evaluations'!$B$2:$B$36,"=naive_winner1d",'Daily evaluations'!$C$2:$C$36,"=d20261002"),"")</f>
      </c>
      <c r="L6" s="8">
        <f>IF((0=1),SUMIFS('Daily evaluations'!$D$2:$D$36,'Daily evaluations'!$B$2:$B$36,"=naive_winner1d",'Daily evaluations'!$C$2:$C$36,"=d20261005"),"")</f>
      </c>
      <c r="M6" s="8">
        <f>IF((0=1),SUMIFS('Daily evaluations'!$D$2:$D$36,'Daily evaluations'!$B$2:$B$36,"=naive_winner1d",'Daily evaluations'!$C$2:$C$36,"=d20261006"),"")</f>
      </c>
      <c r="N6" s="8">
        <f>IF((0=1),SUMIFS('Daily evaluations'!$D$2:$D$36,'Daily evaluations'!$B$2:$B$36,"=naive_winner1d",'Daily evaluations'!$C$2:$C$36,"=d20261007"),"")</f>
      </c>
      <c r="O6" s="8">
        <f>IF((0=1),SUMIFS('Daily evaluations'!$D$2:$D$36,'Daily evaluations'!$B$2:$B$36,"=naive_winner1d",'Daily evaluations'!$C$2:$C$36,"=d20261008"),"")</f>
      </c>
      <c r="P6" s="8">
        <f>IF((0=1),SUMIFS('Daily evaluations'!$D$2:$D$36,'Daily evaluations'!$B$2:$B$36,"=naive_winner1d",'Daily evaluations'!$C$2:$C$36,"=d20261009"),"")</f>
      </c>
      <c r="Q6" s="8">
        <f>IF((0=1),SUMIFS('Daily evaluations'!$D$2:$D$36,'Daily evaluations'!$B$2:$B$36,"=naive_winner1d",'Daily evaluations'!$C$2:$C$36,"=d20261012"),"")</f>
      </c>
      <c r="R6" s="8">
        <f>IF((0=1),SUMIFS('Daily evaluations'!$D$2:$D$36,'Daily evaluations'!$B$2:$B$36,"=naive_winner1d",'Daily evaluations'!$C$2:$C$36,"=d20261013"),"")</f>
      </c>
      <c r="S6" s="8">
        <f>IF((0=1),SUMIFS('Daily evaluations'!$D$2:$D$36,'Daily evaluations'!$B$2:$B$36,"=naive_winner1d",'Daily evaluations'!$C$2:$C$36,"=d20261014"),"")</f>
      </c>
      <c r="T6" s="8">
        <f>IF((0=1),SUMIFS('Daily evaluations'!$D$2:$D$36,'Daily evaluations'!$B$2:$B$36,"=naive_winner1d",'Daily evaluations'!$C$2:$C$36,"=d20261015"),"")</f>
      </c>
      <c r="U6" s="8">
        <f>IF((0=1),SUMIFS('Daily evaluations'!$D$2:$D$36,'Daily evaluations'!$B$2:$B$36,"=naive_winner1d",'Daily evaluations'!$C$2:$C$36,"=d20261016"),"")</f>
      </c>
      <c r="V6" s="8">
        <f>IF((0=1),SUMIFS('Daily evaluations'!$D$2:$D$36,'Daily evaluations'!$B$2:$B$36,"=naive_winner1d",'Daily evaluations'!$C$2:$C$36,"=d20261019"),"")</f>
      </c>
      <c r="W6" s="8">
        <f>IF((0=1),SUMIFS('Daily evaluations'!$D$2:$D$36,'Daily evaluations'!$B$2:$B$36,"=naive_winner1d",'Daily evaluations'!$C$2:$C$36,"=d20261020"),"")</f>
      </c>
      <c r="X6" s="8">
        <f>IF((0=1),SUMIFS('Daily evaluations'!$D$2:$D$36,'Daily evaluations'!$B$2:$B$36,"=naive_winner1d",'Daily evaluations'!$C$2:$C$36,"=d20261021"),"")</f>
      </c>
      <c r="Y6" s="8">
        <f>IF((0=1),SUMIFS('Daily evaluations'!$D$2:$D$36,'Daily evaluations'!$B$2:$B$36,"=naive_winner1d",'Daily evaluations'!$C$2:$C$36,"=d20261022"),"")</f>
      </c>
      <c r="Z6" s="8">
        <f>IF((0=1),SUMIFS('Daily evaluations'!$D$2:$D$36,'Daily evaluations'!$B$2:$B$36,"=naive_winner1d",'Daily evaluations'!$C$2:$C$36,"=d20261023"),"")</f>
      </c>
      <c r="AA6" s="8">
        <f>IF((0=1),SUMIFS('Daily evaluations'!$D$2:$D$36,'Daily evaluations'!$B$2:$B$36,"=naive_winner1d",'Daily evaluations'!$C$2:$C$36,"=d20261026"),"")</f>
      </c>
      <c r="AB6" s="8">
        <f>IF((0=1),SUMIFS('Daily evaluations'!$D$2:$D$36,'Daily evaluations'!$B$2:$B$36,"=naive_winner1d",'Daily evaluations'!$C$2:$C$36,"=d20261027"),"")</f>
      </c>
      <c r="AC6" s="8">
        <f>IF((0=1),SUMIFS('Daily evaluations'!$D$2:$D$36,'Daily evaluations'!$B$2:$B$36,"=naive_winner1d",'Daily evaluations'!$C$2:$C$36,"=d20261028"),"")</f>
      </c>
      <c r="AD6" s="8">
        <f>IF((0=1),SUMIFS('Daily evaluations'!$D$2:$D$36,'Daily evaluations'!$B$2:$B$36,"=naive_winner1d",'Daily evaluations'!$C$2:$C$36,"=d20261029"),"")</f>
      </c>
      <c r="AE6" s="8">
        <f>IF((0=1),SUMIFS('Daily evaluations'!$D$2:$D$36,'Daily evaluations'!$B$2:$B$36,"=naive_winner1d",'Daily evaluations'!$C$2:$C$36,"=d20261030"),"")</f>
      </c>
      <c r="AF6" s="8">
        <f>IF((0=1),SUMIFS('Daily evaluations'!$D$2:$D$36,'Daily evaluations'!$B$2:$B$36,"=naive_winner1d",'Daily evaluations'!$C$2:$C$36,"=d20261102"),"")</f>
      </c>
      <c r="AG6" s="8">
        <f>IF((0=1),SUMIFS('Daily evaluations'!$D$2:$D$36,'Daily evaluations'!$B$2:$B$36,"=naive_winner1d",'Daily evaluations'!$C$2:$C$36,"=d20261103"),"")</f>
      </c>
      <c r="AH6" s="8">
        <f>IF((0=1),SUMIFS('Daily evaluations'!$D$2:$D$36,'Daily evaluations'!$B$2:$B$36,"=naive_winner1d",'Daily evaluations'!$C$2:$C$36,"=d20261104"),"")</f>
      </c>
      <c r="AI6" s="8">
        <f>IF((0=1),SUMIFS('Daily evaluations'!$D$2:$D$36,'Daily evaluations'!$B$2:$B$36,"=naive_winner1d",'Daily evaluations'!$C$2:$C$36,"=d20261105"),"")</f>
      </c>
      <c r="AJ6" s="8">
        <f>IF((0=1),SUMIFS('Daily evaluations'!$D$2:$D$36,'Daily evaluations'!$B$2:$B$36,"=naive_winner1d",'Daily evaluations'!$C$2:$C$36,"=d20261106"),"")</f>
      </c>
      <c r="AK6" s="8">
        <f>IF((0=1),SUMIFS('Daily evaluations'!$D$2:$D$36,'Daily evaluations'!$B$2:$B$36,"=naive_winner1d",'Daily evaluations'!$C$2:$C$36,"=d20261109"),"")</f>
      </c>
      <c r="AL6" s="8">
        <f>IF((0=1),SUMIFS('Daily evaluations'!$D$2:$D$36,'Daily evaluations'!$B$2:$B$36,"=naive_winner1d",'Daily evaluations'!$C$2:$C$36,"=d20261110"),"")</f>
      </c>
      <c r="AM6" s="8">
        <f>IF((0=1),SUMIFS('Daily evaluations'!$D$2:$D$36,'Daily evaluations'!$B$2:$B$36,"=naive_winner1d",'Daily evaluations'!$C$2:$C$36,"=d20261111"),"")</f>
      </c>
      <c r="AN6" s="8">
        <f>IF((0=1),SUMIFS('Daily evaluations'!$D$2:$D$36,'Daily evaluations'!$B$2:$B$36,"=naive_winner1d",'Daily evaluations'!$C$2:$C$36,"=d20261112"),"")</f>
      </c>
      <c r="AO6" s="8">
        <f>IF((0=1),SUMIFS('Daily evaluations'!$D$2:$D$36,'Daily evaluations'!$B$2:$B$36,"=naive_winner1d",'Daily evaluations'!$C$2:$C$36,"=d20261113"),"")</f>
      </c>
      <c r="AP6" s="8">
        <f>IF((0=1),SUMIFS('Daily evaluations'!$D$2:$D$36,'Daily evaluations'!$B$2:$B$36,"=naive_winner1d",'Daily evaluations'!$C$2:$C$36,"=d20261116"),"")</f>
      </c>
      <c r="AQ6" s="8">
        <f>IF((0=1),SUMIFS('Daily evaluations'!$D$2:$D$36,'Daily evaluations'!$B$2:$B$36,"=naive_winner1d",'Daily evaluations'!$C$2:$C$36,"=d20261117"),"")</f>
      </c>
      <c r="AR6" s="8">
        <f>IF((0=1),SUMIFS('Daily evaluations'!$D$2:$D$36,'Daily evaluations'!$B$2:$B$36,"=naive_winner1d",'Daily evaluations'!$C$2:$C$36,"=d20261118"),"")</f>
      </c>
      <c r="AS6" s="8">
        <f>IF((0=1),SUMIFS('Daily evaluations'!$D$2:$D$36,'Daily evaluations'!$B$2:$B$36,"=naive_winner1d",'Daily evaluations'!$C$2:$C$36,"=d20261119"),"")</f>
      </c>
      <c r="AT6" s="8">
        <f>IF((0=1),SUMIFS('Daily evaluations'!$D$2:$D$36,'Daily evaluations'!$B$2:$B$36,"=naive_winner1d",'Daily evaluations'!$C$2:$C$36,"=d20261120"),"")</f>
      </c>
      <c r="AU6" s="8">
        <f>IF((0=1),SUMIFS('Daily evaluations'!$D$2:$D$36,'Daily evaluations'!$B$2:$B$36,"=naive_winner1d",'Daily evaluations'!$C$2:$C$36,"=d20261123"),"")</f>
      </c>
      <c r="AV6" s="8">
        <f>IF((0=1),SUMIFS('Daily evaluations'!$D$2:$D$36,'Daily evaluations'!$B$2:$B$36,"=naive_winner1d",'Daily evaluations'!$C$2:$C$36,"=d20261124"),"")</f>
      </c>
      <c r="AW6" s="8">
        <f>IF((0=1),SUMIFS('Daily evaluations'!$D$2:$D$36,'Daily evaluations'!$B$2:$B$36,"=naive_winner1d",'Daily evaluations'!$C$2:$C$36,"=d20261125"),"")</f>
      </c>
      <c r="AX6" s="8">
        <f>IF((0=1),SUMIFS('Daily evaluations'!$D$2:$D$36,'Daily evaluations'!$B$2:$B$36,"=naive_winner1d",'Daily evaluations'!$C$2:$C$36,"=d20261127"),"")</f>
      </c>
      <c r="AY6" s="8">
        <f>IF((0=1),SUMIFS('Daily evaluations'!$D$2:$D$36,'Daily evaluations'!$B$2:$B$36,"=naive_winner1d",'Daily evaluations'!$C$2:$C$36,"=d20261130"),"")</f>
      </c>
      <c r="AZ6" s="8">
        <f>IF((0=1),SUMIFS('Daily evaluations'!$D$2:$D$36,'Daily evaluations'!$B$2:$B$36,"=naive_winner1d",'Daily evaluations'!$C$2:$C$36,"=d20261201"),"")</f>
      </c>
      <c r="BA6" s="8">
        <f>IF((0=1),SUMIFS('Daily evaluations'!$D$2:$D$36,'Daily evaluations'!$B$2:$B$36,"=naive_winner1d",'Daily evaluations'!$C$2:$C$36,"=d20261202"),"")</f>
      </c>
      <c r="BB6" s="8">
        <f>IF((0=1),SUMIFS('Daily evaluations'!$D$2:$D$36,'Daily evaluations'!$B$2:$B$36,"=naive_winner1d",'Daily evaluations'!$C$2:$C$36,"=d20261203"),"")</f>
      </c>
      <c r="BC6" s="8">
        <f>IF((0=1),SUMIFS('Daily evaluations'!$D$2:$D$36,'Daily evaluations'!$B$2:$B$36,"=naive_winner1d",'Daily evaluations'!$C$2:$C$36,"=d20261204"),"")</f>
      </c>
      <c r="BD6" s="8">
        <f>IF((0=1),SUMIFS('Daily evaluations'!$D$2:$D$36,'Daily evaluations'!$B$2:$B$36,"=naive_winner1d",'Daily evaluations'!$C$2:$C$36,"=d20261207"),"")</f>
      </c>
      <c r="BE6" s="8">
        <f>IF((0=1),SUMIFS('Daily evaluations'!$D$2:$D$36,'Daily evaluations'!$B$2:$B$36,"=naive_winner1d",'Daily evaluations'!$C$2:$C$36,"=d20261208"),"")</f>
      </c>
      <c r="BF6" s="8">
        <f>IF((0=1),SUMIFS('Daily evaluations'!$D$2:$D$36,'Daily evaluations'!$B$2:$B$36,"=naive_winner1d",'Daily evaluations'!$C$2:$C$36,"=d20261209"),"")</f>
      </c>
      <c r="BG6" s="8">
        <f>IF((0=1),SUMIFS('Daily evaluations'!$D$2:$D$36,'Daily evaluations'!$B$2:$B$36,"=naive_winner1d",'Daily evaluations'!$C$2:$C$36,"=d20261210"),"")</f>
      </c>
      <c r="BH6" s="8">
        <f>IF((0=1),SUMIFS('Daily evaluations'!$D$2:$D$36,'Daily evaluations'!$B$2:$B$36,"=naive_winner1d",'Daily evaluations'!$C$2:$C$36,"=d20261211"),"")</f>
      </c>
      <c r="BI6" s="8">
        <f>IF((0=1),SUMIFS('Daily evaluations'!$D$2:$D$36,'Daily evaluations'!$B$2:$B$36,"=naive_winner1d",'Daily evaluations'!$C$2:$C$36,"=d20261214"),"")</f>
      </c>
      <c r="BJ6" s="8">
        <f>IF((0=1),SUMIFS('Daily evaluations'!$D$2:$D$36,'Daily evaluations'!$B$2:$B$36,"=naive_winner1d",'Daily evaluations'!$C$2:$C$36,"=d20261215"),"")</f>
      </c>
      <c r="BK6" s="8">
        <f>IF((0=1),SUMIFS('Daily evaluations'!$D$2:$D$36,'Daily evaluations'!$B$2:$B$36,"=naive_winner1d",'Daily evaluations'!$C$2:$C$36,"=d20261216"),"")</f>
      </c>
      <c r="BL6" s="8">
        <f>IF((0=1),SUMIFS('Daily evaluations'!$D$2:$D$36,'Daily evaluations'!$B$2:$B$36,"=naive_winner1d",'Daily evaluations'!$C$2:$C$36,"=d20261217"),"")</f>
      </c>
      <c r="BM6" s="8">
        <f>IF((0=1),SUMIFS('Daily evaluations'!$D$2:$D$36,'Daily evaluations'!$B$2:$B$36,"=naive_winner1d",'Daily evaluations'!$C$2:$C$36,"=d20261218"),"")</f>
      </c>
      <c r="BN6" s="8">
        <f>IF((0=1),SUMIFS('Daily evaluations'!$D$2:$D$36,'Daily evaluations'!$B$2:$B$36,"=naive_winner1d",'Daily evaluations'!$C$2:$C$36,"=d20261221"),"")</f>
      </c>
      <c r="BO6" s="8">
        <f>IF((0=1),SUMIFS('Daily evaluations'!$D$2:$D$36,'Daily evaluations'!$B$2:$B$36,"=naive_winner1d",'Daily evaluations'!$C$2:$C$36,"=d20261222"),"")</f>
      </c>
      <c r="BP6" s="8">
        <f>IF((0=1),SUMIFS('Daily evaluations'!$D$2:$D$36,'Daily evaluations'!$B$2:$B$36,"=naive_winner1d",'Daily evaluations'!$C$2:$C$36,"=d20261223"),"")</f>
      </c>
      <c r="BQ6" s="8">
        <f>IF((0=1),SUMIFS('Daily evaluations'!$D$2:$D$36,'Daily evaluations'!$B$2:$B$36,"=naive_winner1d",'Daily evaluations'!$C$2:$C$36,"=d20261224"),"")</f>
      </c>
      <c r="BR6" s="8">
        <f>IF((0=1),SUMIFS('Daily evaluations'!$D$2:$D$36,'Daily evaluations'!$B$2:$B$36,"=naive_winner1d",'Daily evaluations'!$C$2:$C$36,"=d20261228"),"")</f>
      </c>
      <c r="BS6" s="8">
        <f>IF((0=1),SUMIFS('Daily evaluations'!$D$2:$D$36,'Daily evaluations'!$B$2:$B$36,"=naive_winner1d",'Daily evaluations'!$C$2:$C$36,"=d20261229"),"")</f>
      </c>
      <c r="BT6" s="8">
        <f>IF((0=1),SUMIFS('Daily evaluations'!$D$2:$D$36,'Daily evaluations'!$B$2:$B$36,"=naive_winner1d",'Daily evaluations'!$C$2:$C$36,"=d20261230"),"")</f>
      </c>
      <c r="BU6" s="8">
        <f>IF((0=1),SUMIFS('Daily evaluations'!$D$2:$D$36,'Daily evaluations'!$B$2:$B$36,"=naive_winner1d",'Daily evaluations'!$C$2:$C$36,"=d20261231"),"")</f>
      </c>
      <c r="BV6" s="8">
        <f>IF((0=1),SUMIFS('Daily evaluations'!$D$2:$D$36,'Daily evaluations'!$B$2:$B$36,"=naive_winner1d",'Daily evaluations'!$C$2:$C$36,"=d20270104"),"")</f>
      </c>
      <c r="BW6" s="8">
        <f>IF((0=1),SUMIFS('Daily evaluations'!$D$2:$D$36,'Daily evaluations'!$B$2:$B$36,"=naive_winner1d",'Daily evaluations'!$C$2:$C$36,"=d20270105"),"")</f>
      </c>
      <c r="BX6" s="8">
        <f>IF((0=1),SUMIFS('Daily evaluations'!$D$2:$D$36,'Daily evaluations'!$B$2:$B$36,"=naive_winner1d",'Daily evaluations'!$C$2:$C$36,"=d20270106"),"")</f>
      </c>
      <c r="BY6" s="8">
        <f>IF((0=1),SUMIFS('Daily evaluations'!$D$2:$D$36,'Daily evaluations'!$B$2:$B$36,"=naive_winner1d",'Daily evaluations'!$C$2:$C$36,"=d20270107"),"")</f>
      </c>
      <c r="BZ6" s="8">
        <f>IF((0=1),SUMIFS('Daily evaluations'!$D$2:$D$36,'Daily evaluations'!$B$2:$B$36,"=naive_winner1d",'Daily evaluations'!$C$2:$C$36,"=d20270108"),"")</f>
      </c>
      <c r="CA6" s="8">
        <f>IF((0=1),SUMIFS('Daily evaluations'!$D$2:$D$36,'Daily evaluations'!$B$2:$B$36,"=naive_winner1d",'Daily evaluations'!$C$2:$C$36,"=d20270111"),"")</f>
      </c>
      <c r="CB6" s="8">
        <f>IF((0=1),SUMIFS('Daily evaluations'!$D$2:$D$36,'Daily evaluations'!$B$2:$B$36,"=naive_winner1d",'Daily evaluations'!$C$2:$C$36,"=d20270112"),"")</f>
      </c>
      <c r="CC6" s="8">
        <f>IF((0=1),SUMIFS('Daily evaluations'!$D$2:$D$36,'Daily evaluations'!$B$2:$B$36,"=naive_winner1d",'Daily evaluations'!$C$2:$C$36,"=d20270113"),"")</f>
      </c>
      <c r="CD6" s="8">
        <f>IF((0=1),SUMIFS('Daily evaluations'!$D$2:$D$36,'Daily evaluations'!$B$2:$B$36,"=naive_winner1d",'Daily evaluations'!$C$2:$C$36,"=d20270114"),"")</f>
      </c>
      <c r="CE6" s="8">
        <f>IF((0=1),SUMIFS('Daily evaluations'!$D$2:$D$36,'Daily evaluations'!$B$2:$B$36,"=naive_winner1d",'Daily evaluations'!$C$2:$C$36,"=d20270115"),"")</f>
      </c>
      <c r="CF6" s="8">
        <f>IF((0=1),SUMIFS('Daily evaluations'!$D$2:$D$36,'Daily evaluations'!$B$2:$B$36,"=naive_winner1d",'Daily evaluations'!$C$2:$C$36,"=d20270119"),"")</f>
      </c>
      <c r="CG6" s="8">
        <f>IF((0=1),SUMIFS('Daily evaluations'!$D$2:$D$36,'Daily evaluations'!$B$2:$B$36,"=naive_winner1d",'Daily evaluations'!$C$2:$C$36,"=d20270120"),"")</f>
      </c>
      <c r="CH6" s="8">
        <f>IF((0=1),SUMIFS('Daily evaluations'!$D$2:$D$36,'Daily evaluations'!$B$2:$B$36,"=naive_winner1d",'Daily evaluations'!$C$2:$C$36,"=d20270121"),"")</f>
      </c>
      <c r="CI6" s="8">
        <f>IF((0=1),SUMIFS('Daily evaluations'!$D$2:$D$36,'Daily evaluations'!$B$2:$B$36,"=naive_winner1d",'Daily evaluations'!$C$2:$C$36,"=d20270122"),"")</f>
      </c>
      <c r="CJ6" s="8">
        <f>IF((0=1),SUMIFS('Daily evaluations'!$D$2:$D$36,'Daily evaluations'!$B$2:$B$36,"=naive_winner1d",'Daily evaluations'!$C$2:$C$36,"=d20270125"),"")</f>
      </c>
      <c r="CK6" s="8">
        <f>IF((0=1),SUMIFS('Daily evaluations'!$D$2:$D$36,'Daily evaluations'!$B$2:$B$36,"=naive_winner1d",'Daily evaluations'!$C$2:$C$36,"=d20270126"),"")</f>
      </c>
      <c r="CL6" s="8">
        <f>IF((0=1),SUMIFS('Daily evaluations'!$D$2:$D$36,'Daily evaluations'!$B$2:$B$36,"=naive_winner1d",'Daily evaluations'!$C$2:$C$36,"=d20270127"),"")</f>
      </c>
      <c r="CM6" s="8">
        <f>IF((0=1),SUMIFS('Daily evaluations'!$D$2:$D$36,'Daily evaluations'!$B$2:$B$36,"=naive_winner1d",'Daily evaluations'!$C$2:$C$36,"=d20270128"),"")</f>
      </c>
      <c r="CN6" s="8">
        <f>IF((0=1),SUMIFS('Daily evaluations'!$D$2:$D$36,'Daily evaluations'!$B$2:$B$36,"=naive_winner1d",'Daily evaluations'!$C$2:$C$36,"=d20270129"),"")</f>
      </c>
      <c r="CO6" s="8">
        <f>IF((0=1),SUMIFS('Daily evaluations'!$D$2:$D$36,'Daily evaluations'!$B$2:$B$36,"=naive_winner1d",'Daily evaluations'!$C$2:$C$36,"=d20270201"),"")</f>
      </c>
      <c r="CP6" s="8">
        <f>IF((0=1),SUMIFS('Daily evaluations'!$D$2:$D$36,'Daily evaluations'!$B$2:$B$36,"=naive_winner1d",'Daily evaluations'!$C$2:$C$36,"=d20270202"),"")</f>
      </c>
      <c r="CQ6" s="8">
        <f>IF((0=1),SUMIFS('Daily evaluations'!$D$2:$D$36,'Daily evaluations'!$B$2:$B$36,"=naive_winner1d",'Daily evaluations'!$C$2:$C$36,"=d20270203"),"")</f>
      </c>
      <c r="CR6" s="8">
        <f>IF((0=1),SUMIFS('Daily evaluations'!$D$2:$D$36,'Daily evaluations'!$B$2:$B$36,"=naive_winner1d",'Daily evaluations'!$C$2:$C$36,"=d20270204"),"")</f>
      </c>
      <c r="CS6" s="8">
        <f>IF((0=1),SUMIFS('Daily evaluations'!$D$2:$D$36,'Daily evaluations'!$B$2:$B$36,"=naive_winner1d",'Daily evaluations'!$C$2:$C$36,"=d20270205"),"")</f>
      </c>
      <c r="CT6" s="8">
        <f>IF((0=1),SUMIFS('Daily evaluations'!$D$2:$D$36,'Daily evaluations'!$B$2:$B$36,"=naive_winner1d",'Daily evaluations'!$C$2:$C$36,"=d20270208"),"")</f>
      </c>
      <c r="CU6" s="8">
        <f>IF((0=1),SUMIFS('Daily evaluations'!$D$2:$D$36,'Daily evaluations'!$B$2:$B$36,"=naive_winner1d",'Daily evaluations'!$C$2:$C$36,"=d20270209"),"")</f>
      </c>
      <c r="CV6" s="8">
        <f>IF((0=1),SUMIFS('Daily evaluations'!$D$2:$D$36,'Daily evaluations'!$B$2:$B$36,"=naive_winner1d",'Daily evaluations'!$C$2:$C$36,"=d20270210"),"")</f>
      </c>
      <c r="CW6" s="8">
        <f>IF((0=1),SUMIFS('Daily evaluations'!$D$2:$D$36,'Daily evaluations'!$B$2:$B$36,"=naive_winner1d",'Daily evaluations'!$C$2:$C$36,"=d20270211"),"")</f>
      </c>
      <c r="CX6" s="8">
        <f>IF((0=1),SUMIFS('Daily evaluations'!$D$2:$D$36,'Daily evaluations'!$B$2:$B$36,"=naive_winner1d",'Daily evaluations'!$C$2:$C$36,"=d20270212"),"")</f>
      </c>
    </row>
    <row r="7">
      <c r="A7" s="0" t="inlineStr">
        <is>
          <t xml:space="preserve">Sector-neutral overnight excess, bps</t>
        </is>
      </c>
      <c r="B7" s="0" t="inlineStr">
        <is>
          <t xml:space="preserve">Retail Attention Overnight</t>
        </is>
      </c>
      <c r="C7" s="8">
        <f>IF((1=1),SUMIFS('Daily evaluations'!$D$2:$D$36,'Daily evaluations'!$B$2:$B$36,"=p01_attention",'Daily evaluations'!$C$2:$C$36,"=d20260922"),"")</f>
        <v>-19.56</v>
      </c>
      <c r="D7" s="8">
        <f>IF((0=1),SUMIFS('Daily evaluations'!$D$2:$D$36,'Daily evaluations'!$B$2:$B$36,"=p01_attention",'Daily evaluations'!$C$2:$C$36,"=d20260923"),"")</f>
      </c>
      <c r="E7" s="8">
        <f>IF((0=1),SUMIFS('Daily evaluations'!$D$2:$D$36,'Daily evaluations'!$B$2:$B$36,"=p01_attention",'Daily evaluations'!$C$2:$C$36,"=d20260924"),"")</f>
      </c>
      <c r="F7" s="8">
        <f>IF((0=1),SUMIFS('Daily evaluations'!$D$2:$D$36,'Daily evaluations'!$B$2:$B$36,"=p01_attention",'Daily evaluations'!$C$2:$C$36,"=d20260925"),"")</f>
      </c>
      <c r="G7" s="8">
        <f>IF((0=1),SUMIFS('Daily evaluations'!$D$2:$D$36,'Daily evaluations'!$B$2:$B$36,"=p01_attention",'Daily evaluations'!$C$2:$C$36,"=d20260928"),"")</f>
      </c>
      <c r="H7" s="8">
        <f>IF((0=1),SUMIFS('Daily evaluations'!$D$2:$D$36,'Daily evaluations'!$B$2:$B$36,"=p01_attention",'Daily evaluations'!$C$2:$C$36,"=d20260929"),"")</f>
      </c>
      <c r="I7" s="8">
        <f>IF((0=1),SUMIFS('Daily evaluations'!$D$2:$D$36,'Daily evaluations'!$B$2:$B$36,"=p01_attention",'Daily evaluations'!$C$2:$C$36,"=d20260930"),"")</f>
      </c>
      <c r="J7" s="8">
        <f>IF((0=1),SUMIFS('Daily evaluations'!$D$2:$D$36,'Daily evaluations'!$B$2:$B$36,"=p01_attention",'Daily evaluations'!$C$2:$C$36,"=d20261001"),"")</f>
      </c>
      <c r="K7" s="8">
        <f>IF((0=1),SUMIFS('Daily evaluations'!$D$2:$D$36,'Daily evaluations'!$B$2:$B$36,"=p01_attention",'Daily evaluations'!$C$2:$C$36,"=d20261002"),"")</f>
      </c>
      <c r="L7" s="8">
        <f>IF((0=1),SUMIFS('Daily evaluations'!$D$2:$D$36,'Daily evaluations'!$B$2:$B$36,"=p01_attention",'Daily evaluations'!$C$2:$C$36,"=d20261005"),"")</f>
      </c>
      <c r="M7" s="8">
        <f>IF((0=1),SUMIFS('Daily evaluations'!$D$2:$D$36,'Daily evaluations'!$B$2:$B$36,"=p01_attention",'Daily evaluations'!$C$2:$C$36,"=d20261006"),"")</f>
      </c>
      <c r="N7" s="8">
        <f>IF((0=1),SUMIFS('Daily evaluations'!$D$2:$D$36,'Daily evaluations'!$B$2:$B$36,"=p01_attention",'Daily evaluations'!$C$2:$C$36,"=d20261007"),"")</f>
      </c>
      <c r="O7" s="8">
        <f>IF((0=1),SUMIFS('Daily evaluations'!$D$2:$D$36,'Daily evaluations'!$B$2:$B$36,"=p01_attention",'Daily evaluations'!$C$2:$C$36,"=d20261008"),"")</f>
      </c>
      <c r="P7" s="8">
        <f>IF((0=1),SUMIFS('Daily evaluations'!$D$2:$D$36,'Daily evaluations'!$B$2:$B$36,"=p01_attention",'Daily evaluations'!$C$2:$C$36,"=d20261009"),"")</f>
      </c>
      <c r="Q7" s="8">
        <f>IF((0=1),SUMIFS('Daily evaluations'!$D$2:$D$36,'Daily evaluations'!$B$2:$B$36,"=p01_attention",'Daily evaluations'!$C$2:$C$36,"=d20261012"),"")</f>
      </c>
      <c r="R7" s="8">
        <f>IF((0=1),SUMIFS('Daily evaluations'!$D$2:$D$36,'Daily evaluations'!$B$2:$B$36,"=p01_attention",'Daily evaluations'!$C$2:$C$36,"=d20261013"),"")</f>
      </c>
      <c r="S7" s="8">
        <f>IF((0=1),SUMIFS('Daily evaluations'!$D$2:$D$36,'Daily evaluations'!$B$2:$B$36,"=p01_attention",'Daily evaluations'!$C$2:$C$36,"=d20261014"),"")</f>
      </c>
      <c r="T7" s="8">
        <f>IF((0=1),SUMIFS('Daily evaluations'!$D$2:$D$36,'Daily evaluations'!$B$2:$B$36,"=p01_attention",'Daily evaluations'!$C$2:$C$36,"=d20261015"),"")</f>
      </c>
      <c r="U7" s="8">
        <f>IF((0=1),SUMIFS('Daily evaluations'!$D$2:$D$36,'Daily evaluations'!$B$2:$B$36,"=p01_attention",'Daily evaluations'!$C$2:$C$36,"=d20261016"),"")</f>
      </c>
      <c r="V7" s="8">
        <f>IF((0=1),SUMIFS('Daily evaluations'!$D$2:$D$36,'Daily evaluations'!$B$2:$B$36,"=p01_attention",'Daily evaluations'!$C$2:$C$36,"=d20261019"),"")</f>
      </c>
      <c r="W7" s="8">
        <f>IF((0=1),SUMIFS('Daily evaluations'!$D$2:$D$36,'Daily evaluations'!$B$2:$B$36,"=p01_attention",'Daily evaluations'!$C$2:$C$36,"=d20261020"),"")</f>
      </c>
      <c r="X7" s="8">
        <f>IF((0=1),SUMIFS('Daily evaluations'!$D$2:$D$36,'Daily evaluations'!$B$2:$B$36,"=p01_attention",'Daily evaluations'!$C$2:$C$36,"=d20261021"),"")</f>
      </c>
      <c r="Y7" s="8">
        <f>IF((0=1),SUMIFS('Daily evaluations'!$D$2:$D$36,'Daily evaluations'!$B$2:$B$36,"=p01_attention",'Daily evaluations'!$C$2:$C$36,"=d20261022"),"")</f>
      </c>
      <c r="Z7" s="8">
        <f>IF((0=1),SUMIFS('Daily evaluations'!$D$2:$D$36,'Daily evaluations'!$B$2:$B$36,"=p01_attention",'Daily evaluations'!$C$2:$C$36,"=d20261023"),"")</f>
      </c>
      <c r="AA7" s="8">
        <f>IF((0=1),SUMIFS('Daily evaluations'!$D$2:$D$36,'Daily evaluations'!$B$2:$B$36,"=p01_attention",'Daily evaluations'!$C$2:$C$36,"=d20261026"),"")</f>
      </c>
      <c r="AB7" s="8">
        <f>IF((0=1),SUMIFS('Daily evaluations'!$D$2:$D$36,'Daily evaluations'!$B$2:$B$36,"=p01_attention",'Daily evaluations'!$C$2:$C$36,"=d20261027"),"")</f>
      </c>
      <c r="AC7" s="8">
        <f>IF((0=1),SUMIFS('Daily evaluations'!$D$2:$D$36,'Daily evaluations'!$B$2:$B$36,"=p01_attention",'Daily evaluations'!$C$2:$C$36,"=d20261028"),"")</f>
      </c>
      <c r="AD7" s="8">
        <f>IF((0=1),SUMIFS('Daily evaluations'!$D$2:$D$36,'Daily evaluations'!$B$2:$B$36,"=p01_attention",'Daily evaluations'!$C$2:$C$36,"=d20261029"),"")</f>
      </c>
      <c r="AE7" s="8">
        <f>IF((0=1),SUMIFS('Daily evaluations'!$D$2:$D$36,'Daily evaluations'!$B$2:$B$36,"=p01_attention",'Daily evaluations'!$C$2:$C$36,"=d20261030"),"")</f>
      </c>
      <c r="AF7" s="8">
        <f>IF((0=1),SUMIFS('Daily evaluations'!$D$2:$D$36,'Daily evaluations'!$B$2:$B$36,"=p01_attention",'Daily evaluations'!$C$2:$C$36,"=d20261102"),"")</f>
      </c>
      <c r="AG7" s="8">
        <f>IF((0=1),SUMIFS('Daily evaluations'!$D$2:$D$36,'Daily evaluations'!$B$2:$B$36,"=p01_attention",'Daily evaluations'!$C$2:$C$36,"=d20261103"),"")</f>
      </c>
      <c r="AH7" s="8">
        <f>IF((0=1),SUMIFS('Daily evaluations'!$D$2:$D$36,'Daily evaluations'!$B$2:$B$36,"=p01_attention",'Daily evaluations'!$C$2:$C$36,"=d20261104"),"")</f>
      </c>
      <c r="AI7" s="8">
        <f>IF((0=1),SUMIFS('Daily evaluations'!$D$2:$D$36,'Daily evaluations'!$B$2:$B$36,"=p01_attention",'Daily evaluations'!$C$2:$C$36,"=d20261105"),"")</f>
      </c>
      <c r="AJ7" s="8">
        <f>IF((0=1),SUMIFS('Daily evaluations'!$D$2:$D$36,'Daily evaluations'!$B$2:$B$36,"=p01_attention",'Daily evaluations'!$C$2:$C$36,"=d20261106"),"")</f>
      </c>
      <c r="AK7" s="8">
        <f>IF((0=1),SUMIFS('Daily evaluations'!$D$2:$D$36,'Daily evaluations'!$B$2:$B$36,"=p01_attention",'Daily evaluations'!$C$2:$C$36,"=d20261109"),"")</f>
      </c>
      <c r="AL7" s="8">
        <f>IF((0=1),SUMIFS('Daily evaluations'!$D$2:$D$36,'Daily evaluations'!$B$2:$B$36,"=p01_attention",'Daily evaluations'!$C$2:$C$36,"=d20261110"),"")</f>
      </c>
      <c r="AM7" s="8">
        <f>IF((0=1),SUMIFS('Daily evaluations'!$D$2:$D$36,'Daily evaluations'!$B$2:$B$36,"=p01_attention",'Daily evaluations'!$C$2:$C$36,"=d20261111"),"")</f>
      </c>
      <c r="AN7" s="8">
        <f>IF((0=1),SUMIFS('Daily evaluations'!$D$2:$D$36,'Daily evaluations'!$B$2:$B$36,"=p01_attention",'Daily evaluations'!$C$2:$C$36,"=d20261112"),"")</f>
      </c>
      <c r="AO7" s="8">
        <f>IF((0=1),SUMIFS('Daily evaluations'!$D$2:$D$36,'Daily evaluations'!$B$2:$B$36,"=p01_attention",'Daily evaluations'!$C$2:$C$36,"=d20261113"),"")</f>
      </c>
      <c r="AP7" s="8">
        <f>IF((0=1),SUMIFS('Daily evaluations'!$D$2:$D$36,'Daily evaluations'!$B$2:$B$36,"=p01_attention",'Daily evaluations'!$C$2:$C$36,"=d20261116"),"")</f>
      </c>
      <c r="AQ7" s="8">
        <f>IF((0=1),SUMIFS('Daily evaluations'!$D$2:$D$36,'Daily evaluations'!$B$2:$B$36,"=p01_attention",'Daily evaluations'!$C$2:$C$36,"=d20261117"),"")</f>
      </c>
      <c r="AR7" s="8">
        <f>IF((0=1),SUMIFS('Daily evaluations'!$D$2:$D$36,'Daily evaluations'!$B$2:$B$36,"=p01_attention",'Daily evaluations'!$C$2:$C$36,"=d20261118"),"")</f>
      </c>
      <c r="AS7" s="8">
        <f>IF((0=1),SUMIFS('Daily evaluations'!$D$2:$D$36,'Daily evaluations'!$B$2:$B$36,"=p01_attention",'Daily evaluations'!$C$2:$C$36,"=d20261119"),"")</f>
      </c>
      <c r="AT7" s="8">
        <f>IF((0=1),SUMIFS('Daily evaluations'!$D$2:$D$36,'Daily evaluations'!$B$2:$B$36,"=p01_attention",'Daily evaluations'!$C$2:$C$36,"=d20261120"),"")</f>
      </c>
      <c r="AU7" s="8">
        <f>IF((0=1),SUMIFS('Daily evaluations'!$D$2:$D$36,'Daily evaluations'!$B$2:$B$36,"=p01_attention",'Daily evaluations'!$C$2:$C$36,"=d20261123"),"")</f>
      </c>
      <c r="AV7" s="8">
        <f>IF((0=1),SUMIFS('Daily evaluations'!$D$2:$D$36,'Daily evaluations'!$B$2:$B$36,"=p01_attention",'Daily evaluations'!$C$2:$C$36,"=d20261124"),"")</f>
      </c>
      <c r="AW7" s="8">
        <f>IF((0=1),SUMIFS('Daily evaluations'!$D$2:$D$36,'Daily evaluations'!$B$2:$B$36,"=p01_attention",'Daily evaluations'!$C$2:$C$36,"=d20261125"),"")</f>
      </c>
      <c r="AX7" s="8">
        <f>IF((0=1),SUMIFS('Daily evaluations'!$D$2:$D$36,'Daily evaluations'!$B$2:$B$36,"=p01_attention",'Daily evaluations'!$C$2:$C$36,"=d20261127"),"")</f>
      </c>
      <c r="AY7" s="8">
        <f>IF((0=1),SUMIFS('Daily evaluations'!$D$2:$D$36,'Daily evaluations'!$B$2:$B$36,"=p01_attention",'Daily evaluations'!$C$2:$C$36,"=d20261130"),"")</f>
      </c>
      <c r="AZ7" s="8">
        <f>IF((0=1),SUMIFS('Daily evaluations'!$D$2:$D$36,'Daily evaluations'!$B$2:$B$36,"=p01_attention",'Daily evaluations'!$C$2:$C$36,"=d20261201"),"")</f>
      </c>
      <c r="BA7" s="8">
        <f>IF((0=1),SUMIFS('Daily evaluations'!$D$2:$D$36,'Daily evaluations'!$B$2:$B$36,"=p01_attention",'Daily evaluations'!$C$2:$C$36,"=d20261202"),"")</f>
      </c>
      <c r="BB7" s="8">
        <f>IF((0=1),SUMIFS('Daily evaluations'!$D$2:$D$36,'Daily evaluations'!$B$2:$B$36,"=p01_attention",'Daily evaluations'!$C$2:$C$36,"=d20261203"),"")</f>
      </c>
      <c r="BC7" s="8">
        <f>IF((0=1),SUMIFS('Daily evaluations'!$D$2:$D$36,'Daily evaluations'!$B$2:$B$36,"=p01_attention",'Daily evaluations'!$C$2:$C$36,"=d20261204"),"")</f>
      </c>
      <c r="BD7" s="8">
        <f>IF((0=1),SUMIFS('Daily evaluations'!$D$2:$D$36,'Daily evaluations'!$B$2:$B$36,"=p01_attention",'Daily evaluations'!$C$2:$C$36,"=d20261207"),"")</f>
      </c>
      <c r="BE7" s="8">
        <f>IF((0=1),SUMIFS('Daily evaluations'!$D$2:$D$36,'Daily evaluations'!$B$2:$B$36,"=p01_attention",'Daily evaluations'!$C$2:$C$36,"=d20261208"),"")</f>
      </c>
      <c r="BF7" s="8">
        <f>IF((0=1),SUMIFS('Daily evaluations'!$D$2:$D$36,'Daily evaluations'!$B$2:$B$36,"=p01_attention",'Daily evaluations'!$C$2:$C$36,"=d20261209"),"")</f>
      </c>
      <c r="BG7" s="8">
        <f>IF((0=1),SUMIFS('Daily evaluations'!$D$2:$D$36,'Daily evaluations'!$B$2:$B$36,"=p01_attention",'Daily evaluations'!$C$2:$C$36,"=d20261210"),"")</f>
      </c>
      <c r="BH7" s="8">
        <f>IF((0=1),SUMIFS('Daily evaluations'!$D$2:$D$36,'Daily evaluations'!$B$2:$B$36,"=p01_attention",'Daily evaluations'!$C$2:$C$36,"=d20261211"),"")</f>
      </c>
      <c r="BI7" s="8">
        <f>IF((0=1),SUMIFS('Daily evaluations'!$D$2:$D$36,'Daily evaluations'!$B$2:$B$36,"=p01_attention",'Daily evaluations'!$C$2:$C$36,"=d20261214"),"")</f>
      </c>
      <c r="BJ7" s="8">
        <f>IF((0=1),SUMIFS('Daily evaluations'!$D$2:$D$36,'Daily evaluations'!$B$2:$B$36,"=p01_attention",'Daily evaluations'!$C$2:$C$36,"=d20261215"),"")</f>
      </c>
      <c r="BK7" s="8">
        <f>IF((0=1),SUMIFS('Daily evaluations'!$D$2:$D$36,'Daily evaluations'!$B$2:$B$36,"=p01_attention",'Daily evaluations'!$C$2:$C$36,"=d20261216"),"")</f>
      </c>
      <c r="BL7" s="8">
        <f>IF((0=1),SUMIFS('Daily evaluations'!$D$2:$D$36,'Daily evaluations'!$B$2:$B$36,"=p01_attention",'Daily evaluations'!$C$2:$C$36,"=d20261217"),"")</f>
      </c>
      <c r="BM7" s="8">
        <f>IF((0=1),SUMIFS('Daily evaluations'!$D$2:$D$36,'Daily evaluations'!$B$2:$B$36,"=p01_attention",'Daily evaluations'!$C$2:$C$36,"=d20261218"),"")</f>
      </c>
      <c r="BN7" s="8">
        <f>IF((0=1),SUMIFS('Daily evaluations'!$D$2:$D$36,'Daily evaluations'!$B$2:$B$36,"=p01_attention",'Daily evaluations'!$C$2:$C$36,"=d20261221"),"")</f>
      </c>
      <c r="BO7" s="8">
        <f>IF((0=1),SUMIFS('Daily evaluations'!$D$2:$D$36,'Daily evaluations'!$B$2:$B$36,"=p01_attention",'Daily evaluations'!$C$2:$C$36,"=d20261222"),"")</f>
      </c>
      <c r="BP7" s="8">
        <f>IF((0=1),SUMIFS('Daily evaluations'!$D$2:$D$36,'Daily evaluations'!$B$2:$B$36,"=p01_attention",'Daily evaluations'!$C$2:$C$36,"=d20261223"),"")</f>
      </c>
      <c r="BQ7" s="8">
        <f>IF((0=1),SUMIFS('Daily evaluations'!$D$2:$D$36,'Daily evaluations'!$B$2:$B$36,"=p01_attention",'Daily evaluations'!$C$2:$C$36,"=d20261224"),"")</f>
      </c>
      <c r="BR7" s="8">
        <f>IF((0=1),SUMIFS('Daily evaluations'!$D$2:$D$36,'Daily evaluations'!$B$2:$B$36,"=p01_attention",'Daily evaluations'!$C$2:$C$36,"=d20261228"),"")</f>
      </c>
      <c r="BS7" s="8">
        <f>IF((0=1),SUMIFS('Daily evaluations'!$D$2:$D$36,'Daily evaluations'!$B$2:$B$36,"=p01_attention",'Daily evaluations'!$C$2:$C$36,"=d20261229"),"")</f>
      </c>
      <c r="BT7" s="8">
        <f>IF((0=1),SUMIFS('Daily evaluations'!$D$2:$D$36,'Daily evaluations'!$B$2:$B$36,"=p01_attention",'Daily evaluations'!$C$2:$C$36,"=d20261230"),"")</f>
      </c>
      <c r="BU7" s="8">
        <f>IF((0=1),SUMIFS('Daily evaluations'!$D$2:$D$36,'Daily evaluations'!$B$2:$B$36,"=p01_attention",'Daily evaluations'!$C$2:$C$36,"=d20261231"),"")</f>
      </c>
      <c r="BV7" s="8">
        <f>IF((0=1),SUMIFS('Daily evaluations'!$D$2:$D$36,'Daily evaluations'!$B$2:$B$36,"=p01_attention",'Daily evaluations'!$C$2:$C$36,"=d20270104"),"")</f>
      </c>
      <c r="BW7" s="8">
        <f>IF((0=1),SUMIFS('Daily evaluations'!$D$2:$D$36,'Daily evaluations'!$B$2:$B$36,"=p01_attention",'Daily evaluations'!$C$2:$C$36,"=d20270105"),"")</f>
      </c>
      <c r="BX7" s="8">
        <f>IF((0=1),SUMIFS('Daily evaluations'!$D$2:$D$36,'Daily evaluations'!$B$2:$B$36,"=p01_attention",'Daily evaluations'!$C$2:$C$36,"=d20270106"),"")</f>
      </c>
      <c r="BY7" s="8">
        <f>IF((0=1),SUMIFS('Daily evaluations'!$D$2:$D$36,'Daily evaluations'!$B$2:$B$36,"=p01_attention",'Daily evaluations'!$C$2:$C$36,"=d20270107"),"")</f>
      </c>
      <c r="BZ7" s="8">
        <f>IF((0=1),SUMIFS('Daily evaluations'!$D$2:$D$36,'Daily evaluations'!$B$2:$B$36,"=p01_attention",'Daily evaluations'!$C$2:$C$36,"=d20270108"),"")</f>
      </c>
      <c r="CA7" s="8">
        <f>IF((0=1),SUMIFS('Daily evaluations'!$D$2:$D$36,'Daily evaluations'!$B$2:$B$36,"=p01_attention",'Daily evaluations'!$C$2:$C$36,"=d20270111"),"")</f>
      </c>
      <c r="CB7" s="8">
        <f>IF((0=1),SUMIFS('Daily evaluations'!$D$2:$D$36,'Daily evaluations'!$B$2:$B$36,"=p01_attention",'Daily evaluations'!$C$2:$C$36,"=d20270112"),"")</f>
      </c>
      <c r="CC7" s="8">
        <f>IF((0=1),SUMIFS('Daily evaluations'!$D$2:$D$36,'Daily evaluations'!$B$2:$B$36,"=p01_attention",'Daily evaluations'!$C$2:$C$36,"=d20270113"),"")</f>
      </c>
      <c r="CD7" s="8">
        <f>IF((0=1),SUMIFS('Daily evaluations'!$D$2:$D$36,'Daily evaluations'!$B$2:$B$36,"=p01_attention",'Daily evaluations'!$C$2:$C$36,"=d20270114"),"")</f>
      </c>
      <c r="CE7" s="8">
        <f>IF((0=1),SUMIFS('Daily evaluations'!$D$2:$D$36,'Daily evaluations'!$B$2:$B$36,"=p01_attention",'Daily evaluations'!$C$2:$C$36,"=d20270115"),"")</f>
      </c>
      <c r="CF7" s="8">
        <f>IF((0=1),SUMIFS('Daily evaluations'!$D$2:$D$36,'Daily evaluations'!$B$2:$B$36,"=p01_attention",'Daily evaluations'!$C$2:$C$36,"=d20270119"),"")</f>
      </c>
      <c r="CG7" s="8">
        <f>IF((0=1),SUMIFS('Daily evaluations'!$D$2:$D$36,'Daily evaluations'!$B$2:$B$36,"=p01_attention",'Daily evaluations'!$C$2:$C$36,"=d20270120"),"")</f>
      </c>
      <c r="CH7" s="8">
        <f>IF((0=1),SUMIFS('Daily evaluations'!$D$2:$D$36,'Daily evaluations'!$B$2:$B$36,"=p01_attention",'Daily evaluations'!$C$2:$C$36,"=d20270121"),"")</f>
      </c>
      <c r="CI7" s="8">
        <f>IF((0=1),SUMIFS('Daily evaluations'!$D$2:$D$36,'Daily evaluations'!$B$2:$B$36,"=p01_attention",'Daily evaluations'!$C$2:$C$36,"=d20270122"),"")</f>
      </c>
      <c r="CJ7" s="8">
        <f>IF((0=1),SUMIFS('Daily evaluations'!$D$2:$D$36,'Daily evaluations'!$B$2:$B$36,"=p01_attention",'Daily evaluations'!$C$2:$C$36,"=d20270125"),"")</f>
      </c>
      <c r="CK7" s="8">
        <f>IF((0=1),SUMIFS('Daily evaluations'!$D$2:$D$36,'Daily evaluations'!$B$2:$B$36,"=p01_attention",'Daily evaluations'!$C$2:$C$36,"=d20270126"),"")</f>
      </c>
      <c r="CL7" s="8">
        <f>IF((0=1),SUMIFS('Daily evaluations'!$D$2:$D$36,'Daily evaluations'!$B$2:$B$36,"=p01_attention",'Daily evaluations'!$C$2:$C$36,"=d20270127"),"")</f>
      </c>
      <c r="CM7" s="8">
        <f>IF((0=1),SUMIFS('Daily evaluations'!$D$2:$D$36,'Daily evaluations'!$B$2:$B$36,"=p01_attention",'Daily evaluations'!$C$2:$C$36,"=d20270128"),"")</f>
      </c>
      <c r="CN7" s="8">
        <f>IF((0=1),SUMIFS('Daily evaluations'!$D$2:$D$36,'Daily evaluations'!$B$2:$B$36,"=p01_attention",'Daily evaluations'!$C$2:$C$36,"=d20270129"),"")</f>
      </c>
      <c r="CO7" s="8">
        <f>IF((0=1),SUMIFS('Daily evaluations'!$D$2:$D$36,'Daily evaluations'!$B$2:$B$36,"=p01_attention",'Daily evaluations'!$C$2:$C$36,"=d20270201"),"")</f>
      </c>
      <c r="CP7" s="8">
        <f>IF((0=1),SUMIFS('Daily evaluations'!$D$2:$D$36,'Daily evaluations'!$B$2:$B$36,"=p01_attention",'Daily evaluations'!$C$2:$C$36,"=d20270202"),"")</f>
      </c>
      <c r="CQ7" s="8">
        <f>IF((0=1),SUMIFS('Daily evaluations'!$D$2:$D$36,'Daily evaluations'!$B$2:$B$36,"=p01_attention",'Daily evaluations'!$C$2:$C$36,"=d20270203"),"")</f>
      </c>
      <c r="CR7" s="8">
        <f>IF((0=1),SUMIFS('Daily evaluations'!$D$2:$D$36,'Daily evaluations'!$B$2:$B$36,"=p01_attention",'Daily evaluations'!$C$2:$C$36,"=d20270204"),"")</f>
      </c>
      <c r="CS7" s="8">
        <f>IF((0=1),SUMIFS('Daily evaluations'!$D$2:$D$36,'Daily evaluations'!$B$2:$B$36,"=p01_attention",'Daily evaluations'!$C$2:$C$36,"=d20270205"),"")</f>
      </c>
      <c r="CT7" s="8">
        <f>IF((0=1),SUMIFS('Daily evaluations'!$D$2:$D$36,'Daily evaluations'!$B$2:$B$36,"=p01_attention",'Daily evaluations'!$C$2:$C$36,"=d20270208"),"")</f>
      </c>
      <c r="CU7" s="8">
        <f>IF((0=1),SUMIFS('Daily evaluations'!$D$2:$D$36,'Daily evaluations'!$B$2:$B$36,"=p01_attention",'Daily evaluations'!$C$2:$C$36,"=d20270209"),"")</f>
      </c>
      <c r="CV7" s="8">
        <f>IF((0=1),SUMIFS('Daily evaluations'!$D$2:$D$36,'Daily evaluations'!$B$2:$B$36,"=p01_attention",'Daily evaluations'!$C$2:$C$36,"=d20270210"),"")</f>
      </c>
      <c r="CW7" s="8">
        <f>IF((0=1),SUMIFS('Daily evaluations'!$D$2:$D$36,'Daily evaluations'!$B$2:$B$36,"=p01_attention",'Daily evaluations'!$C$2:$C$36,"=d20270211"),"")</f>
      </c>
      <c r="CX7" s="8">
        <f>IF((0=1),SUMIFS('Daily evaluations'!$D$2:$D$36,'Daily evaluations'!$B$2:$B$36,"=p01_attention",'Daily evaluations'!$C$2:$C$36,"=d20270212"),"")</f>
      </c>
    </row>
    <row r="8">
      <c r="A8" s="0" t="inlineStr">
        <is>
          <t xml:space="preserve">Sector-neutral overnight excess, bps</t>
        </is>
      </c>
      <c r="B8" s="0" t="inlineStr">
        <is>
          <t xml:space="preserve">Post-Earnings Drift, Overnight Leg</t>
        </is>
      </c>
      <c r="C8" s="8">
        <f>IF((1=1),SUMIFS('Daily evaluations'!$D$2:$D$36,'Daily evaluations'!$B$2:$B$36,"=p02_earnings_drift",'Daily evaluations'!$C$2:$C$36,"=d20260922"),"")</f>
        <v>11.704</v>
      </c>
      <c r="D8" s="8">
        <f>IF((0=1),SUMIFS('Daily evaluations'!$D$2:$D$36,'Daily evaluations'!$B$2:$B$36,"=p02_earnings_drift",'Daily evaluations'!$C$2:$C$36,"=d20260923"),"")</f>
      </c>
      <c r="E8" s="8">
        <f>IF((0=1),SUMIFS('Daily evaluations'!$D$2:$D$36,'Daily evaluations'!$B$2:$B$36,"=p02_earnings_drift",'Daily evaluations'!$C$2:$C$36,"=d20260924"),"")</f>
      </c>
      <c r="F8" s="8">
        <f>IF((0=1),SUMIFS('Daily evaluations'!$D$2:$D$36,'Daily evaluations'!$B$2:$B$36,"=p02_earnings_drift",'Daily evaluations'!$C$2:$C$36,"=d20260925"),"")</f>
      </c>
      <c r="G8" s="8">
        <f>IF((0=1),SUMIFS('Daily evaluations'!$D$2:$D$36,'Daily evaluations'!$B$2:$B$36,"=p02_earnings_drift",'Daily evaluations'!$C$2:$C$36,"=d20260928"),"")</f>
      </c>
      <c r="H8" s="8">
        <f>IF((0=1),SUMIFS('Daily evaluations'!$D$2:$D$36,'Daily evaluations'!$B$2:$B$36,"=p02_earnings_drift",'Daily evaluations'!$C$2:$C$36,"=d20260929"),"")</f>
      </c>
      <c r="I8" s="8">
        <f>IF((0=1),SUMIFS('Daily evaluations'!$D$2:$D$36,'Daily evaluations'!$B$2:$B$36,"=p02_earnings_drift",'Daily evaluations'!$C$2:$C$36,"=d20260930"),"")</f>
      </c>
      <c r="J8" s="8">
        <f>IF((0=1),SUMIFS('Daily evaluations'!$D$2:$D$36,'Daily evaluations'!$B$2:$B$36,"=p02_earnings_drift",'Daily evaluations'!$C$2:$C$36,"=d20261001"),"")</f>
      </c>
      <c r="K8" s="8">
        <f>IF((0=1),SUMIFS('Daily evaluations'!$D$2:$D$36,'Daily evaluations'!$B$2:$B$36,"=p02_earnings_drift",'Daily evaluations'!$C$2:$C$36,"=d20261002"),"")</f>
      </c>
      <c r="L8" s="8">
        <f>IF((0=1),SUMIFS('Daily evaluations'!$D$2:$D$36,'Daily evaluations'!$B$2:$B$36,"=p02_earnings_drift",'Daily evaluations'!$C$2:$C$36,"=d20261005"),"")</f>
      </c>
      <c r="M8" s="8">
        <f>IF((0=1),SUMIFS('Daily evaluations'!$D$2:$D$36,'Daily evaluations'!$B$2:$B$36,"=p02_earnings_drift",'Daily evaluations'!$C$2:$C$36,"=d20261006"),"")</f>
      </c>
      <c r="N8" s="8">
        <f>IF((0=1),SUMIFS('Daily evaluations'!$D$2:$D$36,'Daily evaluations'!$B$2:$B$36,"=p02_earnings_drift",'Daily evaluations'!$C$2:$C$36,"=d20261007"),"")</f>
      </c>
      <c r="O8" s="8">
        <f>IF((0=1),SUMIFS('Daily evaluations'!$D$2:$D$36,'Daily evaluations'!$B$2:$B$36,"=p02_earnings_drift",'Daily evaluations'!$C$2:$C$36,"=d20261008"),"")</f>
      </c>
      <c r="P8" s="8">
        <f>IF((0=1),SUMIFS('Daily evaluations'!$D$2:$D$36,'Daily evaluations'!$B$2:$B$36,"=p02_earnings_drift",'Daily evaluations'!$C$2:$C$36,"=d20261009"),"")</f>
      </c>
      <c r="Q8" s="8">
        <f>IF((0=1),SUMIFS('Daily evaluations'!$D$2:$D$36,'Daily evaluations'!$B$2:$B$36,"=p02_earnings_drift",'Daily evaluations'!$C$2:$C$36,"=d20261012"),"")</f>
      </c>
      <c r="R8" s="8">
        <f>IF((0=1),SUMIFS('Daily evaluations'!$D$2:$D$36,'Daily evaluations'!$B$2:$B$36,"=p02_earnings_drift",'Daily evaluations'!$C$2:$C$36,"=d20261013"),"")</f>
      </c>
      <c r="S8" s="8">
        <f>IF((0=1),SUMIFS('Daily evaluations'!$D$2:$D$36,'Daily evaluations'!$B$2:$B$36,"=p02_earnings_drift",'Daily evaluations'!$C$2:$C$36,"=d20261014"),"")</f>
      </c>
      <c r="T8" s="8">
        <f>IF((0=1),SUMIFS('Daily evaluations'!$D$2:$D$36,'Daily evaluations'!$B$2:$B$36,"=p02_earnings_drift",'Daily evaluations'!$C$2:$C$36,"=d20261015"),"")</f>
      </c>
      <c r="U8" s="8">
        <f>IF((0=1),SUMIFS('Daily evaluations'!$D$2:$D$36,'Daily evaluations'!$B$2:$B$36,"=p02_earnings_drift",'Daily evaluations'!$C$2:$C$36,"=d20261016"),"")</f>
      </c>
      <c r="V8" s="8">
        <f>IF((0=1),SUMIFS('Daily evaluations'!$D$2:$D$36,'Daily evaluations'!$B$2:$B$36,"=p02_earnings_drift",'Daily evaluations'!$C$2:$C$36,"=d20261019"),"")</f>
      </c>
      <c r="W8" s="8">
        <f>IF((0=1),SUMIFS('Daily evaluations'!$D$2:$D$36,'Daily evaluations'!$B$2:$B$36,"=p02_earnings_drift",'Daily evaluations'!$C$2:$C$36,"=d20261020"),"")</f>
      </c>
      <c r="X8" s="8">
        <f>IF((0=1),SUMIFS('Daily evaluations'!$D$2:$D$36,'Daily evaluations'!$B$2:$B$36,"=p02_earnings_drift",'Daily evaluations'!$C$2:$C$36,"=d20261021"),"")</f>
      </c>
      <c r="Y8" s="8">
        <f>IF((0=1),SUMIFS('Daily evaluations'!$D$2:$D$36,'Daily evaluations'!$B$2:$B$36,"=p02_earnings_drift",'Daily evaluations'!$C$2:$C$36,"=d20261022"),"")</f>
      </c>
      <c r="Z8" s="8">
        <f>IF((0=1),SUMIFS('Daily evaluations'!$D$2:$D$36,'Daily evaluations'!$B$2:$B$36,"=p02_earnings_drift",'Daily evaluations'!$C$2:$C$36,"=d20261023"),"")</f>
      </c>
      <c r="AA8" s="8">
        <f>IF((0=1),SUMIFS('Daily evaluations'!$D$2:$D$36,'Daily evaluations'!$B$2:$B$36,"=p02_earnings_drift",'Daily evaluations'!$C$2:$C$36,"=d20261026"),"")</f>
      </c>
      <c r="AB8" s="8">
        <f>IF((0=1),SUMIFS('Daily evaluations'!$D$2:$D$36,'Daily evaluations'!$B$2:$B$36,"=p02_earnings_drift",'Daily evaluations'!$C$2:$C$36,"=d20261027"),"")</f>
      </c>
      <c r="AC8" s="8">
        <f>IF((0=1),SUMIFS('Daily evaluations'!$D$2:$D$36,'Daily evaluations'!$B$2:$B$36,"=p02_earnings_drift",'Daily evaluations'!$C$2:$C$36,"=d20261028"),"")</f>
      </c>
      <c r="AD8" s="8">
        <f>IF((0=1),SUMIFS('Daily evaluations'!$D$2:$D$36,'Daily evaluations'!$B$2:$B$36,"=p02_earnings_drift",'Daily evaluations'!$C$2:$C$36,"=d20261029"),"")</f>
      </c>
      <c r="AE8" s="8">
        <f>IF((0=1),SUMIFS('Daily evaluations'!$D$2:$D$36,'Daily evaluations'!$B$2:$B$36,"=p02_earnings_drift",'Daily evaluations'!$C$2:$C$36,"=d20261030"),"")</f>
      </c>
      <c r="AF8" s="8">
        <f>IF((0=1),SUMIFS('Daily evaluations'!$D$2:$D$36,'Daily evaluations'!$B$2:$B$36,"=p02_earnings_drift",'Daily evaluations'!$C$2:$C$36,"=d20261102"),"")</f>
      </c>
      <c r="AG8" s="8">
        <f>IF((0=1),SUMIFS('Daily evaluations'!$D$2:$D$36,'Daily evaluations'!$B$2:$B$36,"=p02_earnings_drift",'Daily evaluations'!$C$2:$C$36,"=d20261103"),"")</f>
      </c>
      <c r="AH8" s="8">
        <f>IF((0=1),SUMIFS('Daily evaluations'!$D$2:$D$36,'Daily evaluations'!$B$2:$B$36,"=p02_earnings_drift",'Daily evaluations'!$C$2:$C$36,"=d20261104"),"")</f>
      </c>
      <c r="AI8" s="8">
        <f>IF((0=1),SUMIFS('Daily evaluations'!$D$2:$D$36,'Daily evaluations'!$B$2:$B$36,"=p02_earnings_drift",'Daily evaluations'!$C$2:$C$36,"=d20261105"),"")</f>
      </c>
      <c r="AJ8" s="8">
        <f>IF((0=1),SUMIFS('Daily evaluations'!$D$2:$D$36,'Daily evaluations'!$B$2:$B$36,"=p02_earnings_drift",'Daily evaluations'!$C$2:$C$36,"=d20261106"),"")</f>
      </c>
      <c r="AK8" s="8">
        <f>IF((0=1),SUMIFS('Daily evaluations'!$D$2:$D$36,'Daily evaluations'!$B$2:$B$36,"=p02_earnings_drift",'Daily evaluations'!$C$2:$C$36,"=d20261109"),"")</f>
      </c>
      <c r="AL8" s="8">
        <f>IF((0=1),SUMIFS('Daily evaluations'!$D$2:$D$36,'Daily evaluations'!$B$2:$B$36,"=p02_earnings_drift",'Daily evaluations'!$C$2:$C$36,"=d20261110"),"")</f>
      </c>
      <c r="AM8" s="8">
        <f>IF((0=1),SUMIFS('Daily evaluations'!$D$2:$D$36,'Daily evaluations'!$B$2:$B$36,"=p02_earnings_drift",'Daily evaluations'!$C$2:$C$36,"=d20261111"),"")</f>
      </c>
      <c r="AN8" s="8">
        <f>IF((0=1),SUMIFS('Daily evaluations'!$D$2:$D$36,'Daily evaluations'!$B$2:$B$36,"=p02_earnings_drift",'Daily evaluations'!$C$2:$C$36,"=d20261112"),"")</f>
      </c>
      <c r="AO8" s="8">
        <f>IF((0=1),SUMIFS('Daily evaluations'!$D$2:$D$36,'Daily evaluations'!$B$2:$B$36,"=p02_earnings_drift",'Daily evaluations'!$C$2:$C$36,"=d20261113"),"")</f>
      </c>
      <c r="AP8" s="8">
        <f>IF((0=1),SUMIFS('Daily evaluations'!$D$2:$D$36,'Daily evaluations'!$B$2:$B$36,"=p02_earnings_drift",'Daily evaluations'!$C$2:$C$36,"=d20261116"),"")</f>
      </c>
      <c r="AQ8" s="8">
        <f>IF((0=1),SUMIFS('Daily evaluations'!$D$2:$D$36,'Daily evaluations'!$B$2:$B$36,"=p02_earnings_drift",'Daily evaluations'!$C$2:$C$36,"=d20261117"),"")</f>
      </c>
      <c r="AR8" s="8">
        <f>IF((0=1),SUMIFS('Daily evaluations'!$D$2:$D$36,'Daily evaluations'!$B$2:$B$36,"=p02_earnings_drift",'Daily evaluations'!$C$2:$C$36,"=d20261118"),"")</f>
      </c>
      <c r="AS8" s="8">
        <f>IF((0=1),SUMIFS('Daily evaluations'!$D$2:$D$36,'Daily evaluations'!$B$2:$B$36,"=p02_earnings_drift",'Daily evaluations'!$C$2:$C$36,"=d20261119"),"")</f>
      </c>
      <c r="AT8" s="8">
        <f>IF((0=1),SUMIFS('Daily evaluations'!$D$2:$D$36,'Daily evaluations'!$B$2:$B$36,"=p02_earnings_drift",'Daily evaluations'!$C$2:$C$36,"=d20261120"),"")</f>
      </c>
      <c r="AU8" s="8">
        <f>IF((0=1),SUMIFS('Daily evaluations'!$D$2:$D$36,'Daily evaluations'!$B$2:$B$36,"=p02_earnings_drift",'Daily evaluations'!$C$2:$C$36,"=d20261123"),"")</f>
      </c>
      <c r="AV8" s="8">
        <f>IF((0=1),SUMIFS('Daily evaluations'!$D$2:$D$36,'Daily evaluations'!$B$2:$B$36,"=p02_earnings_drift",'Daily evaluations'!$C$2:$C$36,"=d20261124"),"")</f>
      </c>
      <c r="AW8" s="8">
        <f>IF((0=1),SUMIFS('Daily evaluations'!$D$2:$D$36,'Daily evaluations'!$B$2:$B$36,"=p02_earnings_drift",'Daily evaluations'!$C$2:$C$36,"=d20261125"),"")</f>
      </c>
      <c r="AX8" s="8">
        <f>IF((0=1),SUMIFS('Daily evaluations'!$D$2:$D$36,'Daily evaluations'!$B$2:$B$36,"=p02_earnings_drift",'Daily evaluations'!$C$2:$C$36,"=d20261127"),"")</f>
      </c>
      <c r="AY8" s="8">
        <f>IF((0=1),SUMIFS('Daily evaluations'!$D$2:$D$36,'Daily evaluations'!$B$2:$B$36,"=p02_earnings_drift",'Daily evaluations'!$C$2:$C$36,"=d20261130"),"")</f>
      </c>
      <c r="AZ8" s="8">
        <f>IF((0=1),SUMIFS('Daily evaluations'!$D$2:$D$36,'Daily evaluations'!$B$2:$B$36,"=p02_earnings_drift",'Daily evaluations'!$C$2:$C$36,"=d20261201"),"")</f>
      </c>
      <c r="BA8" s="8">
        <f>IF((0=1),SUMIFS('Daily evaluations'!$D$2:$D$36,'Daily evaluations'!$B$2:$B$36,"=p02_earnings_drift",'Daily evaluations'!$C$2:$C$36,"=d20261202"),"")</f>
      </c>
      <c r="BB8" s="8">
        <f>IF((0=1),SUMIFS('Daily evaluations'!$D$2:$D$36,'Daily evaluations'!$B$2:$B$36,"=p02_earnings_drift",'Daily evaluations'!$C$2:$C$36,"=d20261203"),"")</f>
      </c>
      <c r="BC8" s="8">
        <f>IF((0=1),SUMIFS('Daily evaluations'!$D$2:$D$36,'Daily evaluations'!$B$2:$B$36,"=p02_earnings_drift",'Daily evaluations'!$C$2:$C$36,"=d20261204"),"")</f>
      </c>
      <c r="BD8" s="8">
        <f>IF((0=1),SUMIFS('Daily evaluations'!$D$2:$D$36,'Daily evaluations'!$B$2:$B$36,"=p02_earnings_drift",'Daily evaluations'!$C$2:$C$36,"=d20261207"),"")</f>
      </c>
      <c r="BE8" s="8">
        <f>IF((0=1),SUMIFS('Daily evaluations'!$D$2:$D$36,'Daily evaluations'!$B$2:$B$36,"=p02_earnings_drift",'Daily evaluations'!$C$2:$C$36,"=d20261208"),"")</f>
      </c>
      <c r="BF8" s="8">
        <f>IF((0=1),SUMIFS('Daily evaluations'!$D$2:$D$36,'Daily evaluations'!$B$2:$B$36,"=p02_earnings_drift",'Daily evaluations'!$C$2:$C$36,"=d20261209"),"")</f>
      </c>
      <c r="BG8" s="8">
        <f>IF((0=1),SUMIFS('Daily evaluations'!$D$2:$D$36,'Daily evaluations'!$B$2:$B$36,"=p02_earnings_drift",'Daily evaluations'!$C$2:$C$36,"=d20261210"),"")</f>
      </c>
      <c r="BH8" s="8">
        <f>IF((0=1),SUMIFS('Daily evaluations'!$D$2:$D$36,'Daily evaluations'!$B$2:$B$36,"=p02_earnings_drift",'Daily evaluations'!$C$2:$C$36,"=d20261211"),"")</f>
      </c>
      <c r="BI8" s="8">
        <f>IF((0=1),SUMIFS('Daily evaluations'!$D$2:$D$36,'Daily evaluations'!$B$2:$B$36,"=p02_earnings_drift",'Daily evaluations'!$C$2:$C$36,"=d20261214"),"")</f>
      </c>
      <c r="BJ8" s="8">
        <f>IF((0=1),SUMIFS('Daily evaluations'!$D$2:$D$36,'Daily evaluations'!$B$2:$B$36,"=p02_earnings_drift",'Daily evaluations'!$C$2:$C$36,"=d20261215"),"")</f>
      </c>
      <c r="BK8" s="8">
        <f>IF((0=1),SUMIFS('Daily evaluations'!$D$2:$D$36,'Daily evaluations'!$B$2:$B$36,"=p02_earnings_drift",'Daily evaluations'!$C$2:$C$36,"=d20261216"),"")</f>
      </c>
      <c r="BL8" s="8">
        <f>IF((0=1),SUMIFS('Daily evaluations'!$D$2:$D$36,'Daily evaluations'!$B$2:$B$36,"=p02_earnings_drift",'Daily evaluations'!$C$2:$C$36,"=d20261217"),"")</f>
      </c>
      <c r="BM8" s="8">
        <f>IF((0=1),SUMIFS('Daily evaluations'!$D$2:$D$36,'Daily evaluations'!$B$2:$B$36,"=p02_earnings_drift",'Daily evaluations'!$C$2:$C$36,"=d20261218"),"")</f>
      </c>
      <c r="BN8" s="8">
        <f>IF((0=1),SUMIFS('Daily evaluations'!$D$2:$D$36,'Daily evaluations'!$B$2:$B$36,"=p02_earnings_drift",'Daily evaluations'!$C$2:$C$36,"=d20261221"),"")</f>
      </c>
      <c r="BO8" s="8">
        <f>IF((0=1),SUMIFS('Daily evaluations'!$D$2:$D$36,'Daily evaluations'!$B$2:$B$36,"=p02_earnings_drift",'Daily evaluations'!$C$2:$C$36,"=d20261222"),"")</f>
      </c>
      <c r="BP8" s="8">
        <f>IF((0=1),SUMIFS('Daily evaluations'!$D$2:$D$36,'Daily evaluations'!$B$2:$B$36,"=p02_earnings_drift",'Daily evaluations'!$C$2:$C$36,"=d20261223"),"")</f>
      </c>
      <c r="BQ8" s="8">
        <f>IF((0=1),SUMIFS('Daily evaluations'!$D$2:$D$36,'Daily evaluations'!$B$2:$B$36,"=p02_earnings_drift",'Daily evaluations'!$C$2:$C$36,"=d20261224"),"")</f>
      </c>
      <c r="BR8" s="8">
        <f>IF((0=1),SUMIFS('Daily evaluations'!$D$2:$D$36,'Daily evaluations'!$B$2:$B$36,"=p02_earnings_drift",'Daily evaluations'!$C$2:$C$36,"=d20261228"),"")</f>
      </c>
      <c r="BS8" s="8">
        <f>IF((0=1),SUMIFS('Daily evaluations'!$D$2:$D$36,'Daily evaluations'!$B$2:$B$36,"=p02_earnings_drift",'Daily evaluations'!$C$2:$C$36,"=d20261229"),"")</f>
      </c>
      <c r="BT8" s="8">
        <f>IF((0=1),SUMIFS('Daily evaluations'!$D$2:$D$36,'Daily evaluations'!$B$2:$B$36,"=p02_earnings_drift",'Daily evaluations'!$C$2:$C$36,"=d20261230"),"")</f>
      </c>
      <c r="BU8" s="8">
        <f>IF((0=1),SUMIFS('Daily evaluations'!$D$2:$D$36,'Daily evaluations'!$B$2:$B$36,"=p02_earnings_drift",'Daily evaluations'!$C$2:$C$36,"=d20261231"),"")</f>
      </c>
      <c r="BV8" s="8">
        <f>IF((0=1),SUMIFS('Daily evaluations'!$D$2:$D$36,'Daily evaluations'!$B$2:$B$36,"=p02_earnings_drift",'Daily evaluations'!$C$2:$C$36,"=d20270104"),"")</f>
      </c>
      <c r="BW8" s="8">
        <f>IF((0=1),SUMIFS('Daily evaluations'!$D$2:$D$36,'Daily evaluations'!$B$2:$B$36,"=p02_earnings_drift",'Daily evaluations'!$C$2:$C$36,"=d20270105"),"")</f>
      </c>
      <c r="BX8" s="8">
        <f>IF((0=1),SUMIFS('Daily evaluations'!$D$2:$D$36,'Daily evaluations'!$B$2:$B$36,"=p02_earnings_drift",'Daily evaluations'!$C$2:$C$36,"=d20270106"),"")</f>
      </c>
      <c r="BY8" s="8">
        <f>IF((0=1),SUMIFS('Daily evaluations'!$D$2:$D$36,'Daily evaluations'!$B$2:$B$36,"=p02_earnings_drift",'Daily evaluations'!$C$2:$C$36,"=d20270107"),"")</f>
      </c>
      <c r="BZ8" s="8">
        <f>IF((0=1),SUMIFS('Daily evaluations'!$D$2:$D$36,'Daily evaluations'!$B$2:$B$36,"=p02_earnings_drift",'Daily evaluations'!$C$2:$C$36,"=d20270108"),"")</f>
      </c>
      <c r="CA8" s="8">
        <f>IF((0=1),SUMIFS('Daily evaluations'!$D$2:$D$36,'Daily evaluations'!$B$2:$B$36,"=p02_earnings_drift",'Daily evaluations'!$C$2:$C$36,"=d20270111"),"")</f>
      </c>
      <c r="CB8" s="8">
        <f>IF((0=1),SUMIFS('Daily evaluations'!$D$2:$D$36,'Daily evaluations'!$B$2:$B$36,"=p02_earnings_drift",'Daily evaluations'!$C$2:$C$36,"=d20270112"),"")</f>
      </c>
      <c r="CC8" s="8">
        <f>IF((0=1),SUMIFS('Daily evaluations'!$D$2:$D$36,'Daily evaluations'!$B$2:$B$36,"=p02_earnings_drift",'Daily evaluations'!$C$2:$C$36,"=d20270113"),"")</f>
      </c>
      <c r="CD8" s="8">
        <f>IF((0=1),SUMIFS('Daily evaluations'!$D$2:$D$36,'Daily evaluations'!$B$2:$B$36,"=p02_earnings_drift",'Daily evaluations'!$C$2:$C$36,"=d20270114"),"")</f>
      </c>
      <c r="CE8" s="8">
        <f>IF((0=1),SUMIFS('Daily evaluations'!$D$2:$D$36,'Daily evaluations'!$B$2:$B$36,"=p02_earnings_drift",'Daily evaluations'!$C$2:$C$36,"=d20270115"),"")</f>
      </c>
      <c r="CF8" s="8">
        <f>IF((0=1),SUMIFS('Daily evaluations'!$D$2:$D$36,'Daily evaluations'!$B$2:$B$36,"=p02_earnings_drift",'Daily evaluations'!$C$2:$C$36,"=d20270119"),"")</f>
      </c>
      <c r="CG8" s="8">
        <f>IF((0=1),SUMIFS('Daily evaluations'!$D$2:$D$36,'Daily evaluations'!$B$2:$B$36,"=p02_earnings_drift",'Daily evaluations'!$C$2:$C$36,"=d20270120"),"")</f>
      </c>
      <c r="CH8" s="8">
        <f>IF((0=1),SUMIFS('Daily evaluations'!$D$2:$D$36,'Daily evaluations'!$B$2:$B$36,"=p02_earnings_drift",'Daily evaluations'!$C$2:$C$36,"=d20270121"),"")</f>
      </c>
      <c r="CI8" s="8">
        <f>IF((0=1),SUMIFS('Daily evaluations'!$D$2:$D$36,'Daily evaluations'!$B$2:$B$36,"=p02_earnings_drift",'Daily evaluations'!$C$2:$C$36,"=d20270122"),"")</f>
      </c>
      <c r="CJ8" s="8">
        <f>IF((0=1),SUMIFS('Daily evaluations'!$D$2:$D$36,'Daily evaluations'!$B$2:$B$36,"=p02_earnings_drift",'Daily evaluations'!$C$2:$C$36,"=d20270125"),"")</f>
      </c>
      <c r="CK8" s="8">
        <f>IF((0=1),SUMIFS('Daily evaluations'!$D$2:$D$36,'Daily evaluations'!$B$2:$B$36,"=p02_earnings_drift",'Daily evaluations'!$C$2:$C$36,"=d20270126"),"")</f>
      </c>
      <c r="CL8" s="8">
        <f>IF((0=1),SUMIFS('Daily evaluations'!$D$2:$D$36,'Daily evaluations'!$B$2:$B$36,"=p02_earnings_drift",'Daily evaluations'!$C$2:$C$36,"=d20270127"),"")</f>
      </c>
      <c r="CM8" s="8">
        <f>IF((0=1),SUMIFS('Daily evaluations'!$D$2:$D$36,'Daily evaluations'!$B$2:$B$36,"=p02_earnings_drift",'Daily evaluations'!$C$2:$C$36,"=d20270128"),"")</f>
      </c>
      <c r="CN8" s="8">
        <f>IF((0=1),SUMIFS('Daily evaluations'!$D$2:$D$36,'Daily evaluations'!$B$2:$B$36,"=p02_earnings_drift",'Daily evaluations'!$C$2:$C$36,"=d20270129"),"")</f>
      </c>
      <c r="CO8" s="8">
        <f>IF((0=1),SUMIFS('Daily evaluations'!$D$2:$D$36,'Daily evaluations'!$B$2:$B$36,"=p02_earnings_drift",'Daily evaluations'!$C$2:$C$36,"=d20270201"),"")</f>
      </c>
      <c r="CP8" s="8">
        <f>IF((0=1),SUMIFS('Daily evaluations'!$D$2:$D$36,'Daily evaluations'!$B$2:$B$36,"=p02_earnings_drift",'Daily evaluations'!$C$2:$C$36,"=d20270202"),"")</f>
      </c>
      <c r="CQ8" s="8">
        <f>IF((0=1),SUMIFS('Daily evaluations'!$D$2:$D$36,'Daily evaluations'!$B$2:$B$36,"=p02_earnings_drift",'Daily evaluations'!$C$2:$C$36,"=d20270203"),"")</f>
      </c>
      <c r="CR8" s="8">
        <f>IF((0=1),SUMIFS('Daily evaluations'!$D$2:$D$36,'Daily evaluations'!$B$2:$B$36,"=p02_earnings_drift",'Daily evaluations'!$C$2:$C$36,"=d20270204"),"")</f>
      </c>
      <c r="CS8" s="8">
        <f>IF((0=1),SUMIFS('Daily evaluations'!$D$2:$D$36,'Daily evaluations'!$B$2:$B$36,"=p02_earnings_drift",'Daily evaluations'!$C$2:$C$36,"=d20270205"),"")</f>
      </c>
      <c r="CT8" s="8">
        <f>IF((0=1),SUMIFS('Daily evaluations'!$D$2:$D$36,'Daily evaluations'!$B$2:$B$36,"=p02_earnings_drift",'Daily evaluations'!$C$2:$C$36,"=d20270208"),"")</f>
      </c>
      <c r="CU8" s="8">
        <f>IF((0=1),SUMIFS('Daily evaluations'!$D$2:$D$36,'Daily evaluations'!$B$2:$B$36,"=p02_earnings_drift",'Daily evaluations'!$C$2:$C$36,"=d20270209"),"")</f>
      </c>
      <c r="CV8" s="8">
        <f>IF((0=1),SUMIFS('Daily evaluations'!$D$2:$D$36,'Daily evaluations'!$B$2:$B$36,"=p02_earnings_drift",'Daily evaluations'!$C$2:$C$36,"=d20270210"),"")</f>
      </c>
      <c r="CW8" s="8">
        <f>IF((0=1),SUMIFS('Daily evaluations'!$D$2:$D$36,'Daily evaluations'!$B$2:$B$36,"=p02_earnings_drift",'Daily evaluations'!$C$2:$C$36,"=d20270211"),"")</f>
      </c>
      <c r="CX8" s="8">
        <f>IF((0=1),SUMIFS('Daily evaluations'!$D$2:$D$36,'Daily evaluations'!$B$2:$B$36,"=p02_earnings_drift",'Daily evaluations'!$C$2:$C$36,"=d20270212"),"")</f>
      </c>
    </row>
    <row r="9">
      <c r="A9" s="0" t="inlineStr">
        <is>
          <t xml:space="preserve">Sector-neutral overnight excess, bps</t>
        </is>
      </c>
      <c r="B9" s="0" t="inlineStr">
        <is>
          <t xml:space="preserve">Intraday-to-Overnight Reversal</t>
        </is>
      </c>
      <c r="C9" s="8">
        <f>IF((1=1),SUMIFS('Daily evaluations'!$D$2:$D$36,'Daily evaluations'!$B$2:$B$36,"=p03_intraday_reversal",'Daily evaluations'!$C$2:$C$36,"=d20260922"),"")</f>
        <v>4.098</v>
      </c>
      <c r="D9" s="8">
        <f>IF((0=1),SUMIFS('Daily evaluations'!$D$2:$D$36,'Daily evaluations'!$B$2:$B$36,"=p03_intraday_reversal",'Daily evaluations'!$C$2:$C$36,"=d20260923"),"")</f>
      </c>
      <c r="E9" s="8">
        <f>IF((0=1),SUMIFS('Daily evaluations'!$D$2:$D$36,'Daily evaluations'!$B$2:$B$36,"=p03_intraday_reversal",'Daily evaluations'!$C$2:$C$36,"=d20260924"),"")</f>
      </c>
      <c r="F9" s="8">
        <f>IF((0=1),SUMIFS('Daily evaluations'!$D$2:$D$36,'Daily evaluations'!$B$2:$B$36,"=p03_intraday_reversal",'Daily evaluations'!$C$2:$C$36,"=d20260925"),"")</f>
      </c>
      <c r="G9" s="8">
        <f>IF((0=1),SUMIFS('Daily evaluations'!$D$2:$D$36,'Daily evaluations'!$B$2:$B$36,"=p03_intraday_reversal",'Daily evaluations'!$C$2:$C$36,"=d20260928"),"")</f>
      </c>
      <c r="H9" s="8">
        <f>IF((0=1),SUMIFS('Daily evaluations'!$D$2:$D$36,'Daily evaluations'!$B$2:$B$36,"=p03_intraday_reversal",'Daily evaluations'!$C$2:$C$36,"=d20260929"),"")</f>
      </c>
      <c r="I9" s="8">
        <f>IF((0=1),SUMIFS('Daily evaluations'!$D$2:$D$36,'Daily evaluations'!$B$2:$B$36,"=p03_intraday_reversal",'Daily evaluations'!$C$2:$C$36,"=d20260930"),"")</f>
      </c>
      <c r="J9" s="8">
        <f>IF((0=1),SUMIFS('Daily evaluations'!$D$2:$D$36,'Daily evaluations'!$B$2:$B$36,"=p03_intraday_reversal",'Daily evaluations'!$C$2:$C$36,"=d20261001"),"")</f>
      </c>
      <c r="K9" s="8">
        <f>IF((0=1),SUMIFS('Daily evaluations'!$D$2:$D$36,'Daily evaluations'!$B$2:$B$36,"=p03_intraday_reversal",'Daily evaluations'!$C$2:$C$36,"=d20261002"),"")</f>
      </c>
      <c r="L9" s="8">
        <f>IF((0=1),SUMIFS('Daily evaluations'!$D$2:$D$36,'Daily evaluations'!$B$2:$B$36,"=p03_intraday_reversal",'Daily evaluations'!$C$2:$C$36,"=d20261005"),"")</f>
      </c>
      <c r="M9" s="8">
        <f>IF((0=1),SUMIFS('Daily evaluations'!$D$2:$D$36,'Daily evaluations'!$B$2:$B$36,"=p03_intraday_reversal",'Daily evaluations'!$C$2:$C$36,"=d20261006"),"")</f>
      </c>
      <c r="N9" s="8">
        <f>IF((0=1),SUMIFS('Daily evaluations'!$D$2:$D$36,'Daily evaluations'!$B$2:$B$36,"=p03_intraday_reversal",'Daily evaluations'!$C$2:$C$36,"=d20261007"),"")</f>
      </c>
      <c r="O9" s="8">
        <f>IF((0=1),SUMIFS('Daily evaluations'!$D$2:$D$36,'Daily evaluations'!$B$2:$B$36,"=p03_intraday_reversal",'Daily evaluations'!$C$2:$C$36,"=d20261008"),"")</f>
      </c>
      <c r="P9" s="8">
        <f>IF((0=1),SUMIFS('Daily evaluations'!$D$2:$D$36,'Daily evaluations'!$B$2:$B$36,"=p03_intraday_reversal",'Daily evaluations'!$C$2:$C$36,"=d20261009"),"")</f>
      </c>
      <c r="Q9" s="8">
        <f>IF((0=1),SUMIFS('Daily evaluations'!$D$2:$D$36,'Daily evaluations'!$B$2:$B$36,"=p03_intraday_reversal",'Daily evaluations'!$C$2:$C$36,"=d20261012"),"")</f>
      </c>
      <c r="R9" s="8">
        <f>IF((0=1),SUMIFS('Daily evaluations'!$D$2:$D$36,'Daily evaluations'!$B$2:$B$36,"=p03_intraday_reversal",'Daily evaluations'!$C$2:$C$36,"=d20261013"),"")</f>
      </c>
      <c r="S9" s="8">
        <f>IF((0=1),SUMIFS('Daily evaluations'!$D$2:$D$36,'Daily evaluations'!$B$2:$B$36,"=p03_intraday_reversal",'Daily evaluations'!$C$2:$C$36,"=d20261014"),"")</f>
      </c>
      <c r="T9" s="8">
        <f>IF((0=1),SUMIFS('Daily evaluations'!$D$2:$D$36,'Daily evaluations'!$B$2:$B$36,"=p03_intraday_reversal",'Daily evaluations'!$C$2:$C$36,"=d20261015"),"")</f>
      </c>
      <c r="U9" s="8">
        <f>IF((0=1),SUMIFS('Daily evaluations'!$D$2:$D$36,'Daily evaluations'!$B$2:$B$36,"=p03_intraday_reversal",'Daily evaluations'!$C$2:$C$36,"=d20261016"),"")</f>
      </c>
      <c r="V9" s="8">
        <f>IF((0=1),SUMIFS('Daily evaluations'!$D$2:$D$36,'Daily evaluations'!$B$2:$B$36,"=p03_intraday_reversal",'Daily evaluations'!$C$2:$C$36,"=d20261019"),"")</f>
      </c>
      <c r="W9" s="8">
        <f>IF((0=1),SUMIFS('Daily evaluations'!$D$2:$D$36,'Daily evaluations'!$B$2:$B$36,"=p03_intraday_reversal",'Daily evaluations'!$C$2:$C$36,"=d20261020"),"")</f>
      </c>
      <c r="X9" s="8">
        <f>IF((0=1),SUMIFS('Daily evaluations'!$D$2:$D$36,'Daily evaluations'!$B$2:$B$36,"=p03_intraday_reversal",'Daily evaluations'!$C$2:$C$36,"=d20261021"),"")</f>
      </c>
      <c r="Y9" s="8">
        <f>IF((0=1),SUMIFS('Daily evaluations'!$D$2:$D$36,'Daily evaluations'!$B$2:$B$36,"=p03_intraday_reversal",'Daily evaluations'!$C$2:$C$36,"=d20261022"),"")</f>
      </c>
      <c r="Z9" s="8">
        <f>IF((0=1),SUMIFS('Daily evaluations'!$D$2:$D$36,'Daily evaluations'!$B$2:$B$36,"=p03_intraday_reversal",'Daily evaluations'!$C$2:$C$36,"=d20261023"),"")</f>
      </c>
      <c r="AA9" s="8">
        <f>IF((0=1),SUMIFS('Daily evaluations'!$D$2:$D$36,'Daily evaluations'!$B$2:$B$36,"=p03_intraday_reversal",'Daily evaluations'!$C$2:$C$36,"=d20261026"),"")</f>
      </c>
      <c r="AB9" s="8">
        <f>IF((0=1),SUMIFS('Daily evaluations'!$D$2:$D$36,'Daily evaluations'!$B$2:$B$36,"=p03_intraday_reversal",'Daily evaluations'!$C$2:$C$36,"=d20261027"),"")</f>
      </c>
      <c r="AC9" s="8">
        <f>IF((0=1),SUMIFS('Daily evaluations'!$D$2:$D$36,'Daily evaluations'!$B$2:$B$36,"=p03_intraday_reversal",'Daily evaluations'!$C$2:$C$36,"=d20261028"),"")</f>
      </c>
      <c r="AD9" s="8">
        <f>IF((0=1),SUMIFS('Daily evaluations'!$D$2:$D$36,'Daily evaluations'!$B$2:$B$36,"=p03_intraday_reversal",'Daily evaluations'!$C$2:$C$36,"=d20261029"),"")</f>
      </c>
      <c r="AE9" s="8">
        <f>IF((0=1),SUMIFS('Daily evaluations'!$D$2:$D$36,'Daily evaluations'!$B$2:$B$36,"=p03_intraday_reversal",'Daily evaluations'!$C$2:$C$36,"=d20261030"),"")</f>
      </c>
      <c r="AF9" s="8">
        <f>IF((0=1),SUMIFS('Daily evaluations'!$D$2:$D$36,'Daily evaluations'!$B$2:$B$36,"=p03_intraday_reversal",'Daily evaluations'!$C$2:$C$36,"=d20261102"),"")</f>
      </c>
      <c r="AG9" s="8">
        <f>IF((0=1),SUMIFS('Daily evaluations'!$D$2:$D$36,'Daily evaluations'!$B$2:$B$36,"=p03_intraday_reversal",'Daily evaluations'!$C$2:$C$36,"=d20261103"),"")</f>
      </c>
      <c r="AH9" s="8">
        <f>IF((0=1),SUMIFS('Daily evaluations'!$D$2:$D$36,'Daily evaluations'!$B$2:$B$36,"=p03_intraday_reversal",'Daily evaluations'!$C$2:$C$36,"=d20261104"),"")</f>
      </c>
      <c r="AI9" s="8">
        <f>IF((0=1),SUMIFS('Daily evaluations'!$D$2:$D$36,'Daily evaluations'!$B$2:$B$36,"=p03_intraday_reversal",'Daily evaluations'!$C$2:$C$36,"=d20261105"),"")</f>
      </c>
      <c r="AJ9" s="8">
        <f>IF((0=1),SUMIFS('Daily evaluations'!$D$2:$D$36,'Daily evaluations'!$B$2:$B$36,"=p03_intraday_reversal",'Daily evaluations'!$C$2:$C$36,"=d20261106"),"")</f>
      </c>
      <c r="AK9" s="8">
        <f>IF((0=1),SUMIFS('Daily evaluations'!$D$2:$D$36,'Daily evaluations'!$B$2:$B$36,"=p03_intraday_reversal",'Daily evaluations'!$C$2:$C$36,"=d20261109"),"")</f>
      </c>
      <c r="AL9" s="8">
        <f>IF((0=1),SUMIFS('Daily evaluations'!$D$2:$D$36,'Daily evaluations'!$B$2:$B$36,"=p03_intraday_reversal",'Daily evaluations'!$C$2:$C$36,"=d20261110"),"")</f>
      </c>
      <c r="AM9" s="8">
        <f>IF((0=1),SUMIFS('Daily evaluations'!$D$2:$D$36,'Daily evaluations'!$B$2:$B$36,"=p03_intraday_reversal",'Daily evaluations'!$C$2:$C$36,"=d20261111"),"")</f>
      </c>
      <c r="AN9" s="8">
        <f>IF((0=1),SUMIFS('Daily evaluations'!$D$2:$D$36,'Daily evaluations'!$B$2:$B$36,"=p03_intraday_reversal",'Daily evaluations'!$C$2:$C$36,"=d20261112"),"")</f>
      </c>
      <c r="AO9" s="8">
        <f>IF((0=1),SUMIFS('Daily evaluations'!$D$2:$D$36,'Daily evaluations'!$B$2:$B$36,"=p03_intraday_reversal",'Daily evaluations'!$C$2:$C$36,"=d20261113"),"")</f>
      </c>
      <c r="AP9" s="8">
        <f>IF((0=1),SUMIFS('Daily evaluations'!$D$2:$D$36,'Daily evaluations'!$B$2:$B$36,"=p03_intraday_reversal",'Daily evaluations'!$C$2:$C$36,"=d20261116"),"")</f>
      </c>
      <c r="AQ9" s="8">
        <f>IF((0=1),SUMIFS('Daily evaluations'!$D$2:$D$36,'Daily evaluations'!$B$2:$B$36,"=p03_intraday_reversal",'Daily evaluations'!$C$2:$C$36,"=d20261117"),"")</f>
      </c>
      <c r="AR9" s="8">
        <f>IF((0=1),SUMIFS('Daily evaluations'!$D$2:$D$36,'Daily evaluations'!$B$2:$B$36,"=p03_intraday_reversal",'Daily evaluations'!$C$2:$C$36,"=d20261118"),"")</f>
      </c>
      <c r="AS9" s="8">
        <f>IF((0=1),SUMIFS('Daily evaluations'!$D$2:$D$36,'Daily evaluations'!$B$2:$B$36,"=p03_intraday_reversal",'Daily evaluations'!$C$2:$C$36,"=d20261119"),"")</f>
      </c>
      <c r="AT9" s="8">
        <f>IF((0=1),SUMIFS('Daily evaluations'!$D$2:$D$36,'Daily evaluations'!$B$2:$B$36,"=p03_intraday_reversal",'Daily evaluations'!$C$2:$C$36,"=d20261120"),"")</f>
      </c>
      <c r="AU9" s="8">
        <f>IF((0=1),SUMIFS('Daily evaluations'!$D$2:$D$36,'Daily evaluations'!$B$2:$B$36,"=p03_intraday_reversal",'Daily evaluations'!$C$2:$C$36,"=d20261123"),"")</f>
      </c>
      <c r="AV9" s="8">
        <f>IF((0=1),SUMIFS('Daily evaluations'!$D$2:$D$36,'Daily evaluations'!$B$2:$B$36,"=p03_intraday_reversal",'Daily evaluations'!$C$2:$C$36,"=d20261124"),"")</f>
      </c>
      <c r="AW9" s="8">
        <f>IF((0=1),SUMIFS('Daily evaluations'!$D$2:$D$36,'Daily evaluations'!$B$2:$B$36,"=p03_intraday_reversal",'Daily evaluations'!$C$2:$C$36,"=d20261125"),"")</f>
      </c>
      <c r="AX9" s="8">
        <f>IF((0=1),SUMIFS('Daily evaluations'!$D$2:$D$36,'Daily evaluations'!$B$2:$B$36,"=p03_intraday_reversal",'Daily evaluations'!$C$2:$C$36,"=d20261127"),"")</f>
      </c>
      <c r="AY9" s="8">
        <f>IF((0=1),SUMIFS('Daily evaluations'!$D$2:$D$36,'Daily evaluations'!$B$2:$B$36,"=p03_intraday_reversal",'Daily evaluations'!$C$2:$C$36,"=d20261130"),"")</f>
      </c>
      <c r="AZ9" s="8">
        <f>IF((0=1),SUMIFS('Daily evaluations'!$D$2:$D$36,'Daily evaluations'!$B$2:$B$36,"=p03_intraday_reversal",'Daily evaluations'!$C$2:$C$36,"=d20261201"),"")</f>
      </c>
      <c r="BA9" s="8">
        <f>IF((0=1),SUMIFS('Daily evaluations'!$D$2:$D$36,'Daily evaluations'!$B$2:$B$36,"=p03_intraday_reversal",'Daily evaluations'!$C$2:$C$36,"=d20261202"),"")</f>
      </c>
      <c r="BB9" s="8">
        <f>IF((0=1),SUMIFS('Daily evaluations'!$D$2:$D$36,'Daily evaluations'!$B$2:$B$36,"=p03_intraday_reversal",'Daily evaluations'!$C$2:$C$36,"=d20261203"),"")</f>
      </c>
      <c r="BC9" s="8">
        <f>IF((0=1),SUMIFS('Daily evaluations'!$D$2:$D$36,'Daily evaluations'!$B$2:$B$36,"=p03_intraday_reversal",'Daily evaluations'!$C$2:$C$36,"=d20261204"),"")</f>
      </c>
      <c r="BD9" s="8">
        <f>IF((0=1),SUMIFS('Daily evaluations'!$D$2:$D$36,'Daily evaluations'!$B$2:$B$36,"=p03_intraday_reversal",'Daily evaluations'!$C$2:$C$36,"=d20261207"),"")</f>
      </c>
      <c r="BE9" s="8">
        <f>IF((0=1),SUMIFS('Daily evaluations'!$D$2:$D$36,'Daily evaluations'!$B$2:$B$36,"=p03_intraday_reversal",'Daily evaluations'!$C$2:$C$36,"=d20261208"),"")</f>
      </c>
      <c r="BF9" s="8">
        <f>IF((0=1),SUMIFS('Daily evaluations'!$D$2:$D$36,'Daily evaluations'!$B$2:$B$36,"=p03_intraday_reversal",'Daily evaluations'!$C$2:$C$36,"=d20261209"),"")</f>
      </c>
      <c r="BG9" s="8">
        <f>IF((0=1),SUMIFS('Daily evaluations'!$D$2:$D$36,'Daily evaluations'!$B$2:$B$36,"=p03_intraday_reversal",'Daily evaluations'!$C$2:$C$36,"=d20261210"),"")</f>
      </c>
      <c r="BH9" s="8">
        <f>IF((0=1),SUMIFS('Daily evaluations'!$D$2:$D$36,'Daily evaluations'!$B$2:$B$36,"=p03_intraday_reversal",'Daily evaluations'!$C$2:$C$36,"=d20261211"),"")</f>
      </c>
      <c r="BI9" s="8">
        <f>IF((0=1),SUMIFS('Daily evaluations'!$D$2:$D$36,'Daily evaluations'!$B$2:$B$36,"=p03_intraday_reversal",'Daily evaluations'!$C$2:$C$36,"=d20261214"),"")</f>
      </c>
      <c r="BJ9" s="8">
        <f>IF((0=1),SUMIFS('Daily evaluations'!$D$2:$D$36,'Daily evaluations'!$B$2:$B$36,"=p03_intraday_reversal",'Daily evaluations'!$C$2:$C$36,"=d20261215"),"")</f>
      </c>
      <c r="BK9" s="8">
        <f>IF((0=1),SUMIFS('Daily evaluations'!$D$2:$D$36,'Daily evaluations'!$B$2:$B$36,"=p03_intraday_reversal",'Daily evaluations'!$C$2:$C$36,"=d20261216"),"")</f>
      </c>
      <c r="BL9" s="8">
        <f>IF((0=1),SUMIFS('Daily evaluations'!$D$2:$D$36,'Daily evaluations'!$B$2:$B$36,"=p03_intraday_reversal",'Daily evaluations'!$C$2:$C$36,"=d20261217"),"")</f>
      </c>
      <c r="BM9" s="8">
        <f>IF((0=1),SUMIFS('Daily evaluations'!$D$2:$D$36,'Daily evaluations'!$B$2:$B$36,"=p03_intraday_reversal",'Daily evaluations'!$C$2:$C$36,"=d20261218"),"")</f>
      </c>
      <c r="BN9" s="8">
        <f>IF((0=1),SUMIFS('Daily evaluations'!$D$2:$D$36,'Daily evaluations'!$B$2:$B$36,"=p03_intraday_reversal",'Daily evaluations'!$C$2:$C$36,"=d20261221"),"")</f>
      </c>
      <c r="BO9" s="8">
        <f>IF((0=1),SUMIFS('Daily evaluations'!$D$2:$D$36,'Daily evaluations'!$B$2:$B$36,"=p03_intraday_reversal",'Daily evaluations'!$C$2:$C$36,"=d20261222"),"")</f>
      </c>
      <c r="BP9" s="8">
        <f>IF((0=1),SUMIFS('Daily evaluations'!$D$2:$D$36,'Daily evaluations'!$B$2:$B$36,"=p03_intraday_reversal",'Daily evaluations'!$C$2:$C$36,"=d20261223"),"")</f>
      </c>
      <c r="BQ9" s="8">
        <f>IF((0=1),SUMIFS('Daily evaluations'!$D$2:$D$36,'Daily evaluations'!$B$2:$B$36,"=p03_intraday_reversal",'Daily evaluations'!$C$2:$C$36,"=d20261224"),"")</f>
      </c>
      <c r="BR9" s="8">
        <f>IF((0=1),SUMIFS('Daily evaluations'!$D$2:$D$36,'Daily evaluations'!$B$2:$B$36,"=p03_intraday_reversal",'Daily evaluations'!$C$2:$C$36,"=d20261228"),"")</f>
      </c>
      <c r="BS9" s="8">
        <f>IF((0=1),SUMIFS('Daily evaluations'!$D$2:$D$36,'Daily evaluations'!$B$2:$B$36,"=p03_intraday_reversal",'Daily evaluations'!$C$2:$C$36,"=d20261229"),"")</f>
      </c>
      <c r="BT9" s="8">
        <f>IF((0=1),SUMIFS('Daily evaluations'!$D$2:$D$36,'Daily evaluations'!$B$2:$B$36,"=p03_intraday_reversal",'Daily evaluations'!$C$2:$C$36,"=d20261230"),"")</f>
      </c>
      <c r="BU9" s="8">
        <f>IF((0=1),SUMIFS('Daily evaluations'!$D$2:$D$36,'Daily evaluations'!$B$2:$B$36,"=p03_intraday_reversal",'Daily evaluations'!$C$2:$C$36,"=d20261231"),"")</f>
      </c>
      <c r="BV9" s="8">
        <f>IF((0=1),SUMIFS('Daily evaluations'!$D$2:$D$36,'Daily evaluations'!$B$2:$B$36,"=p03_intraday_reversal",'Daily evaluations'!$C$2:$C$36,"=d20270104"),"")</f>
      </c>
      <c r="BW9" s="8">
        <f>IF((0=1),SUMIFS('Daily evaluations'!$D$2:$D$36,'Daily evaluations'!$B$2:$B$36,"=p03_intraday_reversal",'Daily evaluations'!$C$2:$C$36,"=d20270105"),"")</f>
      </c>
      <c r="BX9" s="8">
        <f>IF((0=1),SUMIFS('Daily evaluations'!$D$2:$D$36,'Daily evaluations'!$B$2:$B$36,"=p03_intraday_reversal",'Daily evaluations'!$C$2:$C$36,"=d20270106"),"")</f>
      </c>
      <c r="BY9" s="8">
        <f>IF((0=1),SUMIFS('Daily evaluations'!$D$2:$D$36,'Daily evaluations'!$B$2:$B$36,"=p03_intraday_reversal",'Daily evaluations'!$C$2:$C$36,"=d20270107"),"")</f>
      </c>
      <c r="BZ9" s="8">
        <f>IF((0=1),SUMIFS('Daily evaluations'!$D$2:$D$36,'Daily evaluations'!$B$2:$B$36,"=p03_intraday_reversal",'Daily evaluations'!$C$2:$C$36,"=d20270108"),"")</f>
      </c>
      <c r="CA9" s="8">
        <f>IF((0=1),SUMIFS('Daily evaluations'!$D$2:$D$36,'Daily evaluations'!$B$2:$B$36,"=p03_intraday_reversal",'Daily evaluations'!$C$2:$C$36,"=d20270111"),"")</f>
      </c>
      <c r="CB9" s="8">
        <f>IF((0=1),SUMIFS('Daily evaluations'!$D$2:$D$36,'Daily evaluations'!$B$2:$B$36,"=p03_intraday_reversal",'Daily evaluations'!$C$2:$C$36,"=d20270112"),"")</f>
      </c>
      <c r="CC9" s="8">
        <f>IF((0=1),SUMIFS('Daily evaluations'!$D$2:$D$36,'Daily evaluations'!$B$2:$B$36,"=p03_intraday_reversal",'Daily evaluations'!$C$2:$C$36,"=d20270113"),"")</f>
      </c>
      <c r="CD9" s="8">
        <f>IF((0=1),SUMIFS('Daily evaluations'!$D$2:$D$36,'Daily evaluations'!$B$2:$B$36,"=p03_intraday_reversal",'Daily evaluations'!$C$2:$C$36,"=d20270114"),"")</f>
      </c>
      <c r="CE9" s="8">
        <f>IF((0=1),SUMIFS('Daily evaluations'!$D$2:$D$36,'Daily evaluations'!$B$2:$B$36,"=p03_intraday_reversal",'Daily evaluations'!$C$2:$C$36,"=d20270115"),"")</f>
      </c>
      <c r="CF9" s="8">
        <f>IF((0=1),SUMIFS('Daily evaluations'!$D$2:$D$36,'Daily evaluations'!$B$2:$B$36,"=p03_intraday_reversal",'Daily evaluations'!$C$2:$C$36,"=d20270119"),"")</f>
      </c>
      <c r="CG9" s="8">
        <f>IF((0=1),SUMIFS('Daily evaluations'!$D$2:$D$36,'Daily evaluations'!$B$2:$B$36,"=p03_intraday_reversal",'Daily evaluations'!$C$2:$C$36,"=d20270120"),"")</f>
      </c>
      <c r="CH9" s="8">
        <f>IF((0=1),SUMIFS('Daily evaluations'!$D$2:$D$36,'Daily evaluations'!$B$2:$B$36,"=p03_intraday_reversal",'Daily evaluations'!$C$2:$C$36,"=d20270121"),"")</f>
      </c>
      <c r="CI9" s="8">
        <f>IF((0=1),SUMIFS('Daily evaluations'!$D$2:$D$36,'Daily evaluations'!$B$2:$B$36,"=p03_intraday_reversal",'Daily evaluations'!$C$2:$C$36,"=d20270122"),"")</f>
      </c>
      <c r="CJ9" s="8">
        <f>IF((0=1),SUMIFS('Daily evaluations'!$D$2:$D$36,'Daily evaluations'!$B$2:$B$36,"=p03_intraday_reversal",'Daily evaluations'!$C$2:$C$36,"=d20270125"),"")</f>
      </c>
      <c r="CK9" s="8">
        <f>IF((0=1),SUMIFS('Daily evaluations'!$D$2:$D$36,'Daily evaluations'!$B$2:$B$36,"=p03_intraday_reversal",'Daily evaluations'!$C$2:$C$36,"=d20270126"),"")</f>
      </c>
      <c r="CL9" s="8">
        <f>IF((0=1),SUMIFS('Daily evaluations'!$D$2:$D$36,'Daily evaluations'!$B$2:$B$36,"=p03_intraday_reversal",'Daily evaluations'!$C$2:$C$36,"=d20270127"),"")</f>
      </c>
      <c r="CM9" s="8">
        <f>IF((0=1),SUMIFS('Daily evaluations'!$D$2:$D$36,'Daily evaluations'!$B$2:$B$36,"=p03_intraday_reversal",'Daily evaluations'!$C$2:$C$36,"=d20270128"),"")</f>
      </c>
      <c r="CN9" s="8">
        <f>IF((0=1),SUMIFS('Daily evaluations'!$D$2:$D$36,'Daily evaluations'!$B$2:$B$36,"=p03_intraday_reversal",'Daily evaluations'!$C$2:$C$36,"=d20270129"),"")</f>
      </c>
      <c r="CO9" s="8">
        <f>IF((0=1),SUMIFS('Daily evaluations'!$D$2:$D$36,'Daily evaluations'!$B$2:$B$36,"=p03_intraday_reversal",'Daily evaluations'!$C$2:$C$36,"=d20270201"),"")</f>
      </c>
      <c r="CP9" s="8">
        <f>IF((0=1),SUMIFS('Daily evaluations'!$D$2:$D$36,'Daily evaluations'!$B$2:$B$36,"=p03_intraday_reversal",'Daily evaluations'!$C$2:$C$36,"=d20270202"),"")</f>
      </c>
      <c r="CQ9" s="8">
        <f>IF((0=1),SUMIFS('Daily evaluations'!$D$2:$D$36,'Daily evaluations'!$B$2:$B$36,"=p03_intraday_reversal",'Daily evaluations'!$C$2:$C$36,"=d20270203"),"")</f>
      </c>
      <c r="CR9" s="8">
        <f>IF((0=1),SUMIFS('Daily evaluations'!$D$2:$D$36,'Daily evaluations'!$B$2:$B$36,"=p03_intraday_reversal",'Daily evaluations'!$C$2:$C$36,"=d20270204"),"")</f>
      </c>
      <c r="CS9" s="8">
        <f>IF((0=1),SUMIFS('Daily evaluations'!$D$2:$D$36,'Daily evaluations'!$B$2:$B$36,"=p03_intraday_reversal",'Daily evaluations'!$C$2:$C$36,"=d20270205"),"")</f>
      </c>
      <c r="CT9" s="8">
        <f>IF((0=1),SUMIFS('Daily evaluations'!$D$2:$D$36,'Daily evaluations'!$B$2:$B$36,"=p03_intraday_reversal",'Daily evaluations'!$C$2:$C$36,"=d20270208"),"")</f>
      </c>
      <c r="CU9" s="8">
        <f>IF((0=1),SUMIFS('Daily evaluations'!$D$2:$D$36,'Daily evaluations'!$B$2:$B$36,"=p03_intraday_reversal",'Daily evaluations'!$C$2:$C$36,"=d20270209"),"")</f>
      </c>
      <c r="CV9" s="8">
        <f>IF((0=1),SUMIFS('Daily evaluations'!$D$2:$D$36,'Daily evaluations'!$B$2:$B$36,"=p03_intraday_reversal",'Daily evaluations'!$C$2:$C$36,"=d20270210"),"")</f>
      </c>
      <c r="CW9" s="8">
        <f>IF((0=1),SUMIFS('Daily evaluations'!$D$2:$D$36,'Daily evaluations'!$B$2:$B$36,"=p03_intraday_reversal",'Daily evaluations'!$C$2:$C$36,"=d20270211"),"")</f>
      </c>
      <c r="CX9" s="8">
        <f>IF((0=1),SUMIFS('Daily evaluations'!$D$2:$D$36,'Daily evaluations'!$B$2:$B$36,"=p03_intraday_reversal",'Daily evaluations'!$C$2:$C$36,"=d20270212"),"")</f>
      </c>
    </row>
    <row r="10">
      <c r="A10" s="0" t="inlineStr">
        <is>
          <t xml:space="preserve">Sector-neutral overnight excess, bps</t>
        </is>
      </c>
      <c r="B10" s="0" t="inlineStr">
        <is>
          <t xml:space="preserve">Analyst Revision Momentum</t>
        </is>
      </c>
      <c r="C10" s="8">
        <f>IF((1=1),SUMIFS('Daily evaluations'!$D$2:$D$36,'Daily evaluations'!$B$2:$B$36,"=p04_analyst_revisions",'Daily evaluations'!$C$2:$C$36,"=d20260922"),"")</f>
        <v>-2.965</v>
      </c>
      <c r="D10" s="8">
        <f>IF((0=1),SUMIFS('Daily evaluations'!$D$2:$D$36,'Daily evaluations'!$B$2:$B$36,"=p04_analyst_revisions",'Daily evaluations'!$C$2:$C$36,"=d20260923"),"")</f>
      </c>
      <c r="E10" s="8">
        <f>IF((0=1),SUMIFS('Daily evaluations'!$D$2:$D$36,'Daily evaluations'!$B$2:$B$36,"=p04_analyst_revisions",'Daily evaluations'!$C$2:$C$36,"=d20260924"),"")</f>
      </c>
      <c r="F10" s="8">
        <f>IF((0=1),SUMIFS('Daily evaluations'!$D$2:$D$36,'Daily evaluations'!$B$2:$B$36,"=p04_analyst_revisions",'Daily evaluations'!$C$2:$C$36,"=d20260925"),"")</f>
      </c>
      <c r="G10" s="8">
        <f>IF((0=1),SUMIFS('Daily evaluations'!$D$2:$D$36,'Daily evaluations'!$B$2:$B$36,"=p04_analyst_revisions",'Daily evaluations'!$C$2:$C$36,"=d20260928"),"")</f>
      </c>
      <c r="H10" s="8">
        <f>IF((0=1),SUMIFS('Daily evaluations'!$D$2:$D$36,'Daily evaluations'!$B$2:$B$36,"=p04_analyst_revisions",'Daily evaluations'!$C$2:$C$36,"=d20260929"),"")</f>
      </c>
      <c r="I10" s="8">
        <f>IF((0=1),SUMIFS('Daily evaluations'!$D$2:$D$36,'Daily evaluations'!$B$2:$B$36,"=p04_analyst_revisions",'Daily evaluations'!$C$2:$C$36,"=d20260930"),"")</f>
      </c>
      <c r="J10" s="8">
        <f>IF((0=1),SUMIFS('Daily evaluations'!$D$2:$D$36,'Daily evaluations'!$B$2:$B$36,"=p04_analyst_revisions",'Daily evaluations'!$C$2:$C$36,"=d20261001"),"")</f>
      </c>
      <c r="K10" s="8">
        <f>IF((0=1),SUMIFS('Daily evaluations'!$D$2:$D$36,'Daily evaluations'!$B$2:$B$36,"=p04_analyst_revisions",'Daily evaluations'!$C$2:$C$36,"=d20261002"),"")</f>
      </c>
      <c r="L10" s="8">
        <f>IF((0=1),SUMIFS('Daily evaluations'!$D$2:$D$36,'Daily evaluations'!$B$2:$B$36,"=p04_analyst_revisions",'Daily evaluations'!$C$2:$C$36,"=d20261005"),"")</f>
      </c>
      <c r="M10" s="8">
        <f>IF((0=1),SUMIFS('Daily evaluations'!$D$2:$D$36,'Daily evaluations'!$B$2:$B$36,"=p04_analyst_revisions",'Daily evaluations'!$C$2:$C$36,"=d20261006"),"")</f>
      </c>
      <c r="N10" s="8">
        <f>IF((0=1),SUMIFS('Daily evaluations'!$D$2:$D$36,'Daily evaluations'!$B$2:$B$36,"=p04_analyst_revisions",'Daily evaluations'!$C$2:$C$36,"=d20261007"),"")</f>
      </c>
      <c r="O10" s="8">
        <f>IF((0=1),SUMIFS('Daily evaluations'!$D$2:$D$36,'Daily evaluations'!$B$2:$B$36,"=p04_analyst_revisions",'Daily evaluations'!$C$2:$C$36,"=d20261008"),"")</f>
      </c>
      <c r="P10" s="8">
        <f>IF((0=1),SUMIFS('Daily evaluations'!$D$2:$D$36,'Daily evaluations'!$B$2:$B$36,"=p04_analyst_revisions",'Daily evaluations'!$C$2:$C$36,"=d20261009"),"")</f>
      </c>
      <c r="Q10" s="8">
        <f>IF((0=1),SUMIFS('Daily evaluations'!$D$2:$D$36,'Daily evaluations'!$B$2:$B$36,"=p04_analyst_revisions",'Daily evaluations'!$C$2:$C$36,"=d20261012"),"")</f>
      </c>
      <c r="R10" s="8">
        <f>IF((0=1),SUMIFS('Daily evaluations'!$D$2:$D$36,'Daily evaluations'!$B$2:$B$36,"=p04_analyst_revisions",'Daily evaluations'!$C$2:$C$36,"=d20261013"),"")</f>
      </c>
      <c r="S10" s="8">
        <f>IF((0=1),SUMIFS('Daily evaluations'!$D$2:$D$36,'Daily evaluations'!$B$2:$B$36,"=p04_analyst_revisions",'Daily evaluations'!$C$2:$C$36,"=d20261014"),"")</f>
      </c>
      <c r="T10" s="8">
        <f>IF((0=1),SUMIFS('Daily evaluations'!$D$2:$D$36,'Daily evaluations'!$B$2:$B$36,"=p04_analyst_revisions",'Daily evaluations'!$C$2:$C$36,"=d20261015"),"")</f>
      </c>
      <c r="U10" s="8">
        <f>IF((0=1),SUMIFS('Daily evaluations'!$D$2:$D$36,'Daily evaluations'!$B$2:$B$36,"=p04_analyst_revisions",'Daily evaluations'!$C$2:$C$36,"=d20261016"),"")</f>
      </c>
      <c r="V10" s="8">
        <f>IF((0=1),SUMIFS('Daily evaluations'!$D$2:$D$36,'Daily evaluations'!$B$2:$B$36,"=p04_analyst_revisions",'Daily evaluations'!$C$2:$C$36,"=d20261019"),"")</f>
      </c>
      <c r="W10" s="8">
        <f>IF((0=1),SUMIFS('Daily evaluations'!$D$2:$D$36,'Daily evaluations'!$B$2:$B$36,"=p04_analyst_revisions",'Daily evaluations'!$C$2:$C$36,"=d20261020"),"")</f>
      </c>
      <c r="X10" s="8">
        <f>IF((0=1),SUMIFS('Daily evaluations'!$D$2:$D$36,'Daily evaluations'!$B$2:$B$36,"=p04_analyst_revisions",'Daily evaluations'!$C$2:$C$36,"=d20261021"),"")</f>
      </c>
      <c r="Y10" s="8">
        <f>IF((0=1),SUMIFS('Daily evaluations'!$D$2:$D$36,'Daily evaluations'!$B$2:$B$36,"=p04_analyst_revisions",'Daily evaluations'!$C$2:$C$36,"=d20261022"),"")</f>
      </c>
      <c r="Z10" s="8">
        <f>IF((0=1),SUMIFS('Daily evaluations'!$D$2:$D$36,'Daily evaluations'!$B$2:$B$36,"=p04_analyst_revisions",'Daily evaluations'!$C$2:$C$36,"=d20261023"),"")</f>
      </c>
      <c r="AA10" s="8">
        <f>IF((0=1),SUMIFS('Daily evaluations'!$D$2:$D$36,'Daily evaluations'!$B$2:$B$36,"=p04_analyst_revisions",'Daily evaluations'!$C$2:$C$36,"=d20261026"),"")</f>
      </c>
      <c r="AB10" s="8">
        <f>IF((0=1),SUMIFS('Daily evaluations'!$D$2:$D$36,'Daily evaluations'!$B$2:$B$36,"=p04_analyst_revisions",'Daily evaluations'!$C$2:$C$36,"=d20261027"),"")</f>
      </c>
      <c r="AC10" s="8">
        <f>IF((0=1),SUMIFS('Daily evaluations'!$D$2:$D$36,'Daily evaluations'!$B$2:$B$36,"=p04_analyst_revisions",'Daily evaluations'!$C$2:$C$36,"=d20261028"),"")</f>
      </c>
      <c r="AD10" s="8">
        <f>IF((0=1),SUMIFS('Daily evaluations'!$D$2:$D$36,'Daily evaluations'!$B$2:$B$36,"=p04_analyst_revisions",'Daily evaluations'!$C$2:$C$36,"=d20261029"),"")</f>
      </c>
      <c r="AE10" s="8">
        <f>IF((0=1),SUMIFS('Daily evaluations'!$D$2:$D$36,'Daily evaluations'!$B$2:$B$36,"=p04_analyst_revisions",'Daily evaluations'!$C$2:$C$36,"=d20261030"),"")</f>
      </c>
      <c r="AF10" s="8">
        <f>IF((0=1),SUMIFS('Daily evaluations'!$D$2:$D$36,'Daily evaluations'!$B$2:$B$36,"=p04_analyst_revisions",'Daily evaluations'!$C$2:$C$36,"=d20261102"),"")</f>
      </c>
      <c r="AG10" s="8">
        <f>IF((0=1),SUMIFS('Daily evaluations'!$D$2:$D$36,'Daily evaluations'!$B$2:$B$36,"=p04_analyst_revisions",'Daily evaluations'!$C$2:$C$36,"=d20261103"),"")</f>
      </c>
      <c r="AH10" s="8">
        <f>IF((0=1),SUMIFS('Daily evaluations'!$D$2:$D$36,'Daily evaluations'!$B$2:$B$36,"=p04_analyst_revisions",'Daily evaluations'!$C$2:$C$36,"=d20261104"),"")</f>
      </c>
      <c r="AI10" s="8">
        <f>IF((0=1),SUMIFS('Daily evaluations'!$D$2:$D$36,'Daily evaluations'!$B$2:$B$36,"=p04_analyst_revisions",'Daily evaluations'!$C$2:$C$36,"=d20261105"),"")</f>
      </c>
      <c r="AJ10" s="8">
        <f>IF((0=1),SUMIFS('Daily evaluations'!$D$2:$D$36,'Daily evaluations'!$B$2:$B$36,"=p04_analyst_revisions",'Daily evaluations'!$C$2:$C$36,"=d20261106"),"")</f>
      </c>
      <c r="AK10" s="8">
        <f>IF((0=1),SUMIFS('Daily evaluations'!$D$2:$D$36,'Daily evaluations'!$B$2:$B$36,"=p04_analyst_revisions",'Daily evaluations'!$C$2:$C$36,"=d20261109"),"")</f>
      </c>
      <c r="AL10" s="8">
        <f>IF((0=1),SUMIFS('Daily evaluations'!$D$2:$D$36,'Daily evaluations'!$B$2:$B$36,"=p04_analyst_revisions",'Daily evaluations'!$C$2:$C$36,"=d20261110"),"")</f>
      </c>
      <c r="AM10" s="8">
        <f>IF((0=1),SUMIFS('Daily evaluations'!$D$2:$D$36,'Daily evaluations'!$B$2:$B$36,"=p04_analyst_revisions",'Daily evaluations'!$C$2:$C$36,"=d20261111"),"")</f>
      </c>
      <c r="AN10" s="8">
        <f>IF((0=1),SUMIFS('Daily evaluations'!$D$2:$D$36,'Daily evaluations'!$B$2:$B$36,"=p04_analyst_revisions",'Daily evaluations'!$C$2:$C$36,"=d20261112"),"")</f>
      </c>
      <c r="AO10" s="8">
        <f>IF((0=1),SUMIFS('Daily evaluations'!$D$2:$D$36,'Daily evaluations'!$B$2:$B$36,"=p04_analyst_revisions",'Daily evaluations'!$C$2:$C$36,"=d20261113"),"")</f>
      </c>
      <c r="AP10" s="8">
        <f>IF((0=1),SUMIFS('Daily evaluations'!$D$2:$D$36,'Daily evaluations'!$B$2:$B$36,"=p04_analyst_revisions",'Daily evaluations'!$C$2:$C$36,"=d20261116"),"")</f>
      </c>
      <c r="AQ10" s="8">
        <f>IF((0=1),SUMIFS('Daily evaluations'!$D$2:$D$36,'Daily evaluations'!$B$2:$B$36,"=p04_analyst_revisions",'Daily evaluations'!$C$2:$C$36,"=d20261117"),"")</f>
      </c>
      <c r="AR10" s="8">
        <f>IF((0=1),SUMIFS('Daily evaluations'!$D$2:$D$36,'Daily evaluations'!$B$2:$B$36,"=p04_analyst_revisions",'Daily evaluations'!$C$2:$C$36,"=d20261118"),"")</f>
      </c>
      <c r="AS10" s="8">
        <f>IF((0=1),SUMIFS('Daily evaluations'!$D$2:$D$36,'Daily evaluations'!$B$2:$B$36,"=p04_analyst_revisions",'Daily evaluations'!$C$2:$C$36,"=d20261119"),"")</f>
      </c>
      <c r="AT10" s="8">
        <f>IF((0=1),SUMIFS('Daily evaluations'!$D$2:$D$36,'Daily evaluations'!$B$2:$B$36,"=p04_analyst_revisions",'Daily evaluations'!$C$2:$C$36,"=d20261120"),"")</f>
      </c>
      <c r="AU10" s="8">
        <f>IF((0=1),SUMIFS('Daily evaluations'!$D$2:$D$36,'Daily evaluations'!$B$2:$B$36,"=p04_analyst_revisions",'Daily evaluations'!$C$2:$C$36,"=d20261123"),"")</f>
      </c>
      <c r="AV10" s="8">
        <f>IF((0=1),SUMIFS('Daily evaluations'!$D$2:$D$36,'Daily evaluations'!$B$2:$B$36,"=p04_analyst_revisions",'Daily evaluations'!$C$2:$C$36,"=d20261124"),"")</f>
      </c>
      <c r="AW10" s="8">
        <f>IF((0=1),SUMIFS('Daily evaluations'!$D$2:$D$36,'Daily evaluations'!$B$2:$B$36,"=p04_analyst_revisions",'Daily evaluations'!$C$2:$C$36,"=d20261125"),"")</f>
      </c>
      <c r="AX10" s="8">
        <f>IF((0=1),SUMIFS('Daily evaluations'!$D$2:$D$36,'Daily evaluations'!$B$2:$B$36,"=p04_analyst_revisions",'Daily evaluations'!$C$2:$C$36,"=d20261127"),"")</f>
      </c>
      <c r="AY10" s="8">
        <f>IF((0=1),SUMIFS('Daily evaluations'!$D$2:$D$36,'Daily evaluations'!$B$2:$B$36,"=p04_analyst_revisions",'Daily evaluations'!$C$2:$C$36,"=d20261130"),"")</f>
      </c>
      <c r="AZ10" s="8">
        <f>IF((0=1),SUMIFS('Daily evaluations'!$D$2:$D$36,'Daily evaluations'!$B$2:$B$36,"=p04_analyst_revisions",'Daily evaluations'!$C$2:$C$36,"=d20261201"),"")</f>
      </c>
      <c r="BA10" s="8">
        <f>IF((0=1),SUMIFS('Daily evaluations'!$D$2:$D$36,'Daily evaluations'!$B$2:$B$36,"=p04_analyst_revisions",'Daily evaluations'!$C$2:$C$36,"=d20261202"),"")</f>
      </c>
      <c r="BB10" s="8">
        <f>IF((0=1),SUMIFS('Daily evaluations'!$D$2:$D$36,'Daily evaluations'!$B$2:$B$36,"=p04_analyst_revisions",'Daily evaluations'!$C$2:$C$36,"=d20261203"),"")</f>
      </c>
      <c r="BC10" s="8">
        <f>IF((0=1),SUMIFS('Daily evaluations'!$D$2:$D$36,'Daily evaluations'!$B$2:$B$36,"=p04_analyst_revisions",'Daily evaluations'!$C$2:$C$36,"=d20261204"),"")</f>
      </c>
      <c r="BD10" s="8">
        <f>IF((0=1),SUMIFS('Daily evaluations'!$D$2:$D$36,'Daily evaluations'!$B$2:$B$36,"=p04_analyst_revisions",'Daily evaluations'!$C$2:$C$36,"=d20261207"),"")</f>
      </c>
      <c r="BE10" s="8">
        <f>IF((0=1),SUMIFS('Daily evaluations'!$D$2:$D$36,'Daily evaluations'!$B$2:$B$36,"=p04_analyst_revisions",'Daily evaluations'!$C$2:$C$36,"=d20261208"),"")</f>
      </c>
      <c r="BF10" s="8">
        <f>IF((0=1),SUMIFS('Daily evaluations'!$D$2:$D$36,'Daily evaluations'!$B$2:$B$36,"=p04_analyst_revisions",'Daily evaluations'!$C$2:$C$36,"=d20261209"),"")</f>
      </c>
      <c r="BG10" s="8">
        <f>IF((0=1),SUMIFS('Daily evaluations'!$D$2:$D$36,'Daily evaluations'!$B$2:$B$36,"=p04_analyst_revisions",'Daily evaluations'!$C$2:$C$36,"=d20261210"),"")</f>
      </c>
      <c r="BH10" s="8">
        <f>IF((0=1),SUMIFS('Daily evaluations'!$D$2:$D$36,'Daily evaluations'!$B$2:$B$36,"=p04_analyst_revisions",'Daily evaluations'!$C$2:$C$36,"=d20261211"),"")</f>
      </c>
      <c r="BI10" s="8">
        <f>IF((0=1),SUMIFS('Daily evaluations'!$D$2:$D$36,'Daily evaluations'!$B$2:$B$36,"=p04_analyst_revisions",'Daily evaluations'!$C$2:$C$36,"=d20261214"),"")</f>
      </c>
      <c r="BJ10" s="8">
        <f>IF((0=1),SUMIFS('Daily evaluations'!$D$2:$D$36,'Daily evaluations'!$B$2:$B$36,"=p04_analyst_revisions",'Daily evaluations'!$C$2:$C$36,"=d20261215"),"")</f>
      </c>
      <c r="BK10" s="8">
        <f>IF((0=1),SUMIFS('Daily evaluations'!$D$2:$D$36,'Daily evaluations'!$B$2:$B$36,"=p04_analyst_revisions",'Daily evaluations'!$C$2:$C$36,"=d20261216"),"")</f>
      </c>
      <c r="BL10" s="8">
        <f>IF((0=1),SUMIFS('Daily evaluations'!$D$2:$D$36,'Daily evaluations'!$B$2:$B$36,"=p04_analyst_revisions",'Daily evaluations'!$C$2:$C$36,"=d20261217"),"")</f>
      </c>
      <c r="BM10" s="8">
        <f>IF((0=1),SUMIFS('Daily evaluations'!$D$2:$D$36,'Daily evaluations'!$B$2:$B$36,"=p04_analyst_revisions",'Daily evaluations'!$C$2:$C$36,"=d20261218"),"")</f>
      </c>
      <c r="BN10" s="8">
        <f>IF((0=1),SUMIFS('Daily evaluations'!$D$2:$D$36,'Daily evaluations'!$B$2:$B$36,"=p04_analyst_revisions",'Daily evaluations'!$C$2:$C$36,"=d20261221"),"")</f>
      </c>
      <c r="BO10" s="8">
        <f>IF((0=1),SUMIFS('Daily evaluations'!$D$2:$D$36,'Daily evaluations'!$B$2:$B$36,"=p04_analyst_revisions",'Daily evaluations'!$C$2:$C$36,"=d20261222"),"")</f>
      </c>
      <c r="BP10" s="8">
        <f>IF((0=1),SUMIFS('Daily evaluations'!$D$2:$D$36,'Daily evaluations'!$B$2:$B$36,"=p04_analyst_revisions",'Daily evaluations'!$C$2:$C$36,"=d20261223"),"")</f>
      </c>
      <c r="BQ10" s="8">
        <f>IF((0=1),SUMIFS('Daily evaluations'!$D$2:$D$36,'Daily evaluations'!$B$2:$B$36,"=p04_analyst_revisions",'Daily evaluations'!$C$2:$C$36,"=d20261224"),"")</f>
      </c>
      <c r="BR10" s="8">
        <f>IF((0=1),SUMIFS('Daily evaluations'!$D$2:$D$36,'Daily evaluations'!$B$2:$B$36,"=p04_analyst_revisions",'Daily evaluations'!$C$2:$C$36,"=d20261228"),"")</f>
      </c>
      <c r="BS10" s="8">
        <f>IF((0=1),SUMIFS('Daily evaluations'!$D$2:$D$36,'Daily evaluations'!$B$2:$B$36,"=p04_analyst_revisions",'Daily evaluations'!$C$2:$C$36,"=d20261229"),"")</f>
      </c>
      <c r="BT10" s="8">
        <f>IF((0=1),SUMIFS('Daily evaluations'!$D$2:$D$36,'Daily evaluations'!$B$2:$B$36,"=p04_analyst_revisions",'Daily evaluations'!$C$2:$C$36,"=d20261230"),"")</f>
      </c>
      <c r="BU10" s="8">
        <f>IF((0=1),SUMIFS('Daily evaluations'!$D$2:$D$36,'Daily evaluations'!$B$2:$B$36,"=p04_analyst_revisions",'Daily evaluations'!$C$2:$C$36,"=d20261231"),"")</f>
      </c>
      <c r="BV10" s="8">
        <f>IF((0=1),SUMIFS('Daily evaluations'!$D$2:$D$36,'Daily evaluations'!$B$2:$B$36,"=p04_analyst_revisions",'Daily evaluations'!$C$2:$C$36,"=d20270104"),"")</f>
      </c>
      <c r="BW10" s="8">
        <f>IF((0=1),SUMIFS('Daily evaluations'!$D$2:$D$36,'Daily evaluations'!$B$2:$B$36,"=p04_analyst_revisions",'Daily evaluations'!$C$2:$C$36,"=d20270105"),"")</f>
      </c>
      <c r="BX10" s="8">
        <f>IF((0=1),SUMIFS('Daily evaluations'!$D$2:$D$36,'Daily evaluations'!$B$2:$B$36,"=p04_analyst_revisions",'Daily evaluations'!$C$2:$C$36,"=d20270106"),"")</f>
      </c>
      <c r="BY10" s="8">
        <f>IF((0=1),SUMIFS('Daily evaluations'!$D$2:$D$36,'Daily evaluations'!$B$2:$B$36,"=p04_analyst_revisions",'Daily evaluations'!$C$2:$C$36,"=d20270107"),"")</f>
      </c>
      <c r="BZ10" s="8">
        <f>IF((0=1),SUMIFS('Daily evaluations'!$D$2:$D$36,'Daily evaluations'!$B$2:$B$36,"=p04_analyst_revisions",'Daily evaluations'!$C$2:$C$36,"=d20270108"),"")</f>
      </c>
      <c r="CA10" s="8">
        <f>IF((0=1),SUMIFS('Daily evaluations'!$D$2:$D$36,'Daily evaluations'!$B$2:$B$36,"=p04_analyst_revisions",'Daily evaluations'!$C$2:$C$36,"=d20270111"),"")</f>
      </c>
      <c r="CB10" s="8">
        <f>IF((0=1),SUMIFS('Daily evaluations'!$D$2:$D$36,'Daily evaluations'!$B$2:$B$36,"=p04_analyst_revisions",'Daily evaluations'!$C$2:$C$36,"=d20270112"),"")</f>
      </c>
      <c r="CC10" s="8">
        <f>IF((0=1),SUMIFS('Daily evaluations'!$D$2:$D$36,'Daily evaluations'!$B$2:$B$36,"=p04_analyst_revisions",'Daily evaluations'!$C$2:$C$36,"=d20270113"),"")</f>
      </c>
      <c r="CD10" s="8">
        <f>IF((0=1),SUMIFS('Daily evaluations'!$D$2:$D$36,'Daily evaluations'!$B$2:$B$36,"=p04_analyst_revisions",'Daily evaluations'!$C$2:$C$36,"=d20270114"),"")</f>
      </c>
      <c r="CE10" s="8">
        <f>IF((0=1),SUMIFS('Daily evaluations'!$D$2:$D$36,'Daily evaluations'!$B$2:$B$36,"=p04_analyst_revisions",'Daily evaluations'!$C$2:$C$36,"=d20270115"),"")</f>
      </c>
      <c r="CF10" s="8">
        <f>IF((0=1),SUMIFS('Daily evaluations'!$D$2:$D$36,'Daily evaluations'!$B$2:$B$36,"=p04_analyst_revisions",'Daily evaluations'!$C$2:$C$36,"=d20270119"),"")</f>
      </c>
      <c r="CG10" s="8">
        <f>IF((0=1),SUMIFS('Daily evaluations'!$D$2:$D$36,'Daily evaluations'!$B$2:$B$36,"=p04_analyst_revisions",'Daily evaluations'!$C$2:$C$36,"=d20270120"),"")</f>
      </c>
      <c r="CH10" s="8">
        <f>IF((0=1),SUMIFS('Daily evaluations'!$D$2:$D$36,'Daily evaluations'!$B$2:$B$36,"=p04_analyst_revisions",'Daily evaluations'!$C$2:$C$36,"=d20270121"),"")</f>
      </c>
      <c r="CI10" s="8">
        <f>IF((0=1),SUMIFS('Daily evaluations'!$D$2:$D$36,'Daily evaluations'!$B$2:$B$36,"=p04_analyst_revisions",'Daily evaluations'!$C$2:$C$36,"=d20270122"),"")</f>
      </c>
      <c r="CJ10" s="8">
        <f>IF((0=1),SUMIFS('Daily evaluations'!$D$2:$D$36,'Daily evaluations'!$B$2:$B$36,"=p04_analyst_revisions",'Daily evaluations'!$C$2:$C$36,"=d20270125"),"")</f>
      </c>
      <c r="CK10" s="8">
        <f>IF((0=1),SUMIFS('Daily evaluations'!$D$2:$D$36,'Daily evaluations'!$B$2:$B$36,"=p04_analyst_revisions",'Daily evaluations'!$C$2:$C$36,"=d20270126"),"")</f>
      </c>
      <c r="CL10" s="8">
        <f>IF((0=1),SUMIFS('Daily evaluations'!$D$2:$D$36,'Daily evaluations'!$B$2:$B$36,"=p04_analyst_revisions",'Daily evaluations'!$C$2:$C$36,"=d20270127"),"")</f>
      </c>
      <c r="CM10" s="8">
        <f>IF((0=1),SUMIFS('Daily evaluations'!$D$2:$D$36,'Daily evaluations'!$B$2:$B$36,"=p04_analyst_revisions",'Daily evaluations'!$C$2:$C$36,"=d20270128"),"")</f>
      </c>
      <c r="CN10" s="8">
        <f>IF((0=1),SUMIFS('Daily evaluations'!$D$2:$D$36,'Daily evaluations'!$B$2:$B$36,"=p04_analyst_revisions",'Daily evaluations'!$C$2:$C$36,"=d20270129"),"")</f>
      </c>
      <c r="CO10" s="8">
        <f>IF((0=1),SUMIFS('Daily evaluations'!$D$2:$D$36,'Daily evaluations'!$B$2:$B$36,"=p04_analyst_revisions",'Daily evaluations'!$C$2:$C$36,"=d20270201"),"")</f>
      </c>
      <c r="CP10" s="8">
        <f>IF((0=1),SUMIFS('Daily evaluations'!$D$2:$D$36,'Daily evaluations'!$B$2:$B$36,"=p04_analyst_revisions",'Daily evaluations'!$C$2:$C$36,"=d20270202"),"")</f>
      </c>
      <c r="CQ10" s="8">
        <f>IF((0=1),SUMIFS('Daily evaluations'!$D$2:$D$36,'Daily evaluations'!$B$2:$B$36,"=p04_analyst_revisions",'Daily evaluations'!$C$2:$C$36,"=d20270203"),"")</f>
      </c>
      <c r="CR10" s="8">
        <f>IF((0=1),SUMIFS('Daily evaluations'!$D$2:$D$36,'Daily evaluations'!$B$2:$B$36,"=p04_analyst_revisions",'Daily evaluations'!$C$2:$C$36,"=d20270204"),"")</f>
      </c>
      <c r="CS10" s="8">
        <f>IF((0=1),SUMIFS('Daily evaluations'!$D$2:$D$36,'Daily evaluations'!$B$2:$B$36,"=p04_analyst_revisions",'Daily evaluations'!$C$2:$C$36,"=d20270205"),"")</f>
      </c>
      <c r="CT10" s="8">
        <f>IF((0=1),SUMIFS('Daily evaluations'!$D$2:$D$36,'Daily evaluations'!$B$2:$B$36,"=p04_analyst_revisions",'Daily evaluations'!$C$2:$C$36,"=d20270208"),"")</f>
      </c>
      <c r="CU10" s="8">
        <f>IF((0=1),SUMIFS('Daily evaluations'!$D$2:$D$36,'Daily evaluations'!$B$2:$B$36,"=p04_analyst_revisions",'Daily evaluations'!$C$2:$C$36,"=d20270209"),"")</f>
      </c>
      <c r="CV10" s="8">
        <f>IF((0=1),SUMIFS('Daily evaluations'!$D$2:$D$36,'Daily evaluations'!$B$2:$B$36,"=p04_analyst_revisions",'Daily evaluations'!$C$2:$C$36,"=d20270210"),"")</f>
      </c>
      <c r="CW10" s="8">
        <f>IF((0=1),SUMIFS('Daily evaluations'!$D$2:$D$36,'Daily evaluations'!$B$2:$B$36,"=p04_analyst_revisions",'Daily evaluations'!$C$2:$C$36,"=d20270211"),"")</f>
      </c>
      <c r="CX10" s="8">
        <f>IF((0=1),SUMIFS('Daily evaluations'!$D$2:$D$36,'Daily evaluations'!$B$2:$B$36,"=p04_analyst_revisions",'Daily evaluations'!$C$2:$C$36,"=d20270212"),"")</f>
      </c>
    </row>
    <row r="11">
      <c r="A11" s="0" t="inlineStr">
        <is>
          <t xml:space="preserve">Sector-neutral overnight excess, bps</t>
        </is>
      </c>
      <c r="B11" s="0" t="inlineStr">
        <is>
          <t xml:space="preserve">Clustered Insider Buying</t>
        </is>
      </c>
      <c r="C11" s="8">
        <f>IF((1=1),SUMIFS('Daily evaluations'!$D$2:$D$36,'Daily evaluations'!$B$2:$B$36,"=p05_insider_clusters",'Daily evaluations'!$C$2:$C$36,"=d20260922"),"")</f>
        <v>2.143</v>
      </c>
      <c r="D11" s="8">
        <f>IF((0=1),SUMIFS('Daily evaluations'!$D$2:$D$36,'Daily evaluations'!$B$2:$B$36,"=p05_insider_clusters",'Daily evaluations'!$C$2:$C$36,"=d20260923"),"")</f>
      </c>
      <c r="E11" s="8">
        <f>IF((0=1),SUMIFS('Daily evaluations'!$D$2:$D$36,'Daily evaluations'!$B$2:$B$36,"=p05_insider_clusters",'Daily evaluations'!$C$2:$C$36,"=d20260924"),"")</f>
      </c>
      <c r="F11" s="8">
        <f>IF((0=1),SUMIFS('Daily evaluations'!$D$2:$D$36,'Daily evaluations'!$B$2:$B$36,"=p05_insider_clusters",'Daily evaluations'!$C$2:$C$36,"=d20260925"),"")</f>
      </c>
      <c r="G11" s="8">
        <f>IF((0=1),SUMIFS('Daily evaluations'!$D$2:$D$36,'Daily evaluations'!$B$2:$B$36,"=p05_insider_clusters",'Daily evaluations'!$C$2:$C$36,"=d20260928"),"")</f>
      </c>
      <c r="H11" s="8">
        <f>IF((0=1),SUMIFS('Daily evaluations'!$D$2:$D$36,'Daily evaluations'!$B$2:$B$36,"=p05_insider_clusters",'Daily evaluations'!$C$2:$C$36,"=d20260929"),"")</f>
      </c>
      <c r="I11" s="8">
        <f>IF((0=1),SUMIFS('Daily evaluations'!$D$2:$D$36,'Daily evaluations'!$B$2:$B$36,"=p05_insider_clusters",'Daily evaluations'!$C$2:$C$36,"=d20260930"),"")</f>
      </c>
      <c r="J11" s="8">
        <f>IF((0=1),SUMIFS('Daily evaluations'!$D$2:$D$36,'Daily evaluations'!$B$2:$B$36,"=p05_insider_clusters",'Daily evaluations'!$C$2:$C$36,"=d20261001"),"")</f>
      </c>
      <c r="K11" s="8">
        <f>IF((0=1),SUMIFS('Daily evaluations'!$D$2:$D$36,'Daily evaluations'!$B$2:$B$36,"=p05_insider_clusters",'Daily evaluations'!$C$2:$C$36,"=d20261002"),"")</f>
      </c>
      <c r="L11" s="8">
        <f>IF((0=1),SUMIFS('Daily evaluations'!$D$2:$D$36,'Daily evaluations'!$B$2:$B$36,"=p05_insider_clusters",'Daily evaluations'!$C$2:$C$36,"=d20261005"),"")</f>
      </c>
      <c r="M11" s="8">
        <f>IF((0=1),SUMIFS('Daily evaluations'!$D$2:$D$36,'Daily evaluations'!$B$2:$B$36,"=p05_insider_clusters",'Daily evaluations'!$C$2:$C$36,"=d20261006"),"")</f>
      </c>
      <c r="N11" s="8">
        <f>IF((0=1),SUMIFS('Daily evaluations'!$D$2:$D$36,'Daily evaluations'!$B$2:$B$36,"=p05_insider_clusters",'Daily evaluations'!$C$2:$C$36,"=d20261007"),"")</f>
      </c>
      <c r="O11" s="8">
        <f>IF((0=1),SUMIFS('Daily evaluations'!$D$2:$D$36,'Daily evaluations'!$B$2:$B$36,"=p05_insider_clusters",'Daily evaluations'!$C$2:$C$36,"=d20261008"),"")</f>
      </c>
      <c r="P11" s="8">
        <f>IF((0=1),SUMIFS('Daily evaluations'!$D$2:$D$36,'Daily evaluations'!$B$2:$B$36,"=p05_insider_clusters",'Daily evaluations'!$C$2:$C$36,"=d20261009"),"")</f>
      </c>
      <c r="Q11" s="8">
        <f>IF((0=1),SUMIFS('Daily evaluations'!$D$2:$D$36,'Daily evaluations'!$B$2:$B$36,"=p05_insider_clusters",'Daily evaluations'!$C$2:$C$36,"=d20261012"),"")</f>
      </c>
      <c r="R11" s="8">
        <f>IF((0=1),SUMIFS('Daily evaluations'!$D$2:$D$36,'Daily evaluations'!$B$2:$B$36,"=p05_insider_clusters",'Daily evaluations'!$C$2:$C$36,"=d20261013"),"")</f>
      </c>
      <c r="S11" s="8">
        <f>IF((0=1),SUMIFS('Daily evaluations'!$D$2:$D$36,'Daily evaluations'!$B$2:$B$36,"=p05_insider_clusters",'Daily evaluations'!$C$2:$C$36,"=d20261014"),"")</f>
      </c>
      <c r="T11" s="8">
        <f>IF((0=1),SUMIFS('Daily evaluations'!$D$2:$D$36,'Daily evaluations'!$B$2:$B$36,"=p05_insider_clusters",'Daily evaluations'!$C$2:$C$36,"=d20261015"),"")</f>
      </c>
      <c r="U11" s="8">
        <f>IF((0=1),SUMIFS('Daily evaluations'!$D$2:$D$36,'Daily evaluations'!$B$2:$B$36,"=p05_insider_clusters",'Daily evaluations'!$C$2:$C$36,"=d20261016"),"")</f>
      </c>
      <c r="V11" s="8">
        <f>IF((0=1),SUMIFS('Daily evaluations'!$D$2:$D$36,'Daily evaluations'!$B$2:$B$36,"=p05_insider_clusters",'Daily evaluations'!$C$2:$C$36,"=d20261019"),"")</f>
      </c>
      <c r="W11" s="8">
        <f>IF((0=1),SUMIFS('Daily evaluations'!$D$2:$D$36,'Daily evaluations'!$B$2:$B$36,"=p05_insider_clusters",'Daily evaluations'!$C$2:$C$36,"=d20261020"),"")</f>
      </c>
      <c r="X11" s="8">
        <f>IF((0=1),SUMIFS('Daily evaluations'!$D$2:$D$36,'Daily evaluations'!$B$2:$B$36,"=p05_insider_clusters",'Daily evaluations'!$C$2:$C$36,"=d20261021"),"")</f>
      </c>
      <c r="Y11" s="8">
        <f>IF((0=1),SUMIFS('Daily evaluations'!$D$2:$D$36,'Daily evaluations'!$B$2:$B$36,"=p05_insider_clusters",'Daily evaluations'!$C$2:$C$36,"=d20261022"),"")</f>
      </c>
      <c r="Z11" s="8">
        <f>IF((0=1),SUMIFS('Daily evaluations'!$D$2:$D$36,'Daily evaluations'!$B$2:$B$36,"=p05_insider_clusters",'Daily evaluations'!$C$2:$C$36,"=d20261023"),"")</f>
      </c>
      <c r="AA11" s="8">
        <f>IF((0=1),SUMIFS('Daily evaluations'!$D$2:$D$36,'Daily evaluations'!$B$2:$B$36,"=p05_insider_clusters",'Daily evaluations'!$C$2:$C$36,"=d20261026"),"")</f>
      </c>
      <c r="AB11" s="8">
        <f>IF((0=1),SUMIFS('Daily evaluations'!$D$2:$D$36,'Daily evaluations'!$B$2:$B$36,"=p05_insider_clusters",'Daily evaluations'!$C$2:$C$36,"=d20261027"),"")</f>
      </c>
      <c r="AC11" s="8">
        <f>IF((0=1),SUMIFS('Daily evaluations'!$D$2:$D$36,'Daily evaluations'!$B$2:$B$36,"=p05_insider_clusters",'Daily evaluations'!$C$2:$C$36,"=d20261028"),"")</f>
      </c>
      <c r="AD11" s="8">
        <f>IF((0=1),SUMIFS('Daily evaluations'!$D$2:$D$36,'Daily evaluations'!$B$2:$B$36,"=p05_insider_clusters",'Daily evaluations'!$C$2:$C$36,"=d20261029"),"")</f>
      </c>
      <c r="AE11" s="8">
        <f>IF((0=1),SUMIFS('Daily evaluations'!$D$2:$D$36,'Daily evaluations'!$B$2:$B$36,"=p05_insider_clusters",'Daily evaluations'!$C$2:$C$36,"=d20261030"),"")</f>
      </c>
      <c r="AF11" s="8">
        <f>IF((0=1),SUMIFS('Daily evaluations'!$D$2:$D$36,'Daily evaluations'!$B$2:$B$36,"=p05_insider_clusters",'Daily evaluations'!$C$2:$C$36,"=d20261102"),"")</f>
      </c>
      <c r="AG11" s="8">
        <f>IF((0=1),SUMIFS('Daily evaluations'!$D$2:$D$36,'Daily evaluations'!$B$2:$B$36,"=p05_insider_clusters",'Daily evaluations'!$C$2:$C$36,"=d20261103"),"")</f>
      </c>
      <c r="AH11" s="8">
        <f>IF((0=1),SUMIFS('Daily evaluations'!$D$2:$D$36,'Daily evaluations'!$B$2:$B$36,"=p05_insider_clusters",'Daily evaluations'!$C$2:$C$36,"=d20261104"),"")</f>
      </c>
      <c r="AI11" s="8">
        <f>IF((0=1),SUMIFS('Daily evaluations'!$D$2:$D$36,'Daily evaluations'!$B$2:$B$36,"=p05_insider_clusters",'Daily evaluations'!$C$2:$C$36,"=d20261105"),"")</f>
      </c>
      <c r="AJ11" s="8">
        <f>IF((0=1),SUMIFS('Daily evaluations'!$D$2:$D$36,'Daily evaluations'!$B$2:$B$36,"=p05_insider_clusters",'Daily evaluations'!$C$2:$C$36,"=d20261106"),"")</f>
      </c>
      <c r="AK11" s="8">
        <f>IF((0=1),SUMIFS('Daily evaluations'!$D$2:$D$36,'Daily evaluations'!$B$2:$B$36,"=p05_insider_clusters",'Daily evaluations'!$C$2:$C$36,"=d20261109"),"")</f>
      </c>
      <c r="AL11" s="8">
        <f>IF((0=1),SUMIFS('Daily evaluations'!$D$2:$D$36,'Daily evaluations'!$B$2:$B$36,"=p05_insider_clusters",'Daily evaluations'!$C$2:$C$36,"=d20261110"),"")</f>
      </c>
      <c r="AM11" s="8">
        <f>IF((0=1),SUMIFS('Daily evaluations'!$D$2:$D$36,'Daily evaluations'!$B$2:$B$36,"=p05_insider_clusters",'Daily evaluations'!$C$2:$C$36,"=d20261111"),"")</f>
      </c>
      <c r="AN11" s="8">
        <f>IF((0=1),SUMIFS('Daily evaluations'!$D$2:$D$36,'Daily evaluations'!$B$2:$B$36,"=p05_insider_clusters",'Daily evaluations'!$C$2:$C$36,"=d20261112"),"")</f>
      </c>
      <c r="AO11" s="8">
        <f>IF((0=1),SUMIFS('Daily evaluations'!$D$2:$D$36,'Daily evaluations'!$B$2:$B$36,"=p05_insider_clusters",'Daily evaluations'!$C$2:$C$36,"=d20261113"),"")</f>
      </c>
      <c r="AP11" s="8">
        <f>IF((0=1),SUMIFS('Daily evaluations'!$D$2:$D$36,'Daily evaluations'!$B$2:$B$36,"=p05_insider_clusters",'Daily evaluations'!$C$2:$C$36,"=d20261116"),"")</f>
      </c>
      <c r="AQ11" s="8">
        <f>IF((0=1),SUMIFS('Daily evaluations'!$D$2:$D$36,'Daily evaluations'!$B$2:$B$36,"=p05_insider_clusters",'Daily evaluations'!$C$2:$C$36,"=d20261117"),"")</f>
      </c>
      <c r="AR11" s="8">
        <f>IF((0=1),SUMIFS('Daily evaluations'!$D$2:$D$36,'Daily evaluations'!$B$2:$B$36,"=p05_insider_clusters",'Daily evaluations'!$C$2:$C$36,"=d20261118"),"")</f>
      </c>
      <c r="AS11" s="8">
        <f>IF((0=1),SUMIFS('Daily evaluations'!$D$2:$D$36,'Daily evaluations'!$B$2:$B$36,"=p05_insider_clusters",'Daily evaluations'!$C$2:$C$36,"=d20261119"),"")</f>
      </c>
      <c r="AT11" s="8">
        <f>IF((0=1),SUMIFS('Daily evaluations'!$D$2:$D$36,'Daily evaluations'!$B$2:$B$36,"=p05_insider_clusters",'Daily evaluations'!$C$2:$C$36,"=d20261120"),"")</f>
      </c>
      <c r="AU11" s="8">
        <f>IF((0=1),SUMIFS('Daily evaluations'!$D$2:$D$36,'Daily evaluations'!$B$2:$B$36,"=p05_insider_clusters",'Daily evaluations'!$C$2:$C$36,"=d20261123"),"")</f>
      </c>
      <c r="AV11" s="8">
        <f>IF((0=1),SUMIFS('Daily evaluations'!$D$2:$D$36,'Daily evaluations'!$B$2:$B$36,"=p05_insider_clusters",'Daily evaluations'!$C$2:$C$36,"=d20261124"),"")</f>
      </c>
      <c r="AW11" s="8">
        <f>IF((0=1),SUMIFS('Daily evaluations'!$D$2:$D$36,'Daily evaluations'!$B$2:$B$36,"=p05_insider_clusters",'Daily evaluations'!$C$2:$C$36,"=d20261125"),"")</f>
      </c>
      <c r="AX11" s="8">
        <f>IF((0=1),SUMIFS('Daily evaluations'!$D$2:$D$36,'Daily evaluations'!$B$2:$B$36,"=p05_insider_clusters",'Daily evaluations'!$C$2:$C$36,"=d20261127"),"")</f>
      </c>
      <c r="AY11" s="8">
        <f>IF((0=1),SUMIFS('Daily evaluations'!$D$2:$D$36,'Daily evaluations'!$B$2:$B$36,"=p05_insider_clusters",'Daily evaluations'!$C$2:$C$36,"=d20261130"),"")</f>
      </c>
      <c r="AZ11" s="8">
        <f>IF((0=1),SUMIFS('Daily evaluations'!$D$2:$D$36,'Daily evaluations'!$B$2:$B$36,"=p05_insider_clusters",'Daily evaluations'!$C$2:$C$36,"=d20261201"),"")</f>
      </c>
      <c r="BA11" s="8">
        <f>IF((0=1),SUMIFS('Daily evaluations'!$D$2:$D$36,'Daily evaluations'!$B$2:$B$36,"=p05_insider_clusters",'Daily evaluations'!$C$2:$C$36,"=d20261202"),"")</f>
      </c>
      <c r="BB11" s="8">
        <f>IF((0=1),SUMIFS('Daily evaluations'!$D$2:$D$36,'Daily evaluations'!$B$2:$B$36,"=p05_insider_clusters",'Daily evaluations'!$C$2:$C$36,"=d20261203"),"")</f>
      </c>
      <c r="BC11" s="8">
        <f>IF((0=1),SUMIFS('Daily evaluations'!$D$2:$D$36,'Daily evaluations'!$B$2:$B$36,"=p05_insider_clusters",'Daily evaluations'!$C$2:$C$36,"=d20261204"),"")</f>
      </c>
      <c r="BD11" s="8">
        <f>IF((0=1),SUMIFS('Daily evaluations'!$D$2:$D$36,'Daily evaluations'!$B$2:$B$36,"=p05_insider_clusters",'Daily evaluations'!$C$2:$C$36,"=d20261207"),"")</f>
      </c>
      <c r="BE11" s="8">
        <f>IF((0=1),SUMIFS('Daily evaluations'!$D$2:$D$36,'Daily evaluations'!$B$2:$B$36,"=p05_insider_clusters",'Daily evaluations'!$C$2:$C$36,"=d20261208"),"")</f>
      </c>
      <c r="BF11" s="8">
        <f>IF((0=1),SUMIFS('Daily evaluations'!$D$2:$D$36,'Daily evaluations'!$B$2:$B$36,"=p05_insider_clusters",'Daily evaluations'!$C$2:$C$36,"=d20261209"),"")</f>
      </c>
      <c r="BG11" s="8">
        <f>IF((0=1),SUMIFS('Daily evaluations'!$D$2:$D$36,'Daily evaluations'!$B$2:$B$36,"=p05_insider_clusters",'Daily evaluations'!$C$2:$C$36,"=d20261210"),"")</f>
      </c>
      <c r="BH11" s="8">
        <f>IF((0=1),SUMIFS('Daily evaluations'!$D$2:$D$36,'Daily evaluations'!$B$2:$B$36,"=p05_insider_clusters",'Daily evaluations'!$C$2:$C$36,"=d20261211"),"")</f>
      </c>
      <c r="BI11" s="8">
        <f>IF((0=1),SUMIFS('Daily evaluations'!$D$2:$D$36,'Daily evaluations'!$B$2:$B$36,"=p05_insider_clusters",'Daily evaluations'!$C$2:$C$36,"=d20261214"),"")</f>
      </c>
      <c r="BJ11" s="8">
        <f>IF((0=1),SUMIFS('Daily evaluations'!$D$2:$D$36,'Daily evaluations'!$B$2:$B$36,"=p05_insider_clusters",'Daily evaluations'!$C$2:$C$36,"=d20261215"),"")</f>
      </c>
      <c r="BK11" s="8">
        <f>IF((0=1),SUMIFS('Daily evaluations'!$D$2:$D$36,'Daily evaluations'!$B$2:$B$36,"=p05_insider_clusters",'Daily evaluations'!$C$2:$C$36,"=d20261216"),"")</f>
      </c>
      <c r="BL11" s="8">
        <f>IF((0=1),SUMIFS('Daily evaluations'!$D$2:$D$36,'Daily evaluations'!$B$2:$B$36,"=p05_insider_clusters",'Daily evaluations'!$C$2:$C$36,"=d20261217"),"")</f>
      </c>
      <c r="BM11" s="8">
        <f>IF((0=1),SUMIFS('Daily evaluations'!$D$2:$D$36,'Daily evaluations'!$B$2:$B$36,"=p05_insider_clusters",'Daily evaluations'!$C$2:$C$36,"=d20261218"),"")</f>
      </c>
      <c r="BN11" s="8">
        <f>IF((0=1),SUMIFS('Daily evaluations'!$D$2:$D$36,'Daily evaluations'!$B$2:$B$36,"=p05_insider_clusters",'Daily evaluations'!$C$2:$C$36,"=d20261221"),"")</f>
      </c>
      <c r="BO11" s="8">
        <f>IF((0=1),SUMIFS('Daily evaluations'!$D$2:$D$36,'Daily evaluations'!$B$2:$B$36,"=p05_insider_clusters",'Daily evaluations'!$C$2:$C$36,"=d20261222"),"")</f>
      </c>
      <c r="BP11" s="8">
        <f>IF((0=1),SUMIFS('Daily evaluations'!$D$2:$D$36,'Daily evaluations'!$B$2:$B$36,"=p05_insider_clusters",'Daily evaluations'!$C$2:$C$36,"=d20261223"),"")</f>
      </c>
      <c r="BQ11" s="8">
        <f>IF((0=1),SUMIFS('Daily evaluations'!$D$2:$D$36,'Daily evaluations'!$B$2:$B$36,"=p05_insider_clusters",'Daily evaluations'!$C$2:$C$36,"=d20261224"),"")</f>
      </c>
      <c r="BR11" s="8">
        <f>IF((0=1),SUMIFS('Daily evaluations'!$D$2:$D$36,'Daily evaluations'!$B$2:$B$36,"=p05_insider_clusters",'Daily evaluations'!$C$2:$C$36,"=d20261228"),"")</f>
      </c>
      <c r="BS11" s="8">
        <f>IF((0=1),SUMIFS('Daily evaluations'!$D$2:$D$36,'Daily evaluations'!$B$2:$B$36,"=p05_insider_clusters",'Daily evaluations'!$C$2:$C$36,"=d20261229"),"")</f>
      </c>
      <c r="BT11" s="8">
        <f>IF((0=1),SUMIFS('Daily evaluations'!$D$2:$D$36,'Daily evaluations'!$B$2:$B$36,"=p05_insider_clusters",'Daily evaluations'!$C$2:$C$36,"=d20261230"),"")</f>
      </c>
      <c r="BU11" s="8">
        <f>IF((0=1),SUMIFS('Daily evaluations'!$D$2:$D$36,'Daily evaluations'!$B$2:$B$36,"=p05_insider_clusters",'Daily evaluations'!$C$2:$C$36,"=d20261231"),"")</f>
      </c>
      <c r="BV11" s="8">
        <f>IF((0=1),SUMIFS('Daily evaluations'!$D$2:$D$36,'Daily evaluations'!$B$2:$B$36,"=p05_insider_clusters",'Daily evaluations'!$C$2:$C$36,"=d20270104"),"")</f>
      </c>
      <c r="BW11" s="8">
        <f>IF((0=1),SUMIFS('Daily evaluations'!$D$2:$D$36,'Daily evaluations'!$B$2:$B$36,"=p05_insider_clusters",'Daily evaluations'!$C$2:$C$36,"=d20270105"),"")</f>
      </c>
      <c r="BX11" s="8">
        <f>IF((0=1),SUMIFS('Daily evaluations'!$D$2:$D$36,'Daily evaluations'!$B$2:$B$36,"=p05_insider_clusters",'Daily evaluations'!$C$2:$C$36,"=d20270106"),"")</f>
      </c>
      <c r="BY11" s="8">
        <f>IF((0=1),SUMIFS('Daily evaluations'!$D$2:$D$36,'Daily evaluations'!$B$2:$B$36,"=p05_insider_clusters",'Daily evaluations'!$C$2:$C$36,"=d20270107"),"")</f>
      </c>
      <c r="BZ11" s="8">
        <f>IF((0=1),SUMIFS('Daily evaluations'!$D$2:$D$36,'Daily evaluations'!$B$2:$B$36,"=p05_insider_clusters",'Daily evaluations'!$C$2:$C$36,"=d20270108"),"")</f>
      </c>
      <c r="CA11" s="8">
        <f>IF((0=1),SUMIFS('Daily evaluations'!$D$2:$D$36,'Daily evaluations'!$B$2:$B$36,"=p05_insider_clusters",'Daily evaluations'!$C$2:$C$36,"=d20270111"),"")</f>
      </c>
      <c r="CB11" s="8">
        <f>IF((0=1),SUMIFS('Daily evaluations'!$D$2:$D$36,'Daily evaluations'!$B$2:$B$36,"=p05_insider_clusters",'Daily evaluations'!$C$2:$C$36,"=d20270112"),"")</f>
      </c>
      <c r="CC11" s="8">
        <f>IF((0=1),SUMIFS('Daily evaluations'!$D$2:$D$36,'Daily evaluations'!$B$2:$B$36,"=p05_insider_clusters",'Daily evaluations'!$C$2:$C$36,"=d20270113"),"")</f>
      </c>
      <c r="CD11" s="8">
        <f>IF((0=1),SUMIFS('Daily evaluations'!$D$2:$D$36,'Daily evaluations'!$B$2:$B$36,"=p05_insider_clusters",'Daily evaluations'!$C$2:$C$36,"=d20270114"),"")</f>
      </c>
      <c r="CE11" s="8">
        <f>IF((0=1),SUMIFS('Daily evaluations'!$D$2:$D$36,'Daily evaluations'!$B$2:$B$36,"=p05_insider_clusters",'Daily evaluations'!$C$2:$C$36,"=d20270115"),"")</f>
      </c>
      <c r="CF11" s="8">
        <f>IF((0=1),SUMIFS('Daily evaluations'!$D$2:$D$36,'Daily evaluations'!$B$2:$B$36,"=p05_insider_clusters",'Daily evaluations'!$C$2:$C$36,"=d20270119"),"")</f>
      </c>
      <c r="CG11" s="8">
        <f>IF((0=1),SUMIFS('Daily evaluations'!$D$2:$D$36,'Daily evaluations'!$B$2:$B$36,"=p05_insider_clusters",'Daily evaluations'!$C$2:$C$36,"=d20270120"),"")</f>
      </c>
      <c r="CH11" s="8">
        <f>IF((0=1),SUMIFS('Daily evaluations'!$D$2:$D$36,'Daily evaluations'!$B$2:$B$36,"=p05_insider_clusters",'Daily evaluations'!$C$2:$C$36,"=d20270121"),"")</f>
      </c>
      <c r="CI11" s="8">
        <f>IF((0=1),SUMIFS('Daily evaluations'!$D$2:$D$36,'Daily evaluations'!$B$2:$B$36,"=p05_insider_clusters",'Daily evaluations'!$C$2:$C$36,"=d20270122"),"")</f>
      </c>
      <c r="CJ11" s="8">
        <f>IF((0=1),SUMIFS('Daily evaluations'!$D$2:$D$36,'Daily evaluations'!$B$2:$B$36,"=p05_insider_clusters",'Daily evaluations'!$C$2:$C$36,"=d20270125"),"")</f>
      </c>
      <c r="CK11" s="8">
        <f>IF((0=1),SUMIFS('Daily evaluations'!$D$2:$D$36,'Daily evaluations'!$B$2:$B$36,"=p05_insider_clusters",'Daily evaluations'!$C$2:$C$36,"=d20270126"),"")</f>
      </c>
      <c r="CL11" s="8">
        <f>IF((0=1),SUMIFS('Daily evaluations'!$D$2:$D$36,'Daily evaluations'!$B$2:$B$36,"=p05_insider_clusters",'Daily evaluations'!$C$2:$C$36,"=d20270127"),"")</f>
      </c>
      <c r="CM11" s="8">
        <f>IF((0=1),SUMIFS('Daily evaluations'!$D$2:$D$36,'Daily evaluations'!$B$2:$B$36,"=p05_insider_clusters",'Daily evaluations'!$C$2:$C$36,"=d20270128"),"")</f>
      </c>
      <c r="CN11" s="8">
        <f>IF((0=1),SUMIFS('Daily evaluations'!$D$2:$D$36,'Daily evaluations'!$B$2:$B$36,"=p05_insider_clusters",'Daily evaluations'!$C$2:$C$36,"=d20270129"),"")</f>
      </c>
      <c r="CO11" s="8">
        <f>IF((0=1),SUMIFS('Daily evaluations'!$D$2:$D$36,'Daily evaluations'!$B$2:$B$36,"=p05_insider_clusters",'Daily evaluations'!$C$2:$C$36,"=d20270201"),"")</f>
      </c>
      <c r="CP11" s="8">
        <f>IF((0=1),SUMIFS('Daily evaluations'!$D$2:$D$36,'Daily evaluations'!$B$2:$B$36,"=p05_insider_clusters",'Daily evaluations'!$C$2:$C$36,"=d20270202"),"")</f>
      </c>
      <c r="CQ11" s="8">
        <f>IF((0=1),SUMIFS('Daily evaluations'!$D$2:$D$36,'Daily evaluations'!$B$2:$B$36,"=p05_insider_clusters",'Daily evaluations'!$C$2:$C$36,"=d20270203"),"")</f>
      </c>
      <c r="CR11" s="8">
        <f>IF((0=1),SUMIFS('Daily evaluations'!$D$2:$D$36,'Daily evaluations'!$B$2:$B$36,"=p05_insider_clusters",'Daily evaluations'!$C$2:$C$36,"=d20270204"),"")</f>
      </c>
      <c r="CS11" s="8">
        <f>IF((0=1),SUMIFS('Daily evaluations'!$D$2:$D$36,'Daily evaluations'!$B$2:$B$36,"=p05_insider_clusters",'Daily evaluations'!$C$2:$C$36,"=d20270205"),"")</f>
      </c>
      <c r="CT11" s="8">
        <f>IF((0=1),SUMIFS('Daily evaluations'!$D$2:$D$36,'Daily evaluations'!$B$2:$B$36,"=p05_insider_clusters",'Daily evaluations'!$C$2:$C$36,"=d20270208"),"")</f>
      </c>
      <c r="CU11" s="8">
        <f>IF((0=1),SUMIFS('Daily evaluations'!$D$2:$D$36,'Daily evaluations'!$B$2:$B$36,"=p05_insider_clusters",'Daily evaluations'!$C$2:$C$36,"=d20270209"),"")</f>
      </c>
      <c r="CV11" s="8">
        <f>IF((0=1),SUMIFS('Daily evaluations'!$D$2:$D$36,'Daily evaluations'!$B$2:$B$36,"=p05_insider_clusters",'Daily evaluations'!$C$2:$C$36,"=d20270210"),"")</f>
      </c>
      <c r="CW11" s="8">
        <f>IF((0=1),SUMIFS('Daily evaluations'!$D$2:$D$36,'Daily evaluations'!$B$2:$B$36,"=p05_insider_clusters",'Daily evaluations'!$C$2:$C$36,"=d20270211"),"")</f>
      </c>
      <c r="CX11" s="8">
        <f>IF((0=1),SUMIFS('Daily evaluations'!$D$2:$D$36,'Daily evaluations'!$B$2:$B$36,"=p05_insider_clusters",'Daily evaluations'!$C$2:$C$36,"=d20270212"),"")</f>
      </c>
    </row>
    <row r="12">
      <c r="A12" s="0" t="inlineStr">
        <is>
          <t xml:space="preserve">Sector-neutral overnight excess, bps</t>
        </is>
      </c>
      <c r="B12" s="0" t="inlineStr">
        <is>
          <t xml:space="preserve">Same-Month Seasonality</t>
        </is>
      </c>
      <c r="C12" s="8">
        <f>IF((1=1),SUMIFS('Daily evaluations'!$D$2:$D$36,'Daily evaluations'!$B$2:$B$36,"=p06_seasonality",'Daily evaluations'!$C$2:$C$36,"=d20260922"),"")</f>
        <v>-21.574</v>
      </c>
      <c r="D12" s="8">
        <f>IF((0=1),SUMIFS('Daily evaluations'!$D$2:$D$36,'Daily evaluations'!$B$2:$B$36,"=p06_seasonality",'Daily evaluations'!$C$2:$C$36,"=d20260923"),"")</f>
      </c>
      <c r="E12" s="8">
        <f>IF((0=1),SUMIFS('Daily evaluations'!$D$2:$D$36,'Daily evaluations'!$B$2:$B$36,"=p06_seasonality",'Daily evaluations'!$C$2:$C$36,"=d20260924"),"")</f>
      </c>
      <c r="F12" s="8">
        <f>IF((0=1),SUMIFS('Daily evaluations'!$D$2:$D$36,'Daily evaluations'!$B$2:$B$36,"=p06_seasonality",'Daily evaluations'!$C$2:$C$36,"=d20260925"),"")</f>
      </c>
      <c r="G12" s="8">
        <f>IF((0=1),SUMIFS('Daily evaluations'!$D$2:$D$36,'Daily evaluations'!$B$2:$B$36,"=p06_seasonality",'Daily evaluations'!$C$2:$C$36,"=d20260928"),"")</f>
      </c>
      <c r="H12" s="8">
        <f>IF((0=1),SUMIFS('Daily evaluations'!$D$2:$D$36,'Daily evaluations'!$B$2:$B$36,"=p06_seasonality",'Daily evaluations'!$C$2:$C$36,"=d20260929"),"")</f>
      </c>
      <c r="I12" s="8">
        <f>IF((0=1),SUMIFS('Daily evaluations'!$D$2:$D$36,'Daily evaluations'!$B$2:$B$36,"=p06_seasonality",'Daily evaluations'!$C$2:$C$36,"=d20260930"),"")</f>
      </c>
      <c r="J12" s="8">
        <f>IF((0=1),SUMIFS('Daily evaluations'!$D$2:$D$36,'Daily evaluations'!$B$2:$B$36,"=p06_seasonality",'Daily evaluations'!$C$2:$C$36,"=d20261001"),"")</f>
      </c>
      <c r="K12" s="8">
        <f>IF((0=1),SUMIFS('Daily evaluations'!$D$2:$D$36,'Daily evaluations'!$B$2:$B$36,"=p06_seasonality",'Daily evaluations'!$C$2:$C$36,"=d20261002"),"")</f>
      </c>
      <c r="L12" s="8">
        <f>IF((0=1),SUMIFS('Daily evaluations'!$D$2:$D$36,'Daily evaluations'!$B$2:$B$36,"=p06_seasonality",'Daily evaluations'!$C$2:$C$36,"=d20261005"),"")</f>
      </c>
      <c r="M12" s="8">
        <f>IF((0=1),SUMIFS('Daily evaluations'!$D$2:$D$36,'Daily evaluations'!$B$2:$B$36,"=p06_seasonality",'Daily evaluations'!$C$2:$C$36,"=d20261006"),"")</f>
      </c>
      <c r="N12" s="8">
        <f>IF((0=1),SUMIFS('Daily evaluations'!$D$2:$D$36,'Daily evaluations'!$B$2:$B$36,"=p06_seasonality",'Daily evaluations'!$C$2:$C$36,"=d20261007"),"")</f>
      </c>
      <c r="O12" s="8">
        <f>IF((0=1),SUMIFS('Daily evaluations'!$D$2:$D$36,'Daily evaluations'!$B$2:$B$36,"=p06_seasonality",'Daily evaluations'!$C$2:$C$36,"=d20261008"),"")</f>
      </c>
      <c r="P12" s="8">
        <f>IF((0=1),SUMIFS('Daily evaluations'!$D$2:$D$36,'Daily evaluations'!$B$2:$B$36,"=p06_seasonality",'Daily evaluations'!$C$2:$C$36,"=d20261009"),"")</f>
      </c>
      <c r="Q12" s="8">
        <f>IF((0=1),SUMIFS('Daily evaluations'!$D$2:$D$36,'Daily evaluations'!$B$2:$B$36,"=p06_seasonality",'Daily evaluations'!$C$2:$C$36,"=d20261012"),"")</f>
      </c>
      <c r="R12" s="8">
        <f>IF((0=1),SUMIFS('Daily evaluations'!$D$2:$D$36,'Daily evaluations'!$B$2:$B$36,"=p06_seasonality",'Daily evaluations'!$C$2:$C$36,"=d20261013"),"")</f>
      </c>
      <c r="S12" s="8">
        <f>IF((0=1),SUMIFS('Daily evaluations'!$D$2:$D$36,'Daily evaluations'!$B$2:$B$36,"=p06_seasonality",'Daily evaluations'!$C$2:$C$36,"=d20261014"),"")</f>
      </c>
      <c r="T12" s="8">
        <f>IF((0=1),SUMIFS('Daily evaluations'!$D$2:$D$36,'Daily evaluations'!$B$2:$B$36,"=p06_seasonality",'Daily evaluations'!$C$2:$C$36,"=d20261015"),"")</f>
      </c>
      <c r="U12" s="8">
        <f>IF((0=1),SUMIFS('Daily evaluations'!$D$2:$D$36,'Daily evaluations'!$B$2:$B$36,"=p06_seasonality",'Daily evaluations'!$C$2:$C$36,"=d20261016"),"")</f>
      </c>
      <c r="V12" s="8">
        <f>IF((0=1),SUMIFS('Daily evaluations'!$D$2:$D$36,'Daily evaluations'!$B$2:$B$36,"=p06_seasonality",'Daily evaluations'!$C$2:$C$36,"=d20261019"),"")</f>
      </c>
      <c r="W12" s="8">
        <f>IF((0=1),SUMIFS('Daily evaluations'!$D$2:$D$36,'Daily evaluations'!$B$2:$B$36,"=p06_seasonality",'Daily evaluations'!$C$2:$C$36,"=d20261020"),"")</f>
      </c>
      <c r="X12" s="8">
        <f>IF((0=1),SUMIFS('Daily evaluations'!$D$2:$D$36,'Daily evaluations'!$B$2:$B$36,"=p06_seasonality",'Daily evaluations'!$C$2:$C$36,"=d20261021"),"")</f>
      </c>
      <c r="Y12" s="8">
        <f>IF((0=1),SUMIFS('Daily evaluations'!$D$2:$D$36,'Daily evaluations'!$B$2:$B$36,"=p06_seasonality",'Daily evaluations'!$C$2:$C$36,"=d20261022"),"")</f>
      </c>
      <c r="Z12" s="8">
        <f>IF((0=1),SUMIFS('Daily evaluations'!$D$2:$D$36,'Daily evaluations'!$B$2:$B$36,"=p06_seasonality",'Daily evaluations'!$C$2:$C$36,"=d20261023"),"")</f>
      </c>
      <c r="AA12" s="8">
        <f>IF((0=1),SUMIFS('Daily evaluations'!$D$2:$D$36,'Daily evaluations'!$B$2:$B$36,"=p06_seasonality",'Daily evaluations'!$C$2:$C$36,"=d20261026"),"")</f>
      </c>
      <c r="AB12" s="8">
        <f>IF((0=1),SUMIFS('Daily evaluations'!$D$2:$D$36,'Daily evaluations'!$B$2:$B$36,"=p06_seasonality",'Daily evaluations'!$C$2:$C$36,"=d20261027"),"")</f>
      </c>
      <c r="AC12" s="8">
        <f>IF((0=1),SUMIFS('Daily evaluations'!$D$2:$D$36,'Daily evaluations'!$B$2:$B$36,"=p06_seasonality",'Daily evaluations'!$C$2:$C$36,"=d20261028"),"")</f>
      </c>
      <c r="AD12" s="8">
        <f>IF((0=1),SUMIFS('Daily evaluations'!$D$2:$D$36,'Daily evaluations'!$B$2:$B$36,"=p06_seasonality",'Daily evaluations'!$C$2:$C$36,"=d20261029"),"")</f>
      </c>
      <c r="AE12" s="8">
        <f>IF((0=1),SUMIFS('Daily evaluations'!$D$2:$D$36,'Daily evaluations'!$B$2:$B$36,"=p06_seasonality",'Daily evaluations'!$C$2:$C$36,"=d20261030"),"")</f>
      </c>
      <c r="AF12" s="8">
        <f>IF((0=1),SUMIFS('Daily evaluations'!$D$2:$D$36,'Daily evaluations'!$B$2:$B$36,"=p06_seasonality",'Daily evaluations'!$C$2:$C$36,"=d20261102"),"")</f>
      </c>
      <c r="AG12" s="8">
        <f>IF((0=1),SUMIFS('Daily evaluations'!$D$2:$D$36,'Daily evaluations'!$B$2:$B$36,"=p06_seasonality",'Daily evaluations'!$C$2:$C$36,"=d20261103"),"")</f>
      </c>
      <c r="AH12" s="8">
        <f>IF((0=1),SUMIFS('Daily evaluations'!$D$2:$D$36,'Daily evaluations'!$B$2:$B$36,"=p06_seasonality",'Daily evaluations'!$C$2:$C$36,"=d20261104"),"")</f>
      </c>
      <c r="AI12" s="8">
        <f>IF((0=1),SUMIFS('Daily evaluations'!$D$2:$D$36,'Daily evaluations'!$B$2:$B$36,"=p06_seasonality",'Daily evaluations'!$C$2:$C$36,"=d20261105"),"")</f>
      </c>
      <c r="AJ12" s="8">
        <f>IF((0=1),SUMIFS('Daily evaluations'!$D$2:$D$36,'Daily evaluations'!$B$2:$B$36,"=p06_seasonality",'Daily evaluations'!$C$2:$C$36,"=d20261106"),"")</f>
      </c>
      <c r="AK12" s="8">
        <f>IF((0=1),SUMIFS('Daily evaluations'!$D$2:$D$36,'Daily evaluations'!$B$2:$B$36,"=p06_seasonality",'Daily evaluations'!$C$2:$C$36,"=d20261109"),"")</f>
      </c>
      <c r="AL12" s="8">
        <f>IF((0=1),SUMIFS('Daily evaluations'!$D$2:$D$36,'Daily evaluations'!$B$2:$B$36,"=p06_seasonality",'Daily evaluations'!$C$2:$C$36,"=d20261110"),"")</f>
      </c>
      <c r="AM12" s="8">
        <f>IF((0=1),SUMIFS('Daily evaluations'!$D$2:$D$36,'Daily evaluations'!$B$2:$B$36,"=p06_seasonality",'Daily evaluations'!$C$2:$C$36,"=d20261111"),"")</f>
      </c>
      <c r="AN12" s="8">
        <f>IF((0=1),SUMIFS('Daily evaluations'!$D$2:$D$36,'Daily evaluations'!$B$2:$B$36,"=p06_seasonality",'Daily evaluations'!$C$2:$C$36,"=d20261112"),"")</f>
      </c>
      <c r="AO12" s="8">
        <f>IF((0=1),SUMIFS('Daily evaluations'!$D$2:$D$36,'Daily evaluations'!$B$2:$B$36,"=p06_seasonality",'Daily evaluations'!$C$2:$C$36,"=d20261113"),"")</f>
      </c>
      <c r="AP12" s="8">
        <f>IF((0=1),SUMIFS('Daily evaluations'!$D$2:$D$36,'Daily evaluations'!$B$2:$B$36,"=p06_seasonality",'Daily evaluations'!$C$2:$C$36,"=d20261116"),"")</f>
      </c>
      <c r="AQ12" s="8">
        <f>IF((0=1),SUMIFS('Daily evaluations'!$D$2:$D$36,'Daily evaluations'!$B$2:$B$36,"=p06_seasonality",'Daily evaluations'!$C$2:$C$36,"=d20261117"),"")</f>
      </c>
      <c r="AR12" s="8">
        <f>IF((0=1),SUMIFS('Daily evaluations'!$D$2:$D$36,'Daily evaluations'!$B$2:$B$36,"=p06_seasonality",'Daily evaluations'!$C$2:$C$36,"=d20261118"),"")</f>
      </c>
      <c r="AS12" s="8">
        <f>IF((0=1),SUMIFS('Daily evaluations'!$D$2:$D$36,'Daily evaluations'!$B$2:$B$36,"=p06_seasonality",'Daily evaluations'!$C$2:$C$36,"=d20261119"),"")</f>
      </c>
      <c r="AT12" s="8">
        <f>IF((0=1),SUMIFS('Daily evaluations'!$D$2:$D$36,'Daily evaluations'!$B$2:$B$36,"=p06_seasonality",'Daily evaluations'!$C$2:$C$36,"=d20261120"),"")</f>
      </c>
      <c r="AU12" s="8">
        <f>IF((0=1),SUMIFS('Daily evaluations'!$D$2:$D$36,'Daily evaluations'!$B$2:$B$36,"=p06_seasonality",'Daily evaluations'!$C$2:$C$36,"=d20261123"),"")</f>
      </c>
      <c r="AV12" s="8">
        <f>IF((0=1),SUMIFS('Daily evaluations'!$D$2:$D$36,'Daily evaluations'!$B$2:$B$36,"=p06_seasonality",'Daily evaluations'!$C$2:$C$36,"=d20261124"),"")</f>
      </c>
      <c r="AW12" s="8">
        <f>IF((0=1),SUMIFS('Daily evaluations'!$D$2:$D$36,'Daily evaluations'!$B$2:$B$36,"=p06_seasonality",'Daily evaluations'!$C$2:$C$36,"=d20261125"),"")</f>
      </c>
      <c r="AX12" s="8">
        <f>IF((0=1),SUMIFS('Daily evaluations'!$D$2:$D$36,'Daily evaluations'!$B$2:$B$36,"=p06_seasonality",'Daily evaluations'!$C$2:$C$36,"=d20261127"),"")</f>
      </c>
      <c r="AY12" s="8">
        <f>IF((0=1),SUMIFS('Daily evaluations'!$D$2:$D$36,'Daily evaluations'!$B$2:$B$36,"=p06_seasonality",'Daily evaluations'!$C$2:$C$36,"=d20261130"),"")</f>
      </c>
      <c r="AZ12" s="8">
        <f>IF((0=1),SUMIFS('Daily evaluations'!$D$2:$D$36,'Daily evaluations'!$B$2:$B$36,"=p06_seasonality",'Daily evaluations'!$C$2:$C$36,"=d20261201"),"")</f>
      </c>
      <c r="BA12" s="8">
        <f>IF((0=1),SUMIFS('Daily evaluations'!$D$2:$D$36,'Daily evaluations'!$B$2:$B$36,"=p06_seasonality",'Daily evaluations'!$C$2:$C$36,"=d20261202"),"")</f>
      </c>
      <c r="BB12" s="8">
        <f>IF((0=1),SUMIFS('Daily evaluations'!$D$2:$D$36,'Daily evaluations'!$B$2:$B$36,"=p06_seasonality",'Daily evaluations'!$C$2:$C$36,"=d20261203"),"")</f>
      </c>
      <c r="BC12" s="8">
        <f>IF((0=1),SUMIFS('Daily evaluations'!$D$2:$D$36,'Daily evaluations'!$B$2:$B$36,"=p06_seasonality",'Daily evaluations'!$C$2:$C$36,"=d20261204"),"")</f>
      </c>
      <c r="BD12" s="8">
        <f>IF((0=1),SUMIFS('Daily evaluations'!$D$2:$D$36,'Daily evaluations'!$B$2:$B$36,"=p06_seasonality",'Daily evaluations'!$C$2:$C$36,"=d20261207"),"")</f>
      </c>
      <c r="BE12" s="8">
        <f>IF((0=1),SUMIFS('Daily evaluations'!$D$2:$D$36,'Daily evaluations'!$B$2:$B$36,"=p06_seasonality",'Daily evaluations'!$C$2:$C$36,"=d20261208"),"")</f>
      </c>
      <c r="BF12" s="8">
        <f>IF((0=1),SUMIFS('Daily evaluations'!$D$2:$D$36,'Daily evaluations'!$B$2:$B$36,"=p06_seasonality",'Daily evaluations'!$C$2:$C$36,"=d20261209"),"")</f>
      </c>
      <c r="BG12" s="8">
        <f>IF((0=1),SUMIFS('Daily evaluations'!$D$2:$D$36,'Daily evaluations'!$B$2:$B$36,"=p06_seasonality",'Daily evaluations'!$C$2:$C$36,"=d20261210"),"")</f>
      </c>
      <c r="BH12" s="8">
        <f>IF((0=1),SUMIFS('Daily evaluations'!$D$2:$D$36,'Daily evaluations'!$B$2:$B$36,"=p06_seasonality",'Daily evaluations'!$C$2:$C$36,"=d20261211"),"")</f>
      </c>
      <c r="BI12" s="8">
        <f>IF((0=1),SUMIFS('Daily evaluations'!$D$2:$D$36,'Daily evaluations'!$B$2:$B$36,"=p06_seasonality",'Daily evaluations'!$C$2:$C$36,"=d20261214"),"")</f>
      </c>
      <c r="BJ12" s="8">
        <f>IF((0=1),SUMIFS('Daily evaluations'!$D$2:$D$36,'Daily evaluations'!$B$2:$B$36,"=p06_seasonality",'Daily evaluations'!$C$2:$C$36,"=d20261215"),"")</f>
      </c>
      <c r="BK12" s="8">
        <f>IF((0=1),SUMIFS('Daily evaluations'!$D$2:$D$36,'Daily evaluations'!$B$2:$B$36,"=p06_seasonality",'Daily evaluations'!$C$2:$C$36,"=d20261216"),"")</f>
      </c>
      <c r="BL12" s="8">
        <f>IF((0=1),SUMIFS('Daily evaluations'!$D$2:$D$36,'Daily evaluations'!$B$2:$B$36,"=p06_seasonality",'Daily evaluations'!$C$2:$C$36,"=d20261217"),"")</f>
      </c>
      <c r="BM12" s="8">
        <f>IF((0=1),SUMIFS('Daily evaluations'!$D$2:$D$36,'Daily evaluations'!$B$2:$B$36,"=p06_seasonality",'Daily evaluations'!$C$2:$C$36,"=d20261218"),"")</f>
      </c>
      <c r="BN12" s="8">
        <f>IF((0=1),SUMIFS('Daily evaluations'!$D$2:$D$36,'Daily evaluations'!$B$2:$B$36,"=p06_seasonality",'Daily evaluations'!$C$2:$C$36,"=d20261221"),"")</f>
      </c>
      <c r="BO12" s="8">
        <f>IF((0=1),SUMIFS('Daily evaluations'!$D$2:$D$36,'Daily evaluations'!$B$2:$B$36,"=p06_seasonality",'Daily evaluations'!$C$2:$C$36,"=d20261222"),"")</f>
      </c>
      <c r="BP12" s="8">
        <f>IF((0=1),SUMIFS('Daily evaluations'!$D$2:$D$36,'Daily evaluations'!$B$2:$B$36,"=p06_seasonality",'Daily evaluations'!$C$2:$C$36,"=d20261223"),"")</f>
      </c>
      <c r="BQ12" s="8">
        <f>IF((0=1),SUMIFS('Daily evaluations'!$D$2:$D$36,'Daily evaluations'!$B$2:$B$36,"=p06_seasonality",'Daily evaluations'!$C$2:$C$36,"=d20261224"),"")</f>
      </c>
      <c r="BR12" s="8">
        <f>IF((0=1),SUMIFS('Daily evaluations'!$D$2:$D$36,'Daily evaluations'!$B$2:$B$36,"=p06_seasonality",'Daily evaluations'!$C$2:$C$36,"=d20261228"),"")</f>
      </c>
      <c r="BS12" s="8">
        <f>IF((0=1),SUMIFS('Daily evaluations'!$D$2:$D$36,'Daily evaluations'!$B$2:$B$36,"=p06_seasonality",'Daily evaluations'!$C$2:$C$36,"=d20261229"),"")</f>
      </c>
      <c r="BT12" s="8">
        <f>IF((0=1),SUMIFS('Daily evaluations'!$D$2:$D$36,'Daily evaluations'!$B$2:$B$36,"=p06_seasonality",'Daily evaluations'!$C$2:$C$36,"=d20261230"),"")</f>
      </c>
      <c r="BU12" s="8">
        <f>IF((0=1),SUMIFS('Daily evaluations'!$D$2:$D$36,'Daily evaluations'!$B$2:$B$36,"=p06_seasonality",'Daily evaluations'!$C$2:$C$36,"=d20261231"),"")</f>
      </c>
      <c r="BV12" s="8">
        <f>IF((0=1),SUMIFS('Daily evaluations'!$D$2:$D$36,'Daily evaluations'!$B$2:$B$36,"=p06_seasonality",'Daily evaluations'!$C$2:$C$36,"=d20270104"),"")</f>
      </c>
      <c r="BW12" s="8">
        <f>IF((0=1),SUMIFS('Daily evaluations'!$D$2:$D$36,'Daily evaluations'!$B$2:$B$36,"=p06_seasonality",'Daily evaluations'!$C$2:$C$36,"=d20270105"),"")</f>
      </c>
      <c r="BX12" s="8">
        <f>IF((0=1),SUMIFS('Daily evaluations'!$D$2:$D$36,'Daily evaluations'!$B$2:$B$36,"=p06_seasonality",'Daily evaluations'!$C$2:$C$36,"=d20270106"),"")</f>
      </c>
      <c r="BY12" s="8">
        <f>IF((0=1),SUMIFS('Daily evaluations'!$D$2:$D$36,'Daily evaluations'!$B$2:$B$36,"=p06_seasonality",'Daily evaluations'!$C$2:$C$36,"=d20270107"),"")</f>
      </c>
      <c r="BZ12" s="8">
        <f>IF((0=1),SUMIFS('Daily evaluations'!$D$2:$D$36,'Daily evaluations'!$B$2:$B$36,"=p06_seasonality",'Daily evaluations'!$C$2:$C$36,"=d20270108"),"")</f>
      </c>
      <c r="CA12" s="8">
        <f>IF((0=1),SUMIFS('Daily evaluations'!$D$2:$D$36,'Daily evaluations'!$B$2:$B$36,"=p06_seasonality",'Daily evaluations'!$C$2:$C$36,"=d20270111"),"")</f>
      </c>
      <c r="CB12" s="8">
        <f>IF((0=1),SUMIFS('Daily evaluations'!$D$2:$D$36,'Daily evaluations'!$B$2:$B$36,"=p06_seasonality",'Daily evaluations'!$C$2:$C$36,"=d20270112"),"")</f>
      </c>
      <c r="CC12" s="8">
        <f>IF((0=1),SUMIFS('Daily evaluations'!$D$2:$D$36,'Daily evaluations'!$B$2:$B$36,"=p06_seasonality",'Daily evaluations'!$C$2:$C$36,"=d20270113"),"")</f>
      </c>
      <c r="CD12" s="8">
        <f>IF((0=1),SUMIFS('Daily evaluations'!$D$2:$D$36,'Daily evaluations'!$B$2:$B$36,"=p06_seasonality",'Daily evaluations'!$C$2:$C$36,"=d20270114"),"")</f>
      </c>
      <c r="CE12" s="8">
        <f>IF((0=1),SUMIFS('Daily evaluations'!$D$2:$D$36,'Daily evaluations'!$B$2:$B$36,"=p06_seasonality",'Daily evaluations'!$C$2:$C$36,"=d20270115"),"")</f>
      </c>
      <c r="CF12" s="8">
        <f>IF((0=1),SUMIFS('Daily evaluations'!$D$2:$D$36,'Daily evaluations'!$B$2:$B$36,"=p06_seasonality",'Daily evaluations'!$C$2:$C$36,"=d20270119"),"")</f>
      </c>
      <c r="CG12" s="8">
        <f>IF((0=1),SUMIFS('Daily evaluations'!$D$2:$D$36,'Daily evaluations'!$B$2:$B$36,"=p06_seasonality",'Daily evaluations'!$C$2:$C$36,"=d20270120"),"")</f>
      </c>
      <c r="CH12" s="8">
        <f>IF((0=1),SUMIFS('Daily evaluations'!$D$2:$D$36,'Daily evaluations'!$B$2:$B$36,"=p06_seasonality",'Daily evaluations'!$C$2:$C$36,"=d20270121"),"")</f>
      </c>
      <c r="CI12" s="8">
        <f>IF((0=1),SUMIFS('Daily evaluations'!$D$2:$D$36,'Daily evaluations'!$B$2:$B$36,"=p06_seasonality",'Daily evaluations'!$C$2:$C$36,"=d20270122"),"")</f>
      </c>
      <c r="CJ12" s="8">
        <f>IF((0=1),SUMIFS('Daily evaluations'!$D$2:$D$36,'Daily evaluations'!$B$2:$B$36,"=p06_seasonality",'Daily evaluations'!$C$2:$C$36,"=d20270125"),"")</f>
      </c>
      <c r="CK12" s="8">
        <f>IF((0=1),SUMIFS('Daily evaluations'!$D$2:$D$36,'Daily evaluations'!$B$2:$B$36,"=p06_seasonality",'Daily evaluations'!$C$2:$C$36,"=d20270126"),"")</f>
      </c>
      <c r="CL12" s="8">
        <f>IF((0=1),SUMIFS('Daily evaluations'!$D$2:$D$36,'Daily evaluations'!$B$2:$B$36,"=p06_seasonality",'Daily evaluations'!$C$2:$C$36,"=d20270127"),"")</f>
      </c>
      <c r="CM12" s="8">
        <f>IF((0=1),SUMIFS('Daily evaluations'!$D$2:$D$36,'Daily evaluations'!$B$2:$B$36,"=p06_seasonality",'Daily evaluations'!$C$2:$C$36,"=d20270128"),"")</f>
      </c>
      <c r="CN12" s="8">
        <f>IF((0=1),SUMIFS('Daily evaluations'!$D$2:$D$36,'Daily evaluations'!$B$2:$B$36,"=p06_seasonality",'Daily evaluations'!$C$2:$C$36,"=d20270129"),"")</f>
      </c>
      <c r="CO12" s="8">
        <f>IF((0=1),SUMIFS('Daily evaluations'!$D$2:$D$36,'Daily evaluations'!$B$2:$B$36,"=p06_seasonality",'Daily evaluations'!$C$2:$C$36,"=d20270201"),"")</f>
      </c>
      <c r="CP12" s="8">
        <f>IF((0=1),SUMIFS('Daily evaluations'!$D$2:$D$36,'Daily evaluations'!$B$2:$B$36,"=p06_seasonality",'Daily evaluations'!$C$2:$C$36,"=d20270202"),"")</f>
      </c>
      <c r="CQ12" s="8">
        <f>IF((0=1),SUMIFS('Daily evaluations'!$D$2:$D$36,'Daily evaluations'!$B$2:$B$36,"=p06_seasonality",'Daily evaluations'!$C$2:$C$36,"=d20270203"),"")</f>
      </c>
      <c r="CR12" s="8">
        <f>IF((0=1),SUMIFS('Daily evaluations'!$D$2:$D$36,'Daily evaluations'!$B$2:$B$36,"=p06_seasonality",'Daily evaluations'!$C$2:$C$36,"=d20270204"),"")</f>
      </c>
      <c r="CS12" s="8">
        <f>IF((0=1),SUMIFS('Daily evaluations'!$D$2:$D$36,'Daily evaluations'!$B$2:$B$36,"=p06_seasonality",'Daily evaluations'!$C$2:$C$36,"=d20270205"),"")</f>
      </c>
      <c r="CT12" s="8">
        <f>IF((0=1),SUMIFS('Daily evaluations'!$D$2:$D$36,'Daily evaluations'!$B$2:$B$36,"=p06_seasonality",'Daily evaluations'!$C$2:$C$36,"=d20270208"),"")</f>
      </c>
      <c r="CU12" s="8">
        <f>IF((0=1),SUMIFS('Daily evaluations'!$D$2:$D$36,'Daily evaluations'!$B$2:$B$36,"=p06_seasonality",'Daily evaluations'!$C$2:$C$36,"=d20270209"),"")</f>
      </c>
      <c r="CV12" s="8">
        <f>IF((0=1),SUMIFS('Daily evaluations'!$D$2:$D$36,'Daily evaluations'!$B$2:$B$36,"=p06_seasonality",'Daily evaluations'!$C$2:$C$36,"=d20270210"),"")</f>
      </c>
      <c r="CW12" s="8">
        <f>IF((0=1),SUMIFS('Daily evaluations'!$D$2:$D$36,'Daily evaluations'!$B$2:$B$36,"=p06_seasonality",'Daily evaluations'!$C$2:$C$36,"=d20270211"),"")</f>
      </c>
      <c r="CX12" s="8">
        <f>IF((0=1),SUMIFS('Daily evaluations'!$D$2:$D$36,'Daily evaluations'!$B$2:$B$36,"=p06_seasonality",'Daily evaluations'!$C$2:$C$36,"=d20270212"),"")</f>
      </c>
    </row>
    <row r="13">
      <c r="A13" s="0" t="inlineStr">
        <is>
          <t xml:space="preserve">Sector-neutral overnight excess, bps</t>
        </is>
      </c>
      <c r="B13" s="0" t="inlineStr">
        <is>
          <t xml:space="preserve">Quality at a Reasonable Price</t>
        </is>
      </c>
      <c r="C13" s="8">
        <f>IF((1=1),SUMIFS('Daily evaluations'!$D$2:$D$36,'Daily evaluations'!$B$2:$B$36,"=p07_quality_value",'Daily evaluations'!$C$2:$C$36,"=d20260922"),"")</f>
        <v>-0.086</v>
      </c>
      <c r="D13" s="8">
        <f>IF((0=1),SUMIFS('Daily evaluations'!$D$2:$D$36,'Daily evaluations'!$B$2:$B$36,"=p07_quality_value",'Daily evaluations'!$C$2:$C$36,"=d20260923"),"")</f>
      </c>
      <c r="E13" s="8">
        <f>IF((0=1),SUMIFS('Daily evaluations'!$D$2:$D$36,'Daily evaluations'!$B$2:$B$36,"=p07_quality_value",'Daily evaluations'!$C$2:$C$36,"=d20260924"),"")</f>
      </c>
      <c r="F13" s="8">
        <f>IF((0=1),SUMIFS('Daily evaluations'!$D$2:$D$36,'Daily evaluations'!$B$2:$B$36,"=p07_quality_value",'Daily evaluations'!$C$2:$C$36,"=d20260925"),"")</f>
      </c>
      <c r="G13" s="8">
        <f>IF((0=1),SUMIFS('Daily evaluations'!$D$2:$D$36,'Daily evaluations'!$B$2:$B$36,"=p07_quality_value",'Daily evaluations'!$C$2:$C$36,"=d20260928"),"")</f>
      </c>
      <c r="H13" s="8">
        <f>IF((0=1),SUMIFS('Daily evaluations'!$D$2:$D$36,'Daily evaluations'!$B$2:$B$36,"=p07_quality_value",'Daily evaluations'!$C$2:$C$36,"=d20260929"),"")</f>
      </c>
      <c r="I13" s="8">
        <f>IF((0=1),SUMIFS('Daily evaluations'!$D$2:$D$36,'Daily evaluations'!$B$2:$B$36,"=p07_quality_value",'Daily evaluations'!$C$2:$C$36,"=d20260930"),"")</f>
      </c>
      <c r="J13" s="8">
        <f>IF((0=1),SUMIFS('Daily evaluations'!$D$2:$D$36,'Daily evaluations'!$B$2:$B$36,"=p07_quality_value",'Daily evaluations'!$C$2:$C$36,"=d20261001"),"")</f>
      </c>
      <c r="K13" s="8">
        <f>IF((0=1),SUMIFS('Daily evaluations'!$D$2:$D$36,'Daily evaluations'!$B$2:$B$36,"=p07_quality_value",'Daily evaluations'!$C$2:$C$36,"=d20261002"),"")</f>
      </c>
      <c r="L13" s="8">
        <f>IF((0=1),SUMIFS('Daily evaluations'!$D$2:$D$36,'Daily evaluations'!$B$2:$B$36,"=p07_quality_value",'Daily evaluations'!$C$2:$C$36,"=d20261005"),"")</f>
      </c>
      <c r="M13" s="8">
        <f>IF((0=1),SUMIFS('Daily evaluations'!$D$2:$D$36,'Daily evaluations'!$B$2:$B$36,"=p07_quality_value",'Daily evaluations'!$C$2:$C$36,"=d20261006"),"")</f>
      </c>
      <c r="N13" s="8">
        <f>IF((0=1),SUMIFS('Daily evaluations'!$D$2:$D$36,'Daily evaluations'!$B$2:$B$36,"=p07_quality_value",'Daily evaluations'!$C$2:$C$36,"=d20261007"),"")</f>
      </c>
      <c r="O13" s="8">
        <f>IF((0=1),SUMIFS('Daily evaluations'!$D$2:$D$36,'Daily evaluations'!$B$2:$B$36,"=p07_quality_value",'Daily evaluations'!$C$2:$C$36,"=d20261008"),"")</f>
      </c>
      <c r="P13" s="8">
        <f>IF((0=1),SUMIFS('Daily evaluations'!$D$2:$D$36,'Daily evaluations'!$B$2:$B$36,"=p07_quality_value",'Daily evaluations'!$C$2:$C$36,"=d20261009"),"")</f>
      </c>
      <c r="Q13" s="8">
        <f>IF((0=1),SUMIFS('Daily evaluations'!$D$2:$D$36,'Daily evaluations'!$B$2:$B$36,"=p07_quality_value",'Daily evaluations'!$C$2:$C$36,"=d20261012"),"")</f>
      </c>
      <c r="R13" s="8">
        <f>IF((0=1),SUMIFS('Daily evaluations'!$D$2:$D$36,'Daily evaluations'!$B$2:$B$36,"=p07_quality_value",'Daily evaluations'!$C$2:$C$36,"=d20261013"),"")</f>
      </c>
      <c r="S13" s="8">
        <f>IF((0=1),SUMIFS('Daily evaluations'!$D$2:$D$36,'Daily evaluations'!$B$2:$B$36,"=p07_quality_value",'Daily evaluations'!$C$2:$C$36,"=d20261014"),"")</f>
      </c>
      <c r="T13" s="8">
        <f>IF((0=1),SUMIFS('Daily evaluations'!$D$2:$D$36,'Daily evaluations'!$B$2:$B$36,"=p07_quality_value",'Daily evaluations'!$C$2:$C$36,"=d20261015"),"")</f>
      </c>
      <c r="U13" s="8">
        <f>IF((0=1),SUMIFS('Daily evaluations'!$D$2:$D$36,'Daily evaluations'!$B$2:$B$36,"=p07_quality_value",'Daily evaluations'!$C$2:$C$36,"=d20261016"),"")</f>
      </c>
      <c r="V13" s="8">
        <f>IF((0=1),SUMIFS('Daily evaluations'!$D$2:$D$36,'Daily evaluations'!$B$2:$B$36,"=p07_quality_value",'Daily evaluations'!$C$2:$C$36,"=d20261019"),"")</f>
      </c>
      <c r="W13" s="8">
        <f>IF((0=1),SUMIFS('Daily evaluations'!$D$2:$D$36,'Daily evaluations'!$B$2:$B$36,"=p07_quality_value",'Daily evaluations'!$C$2:$C$36,"=d20261020"),"")</f>
      </c>
      <c r="X13" s="8">
        <f>IF((0=1),SUMIFS('Daily evaluations'!$D$2:$D$36,'Daily evaluations'!$B$2:$B$36,"=p07_quality_value",'Daily evaluations'!$C$2:$C$36,"=d20261021"),"")</f>
      </c>
      <c r="Y13" s="8">
        <f>IF((0=1),SUMIFS('Daily evaluations'!$D$2:$D$36,'Daily evaluations'!$B$2:$B$36,"=p07_quality_value",'Daily evaluations'!$C$2:$C$36,"=d20261022"),"")</f>
      </c>
      <c r="Z13" s="8">
        <f>IF((0=1),SUMIFS('Daily evaluations'!$D$2:$D$36,'Daily evaluations'!$B$2:$B$36,"=p07_quality_value",'Daily evaluations'!$C$2:$C$36,"=d20261023"),"")</f>
      </c>
      <c r="AA13" s="8">
        <f>IF((0=1),SUMIFS('Daily evaluations'!$D$2:$D$36,'Daily evaluations'!$B$2:$B$36,"=p07_quality_value",'Daily evaluations'!$C$2:$C$36,"=d20261026"),"")</f>
      </c>
      <c r="AB13" s="8">
        <f>IF((0=1),SUMIFS('Daily evaluations'!$D$2:$D$36,'Daily evaluations'!$B$2:$B$36,"=p07_quality_value",'Daily evaluations'!$C$2:$C$36,"=d20261027"),"")</f>
      </c>
      <c r="AC13" s="8">
        <f>IF((0=1),SUMIFS('Daily evaluations'!$D$2:$D$36,'Daily evaluations'!$B$2:$B$36,"=p07_quality_value",'Daily evaluations'!$C$2:$C$36,"=d20261028"),"")</f>
      </c>
      <c r="AD13" s="8">
        <f>IF((0=1),SUMIFS('Daily evaluations'!$D$2:$D$36,'Daily evaluations'!$B$2:$B$36,"=p07_quality_value",'Daily evaluations'!$C$2:$C$36,"=d20261029"),"")</f>
      </c>
      <c r="AE13" s="8">
        <f>IF((0=1),SUMIFS('Daily evaluations'!$D$2:$D$36,'Daily evaluations'!$B$2:$B$36,"=p07_quality_value",'Daily evaluations'!$C$2:$C$36,"=d20261030"),"")</f>
      </c>
      <c r="AF13" s="8">
        <f>IF((0=1),SUMIFS('Daily evaluations'!$D$2:$D$36,'Daily evaluations'!$B$2:$B$36,"=p07_quality_value",'Daily evaluations'!$C$2:$C$36,"=d20261102"),"")</f>
      </c>
      <c r="AG13" s="8">
        <f>IF((0=1),SUMIFS('Daily evaluations'!$D$2:$D$36,'Daily evaluations'!$B$2:$B$36,"=p07_quality_value",'Daily evaluations'!$C$2:$C$36,"=d20261103"),"")</f>
      </c>
      <c r="AH13" s="8">
        <f>IF((0=1),SUMIFS('Daily evaluations'!$D$2:$D$36,'Daily evaluations'!$B$2:$B$36,"=p07_quality_value",'Daily evaluations'!$C$2:$C$36,"=d20261104"),"")</f>
      </c>
      <c r="AI13" s="8">
        <f>IF((0=1),SUMIFS('Daily evaluations'!$D$2:$D$36,'Daily evaluations'!$B$2:$B$36,"=p07_quality_value",'Daily evaluations'!$C$2:$C$36,"=d20261105"),"")</f>
      </c>
      <c r="AJ13" s="8">
        <f>IF((0=1),SUMIFS('Daily evaluations'!$D$2:$D$36,'Daily evaluations'!$B$2:$B$36,"=p07_quality_value",'Daily evaluations'!$C$2:$C$36,"=d20261106"),"")</f>
      </c>
      <c r="AK13" s="8">
        <f>IF((0=1),SUMIFS('Daily evaluations'!$D$2:$D$36,'Daily evaluations'!$B$2:$B$36,"=p07_quality_value",'Daily evaluations'!$C$2:$C$36,"=d20261109"),"")</f>
      </c>
      <c r="AL13" s="8">
        <f>IF((0=1),SUMIFS('Daily evaluations'!$D$2:$D$36,'Daily evaluations'!$B$2:$B$36,"=p07_quality_value",'Daily evaluations'!$C$2:$C$36,"=d20261110"),"")</f>
      </c>
      <c r="AM13" s="8">
        <f>IF((0=1),SUMIFS('Daily evaluations'!$D$2:$D$36,'Daily evaluations'!$B$2:$B$36,"=p07_quality_value",'Daily evaluations'!$C$2:$C$36,"=d20261111"),"")</f>
      </c>
      <c r="AN13" s="8">
        <f>IF((0=1),SUMIFS('Daily evaluations'!$D$2:$D$36,'Daily evaluations'!$B$2:$B$36,"=p07_quality_value",'Daily evaluations'!$C$2:$C$36,"=d20261112"),"")</f>
      </c>
      <c r="AO13" s="8">
        <f>IF((0=1),SUMIFS('Daily evaluations'!$D$2:$D$36,'Daily evaluations'!$B$2:$B$36,"=p07_quality_value",'Daily evaluations'!$C$2:$C$36,"=d20261113"),"")</f>
      </c>
      <c r="AP13" s="8">
        <f>IF((0=1),SUMIFS('Daily evaluations'!$D$2:$D$36,'Daily evaluations'!$B$2:$B$36,"=p07_quality_value",'Daily evaluations'!$C$2:$C$36,"=d20261116"),"")</f>
      </c>
      <c r="AQ13" s="8">
        <f>IF((0=1),SUMIFS('Daily evaluations'!$D$2:$D$36,'Daily evaluations'!$B$2:$B$36,"=p07_quality_value",'Daily evaluations'!$C$2:$C$36,"=d20261117"),"")</f>
      </c>
      <c r="AR13" s="8">
        <f>IF((0=1),SUMIFS('Daily evaluations'!$D$2:$D$36,'Daily evaluations'!$B$2:$B$36,"=p07_quality_value",'Daily evaluations'!$C$2:$C$36,"=d20261118"),"")</f>
      </c>
      <c r="AS13" s="8">
        <f>IF((0=1),SUMIFS('Daily evaluations'!$D$2:$D$36,'Daily evaluations'!$B$2:$B$36,"=p07_quality_value",'Daily evaluations'!$C$2:$C$36,"=d20261119"),"")</f>
      </c>
      <c r="AT13" s="8">
        <f>IF((0=1),SUMIFS('Daily evaluations'!$D$2:$D$36,'Daily evaluations'!$B$2:$B$36,"=p07_quality_value",'Daily evaluations'!$C$2:$C$36,"=d20261120"),"")</f>
      </c>
      <c r="AU13" s="8">
        <f>IF((0=1),SUMIFS('Daily evaluations'!$D$2:$D$36,'Daily evaluations'!$B$2:$B$36,"=p07_quality_value",'Daily evaluations'!$C$2:$C$36,"=d20261123"),"")</f>
      </c>
      <c r="AV13" s="8">
        <f>IF((0=1),SUMIFS('Daily evaluations'!$D$2:$D$36,'Daily evaluations'!$B$2:$B$36,"=p07_quality_value",'Daily evaluations'!$C$2:$C$36,"=d20261124"),"")</f>
      </c>
      <c r="AW13" s="8">
        <f>IF((0=1),SUMIFS('Daily evaluations'!$D$2:$D$36,'Daily evaluations'!$B$2:$B$36,"=p07_quality_value",'Daily evaluations'!$C$2:$C$36,"=d20261125"),"")</f>
      </c>
      <c r="AX13" s="8">
        <f>IF((0=1),SUMIFS('Daily evaluations'!$D$2:$D$36,'Daily evaluations'!$B$2:$B$36,"=p07_quality_value",'Daily evaluations'!$C$2:$C$36,"=d20261127"),"")</f>
      </c>
      <c r="AY13" s="8">
        <f>IF((0=1),SUMIFS('Daily evaluations'!$D$2:$D$36,'Daily evaluations'!$B$2:$B$36,"=p07_quality_value",'Daily evaluations'!$C$2:$C$36,"=d20261130"),"")</f>
      </c>
      <c r="AZ13" s="8">
        <f>IF((0=1),SUMIFS('Daily evaluations'!$D$2:$D$36,'Daily evaluations'!$B$2:$B$36,"=p07_quality_value",'Daily evaluations'!$C$2:$C$36,"=d20261201"),"")</f>
      </c>
      <c r="BA13" s="8">
        <f>IF((0=1),SUMIFS('Daily evaluations'!$D$2:$D$36,'Daily evaluations'!$B$2:$B$36,"=p07_quality_value",'Daily evaluations'!$C$2:$C$36,"=d20261202"),"")</f>
      </c>
      <c r="BB13" s="8">
        <f>IF((0=1),SUMIFS('Daily evaluations'!$D$2:$D$36,'Daily evaluations'!$B$2:$B$36,"=p07_quality_value",'Daily evaluations'!$C$2:$C$36,"=d20261203"),"")</f>
      </c>
      <c r="BC13" s="8">
        <f>IF((0=1),SUMIFS('Daily evaluations'!$D$2:$D$36,'Daily evaluations'!$B$2:$B$36,"=p07_quality_value",'Daily evaluations'!$C$2:$C$36,"=d20261204"),"")</f>
      </c>
      <c r="BD13" s="8">
        <f>IF((0=1),SUMIFS('Daily evaluations'!$D$2:$D$36,'Daily evaluations'!$B$2:$B$36,"=p07_quality_value",'Daily evaluations'!$C$2:$C$36,"=d20261207"),"")</f>
      </c>
      <c r="BE13" s="8">
        <f>IF((0=1),SUMIFS('Daily evaluations'!$D$2:$D$36,'Daily evaluations'!$B$2:$B$36,"=p07_quality_value",'Daily evaluations'!$C$2:$C$36,"=d20261208"),"")</f>
      </c>
      <c r="BF13" s="8">
        <f>IF((0=1),SUMIFS('Daily evaluations'!$D$2:$D$36,'Daily evaluations'!$B$2:$B$36,"=p07_quality_value",'Daily evaluations'!$C$2:$C$36,"=d20261209"),"")</f>
      </c>
      <c r="BG13" s="8">
        <f>IF((0=1),SUMIFS('Daily evaluations'!$D$2:$D$36,'Daily evaluations'!$B$2:$B$36,"=p07_quality_value",'Daily evaluations'!$C$2:$C$36,"=d20261210"),"")</f>
      </c>
      <c r="BH13" s="8">
        <f>IF((0=1),SUMIFS('Daily evaluations'!$D$2:$D$36,'Daily evaluations'!$B$2:$B$36,"=p07_quality_value",'Daily evaluations'!$C$2:$C$36,"=d20261211"),"")</f>
      </c>
      <c r="BI13" s="8">
        <f>IF((0=1),SUMIFS('Daily evaluations'!$D$2:$D$36,'Daily evaluations'!$B$2:$B$36,"=p07_quality_value",'Daily evaluations'!$C$2:$C$36,"=d20261214"),"")</f>
      </c>
      <c r="BJ13" s="8">
        <f>IF((0=1),SUMIFS('Daily evaluations'!$D$2:$D$36,'Daily evaluations'!$B$2:$B$36,"=p07_quality_value",'Daily evaluations'!$C$2:$C$36,"=d20261215"),"")</f>
      </c>
      <c r="BK13" s="8">
        <f>IF((0=1),SUMIFS('Daily evaluations'!$D$2:$D$36,'Daily evaluations'!$B$2:$B$36,"=p07_quality_value",'Daily evaluations'!$C$2:$C$36,"=d20261216"),"")</f>
      </c>
      <c r="BL13" s="8">
        <f>IF((0=1),SUMIFS('Daily evaluations'!$D$2:$D$36,'Daily evaluations'!$B$2:$B$36,"=p07_quality_value",'Daily evaluations'!$C$2:$C$36,"=d20261217"),"")</f>
      </c>
      <c r="BM13" s="8">
        <f>IF((0=1),SUMIFS('Daily evaluations'!$D$2:$D$36,'Daily evaluations'!$B$2:$B$36,"=p07_quality_value",'Daily evaluations'!$C$2:$C$36,"=d20261218"),"")</f>
      </c>
      <c r="BN13" s="8">
        <f>IF((0=1),SUMIFS('Daily evaluations'!$D$2:$D$36,'Daily evaluations'!$B$2:$B$36,"=p07_quality_value",'Daily evaluations'!$C$2:$C$36,"=d20261221"),"")</f>
      </c>
      <c r="BO13" s="8">
        <f>IF((0=1),SUMIFS('Daily evaluations'!$D$2:$D$36,'Daily evaluations'!$B$2:$B$36,"=p07_quality_value",'Daily evaluations'!$C$2:$C$36,"=d20261222"),"")</f>
      </c>
      <c r="BP13" s="8">
        <f>IF((0=1),SUMIFS('Daily evaluations'!$D$2:$D$36,'Daily evaluations'!$B$2:$B$36,"=p07_quality_value",'Daily evaluations'!$C$2:$C$36,"=d20261223"),"")</f>
      </c>
      <c r="BQ13" s="8">
        <f>IF((0=1),SUMIFS('Daily evaluations'!$D$2:$D$36,'Daily evaluations'!$B$2:$B$36,"=p07_quality_value",'Daily evaluations'!$C$2:$C$36,"=d20261224"),"")</f>
      </c>
      <c r="BR13" s="8">
        <f>IF((0=1),SUMIFS('Daily evaluations'!$D$2:$D$36,'Daily evaluations'!$B$2:$B$36,"=p07_quality_value",'Daily evaluations'!$C$2:$C$36,"=d20261228"),"")</f>
      </c>
      <c r="BS13" s="8">
        <f>IF((0=1),SUMIFS('Daily evaluations'!$D$2:$D$36,'Daily evaluations'!$B$2:$B$36,"=p07_quality_value",'Daily evaluations'!$C$2:$C$36,"=d20261229"),"")</f>
      </c>
      <c r="BT13" s="8">
        <f>IF((0=1),SUMIFS('Daily evaluations'!$D$2:$D$36,'Daily evaluations'!$B$2:$B$36,"=p07_quality_value",'Daily evaluations'!$C$2:$C$36,"=d20261230"),"")</f>
      </c>
      <c r="BU13" s="8">
        <f>IF((0=1),SUMIFS('Daily evaluations'!$D$2:$D$36,'Daily evaluations'!$B$2:$B$36,"=p07_quality_value",'Daily evaluations'!$C$2:$C$36,"=d20261231"),"")</f>
      </c>
      <c r="BV13" s="8">
        <f>IF((0=1),SUMIFS('Daily evaluations'!$D$2:$D$36,'Daily evaluations'!$B$2:$B$36,"=p07_quality_value",'Daily evaluations'!$C$2:$C$36,"=d20270104"),"")</f>
      </c>
      <c r="BW13" s="8">
        <f>IF((0=1),SUMIFS('Daily evaluations'!$D$2:$D$36,'Daily evaluations'!$B$2:$B$36,"=p07_quality_value",'Daily evaluations'!$C$2:$C$36,"=d20270105"),"")</f>
      </c>
      <c r="BX13" s="8">
        <f>IF((0=1),SUMIFS('Daily evaluations'!$D$2:$D$36,'Daily evaluations'!$B$2:$B$36,"=p07_quality_value",'Daily evaluations'!$C$2:$C$36,"=d20270106"),"")</f>
      </c>
      <c r="BY13" s="8">
        <f>IF((0=1),SUMIFS('Daily evaluations'!$D$2:$D$36,'Daily evaluations'!$B$2:$B$36,"=p07_quality_value",'Daily evaluations'!$C$2:$C$36,"=d20270107"),"")</f>
      </c>
      <c r="BZ13" s="8">
        <f>IF((0=1),SUMIFS('Daily evaluations'!$D$2:$D$36,'Daily evaluations'!$B$2:$B$36,"=p07_quality_value",'Daily evaluations'!$C$2:$C$36,"=d20270108"),"")</f>
      </c>
      <c r="CA13" s="8">
        <f>IF((0=1),SUMIFS('Daily evaluations'!$D$2:$D$36,'Daily evaluations'!$B$2:$B$36,"=p07_quality_value",'Daily evaluations'!$C$2:$C$36,"=d20270111"),"")</f>
      </c>
      <c r="CB13" s="8">
        <f>IF((0=1),SUMIFS('Daily evaluations'!$D$2:$D$36,'Daily evaluations'!$B$2:$B$36,"=p07_quality_value",'Daily evaluations'!$C$2:$C$36,"=d20270112"),"")</f>
      </c>
      <c r="CC13" s="8">
        <f>IF((0=1),SUMIFS('Daily evaluations'!$D$2:$D$36,'Daily evaluations'!$B$2:$B$36,"=p07_quality_value",'Daily evaluations'!$C$2:$C$36,"=d20270113"),"")</f>
      </c>
      <c r="CD13" s="8">
        <f>IF((0=1),SUMIFS('Daily evaluations'!$D$2:$D$36,'Daily evaluations'!$B$2:$B$36,"=p07_quality_value",'Daily evaluations'!$C$2:$C$36,"=d20270114"),"")</f>
      </c>
      <c r="CE13" s="8">
        <f>IF((0=1),SUMIFS('Daily evaluations'!$D$2:$D$36,'Daily evaluations'!$B$2:$B$36,"=p07_quality_value",'Daily evaluations'!$C$2:$C$36,"=d20270115"),"")</f>
      </c>
      <c r="CF13" s="8">
        <f>IF((0=1),SUMIFS('Daily evaluations'!$D$2:$D$36,'Daily evaluations'!$B$2:$B$36,"=p07_quality_value",'Daily evaluations'!$C$2:$C$36,"=d20270119"),"")</f>
      </c>
      <c r="CG13" s="8">
        <f>IF((0=1),SUMIFS('Daily evaluations'!$D$2:$D$36,'Daily evaluations'!$B$2:$B$36,"=p07_quality_value",'Daily evaluations'!$C$2:$C$36,"=d20270120"),"")</f>
      </c>
      <c r="CH13" s="8">
        <f>IF((0=1),SUMIFS('Daily evaluations'!$D$2:$D$36,'Daily evaluations'!$B$2:$B$36,"=p07_quality_value",'Daily evaluations'!$C$2:$C$36,"=d20270121"),"")</f>
      </c>
      <c r="CI13" s="8">
        <f>IF((0=1),SUMIFS('Daily evaluations'!$D$2:$D$36,'Daily evaluations'!$B$2:$B$36,"=p07_quality_value",'Daily evaluations'!$C$2:$C$36,"=d20270122"),"")</f>
      </c>
      <c r="CJ13" s="8">
        <f>IF((0=1),SUMIFS('Daily evaluations'!$D$2:$D$36,'Daily evaluations'!$B$2:$B$36,"=p07_quality_value",'Daily evaluations'!$C$2:$C$36,"=d20270125"),"")</f>
      </c>
      <c r="CK13" s="8">
        <f>IF((0=1),SUMIFS('Daily evaluations'!$D$2:$D$36,'Daily evaluations'!$B$2:$B$36,"=p07_quality_value",'Daily evaluations'!$C$2:$C$36,"=d20270126"),"")</f>
      </c>
      <c r="CL13" s="8">
        <f>IF((0=1),SUMIFS('Daily evaluations'!$D$2:$D$36,'Daily evaluations'!$B$2:$B$36,"=p07_quality_value",'Daily evaluations'!$C$2:$C$36,"=d20270127"),"")</f>
      </c>
      <c r="CM13" s="8">
        <f>IF((0=1),SUMIFS('Daily evaluations'!$D$2:$D$36,'Daily evaluations'!$B$2:$B$36,"=p07_quality_value",'Daily evaluations'!$C$2:$C$36,"=d20270128"),"")</f>
      </c>
      <c r="CN13" s="8">
        <f>IF((0=1),SUMIFS('Daily evaluations'!$D$2:$D$36,'Daily evaluations'!$B$2:$B$36,"=p07_quality_value",'Daily evaluations'!$C$2:$C$36,"=d20270129"),"")</f>
      </c>
      <c r="CO13" s="8">
        <f>IF((0=1),SUMIFS('Daily evaluations'!$D$2:$D$36,'Daily evaluations'!$B$2:$B$36,"=p07_quality_value",'Daily evaluations'!$C$2:$C$36,"=d20270201"),"")</f>
      </c>
      <c r="CP13" s="8">
        <f>IF((0=1),SUMIFS('Daily evaluations'!$D$2:$D$36,'Daily evaluations'!$B$2:$B$36,"=p07_quality_value",'Daily evaluations'!$C$2:$C$36,"=d20270202"),"")</f>
      </c>
      <c r="CQ13" s="8">
        <f>IF((0=1),SUMIFS('Daily evaluations'!$D$2:$D$36,'Daily evaluations'!$B$2:$B$36,"=p07_quality_value",'Daily evaluations'!$C$2:$C$36,"=d20270203"),"")</f>
      </c>
      <c r="CR13" s="8">
        <f>IF((0=1),SUMIFS('Daily evaluations'!$D$2:$D$36,'Daily evaluations'!$B$2:$B$36,"=p07_quality_value",'Daily evaluations'!$C$2:$C$36,"=d20270204"),"")</f>
      </c>
      <c r="CS13" s="8">
        <f>IF((0=1),SUMIFS('Daily evaluations'!$D$2:$D$36,'Daily evaluations'!$B$2:$B$36,"=p07_quality_value",'Daily evaluations'!$C$2:$C$36,"=d20270205"),"")</f>
      </c>
      <c r="CT13" s="8">
        <f>IF((0=1),SUMIFS('Daily evaluations'!$D$2:$D$36,'Daily evaluations'!$B$2:$B$36,"=p07_quality_value",'Daily evaluations'!$C$2:$C$36,"=d20270208"),"")</f>
      </c>
      <c r="CU13" s="8">
        <f>IF((0=1),SUMIFS('Daily evaluations'!$D$2:$D$36,'Daily evaluations'!$B$2:$B$36,"=p07_quality_value",'Daily evaluations'!$C$2:$C$36,"=d20270209"),"")</f>
      </c>
      <c r="CV13" s="8">
        <f>IF((0=1),SUMIFS('Daily evaluations'!$D$2:$D$36,'Daily evaluations'!$B$2:$B$36,"=p07_quality_value",'Daily evaluations'!$C$2:$C$36,"=d20270210"),"")</f>
      </c>
      <c r="CW13" s="8">
        <f>IF((0=1),SUMIFS('Daily evaluations'!$D$2:$D$36,'Daily evaluations'!$B$2:$B$36,"=p07_quality_value",'Daily evaluations'!$C$2:$C$36,"=d20270211"),"")</f>
      </c>
      <c r="CX13" s="8">
        <f>IF((0=1),SUMIFS('Daily evaluations'!$D$2:$D$36,'Daily evaluations'!$B$2:$B$36,"=p07_quality_value",'Daily evaluations'!$C$2:$C$36,"=d20270212"),"")</f>
      </c>
    </row>
    <row r="14">
      <c r="A14" s="0" t="inlineStr">
        <is>
          <t xml:space="preserve">Sector-neutral overnight excess, bps</t>
        </is>
      </c>
      <c r="B14" s="0" t="inlineStr">
        <is>
          <t xml:space="preserve">Residual Momentum</t>
        </is>
      </c>
      <c r="C14" s="8">
        <f>IF((1=1),SUMIFS('Daily evaluations'!$D$2:$D$36,'Daily evaluations'!$B$2:$B$36,"=p08_residual_momentum",'Daily evaluations'!$C$2:$C$36,"=d20260922"),"")</f>
        <v>13.936</v>
      </c>
      <c r="D14" s="8">
        <f>IF((0=1),SUMIFS('Daily evaluations'!$D$2:$D$36,'Daily evaluations'!$B$2:$B$36,"=p08_residual_momentum",'Daily evaluations'!$C$2:$C$36,"=d20260923"),"")</f>
      </c>
      <c r="E14" s="8">
        <f>IF((0=1),SUMIFS('Daily evaluations'!$D$2:$D$36,'Daily evaluations'!$B$2:$B$36,"=p08_residual_momentum",'Daily evaluations'!$C$2:$C$36,"=d20260924"),"")</f>
      </c>
      <c r="F14" s="8">
        <f>IF((0=1),SUMIFS('Daily evaluations'!$D$2:$D$36,'Daily evaluations'!$B$2:$B$36,"=p08_residual_momentum",'Daily evaluations'!$C$2:$C$36,"=d20260925"),"")</f>
      </c>
      <c r="G14" s="8">
        <f>IF((0=1),SUMIFS('Daily evaluations'!$D$2:$D$36,'Daily evaluations'!$B$2:$B$36,"=p08_residual_momentum",'Daily evaluations'!$C$2:$C$36,"=d20260928"),"")</f>
      </c>
      <c r="H14" s="8">
        <f>IF((0=1),SUMIFS('Daily evaluations'!$D$2:$D$36,'Daily evaluations'!$B$2:$B$36,"=p08_residual_momentum",'Daily evaluations'!$C$2:$C$36,"=d20260929"),"")</f>
      </c>
      <c r="I14" s="8">
        <f>IF((0=1),SUMIFS('Daily evaluations'!$D$2:$D$36,'Daily evaluations'!$B$2:$B$36,"=p08_residual_momentum",'Daily evaluations'!$C$2:$C$36,"=d20260930"),"")</f>
      </c>
      <c r="J14" s="8">
        <f>IF((0=1),SUMIFS('Daily evaluations'!$D$2:$D$36,'Daily evaluations'!$B$2:$B$36,"=p08_residual_momentum",'Daily evaluations'!$C$2:$C$36,"=d20261001"),"")</f>
      </c>
      <c r="K14" s="8">
        <f>IF((0=1),SUMIFS('Daily evaluations'!$D$2:$D$36,'Daily evaluations'!$B$2:$B$36,"=p08_residual_momentum",'Daily evaluations'!$C$2:$C$36,"=d20261002"),"")</f>
      </c>
      <c r="L14" s="8">
        <f>IF((0=1),SUMIFS('Daily evaluations'!$D$2:$D$36,'Daily evaluations'!$B$2:$B$36,"=p08_residual_momentum",'Daily evaluations'!$C$2:$C$36,"=d20261005"),"")</f>
      </c>
      <c r="M14" s="8">
        <f>IF((0=1),SUMIFS('Daily evaluations'!$D$2:$D$36,'Daily evaluations'!$B$2:$B$36,"=p08_residual_momentum",'Daily evaluations'!$C$2:$C$36,"=d20261006"),"")</f>
      </c>
      <c r="N14" s="8">
        <f>IF((0=1),SUMIFS('Daily evaluations'!$D$2:$D$36,'Daily evaluations'!$B$2:$B$36,"=p08_residual_momentum",'Daily evaluations'!$C$2:$C$36,"=d20261007"),"")</f>
      </c>
      <c r="O14" s="8">
        <f>IF((0=1),SUMIFS('Daily evaluations'!$D$2:$D$36,'Daily evaluations'!$B$2:$B$36,"=p08_residual_momentum",'Daily evaluations'!$C$2:$C$36,"=d20261008"),"")</f>
      </c>
      <c r="P14" s="8">
        <f>IF((0=1),SUMIFS('Daily evaluations'!$D$2:$D$36,'Daily evaluations'!$B$2:$B$36,"=p08_residual_momentum",'Daily evaluations'!$C$2:$C$36,"=d20261009"),"")</f>
      </c>
      <c r="Q14" s="8">
        <f>IF((0=1),SUMIFS('Daily evaluations'!$D$2:$D$36,'Daily evaluations'!$B$2:$B$36,"=p08_residual_momentum",'Daily evaluations'!$C$2:$C$36,"=d20261012"),"")</f>
      </c>
      <c r="R14" s="8">
        <f>IF((0=1),SUMIFS('Daily evaluations'!$D$2:$D$36,'Daily evaluations'!$B$2:$B$36,"=p08_residual_momentum",'Daily evaluations'!$C$2:$C$36,"=d20261013"),"")</f>
      </c>
      <c r="S14" s="8">
        <f>IF((0=1),SUMIFS('Daily evaluations'!$D$2:$D$36,'Daily evaluations'!$B$2:$B$36,"=p08_residual_momentum",'Daily evaluations'!$C$2:$C$36,"=d20261014"),"")</f>
      </c>
      <c r="T14" s="8">
        <f>IF((0=1),SUMIFS('Daily evaluations'!$D$2:$D$36,'Daily evaluations'!$B$2:$B$36,"=p08_residual_momentum",'Daily evaluations'!$C$2:$C$36,"=d20261015"),"")</f>
      </c>
      <c r="U14" s="8">
        <f>IF((0=1),SUMIFS('Daily evaluations'!$D$2:$D$36,'Daily evaluations'!$B$2:$B$36,"=p08_residual_momentum",'Daily evaluations'!$C$2:$C$36,"=d20261016"),"")</f>
      </c>
      <c r="V14" s="8">
        <f>IF((0=1),SUMIFS('Daily evaluations'!$D$2:$D$36,'Daily evaluations'!$B$2:$B$36,"=p08_residual_momentum",'Daily evaluations'!$C$2:$C$36,"=d20261019"),"")</f>
      </c>
      <c r="W14" s="8">
        <f>IF((0=1),SUMIFS('Daily evaluations'!$D$2:$D$36,'Daily evaluations'!$B$2:$B$36,"=p08_residual_momentum",'Daily evaluations'!$C$2:$C$36,"=d20261020"),"")</f>
      </c>
      <c r="X14" s="8">
        <f>IF((0=1),SUMIFS('Daily evaluations'!$D$2:$D$36,'Daily evaluations'!$B$2:$B$36,"=p08_residual_momentum",'Daily evaluations'!$C$2:$C$36,"=d20261021"),"")</f>
      </c>
      <c r="Y14" s="8">
        <f>IF((0=1),SUMIFS('Daily evaluations'!$D$2:$D$36,'Daily evaluations'!$B$2:$B$36,"=p08_residual_momentum",'Daily evaluations'!$C$2:$C$36,"=d20261022"),"")</f>
      </c>
      <c r="Z14" s="8">
        <f>IF((0=1),SUMIFS('Daily evaluations'!$D$2:$D$36,'Daily evaluations'!$B$2:$B$36,"=p08_residual_momentum",'Daily evaluations'!$C$2:$C$36,"=d20261023"),"")</f>
      </c>
      <c r="AA14" s="8">
        <f>IF((0=1),SUMIFS('Daily evaluations'!$D$2:$D$36,'Daily evaluations'!$B$2:$B$36,"=p08_residual_momentum",'Daily evaluations'!$C$2:$C$36,"=d20261026"),"")</f>
      </c>
      <c r="AB14" s="8">
        <f>IF((0=1),SUMIFS('Daily evaluations'!$D$2:$D$36,'Daily evaluations'!$B$2:$B$36,"=p08_residual_momentum",'Daily evaluations'!$C$2:$C$36,"=d20261027"),"")</f>
      </c>
      <c r="AC14" s="8">
        <f>IF((0=1),SUMIFS('Daily evaluations'!$D$2:$D$36,'Daily evaluations'!$B$2:$B$36,"=p08_residual_momentum",'Daily evaluations'!$C$2:$C$36,"=d20261028"),"")</f>
      </c>
      <c r="AD14" s="8">
        <f>IF((0=1),SUMIFS('Daily evaluations'!$D$2:$D$36,'Daily evaluations'!$B$2:$B$36,"=p08_residual_momentum",'Daily evaluations'!$C$2:$C$36,"=d20261029"),"")</f>
      </c>
      <c r="AE14" s="8">
        <f>IF((0=1),SUMIFS('Daily evaluations'!$D$2:$D$36,'Daily evaluations'!$B$2:$B$36,"=p08_residual_momentum",'Daily evaluations'!$C$2:$C$36,"=d20261030"),"")</f>
      </c>
      <c r="AF14" s="8">
        <f>IF((0=1),SUMIFS('Daily evaluations'!$D$2:$D$36,'Daily evaluations'!$B$2:$B$36,"=p08_residual_momentum",'Daily evaluations'!$C$2:$C$36,"=d20261102"),"")</f>
      </c>
      <c r="AG14" s="8">
        <f>IF((0=1),SUMIFS('Daily evaluations'!$D$2:$D$36,'Daily evaluations'!$B$2:$B$36,"=p08_residual_momentum",'Daily evaluations'!$C$2:$C$36,"=d20261103"),"")</f>
      </c>
      <c r="AH14" s="8">
        <f>IF((0=1),SUMIFS('Daily evaluations'!$D$2:$D$36,'Daily evaluations'!$B$2:$B$36,"=p08_residual_momentum",'Daily evaluations'!$C$2:$C$36,"=d20261104"),"")</f>
      </c>
      <c r="AI14" s="8">
        <f>IF((0=1),SUMIFS('Daily evaluations'!$D$2:$D$36,'Daily evaluations'!$B$2:$B$36,"=p08_residual_momentum",'Daily evaluations'!$C$2:$C$36,"=d20261105"),"")</f>
      </c>
      <c r="AJ14" s="8">
        <f>IF((0=1),SUMIFS('Daily evaluations'!$D$2:$D$36,'Daily evaluations'!$B$2:$B$36,"=p08_residual_momentum",'Daily evaluations'!$C$2:$C$36,"=d20261106"),"")</f>
      </c>
      <c r="AK14" s="8">
        <f>IF((0=1),SUMIFS('Daily evaluations'!$D$2:$D$36,'Daily evaluations'!$B$2:$B$36,"=p08_residual_momentum",'Daily evaluations'!$C$2:$C$36,"=d20261109"),"")</f>
      </c>
      <c r="AL14" s="8">
        <f>IF((0=1),SUMIFS('Daily evaluations'!$D$2:$D$36,'Daily evaluations'!$B$2:$B$36,"=p08_residual_momentum",'Daily evaluations'!$C$2:$C$36,"=d20261110"),"")</f>
      </c>
      <c r="AM14" s="8">
        <f>IF((0=1),SUMIFS('Daily evaluations'!$D$2:$D$36,'Daily evaluations'!$B$2:$B$36,"=p08_residual_momentum",'Daily evaluations'!$C$2:$C$36,"=d20261111"),"")</f>
      </c>
      <c r="AN14" s="8">
        <f>IF((0=1),SUMIFS('Daily evaluations'!$D$2:$D$36,'Daily evaluations'!$B$2:$B$36,"=p08_residual_momentum",'Daily evaluations'!$C$2:$C$36,"=d20261112"),"")</f>
      </c>
      <c r="AO14" s="8">
        <f>IF((0=1),SUMIFS('Daily evaluations'!$D$2:$D$36,'Daily evaluations'!$B$2:$B$36,"=p08_residual_momentum",'Daily evaluations'!$C$2:$C$36,"=d20261113"),"")</f>
      </c>
      <c r="AP14" s="8">
        <f>IF((0=1),SUMIFS('Daily evaluations'!$D$2:$D$36,'Daily evaluations'!$B$2:$B$36,"=p08_residual_momentum",'Daily evaluations'!$C$2:$C$36,"=d20261116"),"")</f>
      </c>
      <c r="AQ14" s="8">
        <f>IF((0=1),SUMIFS('Daily evaluations'!$D$2:$D$36,'Daily evaluations'!$B$2:$B$36,"=p08_residual_momentum",'Daily evaluations'!$C$2:$C$36,"=d20261117"),"")</f>
      </c>
      <c r="AR14" s="8">
        <f>IF((0=1),SUMIFS('Daily evaluations'!$D$2:$D$36,'Daily evaluations'!$B$2:$B$36,"=p08_residual_momentum",'Daily evaluations'!$C$2:$C$36,"=d20261118"),"")</f>
      </c>
      <c r="AS14" s="8">
        <f>IF((0=1),SUMIFS('Daily evaluations'!$D$2:$D$36,'Daily evaluations'!$B$2:$B$36,"=p08_residual_momentum",'Daily evaluations'!$C$2:$C$36,"=d20261119"),"")</f>
      </c>
      <c r="AT14" s="8">
        <f>IF((0=1),SUMIFS('Daily evaluations'!$D$2:$D$36,'Daily evaluations'!$B$2:$B$36,"=p08_residual_momentum",'Daily evaluations'!$C$2:$C$36,"=d20261120"),"")</f>
      </c>
      <c r="AU14" s="8">
        <f>IF((0=1),SUMIFS('Daily evaluations'!$D$2:$D$36,'Daily evaluations'!$B$2:$B$36,"=p08_residual_momentum",'Daily evaluations'!$C$2:$C$36,"=d20261123"),"")</f>
      </c>
      <c r="AV14" s="8">
        <f>IF((0=1),SUMIFS('Daily evaluations'!$D$2:$D$36,'Daily evaluations'!$B$2:$B$36,"=p08_residual_momentum",'Daily evaluations'!$C$2:$C$36,"=d20261124"),"")</f>
      </c>
      <c r="AW14" s="8">
        <f>IF((0=1),SUMIFS('Daily evaluations'!$D$2:$D$36,'Daily evaluations'!$B$2:$B$36,"=p08_residual_momentum",'Daily evaluations'!$C$2:$C$36,"=d20261125"),"")</f>
      </c>
      <c r="AX14" s="8">
        <f>IF((0=1),SUMIFS('Daily evaluations'!$D$2:$D$36,'Daily evaluations'!$B$2:$B$36,"=p08_residual_momentum",'Daily evaluations'!$C$2:$C$36,"=d20261127"),"")</f>
      </c>
      <c r="AY14" s="8">
        <f>IF((0=1),SUMIFS('Daily evaluations'!$D$2:$D$36,'Daily evaluations'!$B$2:$B$36,"=p08_residual_momentum",'Daily evaluations'!$C$2:$C$36,"=d20261130"),"")</f>
      </c>
      <c r="AZ14" s="8">
        <f>IF((0=1),SUMIFS('Daily evaluations'!$D$2:$D$36,'Daily evaluations'!$B$2:$B$36,"=p08_residual_momentum",'Daily evaluations'!$C$2:$C$36,"=d20261201"),"")</f>
      </c>
      <c r="BA14" s="8">
        <f>IF((0=1),SUMIFS('Daily evaluations'!$D$2:$D$36,'Daily evaluations'!$B$2:$B$36,"=p08_residual_momentum",'Daily evaluations'!$C$2:$C$36,"=d20261202"),"")</f>
      </c>
      <c r="BB14" s="8">
        <f>IF((0=1),SUMIFS('Daily evaluations'!$D$2:$D$36,'Daily evaluations'!$B$2:$B$36,"=p08_residual_momentum",'Daily evaluations'!$C$2:$C$36,"=d20261203"),"")</f>
      </c>
      <c r="BC14" s="8">
        <f>IF((0=1),SUMIFS('Daily evaluations'!$D$2:$D$36,'Daily evaluations'!$B$2:$B$36,"=p08_residual_momentum",'Daily evaluations'!$C$2:$C$36,"=d20261204"),"")</f>
      </c>
      <c r="BD14" s="8">
        <f>IF((0=1),SUMIFS('Daily evaluations'!$D$2:$D$36,'Daily evaluations'!$B$2:$B$36,"=p08_residual_momentum",'Daily evaluations'!$C$2:$C$36,"=d20261207"),"")</f>
      </c>
      <c r="BE14" s="8">
        <f>IF((0=1),SUMIFS('Daily evaluations'!$D$2:$D$36,'Daily evaluations'!$B$2:$B$36,"=p08_residual_momentum",'Daily evaluations'!$C$2:$C$36,"=d20261208"),"")</f>
      </c>
      <c r="BF14" s="8">
        <f>IF((0=1),SUMIFS('Daily evaluations'!$D$2:$D$36,'Daily evaluations'!$B$2:$B$36,"=p08_residual_momentum",'Daily evaluations'!$C$2:$C$36,"=d20261209"),"")</f>
      </c>
      <c r="BG14" s="8">
        <f>IF((0=1),SUMIFS('Daily evaluations'!$D$2:$D$36,'Daily evaluations'!$B$2:$B$36,"=p08_residual_momentum",'Daily evaluations'!$C$2:$C$36,"=d20261210"),"")</f>
      </c>
      <c r="BH14" s="8">
        <f>IF((0=1),SUMIFS('Daily evaluations'!$D$2:$D$36,'Daily evaluations'!$B$2:$B$36,"=p08_residual_momentum",'Daily evaluations'!$C$2:$C$36,"=d20261211"),"")</f>
      </c>
      <c r="BI14" s="8">
        <f>IF((0=1),SUMIFS('Daily evaluations'!$D$2:$D$36,'Daily evaluations'!$B$2:$B$36,"=p08_residual_momentum",'Daily evaluations'!$C$2:$C$36,"=d20261214"),"")</f>
      </c>
      <c r="BJ14" s="8">
        <f>IF((0=1),SUMIFS('Daily evaluations'!$D$2:$D$36,'Daily evaluations'!$B$2:$B$36,"=p08_residual_momentum",'Daily evaluations'!$C$2:$C$36,"=d20261215"),"")</f>
      </c>
      <c r="BK14" s="8">
        <f>IF((0=1),SUMIFS('Daily evaluations'!$D$2:$D$36,'Daily evaluations'!$B$2:$B$36,"=p08_residual_momentum",'Daily evaluations'!$C$2:$C$36,"=d20261216"),"")</f>
      </c>
      <c r="BL14" s="8">
        <f>IF((0=1),SUMIFS('Daily evaluations'!$D$2:$D$36,'Daily evaluations'!$B$2:$B$36,"=p08_residual_momentum",'Daily evaluations'!$C$2:$C$36,"=d20261217"),"")</f>
      </c>
      <c r="BM14" s="8">
        <f>IF((0=1),SUMIFS('Daily evaluations'!$D$2:$D$36,'Daily evaluations'!$B$2:$B$36,"=p08_residual_momentum",'Daily evaluations'!$C$2:$C$36,"=d20261218"),"")</f>
      </c>
      <c r="BN14" s="8">
        <f>IF((0=1),SUMIFS('Daily evaluations'!$D$2:$D$36,'Daily evaluations'!$B$2:$B$36,"=p08_residual_momentum",'Daily evaluations'!$C$2:$C$36,"=d20261221"),"")</f>
      </c>
      <c r="BO14" s="8">
        <f>IF((0=1),SUMIFS('Daily evaluations'!$D$2:$D$36,'Daily evaluations'!$B$2:$B$36,"=p08_residual_momentum",'Daily evaluations'!$C$2:$C$36,"=d20261222"),"")</f>
      </c>
      <c r="BP14" s="8">
        <f>IF((0=1),SUMIFS('Daily evaluations'!$D$2:$D$36,'Daily evaluations'!$B$2:$B$36,"=p08_residual_momentum",'Daily evaluations'!$C$2:$C$36,"=d20261223"),"")</f>
      </c>
      <c r="BQ14" s="8">
        <f>IF((0=1),SUMIFS('Daily evaluations'!$D$2:$D$36,'Daily evaluations'!$B$2:$B$36,"=p08_residual_momentum",'Daily evaluations'!$C$2:$C$36,"=d20261224"),"")</f>
      </c>
      <c r="BR14" s="8">
        <f>IF((0=1),SUMIFS('Daily evaluations'!$D$2:$D$36,'Daily evaluations'!$B$2:$B$36,"=p08_residual_momentum",'Daily evaluations'!$C$2:$C$36,"=d20261228"),"")</f>
      </c>
      <c r="BS14" s="8">
        <f>IF((0=1),SUMIFS('Daily evaluations'!$D$2:$D$36,'Daily evaluations'!$B$2:$B$36,"=p08_residual_momentum",'Daily evaluations'!$C$2:$C$36,"=d20261229"),"")</f>
      </c>
      <c r="BT14" s="8">
        <f>IF((0=1),SUMIFS('Daily evaluations'!$D$2:$D$36,'Daily evaluations'!$B$2:$B$36,"=p08_residual_momentum",'Daily evaluations'!$C$2:$C$36,"=d20261230"),"")</f>
      </c>
      <c r="BU14" s="8">
        <f>IF((0=1),SUMIFS('Daily evaluations'!$D$2:$D$36,'Daily evaluations'!$B$2:$B$36,"=p08_residual_momentum",'Daily evaluations'!$C$2:$C$36,"=d20261231"),"")</f>
      </c>
      <c r="BV14" s="8">
        <f>IF((0=1),SUMIFS('Daily evaluations'!$D$2:$D$36,'Daily evaluations'!$B$2:$B$36,"=p08_residual_momentum",'Daily evaluations'!$C$2:$C$36,"=d20270104"),"")</f>
      </c>
      <c r="BW14" s="8">
        <f>IF((0=1),SUMIFS('Daily evaluations'!$D$2:$D$36,'Daily evaluations'!$B$2:$B$36,"=p08_residual_momentum",'Daily evaluations'!$C$2:$C$36,"=d20270105"),"")</f>
      </c>
      <c r="BX14" s="8">
        <f>IF((0=1),SUMIFS('Daily evaluations'!$D$2:$D$36,'Daily evaluations'!$B$2:$B$36,"=p08_residual_momentum",'Daily evaluations'!$C$2:$C$36,"=d20270106"),"")</f>
      </c>
      <c r="BY14" s="8">
        <f>IF((0=1),SUMIFS('Daily evaluations'!$D$2:$D$36,'Daily evaluations'!$B$2:$B$36,"=p08_residual_momentum",'Daily evaluations'!$C$2:$C$36,"=d20270107"),"")</f>
      </c>
      <c r="BZ14" s="8">
        <f>IF((0=1),SUMIFS('Daily evaluations'!$D$2:$D$36,'Daily evaluations'!$B$2:$B$36,"=p08_residual_momentum",'Daily evaluations'!$C$2:$C$36,"=d20270108"),"")</f>
      </c>
      <c r="CA14" s="8">
        <f>IF((0=1),SUMIFS('Daily evaluations'!$D$2:$D$36,'Daily evaluations'!$B$2:$B$36,"=p08_residual_momentum",'Daily evaluations'!$C$2:$C$36,"=d20270111"),"")</f>
      </c>
      <c r="CB14" s="8">
        <f>IF((0=1),SUMIFS('Daily evaluations'!$D$2:$D$36,'Daily evaluations'!$B$2:$B$36,"=p08_residual_momentum",'Daily evaluations'!$C$2:$C$36,"=d20270112"),"")</f>
      </c>
      <c r="CC14" s="8">
        <f>IF((0=1),SUMIFS('Daily evaluations'!$D$2:$D$36,'Daily evaluations'!$B$2:$B$36,"=p08_residual_momentum",'Daily evaluations'!$C$2:$C$36,"=d20270113"),"")</f>
      </c>
      <c r="CD14" s="8">
        <f>IF((0=1),SUMIFS('Daily evaluations'!$D$2:$D$36,'Daily evaluations'!$B$2:$B$36,"=p08_residual_momentum",'Daily evaluations'!$C$2:$C$36,"=d20270114"),"")</f>
      </c>
      <c r="CE14" s="8">
        <f>IF((0=1),SUMIFS('Daily evaluations'!$D$2:$D$36,'Daily evaluations'!$B$2:$B$36,"=p08_residual_momentum",'Daily evaluations'!$C$2:$C$36,"=d20270115"),"")</f>
      </c>
      <c r="CF14" s="8">
        <f>IF((0=1),SUMIFS('Daily evaluations'!$D$2:$D$36,'Daily evaluations'!$B$2:$B$36,"=p08_residual_momentum",'Daily evaluations'!$C$2:$C$36,"=d20270119"),"")</f>
      </c>
      <c r="CG14" s="8">
        <f>IF((0=1),SUMIFS('Daily evaluations'!$D$2:$D$36,'Daily evaluations'!$B$2:$B$36,"=p08_residual_momentum",'Daily evaluations'!$C$2:$C$36,"=d20270120"),"")</f>
      </c>
      <c r="CH14" s="8">
        <f>IF((0=1),SUMIFS('Daily evaluations'!$D$2:$D$36,'Daily evaluations'!$B$2:$B$36,"=p08_residual_momentum",'Daily evaluations'!$C$2:$C$36,"=d20270121"),"")</f>
      </c>
      <c r="CI14" s="8">
        <f>IF((0=1),SUMIFS('Daily evaluations'!$D$2:$D$36,'Daily evaluations'!$B$2:$B$36,"=p08_residual_momentum",'Daily evaluations'!$C$2:$C$36,"=d20270122"),"")</f>
      </c>
      <c r="CJ14" s="8">
        <f>IF((0=1),SUMIFS('Daily evaluations'!$D$2:$D$36,'Daily evaluations'!$B$2:$B$36,"=p08_residual_momentum",'Daily evaluations'!$C$2:$C$36,"=d20270125"),"")</f>
      </c>
      <c r="CK14" s="8">
        <f>IF((0=1),SUMIFS('Daily evaluations'!$D$2:$D$36,'Daily evaluations'!$B$2:$B$36,"=p08_residual_momentum",'Daily evaluations'!$C$2:$C$36,"=d20270126"),"")</f>
      </c>
      <c r="CL14" s="8">
        <f>IF((0=1),SUMIFS('Daily evaluations'!$D$2:$D$36,'Daily evaluations'!$B$2:$B$36,"=p08_residual_momentum",'Daily evaluations'!$C$2:$C$36,"=d20270127"),"")</f>
      </c>
      <c r="CM14" s="8">
        <f>IF((0=1),SUMIFS('Daily evaluations'!$D$2:$D$36,'Daily evaluations'!$B$2:$B$36,"=p08_residual_momentum",'Daily evaluations'!$C$2:$C$36,"=d20270128"),"")</f>
      </c>
      <c r="CN14" s="8">
        <f>IF((0=1),SUMIFS('Daily evaluations'!$D$2:$D$36,'Daily evaluations'!$B$2:$B$36,"=p08_residual_momentum",'Daily evaluations'!$C$2:$C$36,"=d20270129"),"")</f>
      </c>
      <c r="CO14" s="8">
        <f>IF((0=1),SUMIFS('Daily evaluations'!$D$2:$D$36,'Daily evaluations'!$B$2:$B$36,"=p08_residual_momentum",'Daily evaluations'!$C$2:$C$36,"=d20270201"),"")</f>
      </c>
      <c r="CP14" s="8">
        <f>IF((0=1),SUMIFS('Daily evaluations'!$D$2:$D$36,'Daily evaluations'!$B$2:$B$36,"=p08_residual_momentum",'Daily evaluations'!$C$2:$C$36,"=d20270202"),"")</f>
      </c>
      <c r="CQ14" s="8">
        <f>IF((0=1),SUMIFS('Daily evaluations'!$D$2:$D$36,'Daily evaluations'!$B$2:$B$36,"=p08_residual_momentum",'Daily evaluations'!$C$2:$C$36,"=d20270203"),"")</f>
      </c>
      <c r="CR14" s="8">
        <f>IF((0=1),SUMIFS('Daily evaluations'!$D$2:$D$36,'Daily evaluations'!$B$2:$B$36,"=p08_residual_momentum",'Daily evaluations'!$C$2:$C$36,"=d20270204"),"")</f>
      </c>
      <c r="CS14" s="8">
        <f>IF((0=1),SUMIFS('Daily evaluations'!$D$2:$D$36,'Daily evaluations'!$B$2:$B$36,"=p08_residual_momentum",'Daily evaluations'!$C$2:$C$36,"=d20270205"),"")</f>
      </c>
      <c r="CT14" s="8">
        <f>IF((0=1),SUMIFS('Daily evaluations'!$D$2:$D$36,'Daily evaluations'!$B$2:$B$36,"=p08_residual_momentum",'Daily evaluations'!$C$2:$C$36,"=d20270208"),"")</f>
      </c>
      <c r="CU14" s="8">
        <f>IF((0=1),SUMIFS('Daily evaluations'!$D$2:$D$36,'Daily evaluations'!$B$2:$B$36,"=p08_residual_momentum",'Daily evaluations'!$C$2:$C$36,"=d20270209"),"")</f>
      </c>
      <c r="CV14" s="8">
        <f>IF((0=1),SUMIFS('Daily evaluations'!$D$2:$D$36,'Daily evaluations'!$B$2:$B$36,"=p08_residual_momentum",'Daily evaluations'!$C$2:$C$36,"=d20270210"),"")</f>
      </c>
      <c r="CW14" s="8">
        <f>IF((0=1),SUMIFS('Daily evaluations'!$D$2:$D$36,'Daily evaluations'!$B$2:$B$36,"=p08_residual_momentum",'Daily evaluations'!$C$2:$C$36,"=d20270211"),"")</f>
      </c>
      <c r="CX14" s="8">
        <f>IF((0=1),SUMIFS('Daily evaluations'!$D$2:$D$36,'Daily evaluations'!$B$2:$B$36,"=p08_residual_momentum",'Daily evaluations'!$C$2:$C$36,"=d20270212"),"")</f>
      </c>
    </row>
    <row r="15">
      <c r="A15" s="0" t="inlineStr">
        <is>
          <t xml:space="preserve">Sector-neutral overnight excess, bps</t>
        </is>
      </c>
      <c r="B15" s="0" t="inlineStr">
        <is>
          <t xml:space="preserve">Overnight Return Persistence</t>
        </is>
      </c>
      <c r="C15" s="8">
        <f>IF((1=1),SUMIFS('Daily evaluations'!$D$2:$D$36,'Daily evaluations'!$B$2:$B$36,"=p09_overnight_persistence",'Daily evaluations'!$C$2:$C$36,"=d20260922"),"")</f>
        <v>8.172</v>
      </c>
      <c r="D15" s="8">
        <f>IF((0=1),SUMIFS('Daily evaluations'!$D$2:$D$36,'Daily evaluations'!$B$2:$B$36,"=p09_overnight_persistence",'Daily evaluations'!$C$2:$C$36,"=d20260923"),"")</f>
      </c>
      <c r="E15" s="8">
        <f>IF((0=1),SUMIFS('Daily evaluations'!$D$2:$D$36,'Daily evaluations'!$B$2:$B$36,"=p09_overnight_persistence",'Daily evaluations'!$C$2:$C$36,"=d20260924"),"")</f>
      </c>
      <c r="F15" s="8">
        <f>IF((0=1),SUMIFS('Daily evaluations'!$D$2:$D$36,'Daily evaluations'!$B$2:$B$36,"=p09_overnight_persistence",'Daily evaluations'!$C$2:$C$36,"=d20260925"),"")</f>
      </c>
      <c r="G15" s="8">
        <f>IF((0=1),SUMIFS('Daily evaluations'!$D$2:$D$36,'Daily evaluations'!$B$2:$B$36,"=p09_overnight_persistence",'Daily evaluations'!$C$2:$C$36,"=d20260928"),"")</f>
      </c>
      <c r="H15" s="8">
        <f>IF((0=1),SUMIFS('Daily evaluations'!$D$2:$D$36,'Daily evaluations'!$B$2:$B$36,"=p09_overnight_persistence",'Daily evaluations'!$C$2:$C$36,"=d20260929"),"")</f>
      </c>
      <c r="I15" s="8">
        <f>IF((0=1),SUMIFS('Daily evaluations'!$D$2:$D$36,'Daily evaluations'!$B$2:$B$36,"=p09_overnight_persistence",'Daily evaluations'!$C$2:$C$36,"=d20260930"),"")</f>
      </c>
      <c r="J15" s="8">
        <f>IF((0=1),SUMIFS('Daily evaluations'!$D$2:$D$36,'Daily evaluations'!$B$2:$B$36,"=p09_overnight_persistence",'Daily evaluations'!$C$2:$C$36,"=d20261001"),"")</f>
      </c>
      <c r="K15" s="8">
        <f>IF((0=1),SUMIFS('Daily evaluations'!$D$2:$D$36,'Daily evaluations'!$B$2:$B$36,"=p09_overnight_persistence",'Daily evaluations'!$C$2:$C$36,"=d20261002"),"")</f>
      </c>
      <c r="L15" s="8">
        <f>IF((0=1),SUMIFS('Daily evaluations'!$D$2:$D$36,'Daily evaluations'!$B$2:$B$36,"=p09_overnight_persistence",'Daily evaluations'!$C$2:$C$36,"=d20261005"),"")</f>
      </c>
      <c r="M15" s="8">
        <f>IF((0=1),SUMIFS('Daily evaluations'!$D$2:$D$36,'Daily evaluations'!$B$2:$B$36,"=p09_overnight_persistence",'Daily evaluations'!$C$2:$C$36,"=d20261006"),"")</f>
      </c>
      <c r="N15" s="8">
        <f>IF((0=1),SUMIFS('Daily evaluations'!$D$2:$D$36,'Daily evaluations'!$B$2:$B$36,"=p09_overnight_persistence",'Daily evaluations'!$C$2:$C$36,"=d20261007"),"")</f>
      </c>
      <c r="O15" s="8">
        <f>IF((0=1),SUMIFS('Daily evaluations'!$D$2:$D$36,'Daily evaluations'!$B$2:$B$36,"=p09_overnight_persistence",'Daily evaluations'!$C$2:$C$36,"=d20261008"),"")</f>
      </c>
      <c r="P15" s="8">
        <f>IF((0=1),SUMIFS('Daily evaluations'!$D$2:$D$36,'Daily evaluations'!$B$2:$B$36,"=p09_overnight_persistence",'Daily evaluations'!$C$2:$C$36,"=d20261009"),"")</f>
      </c>
      <c r="Q15" s="8">
        <f>IF((0=1),SUMIFS('Daily evaluations'!$D$2:$D$36,'Daily evaluations'!$B$2:$B$36,"=p09_overnight_persistence",'Daily evaluations'!$C$2:$C$36,"=d20261012"),"")</f>
      </c>
      <c r="R15" s="8">
        <f>IF((0=1),SUMIFS('Daily evaluations'!$D$2:$D$36,'Daily evaluations'!$B$2:$B$36,"=p09_overnight_persistence",'Daily evaluations'!$C$2:$C$36,"=d20261013"),"")</f>
      </c>
      <c r="S15" s="8">
        <f>IF((0=1),SUMIFS('Daily evaluations'!$D$2:$D$36,'Daily evaluations'!$B$2:$B$36,"=p09_overnight_persistence",'Daily evaluations'!$C$2:$C$36,"=d20261014"),"")</f>
      </c>
      <c r="T15" s="8">
        <f>IF((0=1),SUMIFS('Daily evaluations'!$D$2:$D$36,'Daily evaluations'!$B$2:$B$36,"=p09_overnight_persistence",'Daily evaluations'!$C$2:$C$36,"=d20261015"),"")</f>
      </c>
      <c r="U15" s="8">
        <f>IF((0=1),SUMIFS('Daily evaluations'!$D$2:$D$36,'Daily evaluations'!$B$2:$B$36,"=p09_overnight_persistence",'Daily evaluations'!$C$2:$C$36,"=d20261016"),"")</f>
      </c>
      <c r="V15" s="8">
        <f>IF((0=1),SUMIFS('Daily evaluations'!$D$2:$D$36,'Daily evaluations'!$B$2:$B$36,"=p09_overnight_persistence",'Daily evaluations'!$C$2:$C$36,"=d20261019"),"")</f>
      </c>
      <c r="W15" s="8">
        <f>IF((0=1),SUMIFS('Daily evaluations'!$D$2:$D$36,'Daily evaluations'!$B$2:$B$36,"=p09_overnight_persistence",'Daily evaluations'!$C$2:$C$36,"=d20261020"),"")</f>
      </c>
      <c r="X15" s="8">
        <f>IF((0=1),SUMIFS('Daily evaluations'!$D$2:$D$36,'Daily evaluations'!$B$2:$B$36,"=p09_overnight_persistence",'Daily evaluations'!$C$2:$C$36,"=d20261021"),"")</f>
      </c>
      <c r="Y15" s="8">
        <f>IF((0=1),SUMIFS('Daily evaluations'!$D$2:$D$36,'Daily evaluations'!$B$2:$B$36,"=p09_overnight_persistence",'Daily evaluations'!$C$2:$C$36,"=d20261022"),"")</f>
      </c>
      <c r="Z15" s="8">
        <f>IF((0=1),SUMIFS('Daily evaluations'!$D$2:$D$36,'Daily evaluations'!$B$2:$B$36,"=p09_overnight_persistence",'Daily evaluations'!$C$2:$C$36,"=d20261023"),"")</f>
      </c>
      <c r="AA15" s="8">
        <f>IF((0=1),SUMIFS('Daily evaluations'!$D$2:$D$36,'Daily evaluations'!$B$2:$B$36,"=p09_overnight_persistence",'Daily evaluations'!$C$2:$C$36,"=d20261026"),"")</f>
      </c>
      <c r="AB15" s="8">
        <f>IF((0=1),SUMIFS('Daily evaluations'!$D$2:$D$36,'Daily evaluations'!$B$2:$B$36,"=p09_overnight_persistence",'Daily evaluations'!$C$2:$C$36,"=d20261027"),"")</f>
      </c>
      <c r="AC15" s="8">
        <f>IF((0=1),SUMIFS('Daily evaluations'!$D$2:$D$36,'Daily evaluations'!$B$2:$B$36,"=p09_overnight_persistence",'Daily evaluations'!$C$2:$C$36,"=d20261028"),"")</f>
      </c>
      <c r="AD15" s="8">
        <f>IF((0=1),SUMIFS('Daily evaluations'!$D$2:$D$36,'Daily evaluations'!$B$2:$B$36,"=p09_overnight_persistence",'Daily evaluations'!$C$2:$C$36,"=d20261029"),"")</f>
      </c>
      <c r="AE15" s="8">
        <f>IF((0=1),SUMIFS('Daily evaluations'!$D$2:$D$36,'Daily evaluations'!$B$2:$B$36,"=p09_overnight_persistence",'Daily evaluations'!$C$2:$C$36,"=d20261030"),"")</f>
      </c>
      <c r="AF15" s="8">
        <f>IF((0=1),SUMIFS('Daily evaluations'!$D$2:$D$36,'Daily evaluations'!$B$2:$B$36,"=p09_overnight_persistence",'Daily evaluations'!$C$2:$C$36,"=d20261102"),"")</f>
      </c>
      <c r="AG15" s="8">
        <f>IF((0=1),SUMIFS('Daily evaluations'!$D$2:$D$36,'Daily evaluations'!$B$2:$B$36,"=p09_overnight_persistence",'Daily evaluations'!$C$2:$C$36,"=d20261103"),"")</f>
      </c>
      <c r="AH15" s="8">
        <f>IF((0=1),SUMIFS('Daily evaluations'!$D$2:$D$36,'Daily evaluations'!$B$2:$B$36,"=p09_overnight_persistence",'Daily evaluations'!$C$2:$C$36,"=d20261104"),"")</f>
      </c>
      <c r="AI15" s="8">
        <f>IF((0=1),SUMIFS('Daily evaluations'!$D$2:$D$36,'Daily evaluations'!$B$2:$B$36,"=p09_overnight_persistence",'Daily evaluations'!$C$2:$C$36,"=d20261105"),"")</f>
      </c>
      <c r="AJ15" s="8">
        <f>IF((0=1),SUMIFS('Daily evaluations'!$D$2:$D$36,'Daily evaluations'!$B$2:$B$36,"=p09_overnight_persistence",'Daily evaluations'!$C$2:$C$36,"=d20261106"),"")</f>
      </c>
      <c r="AK15" s="8">
        <f>IF((0=1),SUMIFS('Daily evaluations'!$D$2:$D$36,'Daily evaluations'!$B$2:$B$36,"=p09_overnight_persistence",'Daily evaluations'!$C$2:$C$36,"=d20261109"),"")</f>
      </c>
      <c r="AL15" s="8">
        <f>IF((0=1),SUMIFS('Daily evaluations'!$D$2:$D$36,'Daily evaluations'!$B$2:$B$36,"=p09_overnight_persistence",'Daily evaluations'!$C$2:$C$36,"=d20261110"),"")</f>
      </c>
      <c r="AM15" s="8">
        <f>IF((0=1),SUMIFS('Daily evaluations'!$D$2:$D$36,'Daily evaluations'!$B$2:$B$36,"=p09_overnight_persistence",'Daily evaluations'!$C$2:$C$36,"=d20261111"),"")</f>
      </c>
      <c r="AN15" s="8">
        <f>IF((0=1),SUMIFS('Daily evaluations'!$D$2:$D$36,'Daily evaluations'!$B$2:$B$36,"=p09_overnight_persistence",'Daily evaluations'!$C$2:$C$36,"=d20261112"),"")</f>
      </c>
      <c r="AO15" s="8">
        <f>IF((0=1),SUMIFS('Daily evaluations'!$D$2:$D$36,'Daily evaluations'!$B$2:$B$36,"=p09_overnight_persistence",'Daily evaluations'!$C$2:$C$36,"=d20261113"),"")</f>
      </c>
      <c r="AP15" s="8">
        <f>IF((0=1),SUMIFS('Daily evaluations'!$D$2:$D$36,'Daily evaluations'!$B$2:$B$36,"=p09_overnight_persistence",'Daily evaluations'!$C$2:$C$36,"=d20261116"),"")</f>
      </c>
      <c r="AQ15" s="8">
        <f>IF((0=1),SUMIFS('Daily evaluations'!$D$2:$D$36,'Daily evaluations'!$B$2:$B$36,"=p09_overnight_persistence",'Daily evaluations'!$C$2:$C$36,"=d20261117"),"")</f>
      </c>
      <c r="AR15" s="8">
        <f>IF((0=1),SUMIFS('Daily evaluations'!$D$2:$D$36,'Daily evaluations'!$B$2:$B$36,"=p09_overnight_persistence",'Daily evaluations'!$C$2:$C$36,"=d20261118"),"")</f>
      </c>
      <c r="AS15" s="8">
        <f>IF((0=1),SUMIFS('Daily evaluations'!$D$2:$D$36,'Daily evaluations'!$B$2:$B$36,"=p09_overnight_persistence",'Daily evaluations'!$C$2:$C$36,"=d20261119"),"")</f>
      </c>
      <c r="AT15" s="8">
        <f>IF((0=1),SUMIFS('Daily evaluations'!$D$2:$D$36,'Daily evaluations'!$B$2:$B$36,"=p09_overnight_persistence",'Daily evaluations'!$C$2:$C$36,"=d20261120"),"")</f>
      </c>
      <c r="AU15" s="8">
        <f>IF((0=1),SUMIFS('Daily evaluations'!$D$2:$D$36,'Daily evaluations'!$B$2:$B$36,"=p09_overnight_persistence",'Daily evaluations'!$C$2:$C$36,"=d20261123"),"")</f>
      </c>
      <c r="AV15" s="8">
        <f>IF((0=1),SUMIFS('Daily evaluations'!$D$2:$D$36,'Daily evaluations'!$B$2:$B$36,"=p09_overnight_persistence",'Daily evaluations'!$C$2:$C$36,"=d20261124"),"")</f>
      </c>
      <c r="AW15" s="8">
        <f>IF((0=1),SUMIFS('Daily evaluations'!$D$2:$D$36,'Daily evaluations'!$B$2:$B$36,"=p09_overnight_persistence",'Daily evaluations'!$C$2:$C$36,"=d20261125"),"")</f>
      </c>
      <c r="AX15" s="8">
        <f>IF((0=1),SUMIFS('Daily evaluations'!$D$2:$D$36,'Daily evaluations'!$B$2:$B$36,"=p09_overnight_persistence",'Daily evaluations'!$C$2:$C$36,"=d20261127"),"")</f>
      </c>
      <c r="AY15" s="8">
        <f>IF((0=1),SUMIFS('Daily evaluations'!$D$2:$D$36,'Daily evaluations'!$B$2:$B$36,"=p09_overnight_persistence",'Daily evaluations'!$C$2:$C$36,"=d20261130"),"")</f>
      </c>
      <c r="AZ15" s="8">
        <f>IF((0=1),SUMIFS('Daily evaluations'!$D$2:$D$36,'Daily evaluations'!$B$2:$B$36,"=p09_overnight_persistence",'Daily evaluations'!$C$2:$C$36,"=d20261201"),"")</f>
      </c>
      <c r="BA15" s="8">
        <f>IF((0=1),SUMIFS('Daily evaluations'!$D$2:$D$36,'Daily evaluations'!$B$2:$B$36,"=p09_overnight_persistence",'Daily evaluations'!$C$2:$C$36,"=d20261202"),"")</f>
      </c>
      <c r="BB15" s="8">
        <f>IF((0=1),SUMIFS('Daily evaluations'!$D$2:$D$36,'Daily evaluations'!$B$2:$B$36,"=p09_overnight_persistence",'Daily evaluations'!$C$2:$C$36,"=d20261203"),"")</f>
      </c>
      <c r="BC15" s="8">
        <f>IF((0=1),SUMIFS('Daily evaluations'!$D$2:$D$36,'Daily evaluations'!$B$2:$B$36,"=p09_overnight_persistence",'Daily evaluations'!$C$2:$C$36,"=d20261204"),"")</f>
      </c>
      <c r="BD15" s="8">
        <f>IF((0=1),SUMIFS('Daily evaluations'!$D$2:$D$36,'Daily evaluations'!$B$2:$B$36,"=p09_overnight_persistence",'Daily evaluations'!$C$2:$C$36,"=d20261207"),"")</f>
      </c>
      <c r="BE15" s="8">
        <f>IF((0=1),SUMIFS('Daily evaluations'!$D$2:$D$36,'Daily evaluations'!$B$2:$B$36,"=p09_overnight_persistence",'Daily evaluations'!$C$2:$C$36,"=d20261208"),"")</f>
      </c>
      <c r="BF15" s="8">
        <f>IF((0=1),SUMIFS('Daily evaluations'!$D$2:$D$36,'Daily evaluations'!$B$2:$B$36,"=p09_overnight_persistence",'Daily evaluations'!$C$2:$C$36,"=d20261209"),"")</f>
      </c>
      <c r="BG15" s="8">
        <f>IF((0=1),SUMIFS('Daily evaluations'!$D$2:$D$36,'Daily evaluations'!$B$2:$B$36,"=p09_overnight_persistence",'Daily evaluations'!$C$2:$C$36,"=d20261210"),"")</f>
      </c>
      <c r="BH15" s="8">
        <f>IF((0=1),SUMIFS('Daily evaluations'!$D$2:$D$36,'Daily evaluations'!$B$2:$B$36,"=p09_overnight_persistence",'Daily evaluations'!$C$2:$C$36,"=d20261211"),"")</f>
      </c>
      <c r="BI15" s="8">
        <f>IF((0=1),SUMIFS('Daily evaluations'!$D$2:$D$36,'Daily evaluations'!$B$2:$B$36,"=p09_overnight_persistence",'Daily evaluations'!$C$2:$C$36,"=d20261214"),"")</f>
      </c>
      <c r="BJ15" s="8">
        <f>IF((0=1),SUMIFS('Daily evaluations'!$D$2:$D$36,'Daily evaluations'!$B$2:$B$36,"=p09_overnight_persistence",'Daily evaluations'!$C$2:$C$36,"=d20261215"),"")</f>
      </c>
      <c r="BK15" s="8">
        <f>IF((0=1),SUMIFS('Daily evaluations'!$D$2:$D$36,'Daily evaluations'!$B$2:$B$36,"=p09_overnight_persistence",'Daily evaluations'!$C$2:$C$36,"=d20261216"),"")</f>
      </c>
      <c r="BL15" s="8">
        <f>IF((0=1),SUMIFS('Daily evaluations'!$D$2:$D$36,'Daily evaluations'!$B$2:$B$36,"=p09_overnight_persistence",'Daily evaluations'!$C$2:$C$36,"=d20261217"),"")</f>
      </c>
      <c r="BM15" s="8">
        <f>IF((0=1),SUMIFS('Daily evaluations'!$D$2:$D$36,'Daily evaluations'!$B$2:$B$36,"=p09_overnight_persistence",'Daily evaluations'!$C$2:$C$36,"=d20261218"),"")</f>
      </c>
      <c r="BN15" s="8">
        <f>IF((0=1),SUMIFS('Daily evaluations'!$D$2:$D$36,'Daily evaluations'!$B$2:$B$36,"=p09_overnight_persistence",'Daily evaluations'!$C$2:$C$36,"=d20261221"),"")</f>
      </c>
      <c r="BO15" s="8">
        <f>IF((0=1),SUMIFS('Daily evaluations'!$D$2:$D$36,'Daily evaluations'!$B$2:$B$36,"=p09_overnight_persistence",'Daily evaluations'!$C$2:$C$36,"=d20261222"),"")</f>
      </c>
      <c r="BP15" s="8">
        <f>IF((0=1),SUMIFS('Daily evaluations'!$D$2:$D$36,'Daily evaluations'!$B$2:$B$36,"=p09_overnight_persistence",'Daily evaluations'!$C$2:$C$36,"=d20261223"),"")</f>
      </c>
      <c r="BQ15" s="8">
        <f>IF((0=1),SUMIFS('Daily evaluations'!$D$2:$D$36,'Daily evaluations'!$B$2:$B$36,"=p09_overnight_persistence",'Daily evaluations'!$C$2:$C$36,"=d20261224"),"")</f>
      </c>
      <c r="BR15" s="8">
        <f>IF((0=1),SUMIFS('Daily evaluations'!$D$2:$D$36,'Daily evaluations'!$B$2:$B$36,"=p09_overnight_persistence",'Daily evaluations'!$C$2:$C$36,"=d20261228"),"")</f>
      </c>
      <c r="BS15" s="8">
        <f>IF((0=1),SUMIFS('Daily evaluations'!$D$2:$D$36,'Daily evaluations'!$B$2:$B$36,"=p09_overnight_persistence",'Daily evaluations'!$C$2:$C$36,"=d20261229"),"")</f>
      </c>
      <c r="BT15" s="8">
        <f>IF((0=1),SUMIFS('Daily evaluations'!$D$2:$D$36,'Daily evaluations'!$B$2:$B$36,"=p09_overnight_persistence",'Daily evaluations'!$C$2:$C$36,"=d20261230"),"")</f>
      </c>
      <c r="BU15" s="8">
        <f>IF((0=1),SUMIFS('Daily evaluations'!$D$2:$D$36,'Daily evaluations'!$B$2:$B$36,"=p09_overnight_persistence",'Daily evaluations'!$C$2:$C$36,"=d20261231"),"")</f>
      </c>
      <c r="BV15" s="8">
        <f>IF((0=1),SUMIFS('Daily evaluations'!$D$2:$D$36,'Daily evaluations'!$B$2:$B$36,"=p09_overnight_persistence",'Daily evaluations'!$C$2:$C$36,"=d20270104"),"")</f>
      </c>
      <c r="BW15" s="8">
        <f>IF((0=1),SUMIFS('Daily evaluations'!$D$2:$D$36,'Daily evaluations'!$B$2:$B$36,"=p09_overnight_persistence",'Daily evaluations'!$C$2:$C$36,"=d20270105"),"")</f>
      </c>
      <c r="BX15" s="8">
        <f>IF((0=1),SUMIFS('Daily evaluations'!$D$2:$D$36,'Daily evaluations'!$B$2:$B$36,"=p09_overnight_persistence",'Daily evaluations'!$C$2:$C$36,"=d20270106"),"")</f>
      </c>
      <c r="BY15" s="8">
        <f>IF((0=1),SUMIFS('Daily evaluations'!$D$2:$D$36,'Daily evaluations'!$B$2:$B$36,"=p09_overnight_persistence",'Daily evaluations'!$C$2:$C$36,"=d20270107"),"")</f>
      </c>
      <c r="BZ15" s="8">
        <f>IF((0=1),SUMIFS('Daily evaluations'!$D$2:$D$36,'Daily evaluations'!$B$2:$B$36,"=p09_overnight_persistence",'Daily evaluations'!$C$2:$C$36,"=d20270108"),"")</f>
      </c>
      <c r="CA15" s="8">
        <f>IF((0=1),SUMIFS('Daily evaluations'!$D$2:$D$36,'Daily evaluations'!$B$2:$B$36,"=p09_overnight_persistence",'Daily evaluations'!$C$2:$C$36,"=d20270111"),"")</f>
      </c>
      <c r="CB15" s="8">
        <f>IF((0=1),SUMIFS('Daily evaluations'!$D$2:$D$36,'Daily evaluations'!$B$2:$B$36,"=p09_overnight_persistence",'Daily evaluations'!$C$2:$C$36,"=d20270112"),"")</f>
      </c>
      <c r="CC15" s="8">
        <f>IF((0=1),SUMIFS('Daily evaluations'!$D$2:$D$36,'Daily evaluations'!$B$2:$B$36,"=p09_overnight_persistence",'Daily evaluations'!$C$2:$C$36,"=d20270113"),"")</f>
      </c>
      <c r="CD15" s="8">
        <f>IF((0=1),SUMIFS('Daily evaluations'!$D$2:$D$36,'Daily evaluations'!$B$2:$B$36,"=p09_overnight_persistence",'Daily evaluations'!$C$2:$C$36,"=d20270114"),"")</f>
      </c>
      <c r="CE15" s="8">
        <f>IF((0=1),SUMIFS('Daily evaluations'!$D$2:$D$36,'Daily evaluations'!$B$2:$B$36,"=p09_overnight_persistence",'Daily evaluations'!$C$2:$C$36,"=d20270115"),"")</f>
      </c>
      <c r="CF15" s="8">
        <f>IF((0=1),SUMIFS('Daily evaluations'!$D$2:$D$36,'Daily evaluations'!$B$2:$B$36,"=p09_overnight_persistence",'Daily evaluations'!$C$2:$C$36,"=d20270119"),"")</f>
      </c>
      <c r="CG15" s="8">
        <f>IF((0=1),SUMIFS('Daily evaluations'!$D$2:$D$36,'Daily evaluations'!$B$2:$B$36,"=p09_overnight_persistence",'Daily evaluations'!$C$2:$C$36,"=d20270120"),"")</f>
      </c>
      <c r="CH15" s="8">
        <f>IF((0=1),SUMIFS('Daily evaluations'!$D$2:$D$36,'Daily evaluations'!$B$2:$B$36,"=p09_overnight_persistence",'Daily evaluations'!$C$2:$C$36,"=d20270121"),"")</f>
      </c>
      <c r="CI15" s="8">
        <f>IF((0=1),SUMIFS('Daily evaluations'!$D$2:$D$36,'Daily evaluations'!$B$2:$B$36,"=p09_overnight_persistence",'Daily evaluations'!$C$2:$C$36,"=d20270122"),"")</f>
      </c>
      <c r="CJ15" s="8">
        <f>IF((0=1),SUMIFS('Daily evaluations'!$D$2:$D$36,'Daily evaluations'!$B$2:$B$36,"=p09_overnight_persistence",'Daily evaluations'!$C$2:$C$36,"=d20270125"),"")</f>
      </c>
      <c r="CK15" s="8">
        <f>IF((0=1),SUMIFS('Daily evaluations'!$D$2:$D$36,'Daily evaluations'!$B$2:$B$36,"=p09_overnight_persistence",'Daily evaluations'!$C$2:$C$36,"=d20270126"),"")</f>
      </c>
      <c r="CL15" s="8">
        <f>IF((0=1),SUMIFS('Daily evaluations'!$D$2:$D$36,'Daily evaluations'!$B$2:$B$36,"=p09_overnight_persistence",'Daily evaluations'!$C$2:$C$36,"=d20270127"),"")</f>
      </c>
      <c r="CM15" s="8">
        <f>IF((0=1),SUMIFS('Daily evaluations'!$D$2:$D$36,'Daily evaluations'!$B$2:$B$36,"=p09_overnight_persistence",'Daily evaluations'!$C$2:$C$36,"=d20270128"),"")</f>
      </c>
      <c r="CN15" s="8">
        <f>IF((0=1),SUMIFS('Daily evaluations'!$D$2:$D$36,'Daily evaluations'!$B$2:$B$36,"=p09_overnight_persistence",'Daily evaluations'!$C$2:$C$36,"=d20270129"),"")</f>
      </c>
      <c r="CO15" s="8">
        <f>IF((0=1),SUMIFS('Daily evaluations'!$D$2:$D$36,'Daily evaluations'!$B$2:$B$36,"=p09_overnight_persistence",'Daily evaluations'!$C$2:$C$36,"=d20270201"),"")</f>
      </c>
      <c r="CP15" s="8">
        <f>IF((0=1),SUMIFS('Daily evaluations'!$D$2:$D$36,'Daily evaluations'!$B$2:$B$36,"=p09_overnight_persistence",'Daily evaluations'!$C$2:$C$36,"=d20270202"),"")</f>
      </c>
      <c r="CQ15" s="8">
        <f>IF((0=1),SUMIFS('Daily evaluations'!$D$2:$D$36,'Daily evaluations'!$B$2:$B$36,"=p09_overnight_persistence",'Daily evaluations'!$C$2:$C$36,"=d20270203"),"")</f>
      </c>
      <c r="CR15" s="8">
        <f>IF((0=1),SUMIFS('Daily evaluations'!$D$2:$D$36,'Daily evaluations'!$B$2:$B$36,"=p09_overnight_persistence",'Daily evaluations'!$C$2:$C$36,"=d20270204"),"")</f>
      </c>
      <c r="CS15" s="8">
        <f>IF((0=1),SUMIFS('Daily evaluations'!$D$2:$D$36,'Daily evaluations'!$B$2:$B$36,"=p09_overnight_persistence",'Daily evaluations'!$C$2:$C$36,"=d20270205"),"")</f>
      </c>
      <c r="CT15" s="8">
        <f>IF((0=1),SUMIFS('Daily evaluations'!$D$2:$D$36,'Daily evaluations'!$B$2:$B$36,"=p09_overnight_persistence",'Daily evaluations'!$C$2:$C$36,"=d20270208"),"")</f>
      </c>
      <c r="CU15" s="8">
        <f>IF((0=1),SUMIFS('Daily evaluations'!$D$2:$D$36,'Daily evaluations'!$B$2:$B$36,"=p09_overnight_persistence",'Daily evaluations'!$C$2:$C$36,"=d20270209"),"")</f>
      </c>
      <c r="CV15" s="8">
        <f>IF((0=1),SUMIFS('Daily evaluations'!$D$2:$D$36,'Daily evaluations'!$B$2:$B$36,"=p09_overnight_persistence",'Daily evaluations'!$C$2:$C$36,"=d20270210"),"")</f>
      </c>
      <c r="CW15" s="8">
        <f>IF((0=1),SUMIFS('Daily evaluations'!$D$2:$D$36,'Daily evaluations'!$B$2:$B$36,"=p09_overnight_persistence",'Daily evaluations'!$C$2:$C$36,"=d20270211"),"")</f>
      </c>
      <c r="CX15" s="8">
        <f>IF((0=1),SUMIFS('Daily evaluations'!$D$2:$D$36,'Daily evaluations'!$B$2:$B$36,"=p09_overnight_persistence",'Daily evaluations'!$C$2:$C$36,"=d20270212"),"")</f>
      </c>
    </row>
    <row r="16">
      <c r="A16" s="0" t="inlineStr">
        <is>
          <t xml:space="preserve">Sector-neutral overnight excess, bps</t>
        </is>
      </c>
      <c r="B16" s="0" t="inlineStr">
        <is>
          <t xml:space="preserve">52-Week-High Anchoring</t>
        </is>
      </c>
      <c r="C16" s="8">
        <f>IF((1=1),SUMIFS('Daily evaluations'!$D$2:$D$36,'Daily evaluations'!$B$2:$B$36,"=p10_52wk_high",'Daily evaluations'!$C$2:$C$36,"=d20260922"),"")</f>
        <v>17.164</v>
      </c>
      <c r="D16" s="8">
        <f>IF((0=1),SUMIFS('Daily evaluations'!$D$2:$D$36,'Daily evaluations'!$B$2:$B$36,"=p10_52wk_high",'Daily evaluations'!$C$2:$C$36,"=d20260923"),"")</f>
      </c>
      <c r="E16" s="8">
        <f>IF((0=1),SUMIFS('Daily evaluations'!$D$2:$D$36,'Daily evaluations'!$B$2:$B$36,"=p10_52wk_high",'Daily evaluations'!$C$2:$C$36,"=d20260924"),"")</f>
      </c>
      <c r="F16" s="8">
        <f>IF((0=1),SUMIFS('Daily evaluations'!$D$2:$D$36,'Daily evaluations'!$B$2:$B$36,"=p10_52wk_high",'Daily evaluations'!$C$2:$C$36,"=d20260925"),"")</f>
      </c>
      <c r="G16" s="8">
        <f>IF((0=1),SUMIFS('Daily evaluations'!$D$2:$D$36,'Daily evaluations'!$B$2:$B$36,"=p10_52wk_high",'Daily evaluations'!$C$2:$C$36,"=d20260928"),"")</f>
      </c>
      <c r="H16" s="8">
        <f>IF((0=1),SUMIFS('Daily evaluations'!$D$2:$D$36,'Daily evaluations'!$B$2:$B$36,"=p10_52wk_high",'Daily evaluations'!$C$2:$C$36,"=d20260929"),"")</f>
      </c>
      <c r="I16" s="8">
        <f>IF((0=1),SUMIFS('Daily evaluations'!$D$2:$D$36,'Daily evaluations'!$B$2:$B$36,"=p10_52wk_high",'Daily evaluations'!$C$2:$C$36,"=d20260930"),"")</f>
      </c>
      <c r="J16" s="8">
        <f>IF((0=1),SUMIFS('Daily evaluations'!$D$2:$D$36,'Daily evaluations'!$B$2:$B$36,"=p10_52wk_high",'Daily evaluations'!$C$2:$C$36,"=d20261001"),"")</f>
      </c>
      <c r="K16" s="8">
        <f>IF((0=1),SUMIFS('Daily evaluations'!$D$2:$D$36,'Daily evaluations'!$B$2:$B$36,"=p10_52wk_high",'Daily evaluations'!$C$2:$C$36,"=d20261002"),"")</f>
      </c>
      <c r="L16" s="8">
        <f>IF((0=1),SUMIFS('Daily evaluations'!$D$2:$D$36,'Daily evaluations'!$B$2:$B$36,"=p10_52wk_high",'Daily evaluations'!$C$2:$C$36,"=d20261005"),"")</f>
      </c>
      <c r="M16" s="8">
        <f>IF((0=1),SUMIFS('Daily evaluations'!$D$2:$D$36,'Daily evaluations'!$B$2:$B$36,"=p10_52wk_high",'Daily evaluations'!$C$2:$C$36,"=d20261006"),"")</f>
      </c>
      <c r="N16" s="8">
        <f>IF((0=1),SUMIFS('Daily evaluations'!$D$2:$D$36,'Daily evaluations'!$B$2:$B$36,"=p10_52wk_high",'Daily evaluations'!$C$2:$C$36,"=d20261007"),"")</f>
      </c>
      <c r="O16" s="8">
        <f>IF((0=1),SUMIFS('Daily evaluations'!$D$2:$D$36,'Daily evaluations'!$B$2:$B$36,"=p10_52wk_high",'Daily evaluations'!$C$2:$C$36,"=d20261008"),"")</f>
      </c>
      <c r="P16" s="8">
        <f>IF((0=1),SUMIFS('Daily evaluations'!$D$2:$D$36,'Daily evaluations'!$B$2:$B$36,"=p10_52wk_high",'Daily evaluations'!$C$2:$C$36,"=d20261009"),"")</f>
      </c>
      <c r="Q16" s="8">
        <f>IF((0=1),SUMIFS('Daily evaluations'!$D$2:$D$36,'Daily evaluations'!$B$2:$B$36,"=p10_52wk_high",'Daily evaluations'!$C$2:$C$36,"=d20261012"),"")</f>
      </c>
      <c r="R16" s="8">
        <f>IF((0=1),SUMIFS('Daily evaluations'!$D$2:$D$36,'Daily evaluations'!$B$2:$B$36,"=p10_52wk_high",'Daily evaluations'!$C$2:$C$36,"=d20261013"),"")</f>
      </c>
      <c r="S16" s="8">
        <f>IF((0=1),SUMIFS('Daily evaluations'!$D$2:$D$36,'Daily evaluations'!$B$2:$B$36,"=p10_52wk_high",'Daily evaluations'!$C$2:$C$36,"=d20261014"),"")</f>
      </c>
      <c r="T16" s="8">
        <f>IF((0=1),SUMIFS('Daily evaluations'!$D$2:$D$36,'Daily evaluations'!$B$2:$B$36,"=p10_52wk_high",'Daily evaluations'!$C$2:$C$36,"=d20261015"),"")</f>
      </c>
      <c r="U16" s="8">
        <f>IF((0=1),SUMIFS('Daily evaluations'!$D$2:$D$36,'Daily evaluations'!$B$2:$B$36,"=p10_52wk_high",'Daily evaluations'!$C$2:$C$36,"=d20261016"),"")</f>
      </c>
      <c r="V16" s="8">
        <f>IF((0=1),SUMIFS('Daily evaluations'!$D$2:$D$36,'Daily evaluations'!$B$2:$B$36,"=p10_52wk_high",'Daily evaluations'!$C$2:$C$36,"=d20261019"),"")</f>
      </c>
      <c r="W16" s="8">
        <f>IF((0=1),SUMIFS('Daily evaluations'!$D$2:$D$36,'Daily evaluations'!$B$2:$B$36,"=p10_52wk_high",'Daily evaluations'!$C$2:$C$36,"=d20261020"),"")</f>
      </c>
      <c r="X16" s="8">
        <f>IF((0=1),SUMIFS('Daily evaluations'!$D$2:$D$36,'Daily evaluations'!$B$2:$B$36,"=p10_52wk_high",'Daily evaluations'!$C$2:$C$36,"=d20261021"),"")</f>
      </c>
      <c r="Y16" s="8">
        <f>IF((0=1),SUMIFS('Daily evaluations'!$D$2:$D$36,'Daily evaluations'!$B$2:$B$36,"=p10_52wk_high",'Daily evaluations'!$C$2:$C$36,"=d20261022"),"")</f>
      </c>
      <c r="Z16" s="8">
        <f>IF((0=1),SUMIFS('Daily evaluations'!$D$2:$D$36,'Daily evaluations'!$B$2:$B$36,"=p10_52wk_high",'Daily evaluations'!$C$2:$C$36,"=d20261023"),"")</f>
      </c>
      <c r="AA16" s="8">
        <f>IF((0=1),SUMIFS('Daily evaluations'!$D$2:$D$36,'Daily evaluations'!$B$2:$B$36,"=p10_52wk_high",'Daily evaluations'!$C$2:$C$36,"=d20261026"),"")</f>
      </c>
      <c r="AB16" s="8">
        <f>IF((0=1),SUMIFS('Daily evaluations'!$D$2:$D$36,'Daily evaluations'!$B$2:$B$36,"=p10_52wk_high",'Daily evaluations'!$C$2:$C$36,"=d20261027"),"")</f>
      </c>
      <c r="AC16" s="8">
        <f>IF((0=1),SUMIFS('Daily evaluations'!$D$2:$D$36,'Daily evaluations'!$B$2:$B$36,"=p10_52wk_high",'Daily evaluations'!$C$2:$C$36,"=d20261028"),"")</f>
      </c>
      <c r="AD16" s="8">
        <f>IF((0=1),SUMIFS('Daily evaluations'!$D$2:$D$36,'Daily evaluations'!$B$2:$B$36,"=p10_52wk_high",'Daily evaluations'!$C$2:$C$36,"=d20261029"),"")</f>
      </c>
      <c r="AE16" s="8">
        <f>IF((0=1),SUMIFS('Daily evaluations'!$D$2:$D$36,'Daily evaluations'!$B$2:$B$36,"=p10_52wk_high",'Daily evaluations'!$C$2:$C$36,"=d20261030"),"")</f>
      </c>
      <c r="AF16" s="8">
        <f>IF((0=1),SUMIFS('Daily evaluations'!$D$2:$D$36,'Daily evaluations'!$B$2:$B$36,"=p10_52wk_high",'Daily evaluations'!$C$2:$C$36,"=d20261102"),"")</f>
      </c>
      <c r="AG16" s="8">
        <f>IF((0=1),SUMIFS('Daily evaluations'!$D$2:$D$36,'Daily evaluations'!$B$2:$B$36,"=p10_52wk_high",'Daily evaluations'!$C$2:$C$36,"=d20261103"),"")</f>
      </c>
      <c r="AH16" s="8">
        <f>IF((0=1),SUMIFS('Daily evaluations'!$D$2:$D$36,'Daily evaluations'!$B$2:$B$36,"=p10_52wk_high",'Daily evaluations'!$C$2:$C$36,"=d20261104"),"")</f>
      </c>
      <c r="AI16" s="8">
        <f>IF((0=1),SUMIFS('Daily evaluations'!$D$2:$D$36,'Daily evaluations'!$B$2:$B$36,"=p10_52wk_high",'Daily evaluations'!$C$2:$C$36,"=d20261105"),"")</f>
      </c>
      <c r="AJ16" s="8">
        <f>IF((0=1),SUMIFS('Daily evaluations'!$D$2:$D$36,'Daily evaluations'!$B$2:$B$36,"=p10_52wk_high",'Daily evaluations'!$C$2:$C$36,"=d20261106"),"")</f>
      </c>
      <c r="AK16" s="8">
        <f>IF((0=1),SUMIFS('Daily evaluations'!$D$2:$D$36,'Daily evaluations'!$B$2:$B$36,"=p10_52wk_high",'Daily evaluations'!$C$2:$C$36,"=d20261109"),"")</f>
      </c>
      <c r="AL16" s="8">
        <f>IF((0=1),SUMIFS('Daily evaluations'!$D$2:$D$36,'Daily evaluations'!$B$2:$B$36,"=p10_52wk_high",'Daily evaluations'!$C$2:$C$36,"=d20261110"),"")</f>
      </c>
      <c r="AM16" s="8">
        <f>IF((0=1),SUMIFS('Daily evaluations'!$D$2:$D$36,'Daily evaluations'!$B$2:$B$36,"=p10_52wk_high",'Daily evaluations'!$C$2:$C$36,"=d20261111"),"")</f>
      </c>
      <c r="AN16" s="8">
        <f>IF((0=1),SUMIFS('Daily evaluations'!$D$2:$D$36,'Daily evaluations'!$B$2:$B$36,"=p10_52wk_high",'Daily evaluations'!$C$2:$C$36,"=d20261112"),"")</f>
      </c>
      <c r="AO16" s="8">
        <f>IF((0=1),SUMIFS('Daily evaluations'!$D$2:$D$36,'Daily evaluations'!$B$2:$B$36,"=p10_52wk_high",'Daily evaluations'!$C$2:$C$36,"=d20261113"),"")</f>
      </c>
      <c r="AP16" s="8">
        <f>IF((0=1),SUMIFS('Daily evaluations'!$D$2:$D$36,'Daily evaluations'!$B$2:$B$36,"=p10_52wk_high",'Daily evaluations'!$C$2:$C$36,"=d20261116"),"")</f>
      </c>
      <c r="AQ16" s="8">
        <f>IF((0=1),SUMIFS('Daily evaluations'!$D$2:$D$36,'Daily evaluations'!$B$2:$B$36,"=p10_52wk_high",'Daily evaluations'!$C$2:$C$36,"=d20261117"),"")</f>
      </c>
      <c r="AR16" s="8">
        <f>IF((0=1),SUMIFS('Daily evaluations'!$D$2:$D$36,'Daily evaluations'!$B$2:$B$36,"=p10_52wk_high",'Daily evaluations'!$C$2:$C$36,"=d20261118"),"")</f>
      </c>
      <c r="AS16" s="8">
        <f>IF((0=1),SUMIFS('Daily evaluations'!$D$2:$D$36,'Daily evaluations'!$B$2:$B$36,"=p10_52wk_high",'Daily evaluations'!$C$2:$C$36,"=d20261119"),"")</f>
      </c>
      <c r="AT16" s="8">
        <f>IF((0=1),SUMIFS('Daily evaluations'!$D$2:$D$36,'Daily evaluations'!$B$2:$B$36,"=p10_52wk_high",'Daily evaluations'!$C$2:$C$36,"=d20261120"),"")</f>
      </c>
      <c r="AU16" s="8">
        <f>IF((0=1),SUMIFS('Daily evaluations'!$D$2:$D$36,'Daily evaluations'!$B$2:$B$36,"=p10_52wk_high",'Daily evaluations'!$C$2:$C$36,"=d20261123"),"")</f>
      </c>
      <c r="AV16" s="8">
        <f>IF((0=1),SUMIFS('Daily evaluations'!$D$2:$D$36,'Daily evaluations'!$B$2:$B$36,"=p10_52wk_high",'Daily evaluations'!$C$2:$C$36,"=d20261124"),"")</f>
      </c>
      <c r="AW16" s="8">
        <f>IF((0=1),SUMIFS('Daily evaluations'!$D$2:$D$36,'Daily evaluations'!$B$2:$B$36,"=p10_52wk_high",'Daily evaluations'!$C$2:$C$36,"=d20261125"),"")</f>
      </c>
      <c r="AX16" s="8">
        <f>IF((0=1),SUMIFS('Daily evaluations'!$D$2:$D$36,'Daily evaluations'!$B$2:$B$36,"=p10_52wk_high",'Daily evaluations'!$C$2:$C$36,"=d20261127"),"")</f>
      </c>
      <c r="AY16" s="8">
        <f>IF((0=1),SUMIFS('Daily evaluations'!$D$2:$D$36,'Daily evaluations'!$B$2:$B$36,"=p10_52wk_high",'Daily evaluations'!$C$2:$C$36,"=d20261130"),"")</f>
      </c>
      <c r="AZ16" s="8">
        <f>IF((0=1),SUMIFS('Daily evaluations'!$D$2:$D$36,'Daily evaluations'!$B$2:$B$36,"=p10_52wk_high",'Daily evaluations'!$C$2:$C$36,"=d20261201"),"")</f>
      </c>
      <c r="BA16" s="8">
        <f>IF((0=1),SUMIFS('Daily evaluations'!$D$2:$D$36,'Daily evaluations'!$B$2:$B$36,"=p10_52wk_high",'Daily evaluations'!$C$2:$C$36,"=d20261202"),"")</f>
      </c>
      <c r="BB16" s="8">
        <f>IF((0=1),SUMIFS('Daily evaluations'!$D$2:$D$36,'Daily evaluations'!$B$2:$B$36,"=p10_52wk_high",'Daily evaluations'!$C$2:$C$36,"=d20261203"),"")</f>
      </c>
      <c r="BC16" s="8">
        <f>IF((0=1),SUMIFS('Daily evaluations'!$D$2:$D$36,'Daily evaluations'!$B$2:$B$36,"=p10_52wk_high",'Daily evaluations'!$C$2:$C$36,"=d20261204"),"")</f>
      </c>
      <c r="BD16" s="8">
        <f>IF((0=1),SUMIFS('Daily evaluations'!$D$2:$D$36,'Daily evaluations'!$B$2:$B$36,"=p10_52wk_high",'Daily evaluations'!$C$2:$C$36,"=d20261207"),"")</f>
      </c>
      <c r="BE16" s="8">
        <f>IF((0=1),SUMIFS('Daily evaluations'!$D$2:$D$36,'Daily evaluations'!$B$2:$B$36,"=p10_52wk_high",'Daily evaluations'!$C$2:$C$36,"=d20261208"),"")</f>
      </c>
      <c r="BF16" s="8">
        <f>IF((0=1),SUMIFS('Daily evaluations'!$D$2:$D$36,'Daily evaluations'!$B$2:$B$36,"=p10_52wk_high",'Daily evaluations'!$C$2:$C$36,"=d20261209"),"")</f>
      </c>
      <c r="BG16" s="8">
        <f>IF((0=1),SUMIFS('Daily evaluations'!$D$2:$D$36,'Daily evaluations'!$B$2:$B$36,"=p10_52wk_high",'Daily evaluations'!$C$2:$C$36,"=d20261210"),"")</f>
      </c>
      <c r="BH16" s="8">
        <f>IF((0=1),SUMIFS('Daily evaluations'!$D$2:$D$36,'Daily evaluations'!$B$2:$B$36,"=p10_52wk_high",'Daily evaluations'!$C$2:$C$36,"=d20261211"),"")</f>
      </c>
      <c r="BI16" s="8">
        <f>IF((0=1),SUMIFS('Daily evaluations'!$D$2:$D$36,'Daily evaluations'!$B$2:$B$36,"=p10_52wk_high",'Daily evaluations'!$C$2:$C$36,"=d20261214"),"")</f>
      </c>
      <c r="BJ16" s="8">
        <f>IF((0=1),SUMIFS('Daily evaluations'!$D$2:$D$36,'Daily evaluations'!$B$2:$B$36,"=p10_52wk_high",'Daily evaluations'!$C$2:$C$36,"=d20261215"),"")</f>
      </c>
      <c r="BK16" s="8">
        <f>IF((0=1),SUMIFS('Daily evaluations'!$D$2:$D$36,'Daily evaluations'!$B$2:$B$36,"=p10_52wk_high",'Daily evaluations'!$C$2:$C$36,"=d20261216"),"")</f>
      </c>
      <c r="BL16" s="8">
        <f>IF((0=1),SUMIFS('Daily evaluations'!$D$2:$D$36,'Daily evaluations'!$B$2:$B$36,"=p10_52wk_high",'Daily evaluations'!$C$2:$C$36,"=d20261217"),"")</f>
      </c>
      <c r="BM16" s="8">
        <f>IF((0=1),SUMIFS('Daily evaluations'!$D$2:$D$36,'Daily evaluations'!$B$2:$B$36,"=p10_52wk_high",'Daily evaluations'!$C$2:$C$36,"=d20261218"),"")</f>
      </c>
      <c r="BN16" s="8">
        <f>IF((0=1),SUMIFS('Daily evaluations'!$D$2:$D$36,'Daily evaluations'!$B$2:$B$36,"=p10_52wk_high",'Daily evaluations'!$C$2:$C$36,"=d20261221"),"")</f>
      </c>
      <c r="BO16" s="8">
        <f>IF((0=1),SUMIFS('Daily evaluations'!$D$2:$D$36,'Daily evaluations'!$B$2:$B$36,"=p10_52wk_high",'Daily evaluations'!$C$2:$C$36,"=d20261222"),"")</f>
      </c>
      <c r="BP16" s="8">
        <f>IF((0=1),SUMIFS('Daily evaluations'!$D$2:$D$36,'Daily evaluations'!$B$2:$B$36,"=p10_52wk_high",'Daily evaluations'!$C$2:$C$36,"=d20261223"),"")</f>
      </c>
      <c r="BQ16" s="8">
        <f>IF((0=1),SUMIFS('Daily evaluations'!$D$2:$D$36,'Daily evaluations'!$B$2:$B$36,"=p10_52wk_high",'Daily evaluations'!$C$2:$C$36,"=d20261224"),"")</f>
      </c>
      <c r="BR16" s="8">
        <f>IF((0=1),SUMIFS('Daily evaluations'!$D$2:$D$36,'Daily evaluations'!$B$2:$B$36,"=p10_52wk_high",'Daily evaluations'!$C$2:$C$36,"=d20261228"),"")</f>
      </c>
      <c r="BS16" s="8">
        <f>IF((0=1),SUMIFS('Daily evaluations'!$D$2:$D$36,'Daily evaluations'!$B$2:$B$36,"=p10_52wk_high",'Daily evaluations'!$C$2:$C$36,"=d20261229"),"")</f>
      </c>
      <c r="BT16" s="8">
        <f>IF((0=1),SUMIFS('Daily evaluations'!$D$2:$D$36,'Daily evaluations'!$B$2:$B$36,"=p10_52wk_high",'Daily evaluations'!$C$2:$C$36,"=d20261230"),"")</f>
      </c>
      <c r="BU16" s="8">
        <f>IF((0=1),SUMIFS('Daily evaluations'!$D$2:$D$36,'Daily evaluations'!$B$2:$B$36,"=p10_52wk_high",'Daily evaluations'!$C$2:$C$36,"=d20261231"),"")</f>
      </c>
      <c r="BV16" s="8">
        <f>IF((0=1),SUMIFS('Daily evaluations'!$D$2:$D$36,'Daily evaluations'!$B$2:$B$36,"=p10_52wk_high",'Daily evaluations'!$C$2:$C$36,"=d20270104"),"")</f>
      </c>
      <c r="BW16" s="8">
        <f>IF((0=1),SUMIFS('Daily evaluations'!$D$2:$D$36,'Daily evaluations'!$B$2:$B$36,"=p10_52wk_high",'Daily evaluations'!$C$2:$C$36,"=d20270105"),"")</f>
      </c>
      <c r="BX16" s="8">
        <f>IF((0=1),SUMIFS('Daily evaluations'!$D$2:$D$36,'Daily evaluations'!$B$2:$B$36,"=p10_52wk_high",'Daily evaluations'!$C$2:$C$36,"=d20270106"),"")</f>
      </c>
      <c r="BY16" s="8">
        <f>IF((0=1),SUMIFS('Daily evaluations'!$D$2:$D$36,'Daily evaluations'!$B$2:$B$36,"=p10_52wk_high",'Daily evaluations'!$C$2:$C$36,"=d20270107"),"")</f>
      </c>
      <c r="BZ16" s="8">
        <f>IF((0=1),SUMIFS('Daily evaluations'!$D$2:$D$36,'Daily evaluations'!$B$2:$B$36,"=p10_52wk_high",'Daily evaluations'!$C$2:$C$36,"=d20270108"),"")</f>
      </c>
      <c r="CA16" s="8">
        <f>IF((0=1),SUMIFS('Daily evaluations'!$D$2:$D$36,'Daily evaluations'!$B$2:$B$36,"=p10_52wk_high",'Daily evaluations'!$C$2:$C$36,"=d20270111"),"")</f>
      </c>
      <c r="CB16" s="8">
        <f>IF((0=1),SUMIFS('Daily evaluations'!$D$2:$D$36,'Daily evaluations'!$B$2:$B$36,"=p10_52wk_high",'Daily evaluations'!$C$2:$C$36,"=d20270112"),"")</f>
      </c>
      <c r="CC16" s="8">
        <f>IF((0=1),SUMIFS('Daily evaluations'!$D$2:$D$36,'Daily evaluations'!$B$2:$B$36,"=p10_52wk_high",'Daily evaluations'!$C$2:$C$36,"=d20270113"),"")</f>
      </c>
      <c r="CD16" s="8">
        <f>IF((0=1),SUMIFS('Daily evaluations'!$D$2:$D$36,'Daily evaluations'!$B$2:$B$36,"=p10_52wk_high",'Daily evaluations'!$C$2:$C$36,"=d20270114"),"")</f>
      </c>
      <c r="CE16" s="8">
        <f>IF((0=1),SUMIFS('Daily evaluations'!$D$2:$D$36,'Daily evaluations'!$B$2:$B$36,"=p10_52wk_high",'Daily evaluations'!$C$2:$C$36,"=d20270115"),"")</f>
      </c>
      <c r="CF16" s="8">
        <f>IF((0=1),SUMIFS('Daily evaluations'!$D$2:$D$36,'Daily evaluations'!$B$2:$B$36,"=p10_52wk_high",'Daily evaluations'!$C$2:$C$36,"=d20270119"),"")</f>
      </c>
      <c r="CG16" s="8">
        <f>IF((0=1),SUMIFS('Daily evaluations'!$D$2:$D$36,'Daily evaluations'!$B$2:$B$36,"=p10_52wk_high",'Daily evaluations'!$C$2:$C$36,"=d20270120"),"")</f>
      </c>
      <c r="CH16" s="8">
        <f>IF((0=1),SUMIFS('Daily evaluations'!$D$2:$D$36,'Daily evaluations'!$B$2:$B$36,"=p10_52wk_high",'Daily evaluations'!$C$2:$C$36,"=d20270121"),"")</f>
      </c>
      <c r="CI16" s="8">
        <f>IF((0=1),SUMIFS('Daily evaluations'!$D$2:$D$36,'Daily evaluations'!$B$2:$B$36,"=p10_52wk_high",'Daily evaluations'!$C$2:$C$36,"=d20270122"),"")</f>
      </c>
      <c r="CJ16" s="8">
        <f>IF((0=1),SUMIFS('Daily evaluations'!$D$2:$D$36,'Daily evaluations'!$B$2:$B$36,"=p10_52wk_high",'Daily evaluations'!$C$2:$C$36,"=d20270125"),"")</f>
      </c>
      <c r="CK16" s="8">
        <f>IF((0=1),SUMIFS('Daily evaluations'!$D$2:$D$36,'Daily evaluations'!$B$2:$B$36,"=p10_52wk_high",'Daily evaluations'!$C$2:$C$36,"=d20270126"),"")</f>
      </c>
      <c r="CL16" s="8">
        <f>IF((0=1),SUMIFS('Daily evaluations'!$D$2:$D$36,'Daily evaluations'!$B$2:$B$36,"=p10_52wk_high",'Daily evaluations'!$C$2:$C$36,"=d20270127"),"")</f>
      </c>
      <c r="CM16" s="8">
        <f>IF((0=1),SUMIFS('Daily evaluations'!$D$2:$D$36,'Daily evaluations'!$B$2:$B$36,"=p10_52wk_high",'Daily evaluations'!$C$2:$C$36,"=d20270128"),"")</f>
      </c>
      <c r="CN16" s="8">
        <f>IF((0=1),SUMIFS('Daily evaluations'!$D$2:$D$36,'Daily evaluations'!$B$2:$B$36,"=p10_52wk_high",'Daily evaluations'!$C$2:$C$36,"=d20270129"),"")</f>
      </c>
      <c r="CO16" s="8">
        <f>IF((0=1),SUMIFS('Daily evaluations'!$D$2:$D$36,'Daily evaluations'!$B$2:$B$36,"=p10_52wk_high",'Daily evaluations'!$C$2:$C$36,"=d20270201"),"")</f>
      </c>
      <c r="CP16" s="8">
        <f>IF((0=1),SUMIFS('Daily evaluations'!$D$2:$D$36,'Daily evaluations'!$B$2:$B$36,"=p10_52wk_high",'Daily evaluations'!$C$2:$C$36,"=d20270202"),"")</f>
      </c>
      <c r="CQ16" s="8">
        <f>IF((0=1),SUMIFS('Daily evaluations'!$D$2:$D$36,'Daily evaluations'!$B$2:$B$36,"=p10_52wk_high",'Daily evaluations'!$C$2:$C$36,"=d20270203"),"")</f>
      </c>
      <c r="CR16" s="8">
        <f>IF((0=1),SUMIFS('Daily evaluations'!$D$2:$D$36,'Daily evaluations'!$B$2:$B$36,"=p10_52wk_high",'Daily evaluations'!$C$2:$C$36,"=d20270204"),"")</f>
      </c>
      <c r="CS16" s="8">
        <f>IF((0=1),SUMIFS('Daily evaluations'!$D$2:$D$36,'Daily evaluations'!$B$2:$B$36,"=p10_52wk_high",'Daily evaluations'!$C$2:$C$36,"=d20270205"),"")</f>
      </c>
      <c r="CT16" s="8">
        <f>IF((0=1),SUMIFS('Daily evaluations'!$D$2:$D$36,'Daily evaluations'!$B$2:$B$36,"=p10_52wk_high",'Daily evaluations'!$C$2:$C$36,"=d20270208"),"")</f>
      </c>
      <c r="CU16" s="8">
        <f>IF((0=1),SUMIFS('Daily evaluations'!$D$2:$D$36,'Daily evaluations'!$B$2:$B$36,"=p10_52wk_high",'Daily evaluations'!$C$2:$C$36,"=d20270209"),"")</f>
      </c>
      <c r="CV16" s="8">
        <f>IF((0=1),SUMIFS('Daily evaluations'!$D$2:$D$36,'Daily evaluations'!$B$2:$B$36,"=p10_52wk_high",'Daily evaluations'!$C$2:$C$36,"=d20270210"),"")</f>
      </c>
      <c r="CW16" s="8">
        <f>IF((0=1),SUMIFS('Daily evaluations'!$D$2:$D$36,'Daily evaluations'!$B$2:$B$36,"=p10_52wk_high",'Daily evaluations'!$C$2:$C$36,"=d20270211"),"")</f>
      </c>
      <c r="CX16" s="8">
        <f>IF((0=1),SUMIFS('Daily evaluations'!$D$2:$D$36,'Daily evaluations'!$B$2:$B$36,"=p10_52wk_high",'Daily evaluations'!$C$2:$C$36,"=d20270212"),"")</f>
      </c>
    </row>
    <row r="17">
      <c r="A17" s="0" t="inlineStr">
        <is>
          <t xml:space="preserve">Sector-neutral overnight excess, bps</t>
        </is>
      </c>
      <c r="B17" s="0" t="inlineStr">
        <is>
          <t xml:space="preserve">Random 1</t>
        </is>
      </c>
      <c r="C17" s="8">
        <f>IF((1=1),SUMIFS('Daily evaluations'!$D$2:$D$36,'Daily evaluations'!$B$2:$B$36,"=random_01",'Daily evaluations'!$C$2:$C$36,"=d20260922"),"")</f>
        <v>-4.097</v>
      </c>
      <c r="D17" s="8">
        <f>IF((0=1),SUMIFS('Daily evaluations'!$D$2:$D$36,'Daily evaluations'!$B$2:$B$36,"=random_01",'Daily evaluations'!$C$2:$C$36,"=d20260923"),"")</f>
      </c>
      <c r="E17" s="8">
        <f>IF((0=1),SUMIFS('Daily evaluations'!$D$2:$D$36,'Daily evaluations'!$B$2:$B$36,"=random_01",'Daily evaluations'!$C$2:$C$36,"=d20260924"),"")</f>
      </c>
      <c r="F17" s="8">
        <f>IF((0=1),SUMIFS('Daily evaluations'!$D$2:$D$36,'Daily evaluations'!$B$2:$B$36,"=random_01",'Daily evaluations'!$C$2:$C$36,"=d20260925"),"")</f>
      </c>
      <c r="G17" s="8">
        <f>IF((0=1),SUMIFS('Daily evaluations'!$D$2:$D$36,'Daily evaluations'!$B$2:$B$36,"=random_01",'Daily evaluations'!$C$2:$C$36,"=d20260928"),"")</f>
      </c>
      <c r="H17" s="8">
        <f>IF((0=1),SUMIFS('Daily evaluations'!$D$2:$D$36,'Daily evaluations'!$B$2:$B$36,"=random_01",'Daily evaluations'!$C$2:$C$36,"=d20260929"),"")</f>
      </c>
      <c r="I17" s="8">
        <f>IF((0=1),SUMIFS('Daily evaluations'!$D$2:$D$36,'Daily evaluations'!$B$2:$B$36,"=random_01",'Daily evaluations'!$C$2:$C$36,"=d20260930"),"")</f>
      </c>
      <c r="J17" s="8">
        <f>IF((0=1),SUMIFS('Daily evaluations'!$D$2:$D$36,'Daily evaluations'!$B$2:$B$36,"=random_01",'Daily evaluations'!$C$2:$C$36,"=d20261001"),"")</f>
      </c>
      <c r="K17" s="8">
        <f>IF((0=1),SUMIFS('Daily evaluations'!$D$2:$D$36,'Daily evaluations'!$B$2:$B$36,"=random_01",'Daily evaluations'!$C$2:$C$36,"=d20261002"),"")</f>
      </c>
      <c r="L17" s="8">
        <f>IF((0=1),SUMIFS('Daily evaluations'!$D$2:$D$36,'Daily evaluations'!$B$2:$B$36,"=random_01",'Daily evaluations'!$C$2:$C$36,"=d20261005"),"")</f>
      </c>
      <c r="M17" s="8">
        <f>IF((0=1),SUMIFS('Daily evaluations'!$D$2:$D$36,'Daily evaluations'!$B$2:$B$36,"=random_01",'Daily evaluations'!$C$2:$C$36,"=d20261006"),"")</f>
      </c>
      <c r="N17" s="8">
        <f>IF((0=1),SUMIFS('Daily evaluations'!$D$2:$D$36,'Daily evaluations'!$B$2:$B$36,"=random_01",'Daily evaluations'!$C$2:$C$36,"=d20261007"),"")</f>
      </c>
      <c r="O17" s="8">
        <f>IF((0=1),SUMIFS('Daily evaluations'!$D$2:$D$36,'Daily evaluations'!$B$2:$B$36,"=random_01",'Daily evaluations'!$C$2:$C$36,"=d20261008"),"")</f>
      </c>
      <c r="P17" s="8">
        <f>IF((0=1),SUMIFS('Daily evaluations'!$D$2:$D$36,'Daily evaluations'!$B$2:$B$36,"=random_01",'Daily evaluations'!$C$2:$C$36,"=d20261009"),"")</f>
      </c>
      <c r="Q17" s="8">
        <f>IF((0=1),SUMIFS('Daily evaluations'!$D$2:$D$36,'Daily evaluations'!$B$2:$B$36,"=random_01",'Daily evaluations'!$C$2:$C$36,"=d20261012"),"")</f>
      </c>
      <c r="R17" s="8">
        <f>IF((0=1),SUMIFS('Daily evaluations'!$D$2:$D$36,'Daily evaluations'!$B$2:$B$36,"=random_01",'Daily evaluations'!$C$2:$C$36,"=d20261013"),"")</f>
      </c>
      <c r="S17" s="8">
        <f>IF((0=1),SUMIFS('Daily evaluations'!$D$2:$D$36,'Daily evaluations'!$B$2:$B$36,"=random_01",'Daily evaluations'!$C$2:$C$36,"=d20261014"),"")</f>
      </c>
      <c r="T17" s="8">
        <f>IF((0=1),SUMIFS('Daily evaluations'!$D$2:$D$36,'Daily evaluations'!$B$2:$B$36,"=random_01",'Daily evaluations'!$C$2:$C$36,"=d20261015"),"")</f>
      </c>
      <c r="U17" s="8">
        <f>IF((0=1),SUMIFS('Daily evaluations'!$D$2:$D$36,'Daily evaluations'!$B$2:$B$36,"=random_01",'Daily evaluations'!$C$2:$C$36,"=d20261016"),"")</f>
      </c>
      <c r="V17" s="8">
        <f>IF((0=1),SUMIFS('Daily evaluations'!$D$2:$D$36,'Daily evaluations'!$B$2:$B$36,"=random_01",'Daily evaluations'!$C$2:$C$36,"=d20261019"),"")</f>
      </c>
      <c r="W17" s="8">
        <f>IF((0=1),SUMIFS('Daily evaluations'!$D$2:$D$36,'Daily evaluations'!$B$2:$B$36,"=random_01",'Daily evaluations'!$C$2:$C$36,"=d20261020"),"")</f>
      </c>
      <c r="X17" s="8">
        <f>IF((0=1),SUMIFS('Daily evaluations'!$D$2:$D$36,'Daily evaluations'!$B$2:$B$36,"=random_01",'Daily evaluations'!$C$2:$C$36,"=d20261021"),"")</f>
      </c>
      <c r="Y17" s="8">
        <f>IF((0=1),SUMIFS('Daily evaluations'!$D$2:$D$36,'Daily evaluations'!$B$2:$B$36,"=random_01",'Daily evaluations'!$C$2:$C$36,"=d20261022"),"")</f>
      </c>
      <c r="Z17" s="8">
        <f>IF((0=1),SUMIFS('Daily evaluations'!$D$2:$D$36,'Daily evaluations'!$B$2:$B$36,"=random_01",'Daily evaluations'!$C$2:$C$36,"=d20261023"),"")</f>
      </c>
      <c r="AA17" s="8">
        <f>IF((0=1),SUMIFS('Daily evaluations'!$D$2:$D$36,'Daily evaluations'!$B$2:$B$36,"=random_01",'Daily evaluations'!$C$2:$C$36,"=d20261026"),"")</f>
      </c>
      <c r="AB17" s="8">
        <f>IF((0=1),SUMIFS('Daily evaluations'!$D$2:$D$36,'Daily evaluations'!$B$2:$B$36,"=random_01",'Daily evaluations'!$C$2:$C$36,"=d20261027"),"")</f>
      </c>
      <c r="AC17" s="8">
        <f>IF((0=1),SUMIFS('Daily evaluations'!$D$2:$D$36,'Daily evaluations'!$B$2:$B$36,"=random_01",'Daily evaluations'!$C$2:$C$36,"=d20261028"),"")</f>
      </c>
      <c r="AD17" s="8">
        <f>IF((0=1),SUMIFS('Daily evaluations'!$D$2:$D$36,'Daily evaluations'!$B$2:$B$36,"=random_01",'Daily evaluations'!$C$2:$C$36,"=d20261029"),"")</f>
      </c>
      <c r="AE17" s="8">
        <f>IF((0=1),SUMIFS('Daily evaluations'!$D$2:$D$36,'Daily evaluations'!$B$2:$B$36,"=random_01",'Daily evaluations'!$C$2:$C$36,"=d20261030"),"")</f>
      </c>
      <c r="AF17" s="8">
        <f>IF((0=1),SUMIFS('Daily evaluations'!$D$2:$D$36,'Daily evaluations'!$B$2:$B$36,"=random_01",'Daily evaluations'!$C$2:$C$36,"=d20261102"),"")</f>
      </c>
      <c r="AG17" s="8">
        <f>IF((0=1),SUMIFS('Daily evaluations'!$D$2:$D$36,'Daily evaluations'!$B$2:$B$36,"=random_01",'Daily evaluations'!$C$2:$C$36,"=d20261103"),"")</f>
      </c>
      <c r="AH17" s="8">
        <f>IF((0=1),SUMIFS('Daily evaluations'!$D$2:$D$36,'Daily evaluations'!$B$2:$B$36,"=random_01",'Daily evaluations'!$C$2:$C$36,"=d20261104"),"")</f>
      </c>
      <c r="AI17" s="8">
        <f>IF((0=1),SUMIFS('Daily evaluations'!$D$2:$D$36,'Daily evaluations'!$B$2:$B$36,"=random_01",'Daily evaluations'!$C$2:$C$36,"=d20261105"),"")</f>
      </c>
      <c r="AJ17" s="8">
        <f>IF((0=1),SUMIFS('Daily evaluations'!$D$2:$D$36,'Daily evaluations'!$B$2:$B$36,"=random_01",'Daily evaluations'!$C$2:$C$36,"=d20261106"),"")</f>
      </c>
      <c r="AK17" s="8">
        <f>IF((0=1),SUMIFS('Daily evaluations'!$D$2:$D$36,'Daily evaluations'!$B$2:$B$36,"=random_01",'Daily evaluations'!$C$2:$C$36,"=d20261109"),"")</f>
      </c>
      <c r="AL17" s="8">
        <f>IF((0=1),SUMIFS('Daily evaluations'!$D$2:$D$36,'Daily evaluations'!$B$2:$B$36,"=random_01",'Daily evaluations'!$C$2:$C$36,"=d20261110"),"")</f>
      </c>
      <c r="AM17" s="8">
        <f>IF((0=1),SUMIFS('Daily evaluations'!$D$2:$D$36,'Daily evaluations'!$B$2:$B$36,"=random_01",'Daily evaluations'!$C$2:$C$36,"=d20261111"),"")</f>
      </c>
      <c r="AN17" s="8">
        <f>IF((0=1),SUMIFS('Daily evaluations'!$D$2:$D$36,'Daily evaluations'!$B$2:$B$36,"=random_01",'Daily evaluations'!$C$2:$C$36,"=d20261112"),"")</f>
      </c>
      <c r="AO17" s="8">
        <f>IF((0=1),SUMIFS('Daily evaluations'!$D$2:$D$36,'Daily evaluations'!$B$2:$B$36,"=random_01",'Daily evaluations'!$C$2:$C$36,"=d20261113"),"")</f>
      </c>
      <c r="AP17" s="8">
        <f>IF((0=1),SUMIFS('Daily evaluations'!$D$2:$D$36,'Daily evaluations'!$B$2:$B$36,"=random_01",'Daily evaluations'!$C$2:$C$36,"=d20261116"),"")</f>
      </c>
      <c r="AQ17" s="8">
        <f>IF((0=1),SUMIFS('Daily evaluations'!$D$2:$D$36,'Daily evaluations'!$B$2:$B$36,"=random_01",'Daily evaluations'!$C$2:$C$36,"=d20261117"),"")</f>
      </c>
      <c r="AR17" s="8">
        <f>IF((0=1),SUMIFS('Daily evaluations'!$D$2:$D$36,'Daily evaluations'!$B$2:$B$36,"=random_01",'Daily evaluations'!$C$2:$C$36,"=d20261118"),"")</f>
      </c>
      <c r="AS17" s="8">
        <f>IF((0=1),SUMIFS('Daily evaluations'!$D$2:$D$36,'Daily evaluations'!$B$2:$B$36,"=random_01",'Daily evaluations'!$C$2:$C$36,"=d20261119"),"")</f>
      </c>
      <c r="AT17" s="8">
        <f>IF((0=1),SUMIFS('Daily evaluations'!$D$2:$D$36,'Daily evaluations'!$B$2:$B$36,"=random_01",'Daily evaluations'!$C$2:$C$36,"=d20261120"),"")</f>
      </c>
      <c r="AU17" s="8">
        <f>IF((0=1),SUMIFS('Daily evaluations'!$D$2:$D$36,'Daily evaluations'!$B$2:$B$36,"=random_01",'Daily evaluations'!$C$2:$C$36,"=d20261123"),"")</f>
      </c>
      <c r="AV17" s="8">
        <f>IF((0=1),SUMIFS('Daily evaluations'!$D$2:$D$36,'Daily evaluations'!$B$2:$B$36,"=random_01",'Daily evaluations'!$C$2:$C$36,"=d20261124"),"")</f>
      </c>
      <c r="AW17" s="8">
        <f>IF((0=1),SUMIFS('Daily evaluations'!$D$2:$D$36,'Daily evaluations'!$B$2:$B$36,"=random_01",'Daily evaluations'!$C$2:$C$36,"=d20261125"),"")</f>
      </c>
      <c r="AX17" s="8">
        <f>IF((0=1),SUMIFS('Daily evaluations'!$D$2:$D$36,'Daily evaluations'!$B$2:$B$36,"=random_01",'Daily evaluations'!$C$2:$C$36,"=d20261127"),"")</f>
      </c>
      <c r="AY17" s="8">
        <f>IF((0=1),SUMIFS('Daily evaluations'!$D$2:$D$36,'Daily evaluations'!$B$2:$B$36,"=random_01",'Daily evaluations'!$C$2:$C$36,"=d20261130"),"")</f>
      </c>
      <c r="AZ17" s="8">
        <f>IF((0=1),SUMIFS('Daily evaluations'!$D$2:$D$36,'Daily evaluations'!$B$2:$B$36,"=random_01",'Daily evaluations'!$C$2:$C$36,"=d20261201"),"")</f>
      </c>
      <c r="BA17" s="8">
        <f>IF((0=1),SUMIFS('Daily evaluations'!$D$2:$D$36,'Daily evaluations'!$B$2:$B$36,"=random_01",'Daily evaluations'!$C$2:$C$36,"=d20261202"),"")</f>
      </c>
      <c r="BB17" s="8">
        <f>IF((0=1),SUMIFS('Daily evaluations'!$D$2:$D$36,'Daily evaluations'!$B$2:$B$36,"=random_01",'Daily evaluations'!$C$2:$C$36,"=d20261203"),"")</f>
      </c>
      <c r="BC17" s="8">
        <f>IF((0=1),SUMIFS('Daily evaluations'!$D$2:$D$36,'Daily evaluations'!$B$2:$B$36,"=random_01",'Daily evaluations'!$C$2:$C$36,"=d20261204"),"")</f>
      </c>
      <c r="BD17" s="8">
        <f>IF((0=1),SUMIFS('Daily evaluations'!$D$2:$D$36,'Daily evaluations'!$B$2:$B$36,"=random_01",'Daily evaluations'!$C$2:$C$36,"=d20261207"),"")</f>
      </c>
      <c r="BE17" s="8">
        <f>IF((0=1),SUMIFS('Daily evaluations'!$D$2:$D$36,'Daily evaluations'!$B$2:$B$36,"=random_01",'Daily evaluations'!$C$2:$C$36,"=d20261208"),"")</f>
      </c>
      <c r="BF17" s="8">
        <f>IF((0=1),SUMIFS('Daily evaluations'!$D$2:$D$36,'Daily evaluations'!$B$2:$B$36,"=random_01",'Daily evaluations'!$C$2:$C$36,"=d20261209"),"")</f>
      </c>
      <c r="BG17" s="8">
        <f>IF((0=1),SUMIFS('Daily evaluations'!$D$2:$D$36,'Daily evaluations'!$B$2:$B$36,"=random_01",'Daily evaluations'!$C$2:$C$36,"=d20261210"),"")</f>
      </c>
      <c r="BH17" s="8">
        <f>IF((0=1),SUMIFS('Daily evaluations'!$D$2:$D$36,'Daily evaluations'!$B$2:$B$36,"=random_01",'Daily evaluations'!$C$2:$C$36,"=d20261211"),"")</f>
      </c>
      <c r="BI17" s="8">
        <f>IF((0=1),SUMIFS('Daily evaluations'!$D$2:$D$36,'Daily evaluations'!$B$2:$B$36,"=random_01",'Daily evaluations'!$C$2:$C$36,"=d20261214"),"")</f>
      </c>
      <c r="BJ17" s="8">
        <f>IF((0=1),SUMIFS('Daily evaluations'!$D$2:$D$36,'Daily evaluations'!$B$2:$B$36,"=random_01",'Daily evaluations'!$C$2:$C$36,"=d20261215"),"")</f>
      </c>
      <c r="BK17" s="8">
        <f>IF((0=1),SUMIFS('Daily evaluations'!$D$2:$D$36,'Daily evaluations'!$B$2:$B$36,"=random_01",'Daily evaluations'!$C$2:$C$36,"=d20261216"),"")</f>
      </c>
      <c r="BL17" s="8">
        <f>IF((0=1),SUMIFS('Daily evaluations'!$D$2:$D$36,'Daily evaluations'!$B$2:$B$36,"=random_01",'Daily evaluations'!$C$2:$C$36,"=d20261217"),"")</f>
      </c>
      <c r="BM17" s="8">
        <f>IF((0=1),SUMIFS('Daily evaluations'!$D$2:$D$36,'Daily evaluations'!$B$2:$B$36,"=random_01",'Daily evaluations'!$C$2:$C$36,"=d20261218"),"")</f>
      </c>
      <c r="BN17" s="8">
        <f>IF((0=1),SUMIFS('Daily evaluations'!$D$2:$D$36,'Daily evaluations'!$B$2:$B$36,"=random_01",'Daily evaluations'!$C$2:$C$36,"=d20261221"),"")</f>
      </c>
      <c r="BO17" s="8">
        <f>IF((0=1),SUMIFS('Daily evaluations'!$D$2:$D$36,'Daily evaluations'!$B$2:$B$36,"=random_01",'Daily evaluations'!$C$2:$C$36,"=d20261222"),"")</f>
      </c>
      <c r="BP17" s="8">
        <f>IF((0=1),SUMIFS('Daily evaluations'!$D$2:$D$36,'Daily evaluations'!$B$2:$B$36,"=random_01",'Daily evaluations'!$C$2:$C$36,"=d20261223"),"")</f>
      </c>
      <c r="BQ17" s="8">
        <f>IF((0=1),SUMIFS('Daily evaluations'!$D$2:$D$36,'Daily evaluations'!$B$2:$B$36,"=random_01",'Daily evaluations'!$C$2:$C$36,"=d20261224"),"")</f>
      </c>
      <c r="BR17" s="8">
        <f>IF((0=1),SUMIFS('Daily evaluations'!$D$2:$D$36,'Daily evaluations'!$B$2:$B$36,"=random_01",'Daily evaluations'!$C$2:$C$36,"=d20261228"),"")</f>
      </c>
      <c r="BS17" s="8">
        <f>IF((0=1),SUMIFS('Daily evaluations'!$D$2:$D$36,'Daily evaluations'!$B$2:$B$36,"=random_01",'Daily evaluations'!$C$2:$C$36,"=d20261229"),"")</f>
      </c>
      <c r="BT17" s="8">
        <f>IF((0=1),SUMIFS('Daily evaluations'!$D$2:$D$36,'Daily evaluations'!$B$2:$B$36,"=random_01",'Daily evaluations'!$C$2:$C$36,"=d20261230"),"")</f>
      </c>
      <c r="BU17" s="8">
        <f>IF((0=1),SUMIFS('Daily evaluations'!$D$2:$D$36,'Daily evaluations'!$B$2:$B$36,"=random_01",'Daily evaluations'!$C$2:$C$36,"=d20261231"),"")</f>
      </c>
      <c r="BV17" s="8">
        <f>IF((0=1),SUMIFS('Daily evaluations'!$D$2:$D$36,'Daily evaluations'!$B$2:$B$36,"=random_01",'Daily evaluations'!$C$2:$C$36,"=d20270104"),"")</f>
      </c>
      <c r="BW17" s="8">
        <f>IF((0=1),SUMIFS('Daily evaluations'!$D$2:$D$36,'Daily evaluations'!$B$2:$B$36,"=random_01",'Daily evaluations'!$C$2:$C$36,"=d20270105"),"")</f>
      </c>
      <c r="BX17" s="8">
        <f>IF((0=1),SUMIFS('Daily evaluations'!$D$2:$D$36,'Daily evaluations'!$B$2:$B$36,"=random_01",'Daily evaluations'!$C$2:$C$36,"=d20270106"),"")</f>
      </c>
      <c r="BY17" s="8">
        <f>IF((0=1),SUMIFS('Daily evaluations'!$D$2:$D$36,'Daily evaluations'!$B$2:$B$36,"=random_01",'Daily evaluations'!$C$2:$C$36,"=d20270107"),"")</f>
      </c>
      <c r="BZ17" s="8">
        <f>IF((0=1),SUMIFS('Daily evaluations'!$D$2:$D$36,'Daily evaluations'!$B$2:$B$36,"=random_01",'Daily evaluations'!$C$2:$C$36,"=d20270108"),"")</f>
      </c>
      <c r="CA17" s="8">
        <f>IF((0=1),SUMIFS('Daily evaluations'!$D$2:$D$36,'Daily evaluations'!$B$2:$B$36,"=random_01",'Daily evaluations'!$C$2:$C$36,"=d20270111"),"")</f>
      </c>
      <c r="CB17" s="8">
        <f>IF((0=1),SUMIFS('Daily evaluations'!$D$2:$D$36,'Daily evaluations'!$B$2:$B$36,"=random_01",'Daily evaluations'!$C$2:$C$36,"=d20270112"),"")</f>
      </c>
      <c r="CC17" s="8">
        <f>IF((0=1),SUMIFS('Daily evaluations'!$D$2:$D$36,'Daily evaluations'!$B$2:$B$36,"=random_01",'Daily evaluations'!$C$2:$C$36,"=d20270113"),"")</f>
      </c>
      <c r="CD17" s="8">
        <f>IF((0=1),SUMIFS('Daily evaluations'!$D$2:$D$36,'Daily evaluations'!$B$2:$B$36,"=random_01",'Daily evaluations'!$C$2:$C$36,"=d20270114"),"")</f>
      </c>
      <c r="CE17" s="8">
        <f>IF((0=1),SUMIFS('Daily evaluations'!$D$2:$D$36,'Daily evaluations'!$B$2:$B$36,"=random_01",'Daily evaluations'!$C$2:$C$36,"=d20270115"),"")</f>
      </c>
      <c r="CF17" s="8">
        <f>IF((0=1),SUMIFS('Daily evaluations'!$D$2:$D$36,'Daily evaluations'!$B$2:$B$36,"=random_01",'Daily evaluations'!$C$2:$C$36,"=d20270119"),"")</f>
      </c>
      <c r="CG17" s="8">
        <f>IF((0=1),SUMIFS('Daily evaluations'!$D$2:$D$36,'Daily evaluations'!$B$2:$B$36,"=random_01",'Daily evaluations'!$C$2:$C$36,"=d20270120"),"")</f>
      </c>
      <c r="CH17" s="8">
        <f>IF((0=1),SUMIFS('Daily evaluations'!$D$2:$D$36,'Daily evaluations'!$B$2:$B$36,"=random_01",'Daily evaluations'!$C$2:$C$36,"=d20270121"),"")</f>
      </c>
      <c r="CI17" s="8">
        <f>IF((0=1),SUMIFS('Daily evaluations'!$D$2:$D$36,'Daily evaluations'!$B$2:$B$36,"=random_01",'Daily evaluations'!$C$2:$C$36,"=d20270122"),"")</f>
      </c>
      <c r="CJ17" s="8">
        <f>IF((0=1),SUMIFS('Daily evaluations'!$D$2:$D$36,'Daily evaluations'!$B$2:$B$36,"=random_01",'Daily evaluations'!$C$2:$C$36,"=d20270125"),"")</f>
      </c>
      <c r="CK17" s="8">
        <f>IF((0=1),SUMIFS('Daily evaluations'!$D$2:$D$36,'Daily evaluations'!$B$2:$B$36,"=random_01",'Daily evaluations'!$C$2:$C$36,"=d20270126"),"")</f>
      </c>
      <c r="CL17" s="8">
        <f>IF((0=1),SUMIFS('Daily evaluations'!$D$2:$D$36,'Daily evaluations'!$B$2:$B$36,"=random_01",'Daily evaluations'!$C$2:$C$36,"=d20270127"),"")</f>
      </c>
      <c r="CM17" s="8">
        <f>IF((0=1),SUMIFS('Daily evaluations'!$D$2:$D$36,'Daily evaluations'!$B$2:$B$36,"=random_01",'Daily evaluations'!$C$2:$C$36,"=d20270128"),"")</f>
      </c>
      <c r="CN17" s="8">
        <f>IF((0=1),SUMIFS('Daily evaluations'!$D$2:$D$36,'Daily evaluations'!$B$2:$B$36,"=random_01",'Daily evaluations'!$C$2:$C$36,"=d20270129"),"")</f>
      </c>
      <c r="CO17" s="8">
        <f>IF((0=1),SUMIFS('Daily evaluations'!$D$2:$D$36,'Daily evaluations'!$B$2:$B$36,"=random_01",'Daily evaluations'!$C$2:$C$36,"=d20270201"),"")</f>
      </c>
      <c r="CP17" s="8">
        <f>IF((0=1),SUMIFS('Daily evaluations'!$D$2:$D$36,'Daily evaluations'!$B$2:$B$36,"=random_01",'Daily evaluations'!$C$2:$C$36,"=d20270202"),"")</f>
      </c>
      <c r="CQ17" s="8">
        <f>IF((0=1),SUMIFS('Daily evaluations'!$D$2:$D$36,'Daily evaluations'!$B$2:$B$36,"=random_01",'Daily evaluations'!$C$2:$C$36,"=d20270203"),"")</f>
      </c>
      <c r="CR17" s="8">
        <f>IF((0=1),SUMIFS('Daily evaluations'!$D$2:$D$36,'Daily evaluations'!$B$2:$B$36,"=random_01",'Daily evaluations'!$C$2:$C$36,"=d20270204"),"")</f>
      </c>
      <c r="CS17" s="8">
        <f>IF((0=1),SUMIFS('Daily evaluations'!$D$2:$D$36,'Daily evaluations'!$B$2:$B$36,"=random_01",'Daily evaluations'!$C$2:$C$36,"=d20270205"),"")</f>
      </c>
      <c r="CT17" s="8">
        <f>IF((0=1),SUMIFS('Daily evaluations'!$D$2:$D$36,'Daily evaluations'!$B$2:$B$36,"=random_01",'Daily evaluations'!$C$2:$C$36,"=d20270208"),"")</f>
      </c>
      <c r="CU17" s="8">
        <f>IF((0=1),SUMIFS('Daily evaluations'!$D$2:$D$36,'Daily evaluations'!$B$2:$B$36,"=random_01",'Daily evaluations'!$C$2:$C$36,"=d20270209"),"")</f>
      </c>
      <c r="CV17" s="8">
        <f>IF((0=1),SUMIFS('Daily evaluations'!$D$2:$D$36,'Daily evaluations'!$B$2:$B$36,"=random_01",'Daily evaluations'!$C$2:$C$36,"=d20270210"),"")</f>
      </c>
      <c r="CW17" s="8">
        <f>IF((0=1),SUMIFS('Daily evaluations'!$D$2:$D$36,'Daily evaluations'!$B$2:$B$36,"=random_01",'Daily evaluations'!$C$2:$C$36,"=d20270211"),"")</f>
      </c>
      <c r="CX17" s="8">
        <f>IF((0=1),SUMIFS('Daily evaluations'!$D$2:$D$36,'Daily evaluations'!$B$2:$B$36,"=random_01",'Daily evaluations'!$C$2:$C$36,"=d20270212"),"")</f>
      </c>
    </row>
    <row r="18">
      <c r="A18" s="0" t="inlineStr">
        <is>
          <t xml:space="preserve">Sector-neutral overnight excess, bps</t>
        </is>
      </c>
      <c r="B18" s="0" t="inlineStr">
        <is>
          <t xml:space="preserve">Random 2</t>
        </is>
      </c>
      <c r="C18" s="8">
        <f>IF((1=1),SUMIFS('Daily evaluations'!$D$2:$D$36,'Daily evaluations'!$B$2:$B$36,"=random_02",'Daily evaluations'!$C$2:$C$36,"=d20260922"),"")</f>
        <v>0.703</v>
      </c>
      <c r="D18" s="8">
        <f>IF((0=1),SUMIFS('Daily evaluations'!$D$2:$D$36,'Daily evaluations'!$B$2:$B$36,"=random_02",'Daily evaluations'!$C$2:$C$36,"=d20260923"),"")</f>
      </c>
      <c r="E18" s="8">
        <f>IF((0=1),SUMIFS('Daily evaluations'!$D$2:$D$36,'Daily evaluations'!$B$2:$B$36,"=random_02",'Daily evaluations'!$C$2:$C$36,"=d20260924"),"")</f>
      </c>
      <c r="F18" s="8">
        <f>IF((0=1),SUMIFS('Daily evaluations'!$D$2:$D$36,'Daily evaluations'!$B$2:$B$36,"=random_02",'Daily evaluations'!$C$2:$C$36,"=d20260925"),"")</f>
      </c>
      <c r="G18" s="8">
        <f>IF((0=1),SUMIFS('Daily evaluations'!$D$2:$D$36,'Daily evaluations'!$B$2:$B$36,"=random_02",'Daily evaluations'!$C$2:$C$36,"=d20260928"),"")</f>
      </c>
      <c r="H18" s="8">
        <f>IF((0=1),SUMIFS('Daily evaluations'!$D$2:$D$36,'Daily evaluations'!$B$2:$B$36,"=random_02",'Daily evaluations'!$C$2:$C$36,"=d20260929"),"")</f>
      </c>
      <c r="I18" s="8">
        <f>IF((0=1),SUMIFS('Daily evaluations'!$D$2:$D$36,'Daily evaluations'!$B$2:$B$36,"=random_02",'Daily evaluations'!$C$2:$C$36,"=d20260930"),"")</f>
      </c>
      <c r="J18" s="8">
        <f>IF((0=1),SUMIFS('Daily evaluations'!$D$2:$D$36,'Daily evaluations'!$B$2:$B$36,"=random_02",'Daily evaluations'!$C$2:$C$36,"=d20261001"),"")</f>
      </c>
      <c r="K18" s="8">
        <f>IF((0=1),SUMIFS('Daily evaluations'!$D$2:$D$36,'Daily evaluations'!$B$2:$B$36,"=random_02",'Daily evaluations'!$C$2:$C$36,"=d20261002"),"")</f>
      </c>
      <c r="L18" s="8">
        <f>IF((0=1),SUMIFS('Daily evaluations'!$D$2:$D$36,'Daily evaluations'!$B$2:$B$36,"=random_02",'Daily evaluations'!$C$2:$C$36,"=d20261005"),"")</f>
      </c>
      <c r="M18" s="8">
        <f>IF((0=1),SUMIFS('Daily evaluations'!$D$2:$D$36,'Daily evaluations'!$B$2:$B$36,"=random_02",'Daily evaluations'!$C$2:$C$36,"=d20261006"),"")</f>
      </c>
      <c r="N18" s="8">
        <f>IF((0=1),SUMIFS('Daily evaluations'!$D$2:$D$36,'Daily evaluations'!$B$2:$B$36,"=random_02",'Daily evaluations'!$C$2:$C$36,"=d20261007"),"")</f>
      </c>
      <c r="O18" s="8">
        <f>IF((0=1),SUMIFS('Daily evaluations'!$D$2:$D$36,'Daily evaluations'!$B$2:$B$36,"=random_02",'Daily evaluations'!$C$2:$C$36,"=d20261008"),"")</f>
      </c>
      <c r="P18" s="8">
        <f>IF((0=1),SUMIFS('Daily evaluations'!$D$2:$D$36,'Daily evaluations'!$B$2:$B$36,"=random_02",'Daily evaluations'!$C$2:$C$36,"=d20261009"),"")</f>
      </c>
      <c r="Q18" s="8">
        <f>IF((0=1),SUMIFS('Daily evaluations'!$D$2:$D$36,'Daily evaluations'!$B$2:$B$36,"=random_02",'Daily evaluations'!$C$2:$C$36,"=d20261012"),"")</f>
      </c>
      <c r="R18" s="8">
        <f>IF((0=1),SUMIFS('Daily evaluations'!$D$2:$D$36,'Daily evaluations'!$B$2:$B$36,"=random_02",'Daily evaluations'!$C$2:$C$36,"=d20261013"),"")</f>
      </c>
      <c r="S18" s="8">
        <f>IF((0=1),SUMIFS('Daily evaluations'!$D$2:$D$36,'Daily evaluations'!$B$2:$B$36,"=random_02",'Daily evaluations'!$C$2:$C$36,"=d20261014"),"")</f>
      </c>
      <c r="T18" s="8">
        <f>IF((0=1),SUMIFS('Daily evaluations'!$D$2:$D$36,'Daily evaluations'!$B$2:$B$36,"=random_02",'Daily evaluations'!$C$2:$C$36,"=d20261015"),"")</f>
      </c>
      <c r="U18" s="8">
        <f>IF((0=1),SUMIFS('Daily evaluations'!$D$2:$D$36,'Daily evaluations'!$B$2:$B$36,"=random_02",'Daily evaluations'!$C$2:$C$36,"=d20261016"),"")</f>
      </c>
      <c r="V18" s="8">
        <f>IF((0=1),SUMIFS('Daily evaluations'!$D$2:$D$36,'Daily evaluations'!$B$2:$B$36,"=random_02",'Daily evaluations'!$C$2:$C$36,"=d20261019"),"")</f>
      </c>
      <c r="W18" s="8">
        <f>IF((0=1),SUMIFS('Daily evaluations'!$D$2:$D$36,'Daily evaluations'!$B$2:$B$36,"=random_02",'Daily evaluations'!$C$2:$C$36,"=d20261020"),"")</f>
      </c>
      <c r="X18" s="8">
        <f>IF((0=1),SUMIFS('Daily evaluations'!$D$2:$D$36,'Daily evaluations'!$B$2:$B$36,"=random_02",'Daily evaluations'!$C$2:$C$36,"=d20261021"),"")</f>
      </c>
      <c r="Y18" s="8">
        <f>IF((0=1),SUMIFS('Daily evaluations'!$D$2:$D$36,'Daily evaluations'!$B$2:$B$36,"=random_02",'Daily evaluations'!$C$2:$C$36,"=d20261022"),"")</f>
      </c>
      <c r="Z18" s="8">
        <f>IF((0=1),SUMIFS('Daily evaluations'!$D$2:$D$36,'Daily evaluations'!$B$2:$B$36,"=random_02",'Daily evaluations'!$C$2:$C$36,"=d20261023"),"")</f>
      </c>
      <c r="AA18" s="8">
        <f>IF((0=1),SUMIFS('Daily evaluations'!$D$2:$D$36,'Daily evaluations'!$B$2:$B$36,"=random_02",'Daily evaluations'!$C$2:$C$36,"=d20261026"),"")</f>
      </c>
      <c r="AB18" s="8">
        <f>IF((0=1),SUMIFS('Daily evaluations'!$D$2:$D$36,'Daily evaluations'!$B$2:$B$36,"=random_02",'Daily evaluations'!$C$2:$C$36,"=d20261027"),"")</f>
      </c>
      <c r="AC18" s="8">
        <f>IF((0=1),SUMIFS('Daily evaluations'!$D$2:$D$36,'Daily evaluations'!$B$2:$B$36,"=random_02",'Daily evaluations'!$C$2:$C$36,"=d20261028"),"")</f>
      </c>
      <c r="AD18" s="8">
        <f>IF((0=1),SUMIFS('Daily evaluations'!$D$2:$D$36,'Daily evaluations'!$B$2:$B$36,"=random_02",'Daily evaluations'!$C$2:$C$36,"=d20261029"),"")</f>
      </c>
      <c r="AE18" s="8">
        <f>IF((0=1),SUMIFS('Daily evaluations'!$D$2:$D$36,'Daily evaluations'!$B$2:$B$36,"=random_02",'Daily evaluations'!$C$2:$C$36,"=d20261030"),"")</f>
      </c>
      <c r="AF18" s="8">
        <f>IF((0=1),SUMIFS('Daily evaluations'!$D$2:$D$36,'Daily evaluations'!$B$2:$B$36,"=random_02",'Daily evaluations'!$C$2:$C$36,"=d20261102"),"")</f>
      </c>
      <c r="AG18" s="8">
        <f>IF((0=1),SUMIFS('Daily evaluations'!$D$2:$D$36,'Daily evaluations'!$B$2:$B$36,"=random_02",'Daily evaluations'!$C$2:$C$36,"=d20261103"),"")</f>
      </c>
      <c r="AH18" s="8">
        <f>IF((0=1),SUMIFS('Daily evaluations'!$D$2:$D$36,'Daily evaluations'!$B$2:$B$36,"=random_02",'Daily evaluations'!$C$2:$C$36,"=d20261104"),"")</f>
      </c>
      <c r="AI18" s="8">
        <f>IF((0=1),SUMIFS('Daily evaluations'!$D$2:$D$36,'Daily evaluations'!$B$2:$B$36,"=random_02",'Daily evaluations'!$C$2:$C$36,"=d20261105"),"")</f>
      </c>
      <c r="AJ18" s="8">
        <f>IF((0=1),SUMIFS('Daily evaluations'!$D$2:$D$36,'Daily evaluations'!$B$2:$B$36,"=random_02",'Daily evaluations'!$C$2:$C$36,"=d20261106"),"")</f>
      </c>
      <c r="AK18" s="8">
        <f>IF((0=1),SUMIFS('Daily evaluations'!$D$2:$D$36,'Daily evaluations'!$B$2:$B$36,"=random_02",'Daily evaluations'!$C$2:$C$36,"=d20261109"),"")</f>
      </c>
      <c r="AL18" s="8">
        <f>IF((0=1),SUMIFS('Daily evaluations'!$D$2:$D$36,'Daily evaluations'!$B$2:$B$36,"=random_02",'Daily evaluations'!$C$2:$C$36,"=d20261110"),"")</f>
      </c>
      <c r="AM18" s="8">
        <f>IF((0=1),SUMIFS('Daily evaluations'!$D$2:$D$36,'Daily evaluations'!$B$2:$B$36,"=random_02",'Daily evaluations'!$C$2:$C$36,"=d20261111"),"")</f>
      </c>
      <c r="AN18" s="8">
        <f>IF((0=1),SUMIFS('Daily evaluations'!$D$2:$D$36,'Daily evaluations'!$B$2:$B$36,"=random_02",'Daily evaluations'!$C$2:$C$36,"=d20261112"),"")</f>
      </c>
      <c r="AO18" s="8">
        <f>IF((0=1),SUMIFS('Daily evaluations'!$D$2:$D$36,'Daily evaluations'!$B$2:$B$36,"=random_02",'Daily evaluations'!$C$2:$C$36,"=d20261113"),"")</f>
      </c>
      <c r="AP18" s="8">
        <f>IF((0=1),SUMIFS('Daily evaluations'!$D$2:$D$36,'Daily evaluations'!$B$2:$B$36,"=random_02",'Daily evaluations'!$C$2:$C$36,"=d20261116"),"")</f>
      </c>
      <c r="AQ18" s="8">
        <f>IF((0=1),SUMIFS('Daily evaluations'!$D$2:$D$36,'Daily evaluations'!$B$2:$B$36,"=random_02",'Daily evaluations'!$C$2:$C$36,"=d20261117"),"")</f>
      </c>
      <c r="AR18" s="8">
        <f>IF((0=1),SUMIFS('Daily evaluations'!$D$2:$D$36,'Daily evaluations'!$B$2:$B$36,"=random_02",'Daily evaluations'!$C$2:$C$36,"=d20261118"),"")</f>
      </c>
      <c r="AS18" s="8">
        <f>IF((0=1),SUMIFS('Daily evaluations'!$D$2:$D$36,'Daily evaluations'!$B$2:$B$36,"=random_02",'Daily evaluations'!$C$2:$C$36,"=d20261119"),"")</f>
      </c>
      <c r="AT18" s="8">
        <f>IF((0=1),SUMIFS('Daily evaluations'!$D$2:$D$36,'Daily evaluations'!$B$2:$B$36,"=random_02",'Daily evaluations'!$C$2:$C$36,"=d20261120"),"")</f>
      </c>
      <c r="AU18" s="8">
        <f>IF((0=1),SUMIFS('Daily evaluations'!$D$2:$D$36,'Daily evaluations'!$B$2:$B$36,"=random_02",'Daily evaluations'!$C$2:$C$36,"=d20261123"),"")</f>
      </c>
      <c r="AV18" s="8">
        <f>IF((0=1),SUMIFS('Daily evaluations'!$D$2:$D$36,'Daily evaluations'!$B$2:$B$36,"=random_02",'Daily evaluations'!$C$2:$C$36,"=d20261124"),"")</f>
      </c>
      <c r="AW18" s="8">
        <f>IF((0=1),SUMIFS('Daily evaluations'!$D$2:$D$36,'Daily evaluations'!$B$2:$B$36,"=random_02",'Daily evaluations'!$C$2:$C$36,"=d20261125"),"")</f>
      </c>
      <c r="AX18" s="8">
        <f>IF((0=1),SUMIFS('Daily evaluations'!$D$2:$D$36,'Daily evaluations'!$B$2:$B$36,"=random_02",'Daily evaluations'!$C$2:$C$36,"=d20261127"),"")</f>
      </c>
      <c r="AY18" s="8">
        <f>IF((0=1),SUMIFS('Daily evaluations'!$D$2:$D$36,'Daily evaluations'!$B$2:$B$36,"=random_02",'Daily evaluations'!$C$2:$C$36,"=d20261130"),"")</f>
      </c>
      <c r="AZ18" s="8">
        <f>IF((0=1),SUMIFS('Daily evaluations'!$D$2:$D$36,'Daily evaluations'!$B$2:$B$36,"=random_02",'Daily evaluations'!$C$2:$C$36,"=d20261201"),"")</f>
      </c>
      <c r="BA18" s="8">
        <f>IF((0=1),SUMIFS('Daily evaluations'!$D$2:$D$36,'Daily evaluations'!$B$2:$B$36,"=random_02",'Daily evaluations'!$C$2:$C$36,"=d20261202"),"")</f>
      </c>
      <c r="BB18" s="8">
        <f>IF((0=1),SUMIFS('Daily evaluations'!$D$2:$D$36,'Daily evaluations'!$B$2:$B$36,"=random_02",'Daily evaluations'!$C$2:$C$36,"=d20261203"),"")</f>
      </c>
      <c r="BC18" s="8">
        <f>IF((0=1),SUMIFS('Daily evaluations'!$D$2:$D$36,'Daily evaluations'!$B$2:$B$36,"=random_02",'Daily evaluations'!$C$2:$C$36,"=d20261204"),"")</f>
      </c>
      <c r="BD18" s="8">
        <f>IF((0=1),SUMIFS('Daily evaluations'!$D$2:$D$36,'Daily evaluations'!$B$2:$B$36,"=random_02",'Daily evaluations'!$C$2:$C$36,"=d20261207"),"")</f>
      </c>
      <c r="BE18" s="8">
        <f>IF((0=1),SUMIFS('Daily evaluations'!$D$2:$D$36,'Daily evaluations'!$B$2:$B$36,"=random_02",'Daily evaluations'!$C$2:$C$36,"=d20261208"),"")</f>
      </c>
      <c r="BF18" s="8">
        <f>IF((0=1),SUMIFS('Daily evaluations'!$D$2:$D$36,'Daily evaluations'!$B$2:$B$36,"=random_02",'Daily evaluations'!$C$2:$C$36,"=d20261209"),"")</f>
      </c>
      <c r="BG18" s="8">
        <f>IF((0=1),SUMIFS('Daily evaluations'!$D$2:$D$36,'Daily evaluations'!$B$2:$B$36,"=random_02",'Daily evaluations'!$C$2:$C$36,"=d20261210"),"")</f>
      </c>
      <c r="BH18" s="8">
        <f>IF((0=1),SUMIFS('Daily evaluations'!$D$2:$D$36,'Daily evaluations'!$B$2:$B$36,"=random_02",'Daily evaluations'!$C$2:$C$36,"=d20261211"),"")</f>
      </c>
      <c r="BI18" s="8">
        <f>IF((0=1),SUMIFS('Daily evaluations'!$D$2:$D$36,'Daily evaluations'!$B$2:$B$36,"=random_02",'Daily evaluations'!$C$2:$C$36,"=d20261214"),"")</f>
      </c>
      <c r="BJ18" s="8">
        <f>IF((0=1),SUMIFS('Daily evaluations'!$D$2:$D$36,'Daily evaluations'!$B$2:$B$36,"=random_02",'Daily evaluations'!$C$2:$C$36,"=d20261215"),"")</f>
      </c>
      <c r="BK18" s="8">
        <f>IF((0=1),SUMIFS('Daily evaluations'!$D$2:$D$36,'Daily evaluations'!$B$2:$B$36,"=random_02",'Daily evaluations'!$C$2:$C$36,"=d20261216"),"")</f>
      </c>
      <c r="BL18" s="8">
        <f>IF((0=1),SUMIFS('Daily evaluations'!$D$2:$D$36,'Daily evaluations'!$B$2:$B$36,"=random_02",'Daily evaluations'!$C$2:$C$36,"=d20261217"),"")</f>
      </c>
      <c r="BM18" s="8">
        <f>IF((0=1),SUMIFS('Daily evaluations'!$D$2:$D$36,'Daily evaluations'!$B$2:$B$36,"=random_02",'Daily evaluations'!$C$2:$C$36,"=d20261218"),"")</f>
      </c>
      <c r="BN18" s="8">
        <f>IF((0=1),SUMIFS('Daily evaluations'!$D$2:$D$36,'Daily evaluations'!$B$2:$B$36,"=random_02",'Daily evaluations'!$C$2:$C$36,"=d20261221"),"")</f>
      </c>
      <c r="BO18" s="8">
        <f>IF((0=1),SUMIFS('Daily evaluations'!$D$2:$D$36,'Daily evaluations'!$B$2:$B$36,"=random_02",'Daily evaluations'!$C$2:$C$36,"=d20261222"),"")</f>
      </c>
      <c r="BP18" s="8">
        <f>IF((0=1),SUMIFS('Daily evaluations'!$D$2:$D$36,'Daily evaluations'!$B$2:$B$36,"=random_02",'Daily evaluations'!$C$2:$C$36,"=d20261223"),"")</f>
      </c>
      <c r="BQ18" s="8">
        <f>IF((0=1),SUMIFS('Daily evaluations'!$D$2:$D$36,'Daily evaluations'!$B$2:$B$36,"=random_02",'Daily evaluations'!$C$2:$C$36,"=d20261224"),"")</f>
      </c>
      <c r="BR18" s="8">
        <f>IF((0=1),SUMIFS('Daily evaluations'!$D$2:$D$36,'Daily evaluations'!$B$2:$B$36,"=random_02",'Daily evaluations'!$C$2:$C$36,"=d20261228"),"")</f>
      </c>
      <c r="BS18" s="8">
        <f>IF((0=1),SUMIFS('Daily evaluations'!$D$2:$D$36,'Daily evaluations'!$B$2:$B$36,"=random_02",'Daily evaluations'!$C$2:$C$36,"=d20261229"),"")</f>
      </c>
      <c r="BT18" s="8">
        <f>IF((0=1),SUMIFS('Daily evaluations'!$D$2:$D$36,'Daily evaluations'!$B$2:$B$36,"=random_02",'Daily evaluations'!$C$2:$C$36,"=d20261230"),"")</f>
      </c>
      <c r="BU18" s="8">
        <f>IF((0=1),SUMIFS('Daily evaluations'!$D$2:$D$36,'Daily evaluations'!$B$2:$B$36,"=random_02",'Daily evaluations'!$C$2:$C$36,"=d20261231"),"")</f>
      </c>
      <c r="BV18" s="8">
        <f>IF((0=1),SUMIFS('Daily evaluations'!$D$2:$D$36,'Daily evaluations'!$B$2:$B$36,"=random_02",'Daily evaluations'!$C$2:$C$36,"=d20270104"),"")</f>
      </c>
      <c r="BW18" s="8">
        <f>IF((0=1),SUMIFS('Daily evaluations'!$D$2:$D$36,'Daily evaluations'!$B$2:$B$36,"=random_02",'Daily evaluations'!$C$2:$C$36,"=d20270105"),"")</f>
      </c>
      <c r="BX18" s="8">
        <f>IF((0=1),SUMIFS('Daily evaluations'!$D$2:$D$36,'Daily evaluations'!$B$2:$B$36,"=random_02",'Daily evaluations'!$C$2:$C$36,"=d20270106"),"")</f>
      </c>
      <c r="BY18" s="8">
        <f>IF((0=1),SUMIFS('Daily evaluations'!$D$2:$D$36,'Daily evaluations'!$B$2:$B$36,"=random_02",'Daily evaluations'!$C$2:$C$36,"=d20270107"),"")</f>
      </c>
      <c r="BZ18" s="8">
        <f>IF((0=1),SUMIFS('Daily evaluations'!$D$2:$D$36,'Daily evaluations'!$B$2:$B$36,"=random_02",'Daily evaluations'!$C$2:$C$36,"=d20270108"),"")</f>
      </c>
      <c r="CA18" s="8">
        <f>IF((0=1),SUMIFS('Daily evaluations'!$D$2:$D$36,'Daily evaluations'!$B$2:$B$36,"=random_02",'Daily evaluations'!$C$2:$C$36,"=d20270111"),"")</f>
      </c>
      <c r="CB18" s="8">
        <f>IF((0=1),SUMIFS('Daily evaluations'!$D$2:$D$36,'Daily evaluations'!$B$2:$B$36,"=random_02",'Daily evaluations'!$C$2:$C$36,"=d20270112"),"")</f>
      </c>
      <c r="CC18" s="8">
        <f>IF((0=1),SUMIFS('Daily evaluations'!$D$2:$D$36,'Daily evaluations'!$B$2:$B$36,"=random_02",'Daily evaluations'!$C$2:$C$36,"=d20270113"),"")</f>
      </c>
      <c r="CD18" s="8">
        <f>IF((0=1),SUMIFS('Daily evaluations'!$D$2:$D$36,'Daily evaluations'!$B$2:$B$36,"=random_02",'Daily evaluations'!$C$2:$C$36,"=d20270114"),"")</f>
      </c>
      <c r="CE18" s="8">
        <f>IF((0=1),SUMIFS('Daily evaluations'!$D$2:$D$36,'Daily evaluations'!$B$2:$B$36,"=random_02",'Daily evaluations'!$C$2:$C$36,"=d20270115"),"")</f>
      </c>
      <c r="CF18" s="8">
        <f>IF((0=1),SUMIFS('Daily evaluations'!$D$2:$D$36,'Daily evaluations'!$B$2:$B$36,"=random_02",'Daily evaluations'!$C$2:$C$36,"=d20270119"),"")</f>
      </c>
      <c r="CG18" s="8">
        <f>IF((0=1),SUMIFS('Daily evaluations'!$D$2:$D$36,'Daily evaluations'!$B$2:$B$36,"=random_02",'Daily evaluations'!$C$2:$C$36,"=d20270120"),"")</f>
      </c>
      <c r="CH18" s="8">
        <f>IF((0=1),SUMIFS('Daily evaluations'!$D$2:$D$36,'Daily evaluations'!$B$2:$B$36,"=random_02",'Daily evaluations'!$C$2:$C$36,"=d20270121"),"")</f>
      </c>
      <c r="CI18" s="8">
        <f>IF((0=1),SUMIFS('Daily evaluations'!$D$2:$D$36,'Daily evaluations'!$B$2:$B$36,"=random_02",'Daily evaluations'!$C$2:$C$36,"=d20270122"),"")</f>
      </c>
      <c r="CJ18" s="8">
        <f>IF((0=1),SUMIFS('Daily evaluations'!$D$2:$D$36,'Daily evaluations'!$B$2:$B$36,"=random_02",'Daily evaluations'!$C$2:$C$36,"=d20270125"),"")</f>
      </c>
      <c r="CK18" s="8">
        <f>IF((0=1),SUMIFS('Daily evaluations'!$D$2:$D$36,'Daily evaluations'!$B$2:$B$36,"=random_02",'Daily evaluations'!$C$2:$C$36,"=d20270126"),"")</f>
      </c>
      <c r="CL18" s="8">
        <f>IF((0=1),SUMIFS('Daily evaluations'!$D$2:$D$36,'Daily evaluations'!$B$2:$B$36,"=random_02",'Daily evaluations'!$C$2:$C$36,"=d20270127"),"")</f>
      </c>
      <c r="CM18" s="8">
        <f>IF((0=1),SUMIFS('Daily evaluations'!$D$2:$D$36,'Daily evaluations'!$B$2:$B$36,"=random_02",'Daily evaluations'!$C$2:$C$36,"=d20270128"),"")</f>
      </c>
      <c r="CN18" s="8">
        <f>IF((0=1),SUMIFS('Daily evaluations'!$D$2:$D$36,'Daily evaluations'!$B$2:$B$36,"=random_02",'Daily evaluations'!$C$2:$C$36,"=d20270129"),"")</f>
      </c>
      <c r="CO18" s="8">
        <f>IF((0=1),SUMIFS('Daily evaluations'!$D$2:$D$36,'Daily evaluations'!$B$2:$B$36,"=random_02",'Daily evaluations'!$C$2:$C$36,"=d20270201"),"")</f>
      </c>
      <c r="CP18" s="8">
        <f>IF((0=1),SUMIFS('Daily evaluations'!$D$2:$D$36,'Daily evaluations'!$B$2:$B$36,"=random_02",'Daily evaluations'!$C$2:$C$36,"=d20270202"),"")</f>
      </c>
      <c r="CQ18" s="8">
        <f>IF((0=1),SUMIFS('Daily evaluations'!$D$2:$D$36,'Daily evaluations'!$B$2:$B$36,"=random_02",'Daily evaluations'!$C$2:$C$36,"=d20270203"),"")</f>
      </c>
      <c r="CR18" s="8">
        <f>IF((0=1),SUMIFS('Daily evaluations'!$D$2:$D$36,'Daily evaluations'!$B$2:$B$36,"=random_02",'Daily evaluations'!$C$2:$C$36,"=d20270204"),"")</f>
      </c>
      <c r="CS18" s="8">
        <f>IF((0=1),SUMIFS('Daily evaluations'!$D$2:$D$36,'Daily evaluations'!$B$2:$B$36,"=random_02",'Daily evaluations'!$C$2:$C$36,"=d20270205"),"")</f>
      </c>
      <c r="CT18" s="8">
        <f>IF((0=1),SUMIFS('Daily evaluations'!$D$2:$D$36,'Daily evaluations'!$B$2:$B$36,"=random_02",'Daily evaluations'!$C$2:$C$36,"=d20270208"),"")</f>
      </c>
      <c r="CU18" s="8">
        <f>IF((0=1),SUMIFS('Daily evaluations'!$D$2:$D$36,'Daily evaluations'!$B$2:$B$36,"=random_02",'Daily evaluations'!$C$2:$C$36,"=d20270209"),"")</f>
      </c>
      <c r="CV18" s="8">
        <f>IF((0=1),SUMIFS('Daily evaluations'!$D$2:$D$36,'Daily evaluations'!$B$2:$B$36,"=random_02",'Daily evaluations'!$C$2:$C$36,"=d20270210"),"")</f>
      </c>
      <c r="CW18" s="8">
        <f>IF((0=1),SUMIFS('Daily evaluations'!$D$2:$D$36,'Daily evaluations'!$B$2:$B$36,"=random_02",'Daily evaluations'!$C$2:$C$36,"=d20270211"),"")</f>
      </c>
      <c r="CX18" s="8">
        <f>IF((0=1),SUMIFS('Daily evaluations'!$D$2:$D$36,'Daily evaluations'!$B$2:$B$36,"=random_02",'Daily evaluations'!$C$2:$C$36,"=d20270212"),"")</f>
      </c>
    </row>
    <row r="19">
      <c r="A19" s="0" t="inlineStr">
        <is>
          <t xml:space="preserve">Sector-neutral overnight excess, bps</t>
        </is>
      </c>
      <c r="B19" s="0" t="inlineStr">
        <is>
          <t xml:space="preserve">Random 3</t>
        </is>
      </c>
      <c r="C19" s="8">
        <f>IF((1=1),SUMIFS('Daily evaluations'!$D$2:$D$36,'Daily evaluations'!$B$2:$B$36,"=random_03",'Daily evaluations'!$C$2:$C$36,"=d20260922"),"")</f>
        <v>4.62</v>
      </c>
      <c r="D19" s="8">
        <f>IF((0=1),SUMIFS('Daily evaluations'!$D$2:$D$36,'Daily evaluations'!$B$2:$B$36,"=random_03",'Daily evaluations'!$C$2:$C$36,"=d20260923"),"")</f>
      </c>
      <c r="E19" s="8">
        <f>IF((0=1),SUMIFS('Daily evaluations'!$D$2:$D$36,'Daily evaluations'!$B$2:$B$36,"=random_03",'Daily evaluations'!$C$2:$C$36,"=d20260924"),"")</f>
      </c>
      <c r="F19" s="8">
        <f>IF((0=1),SUMIFS('Daily evaluations'!$D$2:$D$36,'Daily evaluations'!$B$2:$B$36,"=random_03",'Daily evaluations'!$C$2:$C$36,"=d20260925"),"")</f>
      </c>
      <c r="G19" s="8">
        <f>IF((0=1),SUMIFS('Daily evaluations'!$D$2:$D$36,'Daily evaluations'!$B$2:$B$36,"=random_03",'Daily evaluations'!$C$2:$C$36,"=d20260928"),"")</f>
      </c>
      <c r="H19" s="8">
        <f>IF((0=1),SUMIFS('Daily evaluations'!$D$2:$D$36,'Daily evaluations'!$B$2:$B$36,"=random_03",'Daily evaluations'!$C$2:$C$36,"=d20260929"),"")</f>
      </c>
      <c r="I19" s="8">
        <f>IF((0=1),SUMIFS('Daily evaluations'!$D$2:$D$36,'Daily evaluations'!$B$2:$B$36,"=random_03",'Daily evaluations'!$C$2:$C$36,"=d20260930"),"")</f>
      </c>
      <c r="J19" s="8">
        <f>IF((0=1),SUMIFS('Daily evaluations'!$D$2:$D$36,'Daily evaluations'!$B$2:$B$36,"=random_03",'Daily evaluations'!$C$2:$C$36,"=d20261001"),"")</f>
      </c>
      <c r="K19" s="8">
        <f>IF((0=1),SUMIFS('Daily evaluations'!$D$2:$D$36,'Daily evaluations'!$B$2:$B$36,"=random_03",'Daily evaluations'!$C$2:$C$36,"=d20261002"),"")</f>
      </c>
      <c r="L19" s="8">
        <f>IF((0=1),SUMIFS('Daily evaluations'!$D$2:$D$36,'Daily evaluations'!$B$2:$B$36,"=random_03",'Daily evaluations'!$C$2:$C$36,"=d20261005"),"")</f>
      </c>
      <c r="M19" s="8">
        <f>IF((0=1),SUMIFS('Daily evaluations'!$D$2:$D$36,'Daily evaluations'!$B$2:$B$36,"=random_03",'Daily evaluations'!$C$2:$C$36,"=d20261006"),"")</f>
      </c>
      <c r="N19" s="8">
        <f>IF((0=1),SUMIFS('Daily evaluations'!$D$2:$D$36,'Daily evaluations'!$B$2:$B$36,"=random_03",'Daily evaluations'!$C$2:$C$36,"=d20261007"),"")</f>
      </c>
      <c r="O19" s="8">
        <f>IF((0=1),SUMIFS('Daily evaluations'!$D$2:$D$36,'Daily evaluations'!$B$2:$B$36,"=random_03",'Daily evaluations'!$C$2:$C$36,"=d20261008"),"")</f>
      </c>
      <c r="P19" s="8">
        <f>IF((0=1),SUMIFS('Daily evaluations'!$D$2:$D$36,'Daily evaluations'!$B$2:$B$36,"=random_03",'Daily evaluations'!$C$2:$C$36,"=d20261009"),"")</f>
      </c>
      <c r="Q19" s="8">
        <f>IF((0=1),SUMIFS('Daily evaluations'!$D$2:$D$36,'Daily evaluations'!$B$2:$B$36,"=random_03",'Daily evaluations'!$C$2:$C$36,"=d20261012"),"")</f>
      </c>
      <c r="R19" s="8">
        <f>IF((0=1),SUMIFS('Daily evaluations'!$D$2:$D$36,'Daily evaluations'!$B$2:$B$36,"=random_03",'Daily evaluations'!$C$2:$C$36,"=d20261013"),"")</f>
      </c>
      <c r="S19" s="8">
        <f>IF((0=1),SUMIFS('Daily evaluations'!$D$2:$D$36,'Daily evaluations'!$B$2:$B$36,"=random_03",'Daily evaluations'!$C$2:$C$36,"=d20261014"),"")</f>
      </c>
      <c r="T19" s="8">
        <f>IF((0=1),SUMIFS('Daily evaluations'!$D$2:$D$36,'Daily evaluations'!$B$2:$B$36,"=random_03",'Daily evaluations'!$C$2:$C$36,"=d20261015"),"")</f>
      </c>
      <c r="U19" s="8">
        <f>IF((0=1),SUMIFS('Daily evaluations'!$D$2:$D$36,'Daily evaluations'!$B$2:$B$36,"=random_03",'Daily evaluations'!$C$2:$C$36,"=d20261016"),"")</f>
      </c>
      <c r="V19" s="8">
        <f>IF((0=1),SUMIFS('Daily evaluations'!$D$2:$D$36,'Daily evaluations'!$B$2:$B$36,"=random_03",'Daily evaluations'!$C$2:$C$36,"=d20261019"),"")</f>
      </c>
      <c r="W19" s="8">
        <f>IF((0=1),SUMIFS('Daily evaluations'!$D$2:$D$36,'Daily evaluations'!$B$2:$B$36,"=random_03",'Daily evaluations'!$C$2:$C$36,"=d20261020"),"")</f>
      </c>
      <c r="X19" s="8">
        <f>IF((0=1),SUMIFS('Daily evaluations'!$D$2:$D$36,'Daily evaluations'!$B$2:$B$36,"=random_03",'Daily evaluations'!$C$2:$C$36,"=d20261021"),"")</f>
      </c>
      <c r="Y19" s="8">
        <f>IF((0=1),SUMIFS('Daily evaluations'!$D$2:$D$36,'Daily evaluations'!$B$2:$B$36,"=random_03",'Daily evaluations'!$C$2:$C$36,"=d20261022"),"")</f>
      </c>
      <c r="Z19" s="8">
        <f>IF((0=1),SUMIFS('Daily evaluations'!$D$2:$D$36,'Daily evaluations'!$B$2:$B$36,"=random_03",'Daily evaluations'!$C$2:$C$36,"=d20261023"),"")</f>
      </c>
      <c r="AA19" s="8">
        <f>IF((0=1),SUMIFS('Daily evaluations'!$D$2:$D$36,'Daily evaluations'!$B$2:$B$36,"=random_03",'Daily evaluations'!$C$2:$C$36,"=d20261026"),"")</f>
      </c>
      <c r="AB19" s="8">
        <f>IF((0=1),SUMIFS('Daily evaluations'!$D$2:$D$36,'Daily evaluations'!$B$2:$B$36,"=random_03",'Daily evaluations'!$C$2:$C$36,"=d20261027"),"")</f>
      </c>
      <c r="AC19" s="8">
        <f>IF((0=1),SUMIFS('Daily evaluations'!$D$2:$D$36,'Daily evaluations'!$B$2:$B$36,"=random_03",'Daily evaluations'!$C$2:$C$36,"=d20261028"),"")</f>
      </c>
      <c r="AD19" s="8">
        <f>IF((0=1),SUMIFS('Daily evaluations'!$D$2:$D$36,'Daily evaluations'!$B$2:$B$36,"=random_03",'Daily evaluations'!$C$2:$C$36,"=d20261029"),"")</f>
      </c>
      <c r="AE19" s="8">
        <f>IF((0=1),SUMIFS('Daily evaluations'!$D$2:$D$36,'Daily evaluations'!$B$2:$B$36,"=random_03",'Daily evaluations'!$C$2:$C$36,"=d20261030"),"")</f>
      </c>
      <c r="AF19" s="8">
        <f>IF((0=1),SUMIFS('Daily evaluations'!$D$2:$D$36,'Daily evaluations'!$B$2:$B$36,"=random_03",'Daily evaluations'!$C$2:$C$36,"=d20261102"),"")</f>
      </c>
      <c r="AG19" s="8">
        <f>IF((0=1),SUMIFS('Daily evaluations'!$D$2:$D$36,'Daily evaluations'!$B$2:$B$36,"=random_03",'Daily evaluations'!$C$2:$C$36,"=d20261103"),"")</f>
      </c>
      <c r="AH19" s="8">
        <f>IF((0=1),SUMIFS('Daily evaluations'!$D$2:$D$36,'Daily evaluations'!$B$2:$B$36,"=random_03",'Daily evaluations'!$C$2:$C$36,"=d20261104"),"")</f>
      </c>
      <c r="AI19" s="8">
        <f>IF((0=1),SUMIFS('Daily evaluations'!$D$2:$D$36,'Daily evaluations'!$B$2:$B$36,"=random_03",'Daily evaluations'!$C$2:$C$36,"=d20261105"),"")</f>
      </c>
      <c r="AJ19" s="8">
        <f>IF((0=1),SUMIFS('Daily evaluations'!$D$2:$D$36,'Daily evaluations'!$B$2:$B$36,"=random_03",'Daily evaluations'!$C$2:$C$36,"=d20261106"),"")</f>
      </c>
      <c r="AK19" s="8">
        <f>IF((0=1),SUMIFS('Daily evaluations'!$D$2:$D$36,'Daily evaluations'!$B$2:$B$36,"=random_03",'Daily evaluations'!$C$2:$C$36,"=d20261109"),"")</f>
      </c>
      <c r="AL19" s="8">
        <f>IF((0=1),SUMIFS('Daily evaluations'!$D$2:$D$36,'Daily evaluations'!$B$2:$B$36,"=random_03",'Daily evaluations'!$C$2:$C$36,"=d20261110"),"")</f>
      </c>
      <c r="AM19" s="8">
        <f>IF((0=1),SUMIFS('Daily evaluations'!$D$2:$D$36,'Daily evaluations'!$B$2:$B$36,"=random_03",'Daily evaluations'!$C$2:$C$36,"=d20261111"),"")</f>
      </c>
      <c r="AN19" s="8">
        <f>IF((0=1),SUMIFS('Daily evaluations'!$D$2:$D$36,'Daily evaluations'!$B$2:$B$36,"=random_03",'Daily evaluations'!$C$2:$C$36,"=d20261112"),"")</f>
      </c>
      <c r="AO19" s="8">
        <f>IF((0=1),SUMIFS('Daily evaluations'!$D$2:$D$36,'Daily evaluations'!$B$2:$B$36,"=random_03",'Daily evaluations'!$C$2:$C$36,"=d20261113"),"")</f>
      </c>
      <c r="AP19" s="8">
        <f>IF((0=1),SUMIFS('Daily evaluations'!$D$2:$D$36,'Daily evaluations'!$B$2:$B$36,"=random_03",'Daily evaluations'!$C$2:$C$36,"=d20261116"),"")</f>
      </c>
      <c r="AQ19" s="8">
        <f>IF((0=1),SUMIFS('Daily evaluations'!$D$2:$D$36,'Daily evaluations'!$B$2:$B$36,"=random_03",'Daily evaluations'!$C$2:$C$36,"=d20261117"),"")</f>
      </c>
      <c r="AR19" s="8">
        <f>IF((0=1),SUMIFS('Daily evaluations'!$D$2:$D$36,'Daily evaluations'!$B$2:$B$36,"=random_03",'Daily evaluations'!$C$2:$C$36,"=d20261118"),"")</f>
      </c>
      <c r="AS19" s="8">
        <f>IF((0=1),SUMIFS('Daily evaluations'!$D$2:$D$36,'Daily evaluations'!$B$2:$B$36,"=random_03",'Daily evaluations'!$C$2:$C$36,"=d20261119"),"")</f>
      </c>
      <c r="AT19" s="8">
        <f>IF((0=1),SUMIFS('Daily evaluations'!$D$2:$D$36,'Daily evaluations'!$B$2:$B$36,"=random_03",'Daily evaluations'!$C$2:$C$36,"=d20261120"),"")</f>
      </c>
      <c r="AU19" s="8">
        <f>IF((0=1),SUMIFS('Daily evaluations'!$D$2:$D$36,'Daily evaluations'!$B$2:$B$36,"=random_03",'Daily evaluations'!$C$2:$C$36,"=d20261123"),"")</f>
      </c>
      <c r="AV19" s="8">
        <f>IF((0=1),SUMIFS('Daily evaluations'!$D$2:$D$36,'Daily evaluations'!$B$2:$B$36,"=random_03",'Daily evaluations'!$C$2:$C$36,"=d20261124"),"")</f>
      </c>
      <c r="AW19" s="8">
        <f>IF((0=1),SUMIFS('Daily evaluations'!$D$2:$D$36,'Daily evaluations'!$B$2:$B$36,"=random_03",'Daily evaluations'!$C$2:$C$36,"=d20261125"),"")</f>
      </c>
      <c r="AX19" s="8">
        <f>IF((0=1),SUMIFS('Daily evaluations'!$D$2:$D$36,'Daily evaluations'!$B$2:$B$36,"=random_03",'Daily evaluations'!$C$2:$C$36,"=d20261127"),"")</f>
      </c>
      <c r="AY19" s="8">
        <f>IF((0=1),SUMIFS('Daily evaluations'!$D$2:$D$36,'Daily evaluations'!$B$2:$B$36,"=random_03",'Daily evaluations'!$C$2:$C$36,"=d20261130"),"")</f>
      </c>
      <c r="AZ19" s="8">
        <f>IF((0=1),SUMIFS('Daily evaluations'!$D$2:$D$36,'Daily evaluations'!$B$2:$B$36,"=random_03",'Daily evaluations'!$C$2:$C$36,"=d20261201"),"")</f>
      </c>
      <c r="BA19" s="8">
        <f>IF((0=1),SUMIFS('Daily evaluations'!$D$2:$D$36,'Daily evaluations'!$B$2:$B$36,"=random_03",'Daily evaluations'!$C$2:$C$36,"=d20261202"),"")</f>
      </c>
      <c r="BB19" s="8">
        <f>IF((0=1),SUMIFS('Daily evaluations'!$D$2:$D$36,'Daily evaluations'!$B$2:$B$36,"=random_03",'Daily evaluations'!$C$2:$C$36,"=d20261203"),"")</f>
      </c>
      <c r="BC19" s="8">
        <f>IF((0=1),SUMIFS('Daily evaluations'!$D$2:$D$36,'Daily evaluations'!$B$2:$B$36,"=random_03",'Daily evaluations'!$C$2:$C$36,"=d20261204"),"")</f>
      </c>
      <c r="BD19" s="8">
        <f>IF((0=1),SUMIFS('Daily evaluations'!$D$2:$D$36,'Daily evaluations'!$B$2:$B$36,"=random_03",'Daily evaluations'!$C$2:$C$36,"=d20261207"),"")</f>
      </c>
      <c r="BE19" s="8">
        <f>IF((0=1),SUMIFS('Daily evaluations'!$D$2:$D$36,'Daily evaluations'!$B$2:$B$36,"=random_03",'Daily evaluations'!$C$2:$C$36,"=d20261208"),"")</f>
      </c>
      <c r="BF19" s="8">
        <f>IF((0=1),SUMIFS('Daily evaluations'!$D$2:$D$36,'Daily evaluations'!$B$2:$B$36,"=random_03",'Daily evaluations'!$C$2:$C$36,"=d20261209"),"")</f>
      </c>
      <c r="BG19" s="8">
        <f>IF((0=1),SUMIFS('Daily evaluations'!$D$2:$D$36,'Daily evaluations'!$B$2:$B$36,"=random_03",'Daily evaluations'!$C$2:$C$36,"=d20261210"),"")</f>
      </c>
      <c r="BH19" s="8">
        <f>IF((0=1),SUMIFS('Daily evaluations'!$D$2:$D$36,'Daily evaluations'!$B$2:$B$36,"=random_03",'Daily evaluations'!$C$2:$C$36,"=d20261211"),"")</f>
      </c>
      <c r="BI19" s="8">
        <f>IF((0=1),SUMIFS('Daily evaluations'!$D$2:$D$36,'Daily evaluations'!$B$2:$B$36,"=random_03",'Daily evaluations'!$C$2:$C$36,"=d20261214"),"")</f>
      </c>
      <c r="BJ19" s="8">
        <f>IF((0=1),SUMIFS('Daily evaluations'!$D$2:$D$36,'Daily evaluations'!$B$2:$B$36,"=random_03",'Daily evaluations'!$C$2:$C$36,"=d20261215"),"")</f>
      </c>
      <c r="BK19" s="8">
        <f>IF((0=1),SUMIFS('Daily evaluations'!$D$2:$D$36,'Daily evaluations'!$B$2:$B$36,"=random_03",'Daily evaluations'!$C$2:$C$36,"=d20261216"),"")</f>
      </c>
      <c r="BL19" s="8">
        <f>IF((0=1),SUMIFS('Daily evaluations'!$D$2:$D$36,'Daily evaluations'!$B$2:$B$36,"=random_03",'Daily evaluations'!$C$2:$C$36,"=d20261217"),"")</f>
      </c>
      <c r="BM19" s="8">
        <f>IF((0=1),SUMIFS('Daily evaluations'!$D$2:$D$36,'Daily evaluations'!$B$2:$B$36,"=random_03",'Daily evaluations'!$C$2:$C$36,"=d20261218"),"")</f>
      </c>
      <c r="BN19" s="8">
        <f>IF((0=1),SUMIFS('Daily evaluations'!$D$2:$D$36,'Daily evaluations'!$B$2:$B$36,"=random_03",'Daily evaluations'!$C$2:$C$36,"=d20261221"),"")</f>
      </c>
      <c r="BO19" s="8">
        <f>IF((0=1),SUMIFS('Daily evaluations'!$D$2:$D$36,'Daily evaluations'!$B$2:$B$36,"=random_03",'Daily evaluations'!$C$2:$C$36,"=d20261222"),"")</f>
      </c>
      <c r="BP19" s="8">
        <f>IF((0=1),SUMIFS('Daily evaluations'!$D$2:$D$36,'Daily evaluations'!$B$2:$B$36,"=random_03",'Daily evaluations'!$C$2:$C$36,"=d20261223"),"")</f>
      </c>
      <c r="BQ19" s="8">
        <f>IF((0=1),SUMIFS('Daily evaluations'!$D$2:$D$36,'Daily evaluations'!$B$2:$B$36,"=random_03",'Daily evaluations'!$C$2:$C$36,"=d20261224"),"")</f>
      </c>
      <c r="BR19" s="8">
        <f>IF((0=1),SUMIFS('Daily evaluations'!$D$2:$D$36,'Daily evaluations'!$B$2:$B$36,"=random_03",'Daily evaluations'!$C$2:$C$36,"=d20261228"),"")</f>
      </c>
      <c r="BS19" s="8">
        <f>IF((0=1),SUMIFS('Daily evaluations'!$D$2:$D$36,'Daily evaluations'!$B$2:$B$36,"=random_03",'Daily evaluations'!$C$2:$C$36,"=d20261229"),"")</f>
      </c>
      <c r="BT19" s="8">
        <f>IF((0=1),SUMIFS('Daily evaluations'!$D$2:$D$36,'Daily evaluations'!$B$2:$B$36,"=random_03",'Daily evaluations'!$C$2:$C$36,"=d20261230"),"")</f>
      </c>
      <c r="BU19" s="8">
        <f>IF((0=1),SUMIFS('Daily evaluations'!$D$2:$D$36,'Daily evaluations'!$B$2:$B$36,"=random_03",'Daily evaluations'!$C$2:$C$36,"=d20261231"),"")</f>
      </c>
      <c r="BV19" s="8">
        <f>IF((0=1),SUMIFS('Daily evaluations'!$D$2:$D$36,'Daily evaluations'!$B$2:$B$36,"=random_03",'Daily evaluations'!$C$2:$C$36,"=d20270104"),"")</f>
      </c>
      <c r="BW19" s="8">
        <f>IF((0=1),SUMIFS('Daily evaluations'!$D$2:$D$36,'Daily evaluations'!$B$2:$B$36,"=random_03",'Daily evaluations'!$C$2:$C$36,"=d20270105"),"")</f>
      </c>
      <c r="BX19" s="8">
        <f>IF((0=1),SUMIFS('Daily evaluations'!$D$2:$D$36,'Daily evaluations'!$B$2:$B$36,"=random_03",'Daily evaluations'!$C$2:$C$36,"=d20270106"),"")</f>
      </c>
      <c r="BY19" s="8">
        <f>IF((0=1),SUMIFS('Daily evaluations'!$D$2:$D$36,'Daily evaluations'!$B$2:$B$36,"=random_03",'Daily evaluations'!$C$2:$C$36,"=d20270107"),"")</f>
      </c>
      <c r="BZ19" s="8">
        <f>IF((0=1),SUMIFS('Daily evaluations'!$D$2:$D$36,'Daily evaluations'!$B$2:$B$36,"=random_03",'Daily evaluations'!$C$2:$C$36,"=d20270108"),"")</f>
      </c>
      <c r="CA19" s="8">
        <f>IF((0=1),SUMIFS('Daily evaluations'!$D$2:$D$36,'Daily evaluations'!$B$2:$B$36,"=random_03",'Daily evaluations'!$C$2:$C$36,"=d20270111"),"")</f>
      </c>
      <c r="CB19" s="8">
        <f>IF((0=1),SUMIFS('Daily evaluations'!$D$2:$D$36,'Daily evaluations'!$B$2:$B$36,"=random_03",'Daily evaluations'!$C$2:$C$36,"=d20270112"),"")</f>
      </c>
      <c r="CC19" s="8">
        <f>IF((0=1),SUMIFS('Daily evaluations'!$D$2:$D$36,'Daily evaluations'!$B$2:$B$36,"=random_03",'Daily evaluations'!$C$2:$C$36,"=d20270113"),"")</f>
      </c>
      <c r="CD19" s="8">
        <f>IF((0=1),SUMIFS('Daily evaluations'!$D$2:$D$36,'Daily evaluations'!$B$2:$B$36,"=random_03",'Daily evaluations'!$C$2:$C$36,"=d20270114"),"")</f>
      </c>
      <c r="CE19" s="8">
        <f>IF((0=1),SUMIFS('Daily evaluations'!$D$2:$D$36,'Daily evaluations'!$B$2:$B$36,"=random_03",'Daily evaluations'!$C$2:$C$36,"=d20270115"),"")</f>
      </c>
      <c r="CF19" s="8">
        <f>IF((0=1),SUMIFS('Daily evaluations'!$D$2:$D$36,'Daily evaluations'!$B$2:$B$36,"=random_03",'Daily evaluations'!$C$2:$C$36,"=d20270119"),"")</f>
      </c>
      <c r="CG19" s="8">
        <f>IF((0=1),SUMIFS('Daily evaluations'!$D$2:$D$36,'Daily evaluations'!$B$2:$B$36,"=random_03",'Daily evaluations'!$C$2:$C$36,"=d20270120"),"")</f>
      </c>
      <c r="CH19" s="8">
        <f>IF((0=1),SUMIFS('Daily evaluations'!$D$2:$D$36,'Daily evaluations'!$B$2:$B$36,"=random_03",'Daily evaluations'!$C$2:$C$36,"=d20270121"),"")</f>
      </c>
      <c r="CI19" s="8">
        <f>IF((0=1),SUMIFS('Daily evaluations'!$D$2:$D$36,'Daily evaluations'!$B$2:$B$36,"=random_03",'Daily evaluations'!$C$2:$C$36,"=d20270122"),"")</f>
      </c>
      <c r="CJ19" s="8">
        <f>IF((0=1),SUMIFS('Daily evaluations'!$D$2:$D$36,'Daily evaluations'!$B$2:$B$36,"=random_03",'Daily evaluations'!$C$2:$C$36,"=d20270125"),"")</f>
      </c>
      <c r="CK19" s="8">
        <f>IF((0=1),SUMIFS('Daily evaluations'!$D$2:$D$36,'Daily evaluations'!$B$2:$B$36,"=random_03",'Daily evaluations'!$C$2:$C$36,"=d20270126"),"")</f>
      </c>
      <c r="CL19" s="8">
        <f>IF((0=1),SUMIFS('Daily evaluations'!$D$2:$D$36,'Daily evaluations'!$B$2:$B$36,"=random_03",'Daily evaluations'!$C$2:$C$36,"=d20270127"),"")</f>
      </c>
      <c r="CM19" s="8">
        <f>IF((0=1),SUMIFS('Daily evaluations'!$D$2:$D$36,'Daily evaluations'!$B$2:$B$36,"=random_03",'Daily evaluations'!$C$2:$C$36,"=d20270128"),"")</f>
      </c>
      <c r="CN19" s="8">
        <f>IF((0=1),SUMIFS('Daily evaluations'!$D$2:$D$36,'Daily evaluations'!$B$2:$B$36,"=random_03",'Daily evaluations'!$C$2:$C$36,"=d20270129"),"")</f>
      </c>
      <c r="CO19" s="8">
        <f>IF((0=1),SUMIFS('Daily evaluations'!$D$2:$D$36,'Daily evaluations'!$B$2:$B$36,"=random_03",'Daily evaluations'!$C$2:$C$36,"=d20270201"),"")</f>
      </c>
      <c r="CP19" s="8">
        <f>IF((0=1),SUMIFS('Daily evaluations'!$D$2:$D$36,'Daily evaluations'!$B$2:$B$36,"=random_03",'Daily evaluations'!$C$2:$C$36,"=d20270202"),"")</f>
      </c>
      <c r="CQ19" s="8">
        <f>IF((0=1),SUMIFS('Daily evaluations'!$D$2:$D$36,'Daily evaluations'!$B$2:$B$36,"=random_03",'Daily evaluations'!$C$2:$C$36,"=d20270203"),"")</f>
      </c>
      <c r="CR19" s="8">
        <f>IF((0=1),SUMIFS('Daily evaluations'!$D$2:$D$36,'Daily evaluations'!$B$2:$B$36,"=random_03",'Daily evaluations'!$C$2:$C$36,"=d20270204"),"")</f>
      </c>
      <c r="CS19" s="8">
        <f>IF((0=1),SUMIFS('Daily evaluations'!$D$2:$D$36,'Daily evaluations'!$B$2:$B$36,"=random_03",'Daily evaluations'!$C$2:$C$36,"=d20270205"),"")</f>
      </c>
      <c r="CT19" s="8">
        <f>IF((0=1),SUMIFS('Daily evaluations'!$D$2:$D$36,'Daily evaluations'!$B$2:$B$36,"=random_03",'Daily evaluations'!$C$2:$C$36,"=d20270208"),"")</f>
      </c>
      <c r="CU19" s="8">
        <f>IF((0=1),SUMIFS('Daily evaluations'!$D$2:$D$36,'Daily evaluations'!$B$2:$B$36,"=random_03",'Daily evaluations'!$C$2:$C$36,"=d20270209"),"")</f>
      </c>
      <c r="CV19" s="8">
        <f>IF((0=1),SUMIFS('Daily evaluations'!$D$2:$D$36,'Daily evaluations'!$B$2:$B$36,"=random_03",'Daily evaluations'!$C$2:$C$36,"=d20270210"),"")</f>
      </c>
      <c r="CW19" s="8">
        <f>IF((0=1),SUMIFS('Daily evaluations'!$D$2:$D$36,'Daily evaluations'!$B$2:$B$36,"=random_03",'Daily evaluations'!$C$2:$C$36,"=d20270211"),"")</f>
      </c>
      <c r="CX19" s="8">
        <f>IF((0=1),SUMIFS('Daily evaluations'!$D$2:$D$36,'Daily evaluations'!$B$2:$B$36,"=random_03",'Daily evaluations'!$C$2:$C$36,"=d20270212"),"")</f>
      </c>
    </row>
    <row r="20">
      <c r="A20" s="0" t="inlineStr">
        <is>
          <t xml:space="preserve">Sector-neutral overnight excess, bps</t>
        </is>
      </c>
      <c r="B20" s="0" t="inlineStr">
        <is>
          <t xml:space="preserve">Random 4</t>
        </is>
      </c>
      <c r="C20" s="8">
        <f>IF((1=1),SUMIFS('Daily evaluations'!$D$2:$D$36,'Daily evaluations'!$B$2:$B$36,"=random_04",'Daily evaluations'!$C$2:$C$36,"=d20260922"),"")</f>
        <v>-1.755</v>
      </c>
      <c r="D20" s="8">
        <f>IF((0=1),SUMIFS('Daily evaluations'!$D$2:$D$36,'Daily evaluations'!$B$2:$B$36,"=random_04",'Daily evaluations'!$C$2:$C$36,"=d20260923"),"")</f>
      </c>
      <c r="E20" s="8">
        <f>IF((0=1),SUMIFS('Daily evaluations'!$D$2:$D$36,'Daily evaluations'!$B$2:$B$36,"=random_04",'Daily evaluations'!$C$2:$C$36,"=d20260924"),"")</f>
      </c>
      <c r="F20" s="8">
        <f>IF((0=1),SUMIFS('Daily evaluations'!$D$2:$D$36,'Daily evaluations'!$B$2:$B$36,"=random_04",'Daily evaluations'!$C$2:$C$36,"=d20260925"),"")</f>
      </c>
      <c r="G20" s="8">
        <f>IF((0=1),SUMIFS('Daily evaluations'!$D$2:$D$36,'Daily evaluations'!$B$2:$B$36,"=random_04",'Daily evaluations'!$C$2:$C$36,"=d20260928"),"")</f>
      </c>
      <c r="H20" s="8">
        <f>IF((0=1),SUMIFS('Daily evaluations'!$D$2:$D$36,'Daily evaluations'!$B$2:$B$36,"=random_04",'Daily evaluations'!$C$2:$C$36,"=d20260929"),"")</f>
      </c>
      <c r="I20" s="8">
        <f>IF((0=1),SUMIFS('Daily evaluations'!$D$2:$D$36,'Daily evaluations'!$B$2:$B$36,"=random_04",'Daily evaluations'!$C$2:$C$36,"=d20260930"),"")</f>
      </c>
      <c r="J20" s="8">
        <f>IF((0=1),SUMIFS('Daily evaluations'!$D$2:$D$36,'Daily evaluations'!$B$2:$B$36,"=random_04",'Daily evaluations'!$C$2:$C$36,"=d20261001"),"")</f>
      </c>
      <c r="K20" s="8">
        <f>IF((0=1),SUMIFS('Daily evaluations'!$D$2:$D$36,'Daily evaluations'!$B$2:$B$36,"=random_04",'Daily evaluations'!$C$2:$C$36,"=d20261002"),"")</f>
      </c>
      <c r="L20" s="8">
        <f>IF((0=1),SUMIFS('Daily evaluations'!$D$2:$D$36,'Daily evaluations'!$B$2:$B$36,"=random_04",'Daily evaluations'!$C$2:$C$36,"=d20261005"),"")</f>
      </c>
      <c r="M20" s="8">
        <f>IF((0=1),SUMIFS('Daily evaluations'!$D$2:$D$36,'Daily evaluations'!$B$2:$B$36,"=random_04",'Daily evaluations'!$C$2:$C$36,"=d20261006"),"")</f>
      </c>
      <c r="N20" s="8">
        <f>IF((0=1),SUMIFS('Daily evaluations'!$D$2:$D$36,'Daily evaluations'!$B$2:$B$36,"=random_04",'Daily evaluations'!$C$2:$C$36,"=d20261007"),"")</f>
      </c>
      <c r="O20" s="8">
        <f>IF((0=1),SUMIFS('Daily evaluations'!$D$2:$D$36,'Daily evaluations'!$B$2:$B$36,"=random_04",'Daily evaluations'!$C$2:$C$36,"=d20261008"),"")</f>
      </c>
      <c r="P20" s="8">
        <f>IF((0=1),SUMIFS('Daily evaluations'!$D$2:$D$36,'Daily evaluations'!$B$2:$B$36,"=random_04",'Daily evaluations'!$C$2:$C$36,"=d20261009"),"")</f>
      </c>
      <c r="Q20" s="8">
        <f>IF((0=1),SUMIFS('Daily evaluations'!$D$2:$D$36,'Daily evaluations'!$B$2:$B$36,"=random_04",'Daily evaluations'!$C$2:$C$36,"=d20261012"),"")</f>
      </c>
      <c r="R20" s="8">
        <f>IF((0=1),SUMIFS('Daily evaluations'!$D$2:$D$36,'Daily evaluations'!$B$2:$B$36,"=random_04",'Daily evaluations'!$C$2:$C$36,"=d20261013"),"")</f>
      </c>
      <c r="S20" s="8">
        <f>IF((0=1),SUMIFS('Daily evaluations'!$D$2:$D$36,'Daily evaluations'!$B$2:$B$36,"=random_04",'Daily evaluations'!$C$2:$C$36,"=d20261014"),"")</f>
      </c>
      <c r="T20" s="8">
        <f>IF((0=1),SUMIFS('Daily evaluations'!$D$2:$D$36,'Daily evaluations'!$B$2:$B$36,"=random_04",'Daily evaluations'!$C$2:$C$36,"=d20261015"),"")</f>
      </c>
      <c r="U20" s="8">
        <f>IF((0=1),SUMIFS('Daily evaluations'!$D$2:$D$36,'Daily evaluations'!$B$2:$B$36,"=random_04",'Daily evaluations'!$C$2:$C$36,"=d20261016"),"")</f>
      </c>
      <c r="V20" s="8">
        <f>IF((0=1),SUMIFS('Daily evaluations'!$D$2:$D$36,'Daily evaluations'!$B$2:$B$36,"=random_04",'Daily evaluations'!$C$2:$C$36,"=d20261019"),"")</f>
      </c>
      <c r="W20" s="8">
        <f>IF((0=1),SUMIFS('Daily evaluations'!$D$2:$D$36,'Daily evaluations'!$B$2:$B$36,"=random_04",'Daily evaluations'!$C$2:$C$36,"=d20261020"),"")</f>
      </c>
      <c r="X20" s="8">
        <f>IF((0=1),SUMIFS('Daily evaluations'!$D$2:$D$36,'Daily evaluations'!$B$2:$B$36,"=random_04",'Daily evaluations'!$C$2:$C$36,"=d20261021"),"")</f>
      </c>
      <c r="Y20" s="8">
        <f>IF((0=1),SUMIFS('Daily evaluations'!$D$2:$D$36,'Daily evaluations'!$B$2:$B$36,"=random_04",'Daily evaluations'!$C$2:$C$36,"=d20261022"),"")</f>
      </c>
      <c r="Z20" s="8">
        <f>IF((0=1),SUMIFS('Daily evaluations'!$D$2:$D$36,'Daily evaluations'!$B$2:$B$36,"=random_04",'Daily evaluations'!$C$2:$C$36,"=d20261023"),"")</f>
      </c>
      <c r="AA20" s="8">
        <f>IF((0=1),SUMIFS('Daily evaluations'!$D$2:$D$36,'Daily evaluations'!$B$2:$B$36,"=random_04",'Daily evaluations'!$C$2:$C$36,"=d20261026"),"")</f>
      </c>
      <c r="AB20" s="8">
        <f>IF((0=1),SUMIFS('Daily evaluations'!$D$2:$D$36,'Daily evaluations'!$B$2:$B$36,"=random_04",'Daily evaluations'!$C$2:$C$36,"=d20261027"),"")</f>
      </c>
      <c r="AC20" s="8">
        <f>IF((0=1),SUMIFS('Daily evaluations'!$D$2:$D$36,'Daily evaluations'!$B$2:$B$36,"=random_04",'Daily evaluations'!$C$2:$C$36,"=d20261028"),"")</f>
      </c>
      <c r="AD20" s="8">
        <f>IF((0=1),SUMIFS('Daily evaluations'!$D$2:$D$36,'Daily evaluations'!$B$2:$B$36,"=random_04",'Daily evaluations'!$C$2:$C$36,"=d20261029"),"")</f>
      </c>
      <c r="AE20" s="8">
        <f>IF((0=1),SUMIFS('Daily evaluations'!$D$2:$D$36,'Daily evaluations'!$B$2:$B$36,"=random_04",'Daily evaluations'!$C$2:$C$36,"=d20261030"),"")</f>
      </c>
      <c r="AF20" s="8">
        <f>IF((0=1),SUMIFS('Daily evaluations'!$D$2:$D$36,'Daily evaluations'!$B$2:$B$36,"=random_04",'Daily evaluations'!$C$2:$C$36,"=d20261102"),"")</f>
      </c>
      <c r="AG20" s="8">
        <f>IF((0=1),SUMIFS('Daily evaluations'!$D$2:$D$36,'Daily evaluations'!$B$2:$B$36,"=random_04",'Daily evaluations'!$C$2:$C$36,"=d20261103"),"")</f>
      </c>
      <c r="AH20" s="8">
        <f>IF((0=1),SUMIFS('Daily evaluations'!$D$2:$D$36,'Daily evaluations'!$B$2:$B$36,"=random_04",'Daily evaluations'!$C$2:$C$36,"=d20261104"),"")</f>
      </c>
      <c r="AI20" s="8">
        <f>IF((0=1),SUMIFS('Daily evaluations'!$D$2:$D$36,'Daily evaluations'!$B$2:$B$36,"=random_04",'Daily evaluations'!$C$2:$C$36,"=d20261105"),"")</f>
      </c>
      <c r="AJ20" s="8">
        <f>IF((0=1),SUMIFS('Daily evaluations'!$D$2:$D$36,'Daily evaluations'!$B$2:$B$36,"=random_04",'Daily evaluations'!$C$2:$C$36,"=d20261106"),"")</f>
      </c>
      <c r="AK20" s="8">
        <f>IF((0=1),SUMIFS('Daily evaluations'!$D$2:$D$36,'Daily evaluations'!$B$2:$B$36,"=random_04",'Daily evaluations'!$C$2:$C$36,"=d20261109"),"")</f>
      </c>
      <c r="AL20" s="8">
        <f>IF((0=1),SUMIFS('Daily evaluations'!$D$2:$D$36,'Daily evaluations'!$B$2:$B$36,"=random_04",'Daily evaluations'!$C$2:$C$36,"=d20261110"),"")</f>
      </c>
      <c r="AM20" s="8">
        <f>IF((0=1),SUMIFS('Daily evaluations'!$D$2:$D$36,'Daily evaluations'!$B$2:$B$36,"=random_04",'Daily evaluations'!$C$2:$C$36,"=d20261111"),"")</f>
      </c>
      <c r="AN20" s="8">
        <f>IF((0=1),SUMIFS('Daily evaluations'!$D$2:$D$36,'Daily evaluations'!$B$2:$B$36,"=random_04",'Daily evaluations'!$C$2:$C$36,"=d20261112"),"")</f>
      </c>
      <c r="AO20" s="8">
        <f>IF((0=1),SUMIFS('Daily evaluations'!$D$2:$D$36,'Daily evaluations'!$B$2:$B$36,"=random_04",'Daily evaluations'!$C$2:$C$36,"=d20261113"),"")</f>
      </c>
      <c r="AP20" s="8">
        <f>IF((0=1),SUMIFS('Daily evaluations'!$D$2:$D$36,'Daily evaluations'!$B$2:$B$36,"=random_04",'Daily evaluations'!$C$2:$C$36,"=d20261116"),"")</f>
      </c>
      <c r="AQ20" s="8">
        <f>IF((0=1),SUMIFS('Daily evaluations'!$D$2:$D$36,'Daily evaluations'!$B$2:$B$36,"=random_04",'Daily evaluations'!$C$2:$C$36,"=d20261117"),"")</f>
      </c>
      <c r="AR20" s="8">
        <f>IF((0=1),SUMIFS('Daily evaluations'!$D$2:$D$36,'Daily evaluations'!$B$2:$B$36,"=random_04",'Daily evaluations'!$C$2:$C$36,"=d20261118"),"")</f>
      </c>
      <c r="AS20" s="8">
        <f>IF((0=1),SUMIFS('Daily evaluations'!$D$2:$D$36,'Daily evaluations'!$B$2:$B$36,"=random_04",'Daily evaluations'!$C$2:$C$36,"=d20261119"),"")</f>
      </c>
      <c r="AT20" s="8">
        <f>IF((0=1),SUMIFS('Daily evaluations'!$D$2:$D$36,'Daily evaluations'!$B$2:$B$36,"=random_04",'Daily evaluations'!$C$2:$C$36,"=d20261120"),"")</f>
      </c>
      <c r="AU20" s="8">
        <f>IF((0=1),SUMIFS('Daily evaluations'!$D$2:$D$36,'Daily evaluations'!$B$2:$B$36,"=random_04",'Daily evaluations'!$C$2:$C$36,"=d20261123"),"")</f>
      </c>
      <c r="AV20" s="8">
        <f>IF((0=1),SUMIFS('Daily evaluations'!$D$2:$D$36,'Daily evaluations'!$B$2:$B$36,"=random_04",'Daily evaluations'!$C$2:$C$36,"=d20261124"),"")</f>
      </c>
      <c r="AW20" s="8">
        <f>IF((0=1),SUMIFS('Daily evaluations'!$D$2:$D$36,'Daily evaluations'!$B$2:$B$36,"=random_04",'Daily evaluations'!$C$2:$C$36,"=d20261125"),"")</f>
      </c>
      <c r="AX20" s="8">
        <f>IF((0=1),SUMIFS('Daily evaluations'!$D$2:$D$36,'Daily evaluations'!$B$2:$B$36,"=random_04",'Daily evaluations'!$C$2:$C$36,"=d20261127"),"")</f>
      </c>
      <c r="AY20" s="8">
        <f>IF((0=1),SUMIFS('Daily evaluations'!$D$2:$D$36,'Daily evaluations'!$B$2:$B$36,"=random_04",'Daily evaluations'!$C$2:$C$36,"=d20261130"),"")</f>
      </c>
      <c r="AZ20" s="8">
        <f>IF((0=1),SUMIFS('Daily evaluations'!$D$2:$D$36,'Daily evaluations'!$B$2:$B$36,"=random_04",'Daily evaluations'!$C$2:$C$36,"=d20261201"),"")</f>
      </c>
      <c r="BA20" s="8">
        <f>IF((0=1),SUMIFS('Daily evaluations'!$D$2:$D$36,'Daily evaluations'!$B$2:$B$36,"=random_04",'Daily evaluations'!$C$2:$C$36,"=d20261202"),"")</f>
      </c>
      <c r="BB20" s="8">
        <f>IF((0=1),SUMIFS('Daily evaluations'!$D$2:$D$36,'Daily evaluations'!$B$2:$B$36,"=random_04",'Daily evaluations'!$C$2:$C$36,"=d20261203"),"")</f>
      </c>
      <c r="BC20" s="8">
        <f>IF((0=1),SUMIFS('Daily evaluations'!$D$2:$D$36,'Daily evaluations'!$B$2:$B$36,"=random_04",'Daily evaluations'!$C$2:$C$36,"=d20261204"),"")</f>
      </c>
      <c r="BD20" s="8">
        <f>IF((0=1),SUMIFS('Daily evaluations'!$D$2:$D$36,'Daily evaluations'!$B$2:$B$36,"=random_04",'Daily evaluations'!$C$2:$C$36,"=d20261207"),"")</f>
      </c>
      <c r="BE20" s="8">
        <f>IF((0=1),SUMIFS('Daily evaluations'!$D$2:$D$36,'Daily evaluations'!$B$2:$B$36,"=random_04",'Daily evaluations'!$C$2:$C$36,"=d20261208"),"")</f>
      </c>
      <c r="BF20" s="8">
        <f>IF((0=1),SUMIFS('Daily evaluations'!$D$2:$D$36,'Daily evaluations'!$B$2:$B$36,"=random_04",'Daily evaluations'!$C$2:$C$36,"=d20261209"),"")</f>
      </c>
      <c r="BG20" s="8">
        <f>IF((0=1),SUMIFS('Daily evaluations'!$D$2:$D$36,'Daily evaluations'!$B$2:$B$36,"=random_04",'Daily evaluations'!$C$2:$C$36,"=d20261210"),"")</f>
      </c>
      <c r="BH20" s="8">
        <f>IF((0=1),SUMIFS('Daily evaluations'!$D$2:$D$36,'Daily evaluations'!$B$2:$B$36,"=random_04",'Daily evaluations'!$C$2:$C$36,"=d20261211"),"")</f>
      </c>
      <c r="BI20" s="8">
        <f>IF((0=1),SUMIFS('Daily evaluations'!$D$2:$D$36,'Daily evaluations'!$B$2:$B$36,"=random_04",'Daily evaluations'!$C$2:$C$36,"=d20261214"),"")</f>
      </c>
      <c r="BJ20" s="8">
        <f>IF((0=1),SUMIFS('Daily evaluations'!$D$2:$D$36,'Daily evaluations'!$B$2:$B$36,"=random_04",'Daily evaluations'!$C$2:$C$36,"=d20261215"),"")</f>
      </c>
      <c r="BK20" s="8">
        <f>IF((0=1),SUMIFS('Daily evaluations'!$D$2:$D$36,'Daily evaluations'!$B$2:$B$36,"=random_04",'Daily evaluations'!$C$2:$C$36,"=d20261216"),"")</f>
      </c>
      <c r="BL20" s="8">
        <f>IF((0=1),SUMIFS('Daily evaluations'!$D$2:$D$36,'Daily evaluations'!$B$2:$B$36,"=random_04",'Daily evaluations'!$C$2:$C$36,"=d20261217"),"")</f>
      </c>
      <c r="BM20" s="8">
        <f>IF((0=1),SUMIFS('Daily evaluations'!$D$2:$D$36,'Daily evaluations'!$B$2:$B$36,"=random_04",'Daily evaluations'!$C$2:$C$36,"=d20261218"),"")</f>
      </c>
      <c r="BN20" s="8">
        <f>IF((0=1),SUMIFS('Daily evaluations'!$D$2:$D$36,'Daily evaluations'!$B$2:$B$36,"=random_04",'Daily evaluations'!$C$2:$C$36,"=d20261221"),"")</f>
      </c>
      <c r="BO20" s="8">
        <f>IF((0=1),SUMIFS('Daily evaluations'!$D$2:$D$36,'Daily evaluations'!$B$2:$B$36,"=random_04",'Daily evaluations'!$C$2:$C$36,"=d20261222"),"")</f>
      </c>
      <c r="BP20" s="8">
        <f>IF((0=1),SUMIFS('Daily evaluations'!$D$2:$D$36,'Daily evaluations'!$B$2:$B$36,"=random_04",'Daily evaluations'!$C$2:$C$36,"=d20261223"),"")</f>
      </c>
      <c r="BQ20" s="8">
        <f>IF((0=1),SUMIFS('Daily evaluations'!$D$2:$D$36,'Daily evaluations'!$B$2:$B$36,"=random_04",'Daily evaluations'!$C$2:$C$36,"=d20261224"),"")</f>
      </c>
      <c r="BR20" s="8">
        <f>IF((0=1),SUMIFS('Daily evaluations'!$D$2:$D$36,'Daily evaluations'!$B$2:$B$36,"=random_04",'Daily evaluations'!$C$2:$C$36,"=d20261228"),"")</f>
      </c>
      <c r="BS20" s="8">
        <f>IF((0=1),SUMIFS('Daily evaluations'!$D$2:$D$36,'Daily evaluations'!$B$2:$B$36,"=random_04",'Daily evaluations'!$C$2:$C$36,"=d20261229"),"")</f>
      </c>
      <c r="BT20" s="8">
        <f>IF((0=1),SUMIFS('Daily evaluations'!$D$2:$D$36,'Daily evaluations'!$B$2:$B$36,"=random_04",'Daily evaluations'!$C$2:$C$36,"=d20261230"),"")</f>
      </c>
      <c r="BU20" s="8">
        <f>IF((0=1),SUMIFS('Daily evaluations'!$D$2:$D$36,'Daily evaluations'!$B$2:$B$36,"=random_04",'Daily evaluations'!$C$2:$C$36,"=d20261231"),"")</f>
      </c>
      <c r="BV20" s="8">
        <f>IF((0=1),SUMIFS('Daily evaluations'!$D$2:$D$36,'Daily evaluations'!$B$2:$B$36,"=random_04",'Daily evaluations'!$C$2:$C$36,"=d20270104"),"")</f>
      </c>
      <c r="BW20" s="8">
        <f>IF((0=1),SUMIFS('Daily evaluations'!$D$2:$D$36,'Daily evaluations'!$B$2:$B$36,"=random_04",'Daily evaluations'!$C$2:$C$36,"=d20270105"),"")</f>
      </c>
      <c r="BX20" s="8">
        <f>IF((0=1),SUMIFS('Daily evaluations'!$D$2:$D$36,'Daily evaluations'!$B$2:$B$36,"=random_04",'Daily evaluations'!$C$2:$C$36,"=d20270106"),"")</f>
      </c>
      <c r="BY20" s="8">
        <f>IF((0=1),SUMIFS('Daily evaluations'!$D$2:$D$36,'Daily evaluations'!$B$2:$B$36,"=random_04",'Daily evaluations'!$C$2:$C$36,"=d20270107"),"")</f>
      </c>
      <c r="BZ20" s="8">
        <f>IF((0=1),SUMIFS('Daily evaluations'!$D$2:$D$36,'Daily evaluations'!$B$2:$B$36,"=random_04",'Daily evaluations'!$C$2:$C$36,"=d20270108"),"")</f>
      </c>
      <c r="CA20" s="8">
        <f>IF((0=1),SUMIFS('Daily evaluations'!$D$2:$D$36,'Daily evaluations'!$B$2:$B$36,"=random_04",'Daily evaluations'!$C$2:$C$36,"=d20270111"),"")</f>
      </c>
      <c r="CB20" s="8">
        <f>IF((0=1),SUMIFS('Daily evaluations'!$D$2:$D$36,'Daily evaluations'!$B$2:$B$36,"=random_04",'Daily evaluations'!$C$2:$C$36,"=d20270112"),"")</f>
      </c>
      <c r="CC20" s="8">
        <f>IF((0=1),SUMIFS('Daily evaluations'!$D$2:$D$36,'Daily evaluations'!$B$2:$B$36,"=random_04",'Daily evaluations'!$C$2:$C$36,"=d20270113"),"")</f>
      </c>
      <c r="CD20" s="8">
        <f>IF((0=1),SUMIFS('Daily evaluations'!$D$2:$D$36,'Daily evaluations'!$B$2:$B$36,"=random_04",'Daily evaluations'!$C$2:$C$36,"=d20270114"),"")</f>
      </c>
      <c r="CE20" s="8">
        <f>IF((0=1),SUMIFS('Daily evaluations'!$D$2:$D$36,'Daily evaluations'!$B$2:$B$36,"=random_04",'Daily evaluations'!$C$2:$C$36,"=d20270115"),"")</f>
      </c>
      <c r="CF20" s="8">
        <f>IF((0=1),SUMIFS('Daily evaluations'!$D$2:$D$36,'Daily evaluations'!$B$2:$B$36,"=random_04",'Daily evaluations'!$C$2:$C$36,"=d20270119"),"")</f>
      </c>
      <c r="CG20" s="8">
        <f>IF((0=1),SUMIFS('Daily evaluations'!$D$2:$D$36,'Daily evaluations'!$B$2:$B$36,"=random_04",'Daily evaluations'!$C$2:$C$36,"=d20270120"),"")</f>
      </c>
      <c r="CH20" s="8">
        <f>IF((0=1),SUMIFS('Daily evaluations'!$D$2:$D$36,'Daily evaluations'!$B$2:$B$36,"=random_04",'Daily evaluations'!$C$2:$C$36,"=d20270121"),"")</f>
      </c>
      <c r="CI20" s="8">
        <f>IF((0=1),SUMIFS('Daily evaluations'!$D$2:$D$36,'Daily evaluations'!$B$2:$B$36,"=random_04",'Daily evaluations'!$C$2:$C$36,"=d20270122"),"")</f>
      </c>
      <c r="CJ20" s="8">
        <f>IF((0=1),SUMIFS('Daily evaluations'!$D$2:$D$36,'Daily evaluations'!$B$2:$B$36,"=random_04",'Daily evaluations'!$C$2:$C$36,"=d20270125"),"")</f>
      </c>
      <c r="CK20" s="8">
        <f>IF((0=1),SUMIFS('Daily evaluations'!$D$2:$D$36,'Daily evaluations'!$B$2:$B$36,"=random_04",'Daily evaluations'!$C$2:$C$36,"=d20270126"),"")</f>
      </c>
      <c r="CL20" s="8">
        <f>IF((0=1),SUMIFS('Daily evaluations'!$D$2:$D$36,'Daily evaluations'!$B$2:$B$36,"=random_04",'Daily evaluations'!$C$2:$C$36,"=d20270127"),"")</f>
      </c>
      <c r="CM20" s="8">
        <f>IF((0=1),SUMIFS('Daily evaluations'!$D$2:$D$36,'Daily evaluations'!$B$2:$B$36,"=random_04",'Daily evaluations'!$C$2:$C$36,"=d20270128"),"")</f>
      </c>
      <c r="CN20" s="8">
        <f>IF((0=1),SUMIFS('Daily evaluations'!$D$2:$D$36,'Daily evaluations'!$B$2:$B$36,"=random_04",'Daily evaluations'!$C$2:$C$36,"=d20270129"),"")</f>
      </c>
      <c r="CO20" s="8">
        <f>IF((0=1),SUMIFS('Daily evaluations'!$D$2:$D$36,'Daily evaluations'!$B$2:$B$36,"=random_04",'Daily evaluations'!$C$2:$C$36,"=d20270201"),"")</f>
      </c>
      <c r="CP20" s="8">
        <f>IF((0=1),SUMIFS('Daily evaluations'!$D$2:$D$36,'Daily evaluations'!$B$2:$B$36,"=random_04",'Daily evaluations'!$C$2:$C$36,"=d20270202"),"")</f>
      </c>
      <c r="CQ20" s="8">
        <f>IF((0=1),SUMIFS('Daily evaluations'!$D$2:$D$36,'Daily evaluations'!$B$2:$B$36,"=random_04",'Daily evaluations'!$C$2:$C$36,"=d20270203"),"")</f>
      </c>
      <c r="CR20" s="8">
        <f>IF((0=1),SUMIFS('Daily evaluations'!$D$2:$D$36,'Daily evaluations'!$B$2:$B$36,"=random_04",'Daily evaluations'!$C$2:$C$36,"=d20270204"),"")</f>
      </c>
      <c r="CS20" s="8">
        <f>IF((0=1),SUMIFS('Daily evaluations'!$D$2:$D$36,'Daily evaluations'!$B$2:$B$36,"=random_04",'Daily evaluations'!$C$2:$C$36,"=d20270205"),"")</f>
      </c>
      <c r="CT20" s="8">
        <f>IF((0=1),SUMIFS('Daily evaluations'!$D$2:$D$36,'Daily evaluations'!$B$2:$B$36,"=random_04",'Daily evaluations'!$C$2:$C$36,"=d20270208"),"")</f>
      </c>
      <c r="CU20" s="8">
        <f>IF((0=1),SUMIFS('Daily evaluations'!$D$2:$D$36,'Daily evaluations'!$B$2:$B$36,"=random_04",'Daily evaluations'!$C$2:$C$36,"=d20270209"),"")</f>
      </c>
      <c r="CV20" s="8">
        <f>IF((0=1),SUMIFS('Daily evaluations'!$D$2:$D$36,'Daily evaluations'!$B$2:$B$36,"=random_04",'Daily evaluations'!$C$2:$C$36,"=d20270210"),"")</f>
      </c>
      <c r="CW20" s="8">
        <f>IF((0=1),SUMIFS('Daily evaluations'!$D$2:$D$36,'Daily evaluations'!$B$2:$B$36,"=random_04",'Daily evaluations'!$C$2:$C$36,"=d20270211"),"")</f>
      </c>
      <c r="CX20" s="8">
        <f>IF((0=1),SUMIFS('Daily evaluations'!$D$2:$D$36,'Daily evaluations'!$B$2:$B$36,"=random_04",'Daily evaluations'!$C$2:$C$36,"=d20270212"),"")</f>
      </c>
    </row>
    <row r="21">
      <c r="A21" s="0" t="inlineStr">
        <is>
          <t xml:space="preserve">Sector-neutral overnight excess, bps</t>
        </is>
      </c>
      <c r="B21" s="0" t="inlineStr">
        <is>
          <t xml:space="preserve">Random 5</t>
        </is>
      </c>
      <c r="C21" s="8">
        <f>IF((1=1),SUMIFS('Daily evaluations'!$D$2:$D$36,'Daily evaluations'!$B$2:$B$36,"=random_05",'Daily evaluations'!$C$2:$C$36,"=d20260922"),"")</f>
        <v>8.485</v>
      </c>
      <c r="D21" s="8">
        <f>IF((0=1),SUMIFS('Daily evaluations'!$D$2:$D$36,'Daily evaluations'!$B$2:$B$36,"=random_05",'Daily evaluations'!$C$2:$C$36,"=d20260923"),"")</f>
      </c>
      <c r="E21" s="8">
        <f>IF((0=1),SUMIFS('Daily evaluations'!$D$2:$D$36,'Daily evaluations'!$B$2:$B$36,"=random_05",'Daily evaluations'!$C$2:$C$36,"=d20260924"),"")</f>
      </c>
      <c r="F21" s="8">
        <f>IF((0=1),SUMIFS('Daily evaluations'!$D$2:$D$36,'Daily evaluations'!$B$2:$B$36,"=random_05",'Daily evaluations'!$C$2:$C$36,"=d20260925"),"")</f>
      </c>
      <c r="G21" s="8">
        <f>IF((0=1),SUMIFS('Daily evaluations'!$D$2:$D$36,'Daily evaluations'!$B$2:$B$36,"=random_05",'Daily evaluations'!$C$2:$C$36,"=d20260928"),"")</f>
      </c>
      <c r="H21" s="8">
        <f>IF((0=1),SUMIFS('Daily evaluations'!$D$2:$D$36,'Daily evaluations'!$B$2:$B$36,"=random_05",'Daily evaluations'!$C$2:$C$36,"=d20260929"),"")</f>
      </c>
      <c r="I21" s="8">
        <f>IF((0=1),SUMIFS('Daily evaluations'!$D$2:$D$36,'Daily evaluations'!$B$2:$B$36,"=random_05",'Daily evaluations'!$C$2:$C$36,"=d20260930"),"")</f>
      </c>
      <c r="J21" s="8">
        <f>IF((0=1),SUMIFS('Daily evaluations'!$D$2:$D$36,'Daily evaluations'!$B$2:$B$36,"=random_05",'Daily evaluations'!$C$2:$C$36,"=d20261001"),"")</f>
      </c>
      <c r="K21" s="8">
        <f>IF((0=1),SUMIFS('Daily evaluations'!$D$2:$D$36,'Daily evaluations'!$B$2:$B$36,"=random_05",'Daily evaluations'!$C$2:$C$36,"=d20261002"),"")</f>
      </c>
      <c r="L21" s="8">
        <f>IF((0=1),SUMIFS('Daily evaluations'!$D$2:$D$36,'Daily evaluations'!$B$2:$B$36,"=random_05",'Daily evaluations'!$C$2:$C$36,"=d20261005"),"")</f>
      </c>
      <c r="M21" s="8">
        <f>IF((0=1),SUMIFS('Daily evaluations'!$D$2:$D$36,'Daily evaluations'!$B$2:$B$36,"=random_05",'Daily evaluations'!$C$2:$C$36,"=d20261006"),"")</f>
      </c>
      <c r="N21" s="8">
        <f>IF((0=1),SUMIFS('Daily evaluations'!$D$2:$D$36,'Daily evaluations'!$B$2:$B$36,"=random_05",'Daily evaluations'!$C$2:$C$36,"=d20261007"),"")</f>
      </c>
      <c r="O21" s="8">
        <f>IF((0=1),SUMIFS('Daily evaluations'!$D$2:$D$36,'Daily evaluations'!$B$2:$B$36,"=random_05",'Daily evaluations'!$C$2:$C$36,"=d20261008"),"")</f>
      </c>
      <c r="P21" s="8">
        <f>IF((0=1),SUMIFS('Daily evaluations'!$D$2:$D$36,'Daily evaluations'!$B$2:$B$36,"=random_05",'Daily evaluations'!$C$2:$C$36,"=d20261009"),"")</f>
      </c>
      <c r="Q21" s="8">
        <f>IF((0=1),SUMIFS('Daily evaluations'!$D$2:$D$36,'Daily evaluations'!$B$2:$B$36,"=random_05",'Daily evaluations'!$C$2:$C$36,"=d20261012"),"")</f>
      </c>
      <c r="R21" s="8">
        <f>IF((0=1),SUMIFS('Daily evaluations'!$D$2:$D$36,'Daily evaluations'!$B$2:$B$36,"=random_05",'Daily evaluations'!$C$2:$C$36,"=d20261013"),"")</f>
      </c>
      <c r="S21" s="8">
        <f>IF((0=1),SUMIFS('Daily evaluations'!$D$2:$D$36,'Daily evaluations'!$B$2:$B$36,"=random_05",'Daily evaluations'!$C$2:$C$36,"=d20261014"),"")</f>
      </c>
      <c r="T21" s="8">
        <f>IF((0=1),SUMIFS('Daily evaluations'!$D$2:$D$36,'Daily evaluations'!$B$2:$B$36,"=random_05",'Daily evaluations'!$C$2:$C$36,"=d20261015"),"")</f>
      </c>
      <c r="U21" s="8">
        <f>IF((0=1),SUMIFS('Daily evaluations'!$D$2:$D$36,'Daily evaluations'!$B$2:$B$36,"=random_05",'Daily evaluations'!$C$2:$C$36,"=d20261016"),"")</f>
      </c>
      <c r="V21" s="8">
        <f>IF((0=1),SUMIFS('Daily evaluations'!$D$2:$D$36,'Daily evaluations'!$B$2:$B$36,"=random_05",'Daily evaluations'!$C$2:$C$36,"=d20261019"),"")</f>
      </c>
      <c r="W21" s="8">
        <f>IF((0=1),SUMIFS('Daily evaluations'!$D$2:$D$36,'Daily evaluations'!$B$2:$B$36,"=random_05",'Daily evaluations'!$C$2:$C$36,"=d20261020"),"")</f>
      </c>
      <c r="X21" s="8">
        <f>IF((0=1),SUMIFS('Daily evaluations'!$D$2:$D$36,'Daily evaluations'!$B$2:$B$36,"=random_05",'Daily evaluations'!$C$2:$C$36,"=d20261021"),"")</f>
      </c>
      <c r="Y21" s="8">
        <f>IF((0=1),SUMIFS('Daily evaluations'!$D$2:$D$36,'Daily evaluations'!$B$2:$B$36,"=random_05",'Daily evaluations'!$C$2:$C$36,"=d20261022"),"")</f>
      </c>
      <c r="Z21" s="8">
        <f>IF((0=1),SUMIFS('Daily evaluations'!$D$2:$D$36,'Daily evaluations'!$B$2:$B$36,"=random_05",'Daily evaluations'!$C$2:$C$36,"=d20261023"),"")</f>
      </c>
      <c r="AA21" s="8">
        <f>IF((0=1),SUMIFS('Daily evaluations'!$D$2:$D$36,'Daily evaluations'!$B$2:$B$36,"=random_05",'Daily evaluations'!$C$2:$C$36,"=d20261026"),"")</f>
      </c>
      <c r="AB21" s="8">
        <f>IF((0=1),SUMIFS('Daily evaluations'!$D$2:$D$36,'Daily evaluations'!$B$2:$B$36,"=random_05",'Daily evaluations'!$C$2:$C$36,"=d20261027"),"")</f>
      </c>
      <c r="AC21" s="8">
        <f>IF((0=1),SUMIFS('Daily evaluations'!$D$2:$D$36,'Daily evaluations'!$B$2:$B$36,"=random_05",'Daily evaluations'!$C$2:$C$36,"=d20261028"),"")</f>
      </c>
      <c r="AD21" s="8">
        <f>IF((0=1),SUMIFS('Daily evaluations'!$D$2:$D$36,'Daily evaluations'!$B$2:$B$36,"=random_05",'Daily evaluations'!$C$2:$C$36,"=d20261029"),"")</f>
      </c>
      <c r="AE21" s="8">
        <f>IF((0=1),SUMIFS('Daily evaluations'!$D$2:$D$36,'Daily evaluations'!$B$2:$B$36,"=random_05",'Daily evaluations'!$C$2:$C$36,"=d20261030"),"")</f>
      </c>
      <c r="AF21" s="8">
        <f>IF((0=1),SUMIFS('Daily evaluations'!$D$2:$D$36,'Daily evaluations'!$B$2:$B$36,"=random_05",'Daily evaluations'!$C$2:$C$36,"=d20261102"),"")</f>
      </c>
      <c r="AG21" s="8">
        <f>IF((0=1),SUMIFS('Daily evaluations'!$D$2:$D$36,'Daily evaluations'!$B$2:$B$36,"=random_05",'Daily evaluations'!$C$2:$C$36,"=d20261103"),"")</f>
      </c>
      <c r="AH21" s="8">
        <f>IF((0=1),SUMIFS('Daily evaluations'!$D$2:$D$36,'Daily evaluations'!$B$2:$B$36,"=random_05",'Daily evaluations'!$C$2:$C$36,"=d20261104"),"")</f>
      </c>
      <c r="AI21" s="8">
        <f>IF((0=1),SUMIFS('Daily evaluations'!$D$2:$D$36,'Daily evaluations'!$B$2:$B$36,"=random_05",'Daily evaluations'!$C$2:$C$36,"=d20261105"),"")</f>
      </c>
      <c r="AJ21" s="8">
        <f>IF((0=1),SUMIFS('Daily evaluations'!$D$2:$D$36,'Daily evaluations'!$B$2:$B$36,"=random_05",'Daily evaluations'!$C$2:$C$36,"=d20261106"),"")</f>
      </c>
      <c r="AK21" s="8">
        <f>IF((0=1),SUMIFS('Daily evaluations'!$D$2:$D$36,'Daily evaluations'!$B$2:$B$36,"=random_05",'Daily evaluations'!$C$2:$C$36,"=d20261109"),"")</f>
      </c>
      <c r="AL21" s="8">
        <f>IF((0=1),SUMIFS('Daily evaluations'!$D$2:$D$36,'Daily evaluations'!$B$2:$B$36,"=random_05",'Daily evaluations'!$C$2:$C$36,"=d20261110"),"")</f>
      </c>
      <c r="AM21" s="8">
        <f>IF((0=1),SUMIFS('Daily evaluations'!$D$2:$D$36,'Daily evaluations'!$B$2:$B$36,"=random_05",'Daily evaluations'!$C$2:$C$36,"=d20261111"),"")</f>
      </c>
      <c r="AN21" s="8">
        <f>IF((0=1),SUMIFS('Daily evaluations'!$D$2:$D$36,'Daily evaluations'!$B$2:$B$36,"=random_05",'Daily evaluations'!$C$2:$C$36,"=d20261112"),"")</f>
      </c>
      <c r="AO21" s="8">
        <f>IF((0=1),SUMIFS('Daily evaluations'!$D$2:$D$36,'Daily evaluations'!$B$2:$B$36,"=random_05",'Daily evaluations'!$C$2:$C$36,"=d20261113"),"")</f>
      </c>
      <c r="AP21" s="8">
        <f>IF((0=1),SUMIFS('Daily evaluations'!$D$2:$D$36,'Daily evaluations'!$B$2:$B$36,"=random_05",'Daily evaluations'!$C$2:$C$36,"=d20261116"),"")</f>
      </c>
      <c r="AQ21" s="8">
        <f>IF((0=1),SUMIFS('Daily evaluations'!$D$2:$D$36,'Daily evaluations'!$B$2:$B$36,"=random_05",'Daily evaluations'!$C$2:$C$36,"=d20261117"),"")</f>
      </c>
      <c r="AR21" s="8">
        <f>IF((0=1),SUMIFS('Daily evaluations'!$D$2:$D$36,'Daily evaluations'!$B$2:$B$36,"=random_05",'Daily evaluations'!$C$2:$C$36,"=d20261118"),"")</f>
      </c>
      <c r="AS21" s="8">
        <f>IF((0=1),SUMIFS('Daily evaluations'!$D$2:$D$36,'Daily evaluations'!$B$2:$B$36,"=random_05",'Daily evaluations'!$C$2:$C$36,"=d20261119"),"")</f>
      </c>
      <c r="AT21" s="8">
        <f>IF((0=1),SUMIFS('Daily evaluations'!$D$2:$D$36,'Daily evaluations'!$B$2:$B$36,"=random_05",'Daily evaluations'!$C$2:$C$36,"=d20261120"),"")</f>
      </c>
      <c r="AU21" s="8">
        <f>IF((0=1),SUMIFS('Daily evaluations'!$D$2:$D$36,'Daily evaluations'!$B$2:$B$36,"=random_05",'Daily evaluations'!$C$2:$C$36,"=d20261123"),"")</f>
      </c>
      <c r="AV21" s="8">
        <f>IF((0=1),SUMIFS('Daily evaluations'!$D$2:$D$36,'Daily evaluations'!$B$2:$B$36,"=random_05",'Daily evaluations'!$C$2:$C$36,"=d20261124"),"")</f>
      </c>
      <c r="AW21" s="8">
        <f>IF((0=1),SUMIFS('Daily evaluations'!$D$2:$D$36,'Daily evaluations'!$B$2:$B$36,"=random_05",'Daily evaluations'!$C$2:$C$36,"=d20261125"),"")</f>
      </c>
      <c r="AX21" s="8">
        <f>IF((0=1),SUMIFS('Daily evaluations'!$D$2:$D$36,'Daily evaluations'!$B$2:$B$36,"=random_05",'Daily evaluations'!$C$2:$C$36,"=d20261127"),"")</f>
      </c>
      <c r="AY21" s="8">
        <f>IF((0=1),SUMIFS('Daily evaluations'!$D$2:$D$36,'Daily evaluations'!$B$2:$B$36,"=random_05",'Daily evaluations'!$C$2:$C$36,"=d20261130"),"")</f>
      </c>
      <c r="AZ21" s="8">
        <f>IF((0=1),SUMIFS('Daily evaluations'!$D$2:$D$36,'Daily evaluations'!$B$2:$B$36,"=random_05",'Daily evaluations'!$C$2:$C$36,"=d20261201"),"")</f>
      </c>
      <c r="BA21" s="8">
        <f>IF((0=1),SUMIFS('Daily evaluations'!$D$2:$D$36,'Daily evaluations'!$B$2:$B$36,"=random_05",'Daily evaluations'!$C$2:$C$36,"=d20261202"),"")</f>
      </c>
      <c r="BB21" s="8">
        <f>IF((0=1),SUMIFS('Daily evaluations'!$D$2:$D$36,'Daily evaluations'!$B$2:$B$36,"=random_05",'Daily evaluations'!$C$2:$C$36,"=d20261203"),"")</f>
      </c>
      <c r="BC21" s="8">
        <f>IF((0=1),SUMIFS('Daily evaluations'!$D$2:$D$36,'Daily evaluations'!$B$2:$B$36,"=random_05",'Daily evaluations'!$C$2:$C$36,"=d20261204"),"")</f>
      </c>
      <c r="BD21" s="8">
        <f>IF((0=1),SUMIFS('Daily evaluations'!$D$2:$D$36,'Daily evaluations'!$B$2:$B$36,"=random_05",'Daily evaluations'!$C$2:$C$36,"=d20261207"),"")</f>
      </c>
      <c r="BE21" s="8">
        <f>IF((0=1),SUMIFS('Daily evaluations'!$D$2:$D$36,'Daily evaluations'!$B$2:$B$36,"=random_05",'Daily evaluations'!$C$2:$C$36,"=d20261208"),"")</f>
      </c>
      <c r="BF21" s="8">
        <f>IF((0=1),SUMIFS('Daily evaluations'!$D$2:$D$36,'Daily evaluations'!$B$2:$B$36,"=random_05",'Daily evaluations'!$C$2:$C$36,"=d20261209"),"")</f>
      </c>
      <c r="BG21" s="8">
        <f>IF((0=1),SUMIFS('Daily evaluations'!$D$2:$D$36,'Daily evaluations'!$B$2:$B$36,"=random_05",'Daily evaluations'!$C$2:$C$36,"=d20261210"),"")</f>
      </c>
      <c r="BH21" s="8">
        <f>IF((0=1),SUMIFS('Daily evaluations'!$D$2:$D$36,'Daily evaluations'!$B$2:$B$36,"=random_05",'Daily evaluations'!$C$2:$C$36,"=d20261211"),"")</f>
      </c>
      <c r="BI21" s="8">
        <f>IF((0=1),SUMIFS('Daily evaluations'!$D$2:$D$36,'Daily evaluations'!$B$2:$B$36,"=random_05",'Daily evaluations'!$C$2:$C$36,"=d20261214"),"")</f>
      </c>
      <c r="BJ21" s="8">
        <f>IF((0=1),SUMIFS('Daily evaluations'!$D$2:$D$36,'Daily evaluations'!$B$2:$B$36,"=random_05",'Daily evaluations'!$C$2:$C$36,"=d20261215"),"")</f>
      </c>
      <c r="BK21" s="8">
        <f>IF((0=1),SUMIFS('Daily evaluations'!$D$2:$D$36,'Daily evaluations'!$B$2:$B$36,"=random_05",'Daily evaluations'!$C$2:$C$36,"=d20261216"),"")</f>
      </c>
      <c r="BL21" s="8">
        <f>IF((0=1),SUMIFS('Daily evaluations'!$D$2:$D$36,'Daily evaluations'!$B$2:$B$36,"=random_05",'Daily evaluations'!$C$2:$C$36,"=d20261217"),"")</f>
      </c>
      <c r="BM21" s="8">
        <f>IF((0=1),SUMIFS('Daily evaluations'!$D$2:$D$36,'Daily evaluations'!$B$2:$B$36,"=random_05",'Daily evaluations'!$C$2:$C$36,"=d20261218"),"")</f>
      </c>
      <c r="BN21" s="8">
        <f>IF((0=1),SUMIFS('Daily evaluations'!$D$2:$D$36,'Daily evaluations'!$B$2:$B$36,"=random_05",'Daily evaluations'!$C$2:$C$36,"=d20261221"),"")</f>
      </c>
      <c r="BO21" s="8">
        <f>IF((0=1),SUMIFS('Daily evaluations'!$D$2:$D$36,'Daily evaluations'!$B$2:$B$36,"=random_05",'Daily evaluations'!$C$2:$C$36,"=d20261222"),"")</f>
      </c>
      <c r="BP21" s="8">
        <f>IF((0=1),SUMIFS('Daily evaluations'!$D$2:$D$36,'Daily evaluations'!$B$2:$B$36,"=random_05",'Daily evaluations'!$C$2:$C$36,"=d20261223"),"")</f>
      </c>
      <c r="BQ21" s="8">
        <f>IF((0=1),SUMIFS('Daily evaluations'!$D$2:$D$36,'Daily evaluations'!$B$2:$B$36,"=random_05",'Daily evaluations'!$C$2:$C$36,"=d20261224"),"")</f>
      </c>
      <c r="BR21" s="8">
        <f>IF((0=1),SUMIFS('Daily evaluations'!$D$2:$D$36,'Daily evaluations'!$B$2:$B$36,"=random_05",'Daily evaluations'!$C$2:$C$36,"=d20261228"),"")</f>
      </c>
      <c r="BS21" s="8">
        <f>IF((0=1),SUMIFS('Daily evaluations'!$D$2:$D$36,'Daily evaluations'!$B$2:$B$36,"=random_05",'Daily evaluations'!$C$2:$C$36,"=d20261229"),"")</f>
      </c>
      <c r="BT21" s="8">
        <f>IF((0=1),SUMIFS('Daily evaluations'!$D$2:$D$36,'Daily evaluations'!$B$2:$B$36,"=random_05",'Daily evaluations'!$C$2:$C$36,"=d20261230"),"")</f>
      </c>
      <c r="BU21" s="8">
        <f>IF((0=1),SUMIFS('Daily evaluations'!$D$2:$D$36,'Daily evaluations'!$B$2:$B$36,"=random_05",'Daily evaluations'!$C$2:$C$36,"=d20261231"),"")</f>
      </c>
      <c r="BV21" s="8">
        <f>IF((0=1),SUMIFS('Daily evaluations'!$D$2:$D$36,'Daily evaluations'!$B$2:$B$36,"=random_05",'Daily evaluations'!$C$2:$C$36,"=d20270104"),"")</f>
      </c>
      <c r="BW21" s="8">
        <f>IF((0=1),SUMIFS('Daily evaluations'!$D$2:$D$36,'Daily evaluations'!$B$2:$B$36,"=random_05",'Daily evaluations'!$C$2:$C$36,"=d20270105"),"")</f>
      </c>
      <c r="BX21" s="8">
        <f>IF((0=1),SUMIFS('Daily evaluations'!$D$2:$D$36,'Daily evaluations'!$B$2:$B$36,"=random_05",'Daily evaluations'!$C$2:$C$36,"=d20270106"),"")</f>
      </c>
      <c r="BY21" s="8">
        <f>IF((0=1),SUMIFS('Daily evaluations'!$D$2:$D$36,'Daily evaluations'!$B$2:$B$36,"=random_05",'Daily evaluations'!$C$2:$C$36,"=d20270107"),"")</f>
      </c>
      <c r="BZ21" s="8">
        <f>IF((0=1),SUMIFS('Daily evaluations'!$D$2:$D$36,'Daily evaluations'!$B$2:$B$36,"=random_05",'Daily evaluations'!$C$2:$C$36,"=d20270108"),"")</f>
      </c>
      <c r="CA21" s="8">
        <f>IF((0=1),SUMIFS('Daily evaluations'!$D$2:$D$36,'Daily evaluations'!$B$2:$B$36,"=random_05",'Daily evaluations'!$C$2:$C$36,"=d20270111"),"")</f>
      </c>
      <c r="CB21" s="8">
        <f>IF((0=1),SUMIFS('Daily evaluations'!$D$2:$D$36,'Daily evaluations'!$B$2:$B$36,"=random_05",'Daily evaluations'!$C$2:$C$36,"=d20270112"),"")</f>
      </c>
      <c r="CC21" s="8">
        <f>IF((0=1),SUMIFS('Daily evaluations'!$D$2:$D$36,'Daily evaluations'!$B$2:$B$36,"=random_05",'Daily evaluations'!$C$2:$C$36,"=d20270113"),"")</f>
      </c>
      <c r="CD21" s="8">
        <f>IF((0=1),SUMIFS('Daily evaluations'!$D$2:$D$36,'Daily evaluations'!$B$2:$B$36,"=random_05",'Daily evaluations'!$C$2:$C$36,"=d20270114"),"")</f>
      </c>
      <c r="CE21" s="8">
        <f>IF((0=1),SUMIFS('Daily evaluations'!$D$2:$D$36,'Daily evaluations'!$B$2:$B$36,"=random_05",'Daily evaluations'!$C$2:$C$36,"=d20270115"),"")</f>
      </c>
      <c r="CF21" s="8">
        <f>IF((0=1),SUMIFS('Daily evaluations'!$D$2:$D$36,'Daily evaluations'!$B$2:$B$36,"=random_05",'Daily evaluations'!$C$2:$C$36,"=d20270119"),"")</f>
      </c>
      <c r="CG21" s="8">
        <f>IF((0=1),SUMIFS('Daily evaluations'!$D$2:$D$36,'Daily evaluations'!$B$2:$B$36,"=random_05",'Daily evaluations'!$C$2:$C$36,"=d20270120"),"")</f>
      </c>
      <c r="CH21" s="8">
        <f>IF((0=1),SUMIFS('Daily evaluations'!$D$2:$D$36,'Daily evaluations'!$B$2:$B$36,"=random_05",'Daily evaluations'!$C$2:$C$36,"=d20270121"),"")</f>
      </c>
      <c r="CI21" s="8">
        <f>IF((0=1),SUMIFS('Daily evaluations'!$D$2:$D$36,'Daily evaluations'!$B$2:$B$36,"=random_05",'Daily evaluations'!$C$2:$C$36,"=d20270122"),"")</f>
      </c>
      <c r="CJ21" s="8">
        <f>IF((0=1),SUMIFS('Daily evaluations'!$D$2:$D$36,'Daily evaluations'!$B$2:$B$36,"=random_05",'Daily evaluations'!$C$2:$C$36,"=d20270125"),"")</f>
      </c>
      <c r="CK21" s="8">
        <f>IF((0=1),SUMIFS('Daily evaluations'!$D$2:$D$36,'Daily evaluations'!$B$2:$B$36,"=random_05",'Daily evaluations'!$C$2:$C$36,"=d20270126"),"")</f>
      </c>
      <c r="CL21" s="8">
        <f>IF((0=1),SUMIFS('Daily evaluations'!$D$2:$D$36,'Daily evaluations'!$B$2:$B$36,"=random_05",'Daily evaluations'!$C$2:$C$36,"=d20270127"),"")</f>
      </c>
      <c r="CM21" s="8">
        <f>IF((0=1),SUMIFS('Daily evaluations'!$D$2:$D$36,'Daily evaluations'!$B$2:$B$36,"=random_05",'Daily evaluations'!$C$2:$C$36,"=d20270128"),"")</f>
      </c>
      <c r="CN21" s="8">
        <f>IF((0=1),SUMIFS('Daily evaluations'!$D$2:$D$36,'Daily evaluations'!$B$2:$B$36,"=random_05",'Daily evaluations'!$C$2:$C$36,"=d20270129"),"")</f>
      </c>
      <c r="CO21" s="8">
        <f>IF((0=1),SUMIFS('Daily evaluations'!$D$2:$D$36,'Daily evaluations'!$B$2:$B$36,"=random_05",'Daily evaluations'!$C$2:$C$36,"=d20270201"),"")</f>
      </c>
      <c r="CP21" s="8">
        <f>IF((0=1),SUMIFS('Daily evaluations'!$D$2:$D$36,'Daily evaluations'!$B$2:$B$36,"=random_05",'Daily evaluations'!$C$2:$C$36,"=d20270202"),"")</f>
      </c>
      <c r="CQ21" s="8">
        <f>IF((0=1),SUMIFS('Daily evaluations'!$D$2:$D$36,'Daily evaluations'!$B$2:$B$36,"=random_05",'Daily evaluations'!$C$2:$C$36,"=d20270203"),"")</f>
      </c>
      <c r="CR21" s="8">
        <f>IF((0=1),SUMIFS('Daily evaluations'!$D$2:$D$36,'Daily evaluations'!$B$2:$B$36,"=random_05",'Daily evaluations'!$C$2:$C$36,"=d20270204"),"")</f>
      </c>
      <c r="CS21" s="8">
        <f>IF((0=1),SUMIFS('Daily evaluations'!$D$2:$D$36,'Daily evaluations'!$B$2:$B$36,"=random_05",'Daily evaluations'!$C$2:$C$36,"=d20270205"),"")</f>
      </c>
      <c r="CT21" s="8">
        <f>IF((0=1),SUMIFS('Daily evaluations'!$D$2:$D$36,'Daily evaluations'!$B$2:$B$36,"=random_05",'Daily evaluations'!$C$2:$C$36,"=d20270208"),"")</f>
      </c>
      <c r="CU21" s="8">
        <f>IF((0=1),SUMIFS('Daily evaluations'!$D$2:$D$36,'Daily evaluations'!$B$2:$B$36,"=random_05",'Daily evaluations'!$C$2:$C$36,"=d20270209"),"")</f>
      </c>
      <c r="CV21" s="8">
        <f>IF((0=1),SUMIFS('Daily evaluations'!$D$2:$D$36,'Daily evaluations'!$B$2:$B$36,"=random_05",'Daily evaluations'!$C$2:$C$36,"=d20270210"),"")</f>
      </c>
      <c r="CW21" s="8">
        <f>IF((0=1),SUMIFS('Daily evaluations'!$D$2:$D$36,'Daily evaluations'!$B$2:$B$36,"=random_05",'Daily evaluations'!$C$2:$C$36,"=d20270211"),"")</f>
      </c>
      <c r="CX21" s="8">
        <f>IF((0=1),SUMIFS('Daily evaluations'!$D$2:$D$36,'Daily evaluations'!$B$2:$B$36,"=random_05",'Daily evaluations'!$C$2:$C$36,"=d20270212"),"")</f>
      </c>
    </row>
    <row r="22">
      <c r="A22" s="0" t="inlineStr">
        <is>
          <t xml:space="preserve">Sector-neutral overnight excess, bps</t>
        </is>
      </c>
      <c r="B22" s="0" t="inlineStr">
        <is>
          <t xml:space="preserve">Random 6</t>
        </is>
      </c>
      <c r="C22" s="8">
        <f>IF((1=1),SUMIFS('Daily evaluations'!$D$2:$D$36,'Daily evaluations'!$B$2:$B$36,"=random_06",'Daily evaluations'!$C$2:$C$36,"=d20260922"),"")</f>
        <v>-3.004</v>
      </c>
      <c r="D22" s="8">
        <f>IF((0=1),SUMIFS('Daily evaluations'!$D$2:$D$36,'Daily evaluations'!$B$2:$B$36,"=random_06",'Daily evaluations'!$C$2:$C$36,"=d20260923"),"")</f>
      </c>
      <c r="E22" s="8">
        <f>IF((0=1),SUMIFS('Daily evaluations'!$D$2:$D$36,'Daily evaluations'!$B$2:$B$36,"=random_06",'Daily evaluations'!$C$2:$C$36,"=d20260924"),"")</f>
      </c>
      <c r="F22" s="8">
        <f>IF((0=1),SUMIFS('Daily evaluations'!$D$2:$D$36,'Daily evaluations'!$B$2:$B$36,"=random_06",'Daily evaluations'!$C$2:$C$36,"=d20260925"),"")</f>
      </c>
      <c r="G22" s="8">
        <f>IF((0=1),SUMIFS('Daily evaluations'!$D$2:$D$36,'Daily evaluations'!$B$2:$B$36,"=random_06",'Daily evaluations'!$C$2:$C$36,"=d20260928"),"")</f>
      </c>
      <c r="H22" s="8">
        <f>IF((0=1),SUMIFS('Daily evaluations'!$D$2:$D$36,'Daily evaluations'!$B$2:$B$36,"=random_06",'Daily evaluations'!$C$2:$C$36,"=d20260929"),"")</f>
      </c>
      <c r="I22" s="8">
        <f>IF((0=1),SUMIFS('Daily evaluations'!$D$2:$D$36,'Daily evaluations'!$B$2:$B$36,"=random_06",'Daily evaluations'!$C$2:$C$36,"=d20260930"),"")</f>
      </c>
      <c r="J22" s="8">
        <f>IF((0=1),SUMIFS('Daily evaluations'!$D$2:$D$36,'Daily evaluations'!$B$2:$B$36,"=random_06",'Daily evaluations'!$C$2:$C$36,"=d20261001"),"")</f>
      </c>
      <c r="K22" s="8">
        <f>IF((0=1),SUMIFS('Daily evaluations'!$D$2:$D$36,'Daily evaluations'!$B$2:$B$36,"=random_06",'Daily evaluations'!$C$2:$C$36,"=d20261002"),"")</f>
      </c>
      <c r="L22" s="8">
        <f>IF((0=1),SUMIFS('Daily evaluations'!$D$2:$D$36,'Daily evaluations'!$B$2:$B$36,"=random_06",'Daily evaluations'!$C$2:$C$36,"=d20261005"),"")</f>
      </c>
      <c r="M22" s="8">
        <f>IF((0=1),SUMIFS('Daily evaluations'!$D$2:$D$36,'Daily evaluations'!$B$2:$B$36,"=random_06",'Daily evaluations'!$C$2:$C$36,"=d20261006"),"")</f>
      </c>
      <c r="N22" s="8">
        <f>IF((0=1),SUMIFS('Daily evaluations'!$D$2:$D$36,'Daily evaluations'!$B$2:$B$36,"=random_06",'Daily evaluations'!$C$2:$C$36,"=d20261007"),"")</f>
      </c>
      <c r="O22" s="8">
        <f>IF((0=1),SUMIFS('Daily evaluations'!$D$2:$D$36,'Daily evaluations'!$B$2:$B$36,"=random_06",'Daily evaluations'!$C$2:$C$36,"=d20261008"),"")</f>
      </c>
      <c r="P22" s="8">
        <f>IF((0=1),SUMIFS('Daily evaluations'!$D$2:$D$36,'Daily evaluations'!$B$2:$B$36,"=random_06",'Daily evaluations'!$C$2:$C$36,"=d20261009"),"")</f>
      </c>
      <c r="Q22" s="8">
        <f>IF((0=1),SUMIFS('Daily evaluations'!$D$2:$D$36,'Daily evaluations'!$B$2:$B$36,"=random_06",'Daily evaluations'!$C$2:$C$36,"=d20261012"),"")</f>
      </c>
      <c r="R22" s="8">
        <f>IF((0=1),SUMIFS('Daily evaluations'!$D$2:$D$36,'Daily evaluations'!$B$2:$B$36,"=random_06",'Daily evaluations'!$C$2:$C$36,"=d20261013"),"")</f>
      </c>
      <c r="S22" s="8">
        <f>IF((0=1),SUMIFS('Daily evaluations'!$D$2:$D$36,'Daily evaluations'!$B$2:$B$36,"=random_06",'Daily evaluations'!$C$2:$C$36,"=d20261014"),"")</f>
      </c>
      <c r="T22" s="8">
        <f>IF((0=1),SUMIFS('Daily evaluations'!$D$2:$D$36,'Daily evaluations'!$B$2:$B$36,"=random_06",'Daily evaluations'!$C$2:$C$36,"=d20261015"),"")</f>
      </c>
      <c r="U22" s="8">
        <f>IF((0=1),SUMIFS('Daily evaluations'!$D$2:$D$36,'Daily evaluations'!$B$2:$B$36,"=random_06",'Daily evaluations'!$C$2:$C$36,"=d20261016"),"")</f>
      </c>
      <c r="V22" s="8">
        <f>IF((0=1),SUMIFS('Daily evaluations'!$D$2:$D$36,'Daily evaluations'!$B$2:$B$36,"=random_06",'Daily evaluations'!$C$2:$C$36,"=d20261019"),"")</f>
      </c>
      <c r="W22" s="8">
        <f>IF((0=1),SUMIFS('Daily evaluations'!$D$2:$D$36,'Daily evaluations'!$B$2:$B$36,"=random_06",'Daily evaluations'!$C$2:$C$36,"=d20261020"),"")</f>
      </c>
      <c r="X22" s="8">
        <f>IF((0=1),SUMIFS('Daily evaluations'!$D$2:$D$36,'Daily evaluations'!$B$2:$B$36,"=random_06",'Daily evaluations'!$C$2:$C$36,"=d20261021"),"")</f>
      </c>
      <c r="Y22" s="8">
        <f>IF((0=1),SUMIFS('Daily evaluations'!$D$2:$D$36,'Daily evaluations'!$B$2:$B$36,"=random_06",'Daily evaluations'!$C$2:$C$36,"=d20261022"),"")</f>
      </c>
      <c r="Z22" s="8">
        <f>IF((0=1),SUMIFS('Daily evaluations'!$D$2:$D$36,'Daily evaluations'!$B$2:$B$36,"=random_06",'Daily evaluations'!$C$2:$C$36,"=d20261023"),"")</f>
      </c>
      <c r="AA22" s="8">
        <f>IF((0=1),SUMIFS('Daily evaluations'!$D$2:$D$36,'Daily evaluations'!$B$2:$B$36,"=random_06",'Daily evaluations'!$C$2:$C$36,"=d20261026"),"")</f>
      </c>
      <c r="AB22" s="8">
        <f>IF((0=1),SUMIFS('Daily evaluations'!$D$2:$D$36,'Daily evaluations'!$B$2:$B$36,"=random_06",'Daily evaluations'!$C$2:$C$36,"=d20261027"),"")</f>
      </c>
      <c r="AC22" s="8">
        <f>IF((0=1),SUMIFS('Daily evaluations'!$D$2:$D$36,'Daily evaluations'!$B$2:$B$36,"=random_06",'Daily evaluations'!$C$2:$C$36,"=d20261028"),"")</f>
      </c>
      <c r="AD22" s="8">
        <f>IF((0=1),SUMIFS('Daily evaluations'!$D$2:$D$36,'Daily evaluations'!$B$2:$B$36,"=random_06",'Daily evaluations'!$C$2:$C$36,"=d20261029"),"")</f>
      </c>
      <c r="AE22" s="8">
        <f>IF((0=1),SUMIFS('Daily evaluations'!$D$2:$D$36,'Daily evaluations'!$B$2:$B$36,"=random_06",'Daily evaluations'!$C$2:$C$36,"=d20261030"),"")</f>
      </c>
      <c r="AF22" s="8">
        <f>IF((0=1),SUMIFS('Daily evaluations'!$D$2:$D$36,'Daily evaluations'!$B$2:$B$36,"=random_06",'Daily evaluations'!$C$2:$C$36,"=d20261102"),"")</f>
      </c>
      <c r="AG22" s="8">
        <f>IF((0=1),SUMIFS('Daily evaluations'!$D$2:$D$36,'Daily evaluations'!$B$2:$B$36,"=random_06",'Daily evaluations'!$C$2:$C$36,"=d20261103"),"")</f>
      </c>
      <c r="AH22" s="8">
        <f>IF((0=1),SUMIFS('Daily evaluations'!$D$2:$D$36,'Daily evaluations'!$B$2:$B$36,"=random_06",'Daily evaluations'!$C$2:$C$36,"=d20261104"),"")</f>
      </c>
      <c r="AI22" s="8">
        <f>IF((0=1),SUMIFS('Daily evaluations'!$D$2:$D$36,'Daily evaluations'!$B$2:$B$36,"=random_06",'Daily evaluations'!$C$2:$C$36,"=d20261105"),"")</f>
      </c>
      <c r="AJ22" s="8">
        <f>IF((0=1),SUMIFS('Daily evaluations'!$D$2:$D$36,'Daily evaluations'!$B$2:$B$36,"=random_06",'Daily evaluations'!$C$2:$C$36,"=d20261106"),"")</f>
      </c>
      <c r="AK22" s="8">
        <f>IF((0=1),SUMIFS('Daily evaluations'!$D$2:$D$36,'Daily evaluations'!$B$2:$B$36,"=random_06",'Daily evaluations'!$C$2:$C$36,"=d20261109"),"")</f>
      </c>
      <c r="AL22" s="8">
        <f>IF((0=1),SUMIFS('Daily evaluations'!$D$2:$D$36,'Daily evaluations'!$B$2:$B$36,"=random_06",'Daily evaluations'!$C$2:$C$36,"=d20261110"),"")</f>
      </c>
      <c r="AM22" s="8">
        <f>IF((0=1),SUMIFS('Daily evaluations'!$D$2:$D$36,'Daily evaluations'!$B$2:$B$36,"=random_06",'Daily evaluations'!$C$2:$C$36,"=d20261111"),"")</f>
      </c>
      <c r="AN22" s="8">
        <f>IF((0=1),SUMIFS('Daily evaluations'!$D$2:$D$36,'Daily evaluations'!$B$2:$B$36,"=random_06",'Daily evaluations'!$C$2:$C$36,"=d20261112"),"")</f>
      </c>
      <c r="AO22" s="8">
        <f>IF((0=1),SUMIFS('Daily evaluations'!$D$2:$D$36,'Daily evaluations'!$B$2:$B$36,"=random_06",'Daily evaluations'!$C$2:$C$36,"=d20261113"),"")</f>
      </c>
      <c r="AP22" s="8">
        <f>IF((0=1),SUMIFS('Daily evaluations'!$D$2:$D$36,'Daily evaluations'!$B$2:$B$36,"=random_06",'Daily evaluations'!$C$2:$C$36,"=d20261116"),"")</f>
      </c>
      <c r="AQ22" s="8">
        <f>IF((0=1),SUMIFS('Daily evaluations'!$D$2:$D$36,'Daily evaluations'!$B$2:$B$36,"=random_06",'Daily evaluations'!$C$2:$C$36,"=d20261117"),"")</f>
      </c>
      <c r="AR22" s="8">
        <f>IF((0=1),SUMIFS('Daily evaluations'!$D$2:$D$36,'Daily evaluations'!$B$2:$B$36,"=random_06",'Daily evaluations'!$C$2:$C$36,"=d20261118"),"")</f>
      </c>
      <c r="AS22" s="8">
        <f>IF((0=1),SUMIFS('Daily evaluations'!$D$2:$D$36,'Daily evaluations'!$B$2:$B$36,"=random_06",'Daily evaluations'!$C$2:$C$36,"=d20261119"),"")</f>
      </c>
      <c r="AT22" s="8">
        <f>IF((0=1),SUMIFS('Daily evaluations'!$D$2:$D$36,'Daily evaluations'!$B$2:$B$36,"=random_06",'Daily evaluations'!$C$2:$C$36,"=d20261120"),"")</f>
      </c>
      <c r="AU22" s="8">
        <f>IF((0=1),SUMIFS('Daily evaluations'!$D$2:$D$36,'Daily evaluations'!$B$2:$B$36,"=random_06",'Daily evaluations'!$C$2:$C$36,"=d20261123"),"")</f>
      </c>
      <c r="AV22" s="8">
        <f>IF((0=1),SUMIFS('Daily evaluations'!$D$2:$D$36,'Daily evaluations'!$B$2:$B$36,"=random_06",'Daily evaluations'!$C$2:$C$36,"=d20261124"),"")</f>
      </c>
      <c r="AW22" s="8">
        <f>IF((0=1),SUMIFS('Daily evaluations'!$D$2:$D$36,'Daily evaluations'!$B$2:$B$36,"=random_06",'Daily evaluations'!$C$2:$C$36,"=d20261125"),"")</f>
      </c>
      <c r="AX22" s="8">
        <f>IF((0=1),SUMIFS('Daily evaluations'!$D$2:$D$36,'Daily evaluations'!$B$2:$B$36,"=random_06",'Daily evaluations'!$C$2:$C$36,"=d20261127"),"")</f>
      </c>
      <c r="AY22" s="8">
        <f>IF((0=1),SUMIFS('Daily evaluations'!$D$2:$D$36,'Daily evaluations'!$B$2:$B$36,"=random_06",'Daily evaluations'!$C$2:$C$36,"=d20261130"),"")</f>
      </c>
      <c r="AZ22" s="8">
        <f>IF((0=1),SUMIFS('Daily evaluations'!$D$2:$D$36,'Daily evaluations'!$B$2:$B$36,"=random_06",'Daily evaluations'!$C$2:$C$36,"=d20261201"),"")</f>
      </c>
      <c r="BA22" s="8">
        <f>IF((0=1),SUMIFS('Daily evaluations'!$D$2:$D$36,'Daily evaluations'!$B$2:$B$36,"=random_06",'Daily evaluations'!$C$2:$C$36,"=d20261202"),"")</f>
      </c>
      <c r="BB22" s="8">
        <f>IF((0=1),SUMIFS('Daily evaluations'!$D$2:$D$36,'Daily evaluations'!$B$2:$B$36,"=random_06",'Daily evaluations'!$C$2:$C$36,"=d20261203"),"")</f>
      </c>
      <c r="BC22" s="8">
        <f>IF((0=1),SUMIFS('Daily evaluations'!$D$2:$D$36,'Daily evaluations'!$B$2:$B$36,"=random_06",'Daily evaluations'!$C$2:$C$36,"=d20261204"),"")</f>
      </c>
      <c r="BD22" s="8">
        <f>IF((0=1),SUMIFS('Daily evaluations'!$D$2:$D$36,'Daily evaluations'!$B$2:$B$36,"=random_06",'Daily evaluations'!$C$2:$C$36,"=d20261207"),"")</f>
      </c>
      <c r="BE22" s="8">
        <f>IF((0=1),SUMIFS('Daily evaluations'!$D$2:$D$36,'Daily evaluations'!$B$2:$B$36,"=random_06",'Daily evaluations'!$C$2:$C$36,"=d20261208"),"")</f>
      </c>
      <c r="BF22" s="8">
        <f>IF((0=1),SUMIFS('Daily evaluations'!$D$2:$D$36,'Daily evaluations'!$B$2:$B$36,"=random_06",'Daily evaluations'!$C$2:$C$36,"=d20261209"),"")</f>
      </c>
      <c r="BG22" s="8">
        <f>IF((0=1),SUMIFS('Daily evaluations'!$D$2:$D$36,'Daily evaluations'!$B$2:$B$36,"=random_06",'Daily evaluations'!$C$2:$C$36,"=d20261210"),"")</f>
      </c>
      <c r="BH22" s="8">
        <f>IF((0=1),SUMIFS('Daily evaluations'!$D$2:$D$36,'Daily evaluations'!$B$2:$B$36,"=random_06",'Daily evaluations'!$C$2:$C$36,"=d20261211"),"")</f>
      </c>
      <c r="BI22" s="8">
        <f>IF((0=1),SUMIFS('Daily evaluations'!$D$2:$D$36,'Daily evaluations'!$B$2:$B$36,"=random_06",'Daily evaluations'!$C$2:$C$36,"=d20261214"),"")</f>
      </c>
      <c r="BJ22" s="8">
        <f>IF((0=1),SUMIFS('Daily evaluations'!$D$2:$D$36,'Daily evaluations'!$B$2:$B$36,"=random_06",'Daily evaluations'!$C$2:$C$36,"=d20261215"),"")</f>
      </c>
      <c r="BK22" s="8">
        <f>IF((0=1),SUMIFS('Daily evaluations'!$D$2:$D$36,'Daily evaluations'!$B$2:$B$36,"=random_06",'Daily evaluations'!$C$2:$C$36,"=d20261216"),"")</f>
      </c>
      <c r="BL22" s="8">
        <f>IF((0=1),SUMIFS('Daily evaluations'!$D$2:$D$36,'Daily evaluations'!$B$2:$B$36,"=random_06",'Daily evaluations'!$C$2:$C$36,"=d20261217"),"")</f>
      </c>
      <c r="BM22" s="8">
        <f>IF((0=1),SUMIFS('Daily evaluations'!$D$2:$D$36,'Daily evaluations'!$B$2:$B$36,"=random_06",'Daily evaluations'!$C$2:$C$36,"=d20261218"),"")</f>
      </c>
      <c r="BN22" s="8">
        <f>IF((0=1),SUMIFS('Daily evaluations'!$D$2:$D$36,'Daily evaluations'!$B$2:$B$36,"=random_06",'Daily evaluations'!$C$2:$C$36,"=d20261221"),"")</f>
      </c>
      <c r="BO22" s="8">
        <f>IF((0=1),SUMIFS('Daily evaluations'!$D$2:$D$36,'Daily evaluations'!$B$2:$B$36,"=random_06",'Daily evaluations'!$C$2:$C$36,"=d20261222"),"")</f>
      </c>
      <c r="BP22" s="8">
        <f>IF((0=1),SUMIFS('Daily evaluations'!$D$2:$D$36,'Daily evaluations'!$B$2:$B$36,"=random_06",'Daily evaluations'!$C$2:$C$36,"=d20261223"),"")</f>
      </c>
      <c r="BQ22" s="8">
        <f>IF((0=1),SUMIFS('Daily evaluations'!$D$2:$D$36,'Daily evaluations'!$B$2:$B$36,"=random_06",'Daily evaluations'!$C$2:$C$36,"=d20261224"),"")</f>
      </c>
      <c r="BR22" s="8">
        <f>IF((0=1),SUMIFS('Daily evaluations'!$D$2:$D$36,'Daily evaluations'!$B$2:$B$36,"=random_06",'Daily evaluations'!$C$2:$C$36,"=d20261228"),"")</f>
      </c>
      <c r="BS22" s="8">
        <f>IF((0=1),SUMIFS('Daily evaluations'!$D$2:$D$36,'Daily evaluations'!$B$2:$B$36,"=random_06",'Daily evaluations'!$C$2:$C$36,"=d20261229"),"")</f>
      </c>
      <c r="BT22" s="8">
        <f>IF((0=1),SUMIFS('Daily evaluations'!$D$2:$D$36,'Daily evaluations'!$B$2:$B$36,"=random_06",'Daily evaluations'!$C$2:$C$36,"=d20261230"),"")</f>
      </c>
      <c r="BU22" s="8">
        <f>IF((0=1),SUMIFS('Daily evaluations'!$D$2:$D$36,'Daily evaluations'!$B$2:$B$36,"=random_06",'Daily evaluations'!$C$2:$C$36,"=d20261231"),"")</f>
      </c>
      <c r="BV22" s="8">
        <f>IF((0=1),SUMIFS('Daily evaluations'!$D$2:$D$36,'Daily evaluations'!$B$2:$B$36,"=random_06",'Daily evaluations'!$C$2:$C$36,"=d20270104"),"")</f>
      </c>
      <c r="BW22" s="8">
        <f>IF((0=1),SUMIFS('Daily evaluations'!$D$2:$D$36,'Daily evaluations'!$B$2:$B$36,"=random_06",'Daily evaluations'!$C$2:$C$36,"=d20270105"),"")</f>
      </c>
      <c r="BX22" s="8">
        <f>IF((0=1),SUMIFS('Daily evaluations'!$D$2:$D$36,'Daily evaluations'!$B$2:$B$36,"=random_06",'Daily evaluations'!$C$2:$C$36,"=d20270106"),"")</f>
      </c>
      <c r="BY22" s="8">
        <f>IF((0=1),SUMIFS('Daily evaluations'!$D$2:$D$36,'Daily evaluations'!$B$2:$B$36,"=random_06",'Daily evaluations'!$C$2:$C$36,"=d20270107"),"")</f>
      </c>
      <c r="BZ22" s="8">
        <f>IF((0=1),SUMIFS('Daily evaluations'!$D$2:$D$36,'Daily evaluations'!$B$2:$B$36,"=random_06",'Daily evaluations'!$C$2:$C$36,"=d20270108"),"")</f>
      </c>
      <c r="CA22" s="8">
        <f>IF((0=1),SUMIFS('Daily evaluations'!$D$2:$D$36,'Daily evaluations'!$B$2:$B$36,"=random_06",'Daily evaluations'!$C$2:$C$36,"=d20270111"),"")</f>
      </c>
      <c r="CB22" s="8">
        <f>IF((0=1),SUMIFS('Daily evaluations'!$D$2:$D$36,'Daily evaluations'!$B$2:$B$36,"=random_06",'Daily evaluations'!$C$2:$C$36,"=d20270112"),"")</f>
      </c>
      <c r="CC22" s="8">
        <f>IF((0=1),SUMIFS('Daily evaluations'!$D$2:$D$36,'Daily evaluations'!$B$2:$B$36,"=random_06",'Daily evaluations'!$C$2:$C$36,"=d20270113"),"")</f>
      </c>
      <c r="CD22" s="8">
        <f>IF((0=1),SUMIFS('Daily evaluations'!$D$2:$D$36,'Daily evaluations'!$B$2:$B$36,"=random_06",'Daily evaluations'!$C$2:$C$36,"=d20270114"),"")</f>
      </c>
      <c r="CE22" s="8">
        <f>IF((0=1),SUMIFS('Daily evaluations'!$D$2:$D$36,'Daily evaluations'!$B$2:$B$36,"=random_06",'Daily evaluations'!$C$2:$C$36,"=d20270115"),"")</f>
      </c>
      <c r="CF22" s="8">
        <f>IF((0=1),SUMIFS('Daily evaluations'!$D$2:$D$36,'Daily evaluations'!$B$2:$B$36,"=random_06",'Daily evaluations'!$C$2:$C$36,"=d20270119"),"")</f>
      </c>
      <c r="CG22" s="8">
        <f>IF((0=1),SUMIFS('Daily evaluations'!$D$2:$D$36,'Daily evaluations'!$B$2:$B$36,"=random_06",'Daily evaluations'!$C$2:$C$36,"=d20270120"),"")</f>
      </c>
      <c r="CH22" s="8">
        <f>IF((0=1),SUMIFS('Daily evaluations'!$D$2:$D$36,'Daily evaluations'!$B$2:$B$36,"=random_06",'Daily evaluations'!$C$2:$C$36,"=d20270121"),"")</f>
      </c>
      <c r="CI22" s="8">
        <f>IF((0=1),SUMIFS('Daily evaluations'!$D$2:$D$36,'Daily evaluations'!$B$2:$B$36,"=random_06",'Daily evaluations'!$C$2:$C$36,"=d20270122"),"")</f>
      </c>
      <c r="CJ22" s="8">
        <f>IF((0=1),SUMIFS('Daily evaluations'!$D$2:$D$36,'Daily evaluations'!$B$2:$B$36,"=random_06",'Daily evaluations'!$C$2:$C$36,"=d20270125"),"")</f>
      </c>
      <c r="CK22" s="8">
        <f>IF((0=1),SUMIFS('Daily evaluations'!$D$2:$D$36,'Daily evaluations'!$B$2:$B$36,"=random_06",'Daily evaluations'!$C$2:$C$36,"=d20270126"),"")</f>
      </c>
      <c r="CL22" s="8">
        <f>IF((0=1),SUMIFS('Daily evaluations'!$D$2:$D$36,'Daily evaluations'!$B$2:$B$36,"=random_06",'Daily evaluations'!$C$2:$C$36,"=d20270127"),"")</f>
      </c>
      <c r="CM22" s="8">
        <f>IF((0=1),SUMIFS('Daily evaluations'!$D$2:$D$36,'Daily evaluations'!$B$2:$B$36,"=random_06",'Daily evaluations'!$C$2:$C$36,"=d20270128"),"")</f>
      </c>
      <c r="CN22" s="8">
        <f>IF((0=1),SUMIFS('Daily evaluations'!$D$2:$D$36,'Daily evaluations'!$B$2:$B$36,"=random_06",'Daily evaluations'!$C$2:$C$36,"=d20270129"),"")</f>
      </c>
      <c r="CO22" s="8">
        <f>IF((0=1),SUMIFS('Daily evaluations'!$D$2:$D$36,'Daily evaluations'!$B$2:$B$36,"=random_06",'Daily evaluations'!$C$2:$C$36,"=d20270201"),"")</f>
      </c>
      <c r="CP22" s="8">
        <f>IF((0=1),SUMIFS('Daily evaluations'!$D$2:$D$36,'Daily evaluations'!$B$2:$B$36,"=random_06",'Daily evaluations'!$C$2:$C$36,"=d20270202"),"")</f>
      </c>
      <c r="CQ22" s="8">
        <f>IF((0=1),SUMIFS('Daily evaluations'!$D$2:$D$36,'Daily evaluations'!$B$2:$B$36,"=random_06",'Daily evaluations'!$C$2:$C$36,"=d20270203"),"")</f>
      </c>
      <c r="CR22" s="8">
        <f>IF((0=1),SUMIFS('Daily evaluations'!$D$2:$D$36,'Daily evaluations'!$B$2:$B$36,"=random_06",'Daily evaluations'!$C$2:$C$36,"=d20270204"),"")</f>
      </c>
      <c r="CS22" s="8">
        <f>IF((0=1),SUMIFS('Daily evaluations'!$D$2:$D$36,'Daily evaluations'!$B$2:$B$36,"=random_06",'Daily evaluations'!$C$2:$C$36,"=d20270205"),"")</f>
      </c>
      <c r="CT22" s="8">
        <f>IF((0=1),SUMIFS('Daily evaluations'!$D$2:$D$36,'Daily evaluations'!$B$2:$B$36,"=random_06",'Daily evaluations'!$C$2:$C$36,"=d20270208"),"")</f>
      </c>
      <c r="CU22" s="8">
        <f>IF((0=1),SUMIFS('Daily evaluations'!$D$2:$D$36,'Daily evaluations'!$B$2:$B$36,"=random_06",'Daily evaluations'!$C$2:$C$36,"=d20270209"),"")</f>
      </c>
      <c r="CV22" s="8">
        <f>IF((0=1),SUMIFS('Daily evaluations'!$D$2:$D$36,'Daily evaluations'!$B$2:$B$36,"=random_06",'Daily evaluations'!$C$2:$C$36,"=d20270210"),"")</f>
      </c>
      <c r="CW22" s="8">
        <f>IF((0=1),SUMIFS('Daily evaluations'!$D$2:$D$36,'Daily evaluations'!$B$2:$B$36,"=random_06",'Daily evaluations'!$C$2:$C$36,"=d20270211"),"")</f>
      </c>
      <c r="CX22" s="8">
        <f>IF((0=1),SUMIFS('Daily evaluations'!$D$2:$D$36,'Daily evaluations'!$B$2:$B$36,"=random_06",'Daily evaluations'!$C$2:$C$36,"=d20270212"),"")</f>
      </c>
    </row>
    <row r="23">
      <c r="A23" s="0" t="inlineStr">
        <is>
          <t xml:space="preserve">Sector-neutral overnight excess, bps</t>
        </is>
      </c>
      <c r="B23" s="0" t="inlineStr">
        <is>
          <t xml:space="preserve">Random 7</t>
        </is>
      </c>
      <c r="C23" s="8">
        <f>IF((1=1),SUMIFS('Daily evaluations'!$D$2:$D$36,'Daily evaluations'!$B$2:$B$36,"=random_07",'Daily evaluations'!$C$2:$C$36,"=d20260922"),"")</f>
        <v>-3.263</v>
      </c>
      <c r="D23" s="8">
        <f>IF((0=1),SUMIFS('Daily evaluations'!$D$2:$D$36,'Daily evaluations'!$B$2:$B$36,"=random_07",'Daily evaluations'!$C$2:$C$36,"=d20260923"),"")</f>
      </c>
      <c r="E23" s="8">
        <f>IF((0=1),SUMIFS('Daily evaluations'!$D$2:$D$36,'Daily evaluations'!$B$2:$B$36,"=random_07",'Daily evaluations'!$C$2:$C$36,"=d20260924"),"")</f>
      </c>
      <c r="F23" s="8">
        <f>IF((0=1),SUMIFS('Daily evaluations'!$D$2:$D$36,'Daily evaluations'!$B$2:$B$36,"=random_07",'Daily evaluations'!$C$2:$C$36,"=d20260925"),"")</f>
      </c>
      <c r="G23" s="8">
        <f>IF((0=1),SUMIFS('Daily evaluations'!$D$2:$D$36,'Daily evaluations'!$B$2:$B$36,"=random_07",'Daily evaluations'!$C$2:$C$36,"=d20260928"),"")</f>
      </c>
      <c r="H23" s="8">
        <f>IF((0=1),SUMIFS('Daily evaluations'!$D$2:$D$36,'Daily evaluations'!$B$2:$B$36,"=random_07",'Daily evaluations'!$C$2:$C$36,"=d20260929"),"")</f>
      </c>
      <c r="I23" s="8">
        <f>IF((0=1),SUMIFS('Daily evaluations'!$D$2:$D$36,'Daily evaluations'!$B$2:$B$36,"=random_07",'Daily evaluations'!$C$2:$C$36,"=d20260930"),"")</f>
      </c>
      <c r="J23" s="8">
        <f>IF((0=1),SUMIFS('Daily evaluations'!$D$2:$D$36,'Daily evaluations'!$B$2:$B$36,"=random_07",'Daily evaluations'!$C$2:$C$36,"=d20261001"),"")</f>
      </c>
      <c r="K23" s="8">
        <f>IF((0=1),SUMIFS('Daily evaluations'!$D$2:$D$36,'Daily evaluations'!$B$2:$B$36,"=random_07",'Daily evaluations'!$C$2:$C$36,"=d20261002"),"")</f>
      </c>
      <c r="L23" s="8">
        <f>IF((0=1),SUMIFS('Daily evaluations'!$D$2:$D$36,'Daily evaluations'!$B$2:$B$36,"=random_07",'Daily evaluations'!$C$2:$C$36,"=d20261005"),"")</f>
      </c>
      <c r="M23" s="8">
        <f>IF((0=1),SUMIFS('Daily evaluations'!$D$2:$D$36,'Daily evaluations'!$B$2:$B$36,"=random_07",'Daily evaluations'!$C$2:$C$36,"=d20261006"),"")</f>
      </c>
      <c r="N23" s="8">
        <f>IF((0=1),SUMIFS('Daily evaluations'!$D$2:$D$36,'Daily evaluations'!$B$2:$B$36,"=random_07",'Daily evaluations'!$C$2:$C$36,"=d20261007"),"")</f>
      </c>
      <c r="O23" s="8">
        <f>IF((0=1),SUMIFS('Daily evaluations'!$D$2:$D$36,'Daily evaluations'!$B$2:$B$36,"=random_07",'Daily evaluations'!$C$2:$C$36,"=d20261008"),"")</f>
      </c>
      <c r="P23" s="8">
        <f>IF((0=1),SUMIFS('Daily evaluations'!$D$2:$D$36,'Daily evaluations'!$B$2:$B$36,"=random_07",'Daily evaluations'!$C$2:$C$36,"=d20261009"),"")</f>
      </c>
      <c r="Q23" s="8">
        <f>IF((0=1),SUMIFS('Daily evaluations'!$D$2:$D$36,'Daily evaluations'!$B$2:$B$36,"=random_07",'Daily evaluations'!$C$2:$C$36,"=d20261012"),"")</f>
      </c>
      <c r="R23" s="8">
        <f>IF((0=1),SUMIFS('Daily evaluations'!$D$2:$D$36,'Daily evaluations'!$B$2:$B$36,"=random_07",'Daily evaluations'!$C$2:$C$36,"=d20261013"),"")</f>
      </c>
      <c r="S23" s="8">
        <f>IF((0=1),SUMIFS('Daily evaluations'!$D$2:$D$36,'Daily evaluations'!$B$2:$B$36,"=random_07",'Daily evaluations'!$C$2:$C$36,"=d20261014"),"")</f>
      </c>
      <c r="T23" s="8">
        <f>IF((0=1),SUMIFS('Daily evaluations'!$D$2:$D$36,'Daily evaluations'!$B$2:$B$36,"=random_07",'Daily evaluations'!$C$2:$C$36,"=d20261015"),"")</f>
      </c>
      <c r="U23" s="8">
        <f>IF((0=1),SUMIFS('Daily evaluations'!$D$2:$D$36,'Daily evaluations'!$B$2:$B$36,"=random_07",'Daily evaluations'!$C$2:$C$36,"=d20261016"),"")</f>
      </c>
      <c r="V23" s="8">
        <f>IF((0=1),SUMIFS('Daily evaluations'!$D$2:$D$36,'Daily evaluations'!$B$2:$B$36,"=random_07",'Daily evaluations'!$C$2:$C$36,"=d20261019"),"")</f>
      </c>
      <c r="W23" s="8">
        <f>IF((0=1),SUMIFS('Daily evaluations'!$D$2:$D$36,'Daily evaluations'!$B$2:$B$36,"=random_07",'Daily evaluations'!$C$2:$C$36,"=d20261020"),"")</f>
      </c>
      <c r="X23" s="8">
        <f>IF((0=1),SUMIFS('Daily evaluations'!$D$2:$D$36,'Daily evaluations'!$B$2:$B$36,"=random_07",'Daily evaluations'!$C$2:$C$36,"=d20261021"),"")</f>
      </c>
      <c r="Y23" s="8">
        <f>IF((0=1),SUMIFS('Daily evaluations'!$D$2:$D$36,'Daily evaluations'!$B$2:$B$36,"=random_07",'Daily evaluations'!$C$2:$C$36,"=d20261022"),"")</f>
      </c>
      <c r="Z23" s="8">
        <f>IF((0=1),SUMIFS('Daily evaluations'!$D$2:$D$36,'Daily evaluations'!$B$2:$B$36,"=random_07",'Daily evaluations'!$C$2:$C$36,"=d20261023"),"")</f>
      </c>
      <c r="AA23" s="8">
        <f>IF((0=1),SUMIFS('Daily evaluations'!$D$2:$D$36,'Daily evaluations'!$B$2:$B$36,"=random_07",'Daily evaluations'!$C$2:$C$36,"=d20261026"),"")</f>
      </c>
      <c r="AB23" s="8">
        <f>IF((0=1),SUMIFS('Daily evaluations'!$D$2:$D$36,'Daily evaluations'!$B$2:$B$36,"=random_07",'Daily evaluations'!$C$2:$C$36,"=d20261027"),"")</f>
      </c>
      <c r="AC23" s="8">
        <f>IF((0=1),SUMIFS('Daily evaluations'!$D$2:$D$36,'Daily evaluations'!$B$2:$B$36,"=random_07",'Daily evaluations'!$C$2:$C$36,"=d20261028"),"")</f>
      </c>
      <c r="AD23" s="8">
        <f>IF((0=1),SUMIFS('Daily evaluations'!$D$2:$D$36,'Daily evaluations'!$B$2:$B$36,"=random_07",'Daily evaluations'!$C$2:$C$36,"=d20261029"),"")</f>
      </c>
      <c r="AE23" s="8">
        <f>IF((0=1),SUMIFS('Daily evaluations'!$D$2:$D$36,'Daily evaluations'!$B$2:$B$36,"=random_07",'Daily evaluations'!$C$2:$C$36,"=d20261030"),"")</f>
      </c>
      <c r="AF23" s="8">
        <f>IF((0=1),SUMIFS('Daily evaluations'!$D$2:$D$36,'Daily evaluations'!$B$2:$B$36,"=random_07",'Daily evaluations'!$C$2:$C$36,"=d20261102"),"")</f>
      </c>
      <c r="AG23" s="8">
        <f>IF((0=1),SUMIFS('Daily evaluations'!$D$2:$D$36,'Daily evaluations'!$B$2:$B$36,"=random_07",'Daily evaluations'!$C$2:$C$36,"=d20261103"),"")</f>
      </c>
      <c r="AH23" s="8">
        <f>IF((0=1),SUMIFS('Daily evaluations'!$D$2:$D$36,'Daily evaluations'!$B$2:$B$36,"=random_07",'Daily evaluations'!$C$2:$C$36,"=d20261104"),"")</f>
      </c>
      <c r="AI23" s="8">
        <f>IF((0=1),SUMIFS('Daily evaluations'!$D$2:$D$36,'Daily evaluations'!$B$2:$B$36,"=random_07",'Daily evaluations'!$C$2:$C$36,"=d20261105"),"")</f>
      </c>
      <c r="AJ23" s="8">
        <f>IF((0=1),SUMIFS('Daily evaluations'!$D$2:$D$36,'Daily evaluations'!$B$2:$B$36,"=random_07",'Daily evaluations'!$C$2:$C$36,"=d20261106"),"")</f>
      </c>
      <c r="AK23" s="8">
        <f>IF((0=1),SUMIFS('Daily evaluations'!$D$2:$D$36,'Daily evaluations'!$B$2:$B$36,"=random_07",'Daily evaluations'!$C$2:$C$36,"=d20261109"),"")</f>
      </c>
      <c r="AL23" s="8">
        <f>IF((0=1),SUMIFS('Daily evaluations'!$D$2:$D$36,'Daily evaluations'!$B$2:$B$36,"=random_07",'Daily evaluations'!$C$2:$C$36,"=d20261110"),"")</f>
      </c>
      <c r="AM23" s="8">
        <f>IF((0=1),SUMIFS('Daily evaluations'!$D$2:$D$36,'Daily evaluations'!$B$2:$B$36,"=random_07",'Daily evaluations'!$C$2:$C$36,"=d20261111"),"")</f>
      </c>
      <c r="AN23" s="8">
        <f>IF((0=1),SUMIFS('Daily evaluations'!$D$2:$D$36,'Daily evaluations'!$B$2:$B$36,"=random_07",'Daily evaluations'!$C$2:$C$36,"=d20261112"),"")</f>
      </c>
      <c r="AO23" s="8">
        <f>IF((0=1),SUMIFS('Daily evaluations'!$D$2:$D$36,'Daily evaluations'!$B$2:$B$36,"=random_07",'Daily evaluations'!$C$2:$C$36,"=d20261113"),"")</f>
      </c>
      <c r="AP23" s="8">
        <f>IF((0=1),SUMIFS('Daily evaluations'!$D$2:$D$36,'Daily evaluations'!$B$2:$B$36,"=random_07",'Daily evaluations'!$C$2:$C$36,"=d20261116"),"")</f>
      </c>
      <c r="AQ23" s="8">
        <f>IF((0=1),SUMIFS('Daily evaluations'!$D$2:$D$36,'Daily evaluations'!$B$2:$B$36,"=random_07",'Daily evaluations'!$C$2:$C$36,"=d20261117"),"")</f>
      </c>
      <c r="AR23" s="8">
        <f>IF((0=1),SUMIFS('Daily evaluations'!$D$2:$D$36,'Daily evaluations'!$B$2:$B$36,"=random_07",'Daily evaluations'!$C$2:$C$36,"=d20261118"),"")</f>
      </c>
      <c r="AS23" s="8">
        <f>IF((0=1),SUMIFS('Daily evaluations'!$D$2:$D$36,'Daily evaluations'!$B$2:$B$36,"=random_07",'Daily evaluations'!$C$2:$C$36,"=d20261119"),"")</f>
      </c>
      <c r="AT23" s="8">
        <f>IF((0=1),SUMIFS('Daily evaluations'!$D$2:$D$36,'Daily evaluations'!$B$2:$B$36,"=random_07",'Daily evaluations'!$C$2:$C$36,"=d20261120"),"")</f>
      </c>
      <c r="AU23" s="8">
        <f>IF((0=1),SUMIFS('Daily evaluations'!$D$2:$D$36,'Daily evaluations'!$B$2:$B$36,"=random_07",'Daily evaluations'!$C$2:$C$36,"=d20261123"),"")</f>
      </c>
      <c r="AV23" s="8">
        <f>IF((0=1),SUMIFS('Daily evaluations'!$D$2:$D$36,'Daily evaluations'!$B$2:$B$36,"=random_07",'Daily evaluations'!$C$2:$C$36,"=d20261124"),"")</f>
      </c>
      <c r="AW23" s="8">
        <f>IF((0=1),SUMIFS('Daily evaluations'!$D$2:$D$36,'Daily evaluations'!$B$2:$B$36,"=random_07",'Daily evaluations'!$C$2:$C$36,"=d20261125"),"")</f>
      </c>
      <c r="AX23" s="8">
        <f>IF((0=1),SUMIFS('Daily evaluations'!$D$2:$D$36,'Daily evaluations'!$B$2:$B$36,"=random_07",'Daily evaluations'!$C$2:$C$36,"=d20261127"),"")</f>
      </c>
      <c r="AY23" s="8">
        <f>IF((0=1),SUMIFS('Daily evaluations'!$D$2:$D$36,'Daily evaluations'!$B$2:$B$36,"=random_07",'Daily evaluations'!$C$2:$C$36,"=d20261130"),"")</f>
      </c>
      <c r="AZ23" s="8">
        <f>IF((0=1),SUMIFS('Daily evaluations'!$D$2:$D$36,'Daily evaluations'!$B$2:$B$36,"=random_07",'Daily evaluations'!$C$2:$C$36,"=d20261201"),"")</f>
      </c>
      <c r="BA23" s="8">
        <f>IF((0=1),SUMIFS('Daily evaluations'!$D$2:$D$36,'Daily evaluations'!$B$2:$B$36,"=random_07",'Daily evaluations'!$C$2:$C$36,"=d20261202"),"")</f>
      </c>
      <c r="BB23" s="8">
        <f>IF((0=1),SUMIFS('Daily evaluations'!$D$2:$D$36,'Daily evaluations'!$B$2:$B$36,"=random_07",'Daily evaluations'!$C$2:$C$36,"=d20261203"),"")</f>
      </c>
      <c r="BC23" s="8">
        <f>IF((0=1),SUMIFS('Daily evaluations'!$D$2:$D$36,'Daily evaluations'!$B$2:$B$36,"=random_07",'Daily evaluations'!$C$2:$C$36,"=d20261204"),"")</f>
      </c>
      <c r="BD23" s="8">
        <f>IF((0=1),SUMIFS('Daily evaluations'!$D$2:$D$36,'Daily evaluations'!$B$2:$B$36,"=random_07",'Daily evaluations'!$C$2:$C$36,"=d20261207"),"")</f>
      </c>
      <c r="BE23" s="8">
        <f>IF((0=1),SUMIFS('Daily evaluations'!$D$2:$D$36,'Daily evaluations'!$B$2:$B$36,"=random_07",'Daily evaluations'!$C$2:$C$36,"=d20261208"),"")</f>
      </c>
      <c r="BF23" s="8">
        <f>IF((0=1),SUMIFS('Daily evaluations'!$D$2:$D$36,'Daily evaluations'!$B$2:$B$36,"=random_07",'Daily evaluations'!$C$2:$C$36,"=d20261209"),"")</f>
      </c>
      <c r="BG23" s="8">
        <f>IF((0=1),SUMIFS('Daily evaluations'!$D$2:$D$36,'Daily evaluations'!$B$2:$B$36,"=random_07",'Daily evaluations'!$C$2:$C$36,"=d20261210"),"")</f>
      </c>
      <c r="BH23" s="8">
        <f>IF((0=1),SUMIFS('Daily evaluations'!$D$2:$D$36,'Daily evaluations'!$B$2:$B$36,"=random_07",'Daily evaluations'!$C$2:$C$36,"=d20261211"),"")</f>
      </c>
      <c r="BI23" s="8">
        <f>IF((0=1),SUMIFS('Daily evaluations'!$D$2:$D$36,'Daily evaluations'!$B$2:$B$36,"=random_07",'Daily evaluations'!$C$2:$C$36,"=d20261214"),"")</f>
      </c>
      <c r="BJ23" s="8">
        <f>IF((0=1),SUMIFS('Daily evaluations'!$D$2:$D$36,'Daily evaluations'!$B$2:$B$36,"=random_07",'Daily evaluations'!$C$2:$C$36,"=d20261215"),"")</f>
      </c>
      <c r="BK23" s="8">
        <f>IF((0=1),SUMIFS('Daily evaluations'!$D$2:$D$36,'Daily evaluations'!$B$2:$B$36,"=random_07",'Daily evaluations'!$C$2:$C$36,"=d20261216"),"")</f>
      </c>
      <c r="BL23" s="8">
        <f>IF((0=1),SUMIFS('Daily evaluations'!$D$2:$D$36,'Daily evaluations'!$B$2:$B$36,"=random_07",'Daily evaluations'!$C$2:$C$36,"=d20261217"),"")</f>
      </c>
      <c r="BM23" s="8">
        <f>IF((0=1),SUMIFS('Daily evaluations'!$D$2:$D$36,'Daily evaluations'!$B$2:$B$36,"=random_07",'Daily evaluations'!$C$2:$C$36,"=d20261218"),"")</f>
      </c>
      <c r="BN23" s="8">
        <f>IF((0=1),SUMIFS('Daily evaluations'!$D$2:$D$36,'Daily evaluations'!$B$2:$B$36,"=random_07",'Daily evaluations'!$C$2:$C$36,"=d20261221"),"")</f>
      </c>
      <c r="BO23" s="8">
        <f>IF((0=1),SUMIFS('Daily evaluations'!$D$2:$D$36,'Daily evaluations'!$B$2:$B$36,"=random_07",'Daily evaluations'!$C$2:$C$36,"=d20261222"),"")</f>
      </c>
      <c r="BP23" s="8">
        <f>IF((0=1),SUMIFS('Daily evaluations'!$D$2:$D$36,'Daily evaluations'!$B$2:$B$36,"=random_07",'Daily evaluations'!$C$2:$C$36,"=d20261223"),"")</f>
      </c>
      <c r="BQ23" s="8">
        <f>IF((0=1),SUMIFS('Daily evaluations'!$D$2:$D$36,'Daily evaluations'!$B$2:$B$36,"=random_07",'Daily evaluations'!$C$2:$C$36,"=d20261224"),"")</f>
      </c>
      <c r="BR23" s="8">
        <f>IF((0=1),SUMIFS('Daily evaluations'!$D$2:$D$36,'Daily evaluations'!$B$2:$B$36,"=random_07",'Daily evaluations'!$C$2:$C$36,"=d20261228"),"")</f>
      </c>
      <c r="BS23" s="8">
        <f>IF((0=1),SUMIFS('Daily evaluations'!$D$2:$D$36,'Daily evaluations'!$B$2:$B$36,"=random_07",'Daily evaluations'!$C$2:$C$36,"=d20261229"),"")</f>
      </c>
      <c r="BT23" s="8">
        <f>IF((0=1),SUMIFS('Daily evaluations'!$D$2:$D$36,'Daily evaluations'!$B$2:$B$36,"=random_07",'Daily evaluations'!$C$2:$C$36,"=d20261230"),"")</f>
      </c>
      <c r="BU23" s="8">
        <f>IF((0=1),SUMIFS('Daily evaluations'!$D$2:$D$36,'Daily evaluations'!$B$2:$B$36,"=random_07",'Daily evaluations'!$C$2:$C$36,"=d20261231"),"")</f>
      </c>
      <c r="BV23" s="8">
        <f>IF((0=1),SUMIFS('Daily evaluations'!$D$2:$D$36,'Daily evaluations'!$B$2:$B$36,"=random_07",'Daily evaluations'!$C$2:$C$36,"=d20270104"),"")</f>
      </c>
      <c r="BW23" s="8">
        <f>IF((0=1),SUMIFS('Daily evaluations'!$D$2:$D$36,'Daily evaluations'!$B$2:$B$36,"=random_07",'Daily evaluations'!$C$2:$C$36,"=d20270105"),"")</f>
      </c>
      <c r="BX23" s="8">
        <f>IF((0=1),SUMIFS('Daily evaluations'!$D$2:$D$36,'Daily evaluations'!$B$2:$B$36,"=random_07",'Daily evaluations'!$C$2:$C$36,"=d20270106"),"")</f>
      </c>
      <c r="BY23" s="8">
        <f>IF((0=1),SUMIFS('Daily evaluations'!$D$2:$D$36,'Daily evaluations'!$B$2:$B$36,"=random_07",'Daily evaluations'!$C$2:$C$36,"=d20270107"),"")</f>
      </c>
      <c r="BZ23" s="8">
        <f>IF((0=1),SUMIFS('Daily evaluations'!$D$2:$D$36,'Daily evaluations'!$B$2:$B$36,"=random_07",'Daily evaluations'!$C$2:$C$36,"=d20270108"),"")</f>
      </c>
      <c r="CA23" s="8">
        <f>IF((0=1),SUMIFS('Daily evaluations'!$D$2:$D$36,'Daily evaluations'!$B$2:$B$36,"=random_07",'Daily evaluations'!$C$2:$C$36,"=d20270111"),"")</f>
      </c>
      <c r="CB23" s="8">
        <f>IF((0=1),SUMIFS('Daily evaluations'!$D$2:$D$36,'Daily evaluations'!$B$2:$B$36,"=random_07",'Daily evaluations'!$C$2:$C$36,"=d20270112"),"")</f>
      </c>
      <c r="CC23" s="8">
        <f>IF((0=1),SUMIFS('Daily evaluations'!$D$2:$D$36,'Daily evaluations'!$B$2:$B$36,"=random_07",'Daily evaluations'!$C$2:$C$36,"=d20270113"),"")</f>
      </c>
      <c r="CD23" s="8">
        <f>IF((0=1),SUMIFS('Daily evaluations'!$D$2:$D$36,'Daily evaluations'!$B$2:$B$36,"=random_07",'Daily evaluations'!$C$2:$C$36,"=d20270114"),"")</f>
      </c>
      <c r="CE23" s="8">
        <f>IF((0=1),SUMIFS('Daily evaluations'!$D$2:$D$36,'Daily evaluations'!$B$2:$B$36,"=random_07",'Daily evaluations'!$C$2:$C$36,"=d20270115"),"")</f>
      </c>
      <c r="CF23" s="8">
        <f>IF((0=1),SUMIFS('Daily evaluations'!$D$2:$D$36,'Daily evaluations'!$B$2:$B$36,"=random_07",'Daily evaluations'!$C$2:$C$36,"=d20270119"),"")</f>
      </c>
      <c r="CG23" s="8">
        <f>IF((0=1),SUMIFS('Daily evaluations'!$D$2:$D$36,'Daily evaluations'!$B$2:$B$36,"=random_07",'Daily evaluations'!$C$2:$C$36,"=d20270120"),"")</f>
      </c>
      <c r="CH23" s="8">
        <f>IF((0=1),SUMIFS('Daily evaluations'!$D$2:$D$36,'Daily evaluations'!$B$2:$B$36,"=random_07",'Daily evaluations'!$C$2:$C$36,"=d20270121"),"")</f>
      </c>
      <c r="CI23" s="8">
        <f>IF((0=1),SUMIFS('Daily evaluations'!$D$2:$D$36,'Daily evaluations'!$B$2:$B$36,"=random_07",'Daily evaluations'!$C$2:$C$36,"=d20270122"),"")</f>
      </c>
      <c r="CJ23" s="8">
        <f>IF((0=1),SUMIFS('Daily evaluations'!$D$2:$D$36,'Daily evaluations'!$B$2:$B$36,"=random_07",'Daily evaluations'!$C$2:$C$36,"=d20270125"),"")</f>
      </c>
      <c r="CK23" s="8">
        <f>IF((0=1),SUMIFS('Daily evaluations'!$D$2:$D$36,'Daily evaluations'!$B$2:$B$36,"=random_07",'Daily evaluations'!$C$2:$C$36,"=d20270126"),"")</f>
      </c>
      <c r="CL23" s="8">
        <f>IF((0=1),SUMIFS('Daily evaluations'!$D$2:$D$36,'Daily evaluations'!$B$2:$B$36,"=random_07",'Daily evaluations'!$C$2:$C$36,"=d20270127"),"")</f>
      </c>
      <c r="CM23" s="8">
        <f>IF((0=1),SUMIFS('Daily evaluations'!$D$2:$D$36,'Daily evaluations'!$B$2:$B$36,"=random_07",'Daily evaluations'!$C$2:$C$36,"=d20270128"),"")</f>
      </c>
      <c r="CN23" s="8">
        <f>IF((0=1),SUMIFS('Daily evaluations'!$D$2:$D$36,'Daily evaluations'!$B$2:$B$36,"=random_07",'Daily evaluations'!$C$2:$C$36,"=d20270129"),"")</f>
      </c>
      <c r="CO23" s="8">
        <f>IF((0=1),SUMIFS('Daily evaluations'!$D$2:$D$36,'Daily evaluations'!$B$2:$B$36,"=random_07",'Daily evaluations'!$C$2:$C$36,"=d20270201"),"")</f>
      </c>
      <c r="CP23" s="8">
        <f>IF((0=1),SUMIFS('Daily evaluations'!$D$2:$D$36,'Daily evaluations'!$B$2:$B$36,"=random_07",'Daily evaluations'!$C$2:$C$36,"=d20270202"),"")</f>
      </c>
      <c r="CQ23" s="8">
        <f>IF((0=1),SUMIFS('Daily evaluations'!$D$2:$D$36,'Daily evaluations'!$B$2:$B$36,"=random_07",'Daily evaluations'!$C$2:$C$36,"=d20270203"),"")</f>
      </c>
      <c r="CR23" s="8">
        <f>IF((0=1),SUMIFS('Daily evaluations'!$D$2:$D$36,'Daily evaluations'!$B$2:$B$36,"=random_07",'Daily evaluations'!$C$2:$C$36,"=d20270204"),"")</f>
      </c>
      <c r="CS23" s="8">
        <f>IF((0=1),SUMIFS('Daily evaluations'!$D$2:$D$36,'Daily evaluations'!$B$2:$B$36,"=random_07",'Daily evaluations'!$C$2:$C$36,"=d20270205"),"")</f>
      </c>
      <c r="CT23" s="8">
        <f>IF((0=1),SUMIFS('Daily evaluations'!$D$2:$D$36,'Daily evaluations'!$B$2:$B$36,"=random_07",'Daily evaluations'!$C$2:$C$36,"=d20270208"),"")</f>
      </c>
      <c r="CU23" s="8">
        <f>IF((0=1),SUMIFS('Daily evaluations'!$D$2:$D$36,'Daily evaluations'!$B$2:$B$36,"=random_07",'Daily evaluations'!$C$2:$C$36,"=d20270209"),"")</f>
      </c>
      <c r="CV23" s="8">
        <f>IF((0=1),SUMIFS('Daily evaluations'!$D$2:$D$36,'Daily evaluations'!$B$2:$B$36,"=random_07",'Daily evaluations'!$C$2:$C$36,"=d20270210"),"")</f>
      </c>
      <c r="CW23" s="8">
        <f>IF((0=1),SUMIFS('Daily evaluations'!$D$2:$D$36,'Daily evaluations'!$B$2:$B$36,"=random_07",'Daily evaluations'!$C$2:$C$36,"=d20270211"),"")</f>
      </c>
      <c r="CX23" s="8">
        <f>IF((0=1),SUMIFS('Daily evaluations'!$D$2:$D$36,'Daily evaluations'!$B$2:$B$36,"=random_07",'Daily evaluations'!$C$2:$C$36,"=d20270212"),"")</f>
      </c>
    </row>
    <row r="24">
      <c r="A24" s="0" t="inlineStr">
        <is>
          <t xml:space="preserve">Sector-neutral overnight excess, bps</t>
        </is>
      </c>
      <c r="B24" s="0" t="inlineStr">
        <is>
          <t xml:space="preserve">Random 8</t>
        </is>
      </c>
      <c r="C24" s="8">
        <f>IF((1=1),SUMIFS('Daily evaluations'!$D$2:$D$36,'Daily evaluations'!$B$2:$B$36,"=random_08",'Daily evaluations'!$C$2:$C$36,"=d20260922"),"")</f>
        <v>3.133</v>
      </c>
      <c r="D24" s="8">
        <f>IF((0=1),SUMIFS('Daily evaluations'!$D$2:$D$36,'Daily evaluations'!$B$2:$B$36,"=random_08",'Daily evaluations'!$C$2:$C$36,"=d20260923"),"")</f>
      </c>
      <c r="E24" s="8">
        <f>IF((0=1),SUMIFS('Daily evaluations'!$D$2:$D$36,'Daily evaluations'!$B$2:$B$36,"=random_08",'Daily evaluations'!$C$2:$C$36,"=d20260924"),"")</f>
      </c>
      <c r="F24" s="8">
        <f>IF((0=1),SUMIFS('Daily evaluations'!$D$2:$D$36,'Daily evaluations'!$B$2:$B$36,"=random_08",'Daily evaluations'!$C$2:$C$36,"=d20260925"),"")</f>
      </c>
      <c r="G24" s="8">
        <f>IF((0=1),SUMIFS('Daily evaluations'!$D$2:$D$36,'Daily evaluations'!$B$2:$B$36,"=random_08",'Daily evaluations'!$C$2:$C$36,"=d20260928"),"")</f>
      </c>
      <c r="H24" s="8">
        <f>IF((0=1),SUMIFS('Daily evaluations'!$D$2:$D$36,'Daily evaluations'!$B$2:$B$36,"=random_08",'Daily evaluations'!$C$2:$C$36,"=d20260929"),"")</f>
      </c>
      <c r="I24" s="8">
        <f>IF((0=1),SUMIFS('Daily evaluations'!$D$2:$D$36,'Daily evaluations'!$B$2:$B$36,"=random_08",'Daily evaluations'!$C$2:$C$36,"=d20260930"),"")</f>
      </c>
      <c r="J24" s="8">
        <f>IF((0=1),SUMIFS('Daily evaluations'!$D$2:$D$36,'Daily evaluations'!$B$2:$B$36,"=random_08",'Daily evaluations'!$C$2:$C$36,"=d20261001"),"")</f>
      </c>
      <c r="K24" s="8">
        <f>IF((0=1),SUMIFS('Daily evaluations'!$D$2:$D$36,'Daily evaluations'!$B$2:$B$36,"=random_08",'Daily evaluations'!$C$2:$C$36,"=d20261002"),"")</f>
      </c>
      <c r="L24" s="8">
        <f>IF((0=1),SUMIFS('Daily evaluations'!$D$2:$D$36,'Daily evaluations'!$B$2:$B$36,"=random_08",'Daily evaluations'!$C$2:$C$36,"=d20261005"),"")</f>
      </c>
      <c r="M24" s="8">
        <f>IF((0=1),SUMIFS('Daily evaluations'!$D$2:$D$36,'Daily evaluations'!$B$2:$B$36,"=random_08",'Daily evaluations'!$C$2:$C$36,"=d20261006"),"")</f>
      </c>
      <c r="N24" s="8">
        <f>IF((0=1),SUMIFS('Daily evaluations'!$D$2:$D$36,'Daily evaluations'!$B$2:$B$36,"=random_08",'Daily evaluations'!$C$2:$C$36,"=d20261007"),"")</f>
      </c>
      <c r="O24" s="8">
        <f>IF((0=1),SUMIFS('Daily evaluations'!$D$2:$D$36,'Daily evaluations'!$B$2:$B$36,"=random_08",'Daily evaluations'!$C$2:$C$36,"=d20261008"),"")</f>
      </c>
      <c r="P24" s="8">
        <f>IF((0=1),SUMIFS('Daily evaluations'!$D$2:$D$36,'Daily evaluations'!$B$2:$B$36,"=random_08",'Daily evaluations'!$C$2:$C$36,"=d20261009"),"")</f>
      </c>
      <c r="Q24" s="8">
        <f>IF((0=1),SUMIFS('Daily evaluations'!$D$2:$D$36,'Daily evaluations'!$B$2:$B$36,"=random_08",'Daily evaluations'!$C$2:$C$36,"=d20261012"),"")</f>
      </c>
      <c r="R24" s="8">
        <f>IF((0=1),SUMIFS('Daily evaluations'!$D$2:$D$36,'Daily evaluations'!$B$2:$B$36,"=random_08",'Daily evaluations'!$C$2:$C$36,"=d20261013"),"")</f>
      </c>
      <c r="S24" s="8">
        <f>IF((0=1),SUMIFS('Daily evaluations'!$D$2:$D$36,'Daily evaluations'!$B$2:$B$36,"=random_08",'Daily evaluations'!$C$2:$C$36,"=d20261014"),"")</f>
      </c>
      <c r="T24" s="8">
        <f>IF((0=1),SUMIFS('Daily evaluations'!$D$2:$D$36,'Daily evaluations'!$B$2:$B$36,"=random_08",'Daily evaluations'!$C$2:$C$36,"=d20261015"),"")</f>
      </c>
      <c r="U24" s="8">
        <f>IF((0=1),SUMIFS('Daily evaluations'!$D$2:$D$36,'Daily evaluations'!$B$2:$B$36,"=random_08",'Daily evaluations'!$C$2:$C$36,"=d20261016"),"")</f>
      </c>
      <c r="V24" s="8">
        <f>IF((0=1),SUMIFS('Daily evaluations'!$D$2:$D$36,'Daily evaluations'!$B$2:$B$36,"=random_08",'Daily evaluations'!$C$2:$C$36,"=d20261019"),"")</f>
      </c>
      <c r="W24" s="8">
        <f>IF((0=1),SUMIFS('Daily evaluations'!$D$2:$D$36,'Daily evaluations'!$B$2:$B$36,"=random_08",'Daily evaluations'!$C$2:$C$36,"=d20261020"),"")</f>
      </c>
      <c r="X24" s="8">
        <f>IF((0=1),SUMIFS('Daily evaluations'!$D$2:$D$36,'Daily evaluations'!$B$2:$B$36,"=random_08",'Daily evaluations'!$C$2:$C$36,"=d20261021"),"")</f>
      </c>
      <c r="Y24" s="8">
        <f>IF((0=1),SUMIFS('Daily evaluations'!$D$2:$D$36,'Daily evaluations'!$B$2:$B$36,"=random_08",'Daily evaluations'!$C$2:$C$36,"=d20261022"),"")</f>
      </c>
      <c r="Z24" s="8">
        <f>IF((0=1),SUMIFS('Daily evaluations'!$D$2:$D$36,'Daily evaluations'!$B$2:$B$36,"=random_08",'Daily evaluations'!$C$2:$C$36,"=d20261023"),"")</f>
      </c>
      <c r="AA24" s="8">
        <f>IF((0=1),SUMIFS('Daily evaluations'!$D$2:$D$36,'Daily evaluations'!$B$2:$B$36,"=random_08",'Daily evaluations'!$C$2:$C$36,"=d20261026"),"")</f>
      </c>
      <c r="AB24" s="8">
        <f>IF((0=1),SUMIFS('Daily evaluations'!$D$2:$D$36,'Daily evaluations'!$B$2:$B$36,"=random_08",'Daily evaluations'!$C$2:$C$36,"=d20261027"),"")</f>
      </c>
      <c r="AC24" s="8">
        <f>IF((0=1),SUMIFS('Daily evaluations'!$D$2:$D$36,'Daily evaluations'!$B$2:$B$36,"=random_08",'Daily evaluations'!$C$2:$C$36,"=d20261028"),"")</f>
      </c>
      <c r="AD24" s="8">
        <f>IF((0=1),SUMIFS('Daily evaluations'!$D$2:$D$36,'Daily evaluations'!$B$2:$B$36,"=random_08",'Daily evaluations'!$C$2:$C$36,"=d20261029"),"")</f>
      </c>
      <c r="AE24" s="8">
        <f>IF((0=1),SUMIFS('Daily evaluations'!$D$2:$D$36,'Daily evaluations'!$B$2:$B$36,"=random_08",'Daily evaluations'!$C$2:$C$36,"=d20261030"),"")</f>
      </c>
      <c r="AF24" s="8">
        <f>IF((0=1),SUMIFS('Daily evaluations'!$D$2:$D$36,'Daily evaluations'!$B$2:$B$36,"=random_08",'Daily evaluations'!$C$2:$C$36,"=d20261102"),"")</f>
      </c>
      <c r="AG24" s="8">
        <f>IF((0=1),SUMIFS('Daily evaluations'!$D$2:$D$36,'Daily evaluations'!$B$2:$B$36,"=random_08",'Daily evaluations'!$C$2:$C$36,"=d20261103"),"")</f>
      </c>
      <c r="AH24" s="8">
        <f>IF((0=1),SUMIFS('Daily evaluations'!$D$2:$D$36,'Daily evaluations'!$B$2:$B$36,"=random_08",'Daily evaluations'!$C$2:$C$36,"=d20261104"),"")</f>
      </c>
      <c r="AI24" s="8">
        <f>IF((0=1),SUMIFS('Daily evaluations'!$D$2:$D$36,'Daily evaluations'!$B$2:$B$36,"=random_08",'Daily evaluations'!$C$2:$C$36,"=d20261105"),"")</f>
      </c>
      <c r="AJ24" s="8">
        <f>IF((0=1),SUMIFS('Daily evaluations'!$D$2:$D$36,'Daily evaluations'!$B$2:$B$36,"=random_08",'Daily evaluations'!$C$2:$C$36,"=d20261106"),"")</f>
      </c>
      <c r="AK24" s="8">
        <f>IF((0=1),SUMIFS('Daily evaluations'!$D$2:$D$36,'Daily evaluations'!$B$2:$B$36,"=random_08",'Daily evaluations'!$C$2:$C$36,"=d20261109"),"")</f>
      </c>
      <c r="AL24" s="8">
        <f>IF((0=1),SUMIFS('Daily evaluations'!$D$2:$D$36,'Daily evaluations'!$B$2:$B$36,"=random_08",'Daily evaluations'!$C$2:$C$36,"=d20261110"),"")</f>
      </c>
      <c r="AM24" s="8">
        <f>IF((0=1),SUMIFS('Daily evaluations'!$D$2:$D$36,'Daily evaluations'!$B$2:$B$36,"=random_08",'Daily evaluations'!$C$2:$C$36,"=d20261111"),"")</f>
      </c>
      <c r="AN24" s="8">
        <f>IF((0=1),SUMIFS('Daily evaluations'!$D$2:$D$36,'Daily evaluations'!$B$2:$B$36,"=random_08",'Daily evaluations'!$C$2:$C$36,"=d20261112"),"")</f>
      </c>
      <c r="AO24" s="8">
        <f>IF((0=1),SUMIFS('Daily evaluations'!$D$2:$D$36,'Daily evaluations'!$B$2:$B$36,"=random_08",'Daily evaluations'!$C$2:$C$36,"=d20261113"),"")</f>
      </c>
      <c r="AP24" s="8">
        <f>IF((0=1),SUMIFS('Daily evaluations'!$D$2:$D$36,'Daily evaluations'!$B$2:$B$36,"=random_08",'Daily evaluations'!$C$2:$C$36,"=d20261116"),"")</f>
      </c>
      <c r="AQ24" s="8">
        <f>IF((0=1),SUMIFS('Daily evaluations'!$D$2:$D$36,'Daily evaluations'!$B$2:$B$36,"=random_08",'Daily evaluations'!$C$2:$C$36,"=d20261117"),"")</f>
      </c>
      <c r="AR24" s="8">
        <f>IF((0=1),SUMIFS('Daily evaluations'!$D$2:$D$36,'Daily evaluations'!$B$2:$B$36,"=random_08",'Daily evaluations'!$C$2:$C$36,"=d20261118"),"")</f>
      </c>
      <c r="AS24" s="8">
        <f>IF((0=1),SUMIFS('Daily evaluations'!$D$2:$D$36,'Daily evaluations'!$B$2:$B$36,"=random_08",'Daily evaluations'!$C$2:$C$36,"=d20261119"),"")</f>
      </c>
      <c r="AT24" s="8">
        <f>IF((0=1),SUMIFS('Daily evaluations'!$D$2:$D$36,'Daily evaluations'!$B$2:$B$36,"=random_08",'Daily evaluations'!$C$2:$C$36,"=d20261120"),"")</f>
      </c>
      <c r="AU24" s="8">
        <f>IF((0=1),SUMIFS('Daily evaluations'!$D$2:$D$36,'Daily evaluations'!$B$2:$B$36,"=random_08",'Daily evaluations'!$C$2:$C$36,"=d20261123"),"")</f>
      </c>
      <c r="AV24" s="8">
        <f>IF((0=1),SUMIFS('Daily evaluations'!$D$2:$D$36,'Daily evaluations'!$B$2:$B$36,"=random_08",'Daily evaluations'!$C$2:$C$36,"=d20261124"),"")</f>
      </c>
      <c r="AW24" s="8">
        <f>IF((0=1),SUMIFS('Daily evaluations'!$D$2:$D$36,'Daily evaluations'!$B$2:$B$36,"=random_08",'Daily evaluations'!$C$2:$C$36,"=d20261125"),"")</f>
      </c>
      <c r="AX24" s="8">
        <f>IF((0=1),SUMIFS('Daily evaluations'!$D$2:$D$36,'Daily evaluations'!$B$2:$B$36,"=random_08",'Daily evaluations'!$C$2:$C$36,"=d20261127"),"")</f>
      </c>
      <c r="AY24" s="8">
        <f>IF((0=1),SUMIFS('Daily evaluations'!$D$2:$D$36,'Daily evaluations'!$B$2:$B$36,"=random_08",'Daily evaluations'!$C$2:$C$36,"=d20261130"),"")</f>
      </c>
      <c r="AZ24" s="8">
        <f>IF((0=1),SUMIFS('Daily evaluations'!$D$2:$D$36,'Daily evaluations'!$B$2:$B$36,"=random_08",'Daily evaluations'!$C$2:$C$36,"=d20261201"),"")</f>
      </c>
      <c r="BA24" s="8">
        <f>IF((0=1),SUMIFS('Daily evaluations'!$D$2:$D$36,'Daily evaluations'!$B$2:$B$36,"=random_08",'Daily evaluations'!$C$2:$C$36,"=d20261202"),"")</f>
      </c>
      <c r="BB24" s="8">
        <f>IF((0=1),SUMIFS('Daily evaluations'!$D$2:$D$36,'Daily evaluations'!$B$2:$B$36,"=random_08",'Daily evaluations'!$C$2:$C$36,"=d20261203"),"")</f>
      </c>
      <c r="BC24" s="8">
        <f>IF((0=1),SUMIFS('Daily evaluations'!$D$2:$D$36,'Daily evaluations'!$B$2:$B$36,"=random_08",'Daily evaluations'!$C$2:$C$36,"=d20261204"),"")</f>
      </c>
      <c r="BD24" s="8">
        <f>IF((0=1),SUMIFS('Daily evaluations'!$D$2:$D$36,'Daily evaluations'!$B$2:$B$36,"=random_08",'Daily evaluations'!$C$2:$C$36,"=d20261207"),"")</f>
      </c>
      <c r="BE24" s="8">
        <f>IF((0=1),SUMIFS('Daily evaluations'!$D$2:$D$36,'Daily evaluations'!$B$2:$B$36,"=random_08",'Daily evaluations'!$C$2:$C$36,"=d20261208"),"")</f>
      </c>
      <c r="BF24" s="8">
        <f>IF((0=1),SUMIFS('Daily evaluations'!$D$2:$D$36,'Daily evaluations'!$B$2:$B$36,"=random_08",'Daily evaluations'!$C$2:$C$36,"=d20261209"),"")</f>
      </c>
      <c r="BG24" s="8">
        <f>IF((0=1),SUMIFS('Daily evaluations'!$D$2:$D$36,'Daily evaluations'!$B$2:$B$36,"=random_08",'Daily evaluations'!$C$2:$C$36,"=d20261210"),"")</f>
      </c>
      <c r="BH24" s="8">
        <f>IF((0=1),SUMIFS('Daily evaluations'!$D$2:$D$36,'Daily evaluations'!$B$2:$B$36,"=random_08",'Daily evaluations'!$C$2:$C$36,"=d20261211"),"")</f>
      </c>
      <c r="BI24" s="8">
        <f>IF((0=1),SUMIFS('Daily evaluations'!$D$2:$D$36,'Daily evaluations'!$B$2:$B$36,"=random_08",'Daily evaluations'!$C$2:$C$36,"=d20261214"),"")</f>
      </c>
      <c r="BJ24" s="8">
        <f>IF((0=1),SUMIFS('Daily evaluations'!$D$2:$D$36,'Daily evaluations'!$B$2:$B$36,"=random_08",'Daily evaluations'!$C$2:$C$36,"=d20261215"),"")</f>
      </c>
      <c r="BK24" s="8">
        <f>IF((0=1),SUMIFS('Daily evaluations'!$D$2:$D$36,'Daily evaluations'!$B$2:$B$36,"=random_08",'Daily evaluations'!$C$2:$C$36,"=d20261216"),"")</f>
      </c>
      <c r="BL24" s="8">
        <f>IF((0=1),SUMIFS('Daily evaluations'!$D$2:$D$36,'Daily evaluations'!$B$2:$B$36,"=random_08",'Daily evaluations'!$C$2:$C$36,"=d20261217"),"")</f>
      </c>
      <c r="BM24" s="8">
        <f>IF((0=1),SUMIFS('Daily evaluations'!$D$2:$D$36,'Daily evaluations'!$B$2:$B$36,"=random_08",'Daily evaluations'!$C$2:$C$36,"=d20261218"),"")</f>
      </c>
      <c r="BN24" s="8">
        <f>IF((0=1),SUMIFS('Daily evaluations'!$D$2:$D$36,'Daily evaluations'!$B$2:$B$36,"=random_08",'Daily evaluations'!$C$2:$C$36,"=d20261221"),"")</f>
      </c>
      <c r="BO24" s="8">
        <f>IF((0=1),SUMIFS('Daily evaluations'!$D$2:$D$36,'Daily evaluations'!$B$2:$B$36,"=random_08",'Daily evaluations'!$C$2:$C$36,"=d20261222"),"")</f>
      </c>
      <c r="BP24" s="8">
        <f>IF((0=1),SUMIFS('Daily evaluations'!$D$2:$D$36,'Daily evaluations'!$B$2:$B$36,"=random_08",'Daily evaluations'!$C$2:$C$36,"=d20261223"),"")</f>
      </c>
      <c r="BQ24" s="8">
        <f>IF((0=1),SUMIFS('Daily evaluations'!$D$2:$D$36,'Daily evaluations'!$B$2:$B$36,"=random_08",'Daily evaluations'!$C$2:$C$36,"=d20261224"),"")</f>
      </c>
      <c r="BR24" s="8">
        <f>IF((0=1),SUMIFS('Daily evaluations'!$D$2:$D$36,'Daily evaluations'!$B$2:$B$36,"=random_08",'Daily evaluations'!$C$2:$C$36,"=d20261228"),"")</f>
      </c>
      <c r="BS24" s="8">
        <f>IF((0=1),SUMIFS('Daily evaluations'!$D$2:$D$36,'Daily evaluations'!$B$2:$B$36,"=random_08",'Daily evaluations'!$C$2:$C$36,"=d20261229"),"")</f>
      </c>
      <c r="BT24" s="8">
        <f>IF((0=1),SUMIFS('Daily evaluations'!$D$2:$D$36,'Daily evaluations'!$B$2:$B$36,"=random_08",'Daily evaluations'!$C$2:$C$36,"=d20261230"),"")</f>
      </c>
      <c r="BU24" s="8">
        <f>IF((0=1),SUMIFS('Daily evaluations'!$D$2:$D$36,'Daily evaluations'!$B$2:$B$36,"=random_08",'Daily evaluations'!$C$2:$C$36,"=d20261231"),"")</f>
      </c>
      <c r="BV24" s="8">
        <f>IF((0=1),SUMIFS('Daily evaluations'!$D$2:$D$36,'Daily evaluations'!$B$2:$B$36,"=random_08",'Daily evaluations'!$C$2:$C$36,"=d20270104"),"")</f>
      </c>
      <c r="BW24" s="8">
        <f>IF((0=1),SUMIFS('Daily evaluations'!$D$2:$D$36,'Daily evaluations'!$B$2:$B$36,"=random_08",'Daily evaluations'!$C$2:$C$36,"=d20270105"),"")</f>
      </c>
      <c r="BX24" s="8">
        <f>IF((0=1),SUMIFS('Daily evaluations'!$D$2:$D$36,'Daily evaluations'!$B$2:$B$36,"=random_08",'Daily evaluations'!$C$2:$C$36,"=d20270106"),"")</f>
      </c>
      <c r="BY24" s="8">
        <f>IF((0=1),SUMIFS('Daily evaluations'!$D$2:$D$36,'Daily evaluations'!$B$2:$B$36,"=random_08",'Daily evaluations'!$C$2:$C$36,"=d20270107"),"")</f>
      </c>
      <c r="BZ24" s="8">
        <f>IF((0=1),SUMIFS('Daily evaluations'!$D$2:$D$36,'Daily evaluations'!$B$2:$B$36,"=random_08",'Daily evaluations'!$C$2:$C$36,"=d20270108"),"")</f>
      </c>
      <c r="CA24" s="8">
        <f>IF((0=1),SUMIFS('Daily evaluations'!$D$2:$D$36,'Daily evaluations'!$B$2:$B$36,"=random_08",'Daily evaluations'!$C$2:$C$36,"=d20270111"),"")</f>
      </c>
      <c r="CB24" s="8">
        <f>IF((0=1),SUMIFS('Daily evaluations'!$D$2:$D$36,'Daily evaluations'!$B$2:$B$36,"=random_08",'Daily evaluations'!$C$2:$C$36,"=d20270112"),"")</f>
      </c>
      <c r="CC24" s="8">
        <f>IF((0=1),SUMIFS('Daily evaluations'!$D$2:$D$36,'Daily evaluations'!$B$2:$B$36,"=random_08",'Daily evaluations'!$C$2:$C$36,"=d20270113"),"")</f>
      </c>
      <c r="CD24" s="8">
        <f>IF((0=1),SUMIFS('Daily evaluations'!$D$2:$D$36,'Daily evaluations'!$B$2:$B$36,"=random_08",'Daily evaluations'!$C$2:$C$36,"=d20270114"),"")</f>
      </c>
      <c r="CE24" s="8">
        <f>IF((0=1),SUMIFS('Daily evaluations'!$D$2:$D$36,'Daily evaluations'!$B$2:$B$36,"=random_08",'Daily evaluations'!$C$2:$C$36,"=d20270115"),"")</f>
      </c>
      <c r="CF24" s="8">
        <f>IF((0=1),SUMIFS('Daily evaluations'!$D$2:$D$36,'Daily evaluations'!$B$2:$B$36,"=random_08",'Daily evaluations'!$C$2:$C$36,"=d20270119"),"")</f>
      </c>
      <c r="CG24" s="8">
        <f>IF((0=1),SUMIFS('Daily evaluations'!$D$2:$D$36,'Daily evaluations'!$B$2:$B$36,"=random_08",'Daily evaluations'!$C$2:$C$36,"=d20270120"),"")</f>
      </c>
      <c r="CH24" s="8">
        <f>IF((0=1),SUMIFS('Daily evaluations'!$D$2:$D$36,'Daily evaluations'!$B$2:$B$36,"=random_08",'Daily evaluations'!$C$2:$C$36,"=d20270121"),"")</f>
      </c>
      <c r="CI24" s="8">
        <f>IF((0=1),SUMIFS('Daily evaluations'!$D$2:$D$36,'Daily evaluations'!$B$2:$B$36,"=random_08",'Daily evaluations'!$C$2:$C$36,"=d20270122"),"")</f>
      </c>
      <c r="CJ24" s="8">
        <f>IF((0=1),SUMIFS('Daily evaluations'!$D$2:$D$36,'Daily evaluations'!$B$2:$B$36,"=random_08",'Daily evaluations'!$C$2:$C$36,"=d20270125"),"")</f>
      </c>
      <c r="CK24" s="8">
        <f>IF((0=1),SUMIFS('Daily evaluations'!$D$2:$D$36,'Daily evaluations'!$B$2:$B$36,"=random_08",'Daily evaluations'!$C$2:$C$36,"=d20270126"),"")</f>
      </c>
      <c r="CL24" s="8">
        <f>IF((0=1),SUMIFS('Daily evaluations'!$D$2:$D$36,'Daily evaluations'!$B$2:$B$36,"=random_08",'Daily evaluations'!$C$2:$C$36,"=d20270127"),"")</f>
      </c>
      <c r="CM24" s="8">
        <f>IF((0=1),SUMIFS('Daily evaluations'!$D$2:$D$36,'Daily evaluations'!$B$2:$B$36,"=random_08",'Daily evaluations'!$C$2:$C$36,"=d20270128"),"")</f>
      </c>
      <c r="CN24" s="8">
        <f>IF((0=1),SUMIFS('Daily evaluations'!$D$2:$D$36,'Daily evaluations'!$B$2:$B$36,"=random_08",'Daily evaluations'!$C$2:$C$36,"=d20270129"),"")</f>
      </c>
      <c r="CO24" s="8">
        <f>IF((0=1),SUMIFS('Daily evaluations'!$D$2:$D$36,'Daily evaluations'!$B$2:$B$36,"=random_08",'Daily evaluations'!$C$2:$C$36,"=d20270201"),"")</f>
      </c>
      <c r="CP24" s="8">
        <f>IF((0=1),SUMIFS('Daily evaluations'!$D$2:$D$36,'Daily evaluations'!$B$2:$B$36,"=random_08",'Daily evaluations'!$C$2:$C$36,"=d20270202"),"")</f>
      </c>
      <c r="CQ24" s="8">
        <f>IF((0=1),SUMIFS('Daily evaluations'!$D$2:$D$36,'Daily evaluations'!$B$2:$B$36,"=random_08",'Daily evaluations'!$C$2:$C$36,"=d20270203"),"")</f>
      </c>
      <c r="CR24" s="8">
        <f>IF((0=1),SUMIFS('Daily evaluations'!$D$2:$D$36,'Daily evaluations'!$B$2:$B$36,"=random_08",'Daily evaluations'!$C$2:$C$36,"=d20270204"),"")</f>
      </c>
      <c r="CS24" s="8">
        <f>IF((0=1),SUMIFS('Daily evaluations'!$D$2:$D$36,'Daily evaluations'!$B$2:$B$36,"=random_08",'Daily evaluations'!$C$2:$C$36,"=d20270205"),"")</f>
      </c>
      <c r="CT24" s="8">
        <f>IF((0=1),SUMIFS('Daily evaluations'!$D$2:$D$36,'Daily evaluations'!$B$2:$B$36,"=random_08",'Daily evaluations'!$C$2:$C$36,"=d20270208"),"")</f>
      </c>
      <c r="CU24" s="8">
        <f>IF((0=1),SUMIFS('Daily evaluations'!$D$2:$D$36,'Daily evaluations'!$B$2:$B$36,"=random_08",'Daily evaluations'!$C$2:$C$36,"=d20270209"),"")</f>
      </c>
      <c r="CV24" s="8">
        <f>IF((0=1),SUMIFS('Daily evaluations'!$D$2:$D$36,'Daily evaluations'!$B$2:$B$36,"=random_08",'Daily evaluations'!$C$2:$C$36,"=d20270210"),"")</f>
      </c>
      <c r="CW24" s="8">
        <f>IF((0=1),SUMIFS('Daily evaluations'!$D$2:$D$36,'Daily evaluations'!$B$2:$B$36,"=random_08",'Daily evaluations'!$C$2:$C$36,"=d20270211"),"")</f>
      </c>
      <c r="CX24" s="8">
        <f>IF((0=1),SUMIFS('Daily evaluations'!$D$2:$D$36,'Daily evaluations'!$B$2:$B$36,"=random_08",'Daily evaluations'!$C$2:$C$36,"=d20270212"),"")</f>
      </c>
    </row>
    <row r="25">
      <c r="A25" s="0" t="inlineStr">
        <is>
          <t xml:space="preserve">Sector-neutral overnight excess, bps</t>
        </is>
      </c>
      <c r="B25" s="0" t="inlineStr">
        <is>
          <t xml:space="preserve">Random 9</t>
        </is>
      </c>
      <c r="C25" s="8">
        <f>IF((1=1),SUMIFS('Daily evaluations'!$D$2:$D$36,'Daily evaluations'!$B$2:$B$36,"=random_09",'Daily evaluations'!$C$2:$C$36,"=d20260922"),"")</f>
        <v>-3.328</v>
      </c>
      <c r="D25" s="8">
        <f>IF((0=1),SUMIFS('Daily evaluations'!$D$2:$D$36,'Daily evaluations'!$B$2:$B$36,"=random_09",'Daily evaluations'!$C$2:$C$36,"=d20260923"),"")</f>
      </c>
      <c r="E25" s="8">
        <f>IF((0=1),SUMIFS('Daily evaluations'!$D$2:$D$36,'Daily evaluations'!$B$2:$B$36,"=random_09",'Daily evaluations'!$C$2:$C$36,"=d20260924"),"")</f>
      </c>
      <c r="F25" s="8">
        <f>IF((0=1),SUMIFS('Daily evaluations'!$D$2:$D$36,'Daily evaluations'!$B$2:$B$36,"=random_09",'Daily evaluations'!$C$2:$C$36,"=d20260925"),"")</f>
      </c>
      <c r="G25" s="8">
        <f>IF((0=1),SUMIFS('Daily evaluations'!$D$2:$D$36,'Daily evaluations'!$B$2:$B$36,"=random_09",'Daily evaluations'!$C$2:$C$36,"=d20260928"),"")</f>
      </c>
      <c r="H25" s="8">
        <f>IF((0=1),SUMIFS('Daily evaluations'!$D$2:$D$36,'Daily evaluations'!$B$2:$B$36,"=random_09",'Daily evaluations'!$C$2:$C$36,"=d20260929"),"")</f>
      </c>
      <c r="I25" s="8">
        <f>IF((0=1),SUMIFS('Daily evaluations'!$D$2:$D$36,'Daily evaluations'!$B$2:$B$36,"=random_09",'Daily evaluations'!$C$2:$C$36,"=d20260930"),"")</f>
      </c>
      <c r="J25" s="8">
        <f>IF((0=1),SUMIFS('Daily evaluations'!$D$2:$D$36,'Daily evaluations'!$B$2:$B$36,"=random_09",'Daily evaluations'!$C$2:$C$36,"=d20261001"),"")</f>
      </c>
      <c r="K25" s="8">
        <f>IF((0=1),SUMIFS('Daily evaluations'!$D$2:$D$36,'Daily evaluations'!$B$2:$B$36,"=random_09",'Daily evaluations'!$C$2:$C$36,"=d20261002"),"")</f>
      </c>
      <c r="L25" s="8">
        <f>IF((0=1),SUMIFS('Daily evaluations'!$D$2:$D$36,'Daily evaluations'!$B$2:$B$36,"=random_09",'Daily evaluations'!$C$2:$C$36,"=d20261005"),"")</f>
      </c>
      <c r="M25" s="8">
        <f>IF((0=1),SUMIFS('Daily evaluations'!$D$2:$D$36,'Daily evaluations'!$B$2:$B$36,"=random_09",'Daily evaluations'!$C$2:$C$36,"=d20261006"),"")</f>
      </c>
      <c r="N25" s="8">
        <f>IF((0=1),SUMIFS('Daily evaluations'!$D$2:$D$36,'Daily evaluations'!$B$2:$B$36,"=random_09",'Daily evaluations'!$C$2:$C$36,"=d20261007"),"")</f>
      </c>
      <c r="O25" s="8">
        <f>IF((0=1),SUMIFS('Daily evaluations'!$D$2:$D$36,'Daily evaluations'!$B$2:$B$36,"=random_09",'Daily evaluations'!$C$2:$C$36,"=d20261008"),"")</f>
      </c>
      <c r="P25" s="8">
        <f>IF((0=1),SUMIFS('Daily evaluations'!$D$2:$D$36,'Daily evaluations'!$B$2:$B$36,"=random_09",'Daily evaluations'!$C$2:$C$36,"=d20261009"),"")</f>
      </c>
      <c r="Q25" s="8">
        <f>IF((0=1),SUMIFS('Daily evaluations'!$D$2:$D$36,'Daily evaluations'!$B$2:$B$36,"=random_09",'Daily evaluations'!$C$2:$C$36,"=d20261012"),"")</f>
      </c>
      <c r="R25" s="8">
        <f>IF((0=1),SUMIFS('Daily evaluations'!$D$2:$D$36,'Daily evaluations'!$B$2:$B$36,"=random_09",'Daily evaluations'!$C$2:$C$36,"=d20261013"),"")</f>
      </c>
      <c r="S25" s="8">
        <f>IF((0=1),SUMIFS('Daily evaluations'!$D$2:$D$36,'Daily evaluations'!$B$2:$B$36,"=random_09",'Daily evaluations'!$C$2:$C$36,"=d20261014"),"")</f>
      </c>
      <c r="T25" s="8">
        <f>IF((0=1),SUMIFS('Daily evaluations'!$D$2:$D$36,'Daily evaluations'!$B$2:$B$36,"=random_09",'Daily evaluations'!$C$2:$C$36,"=d20261015"),"")</f>
      </c>
      <c r="U25" s="8">
        <f>IF((0=1),SUMIFS('Daily evaluations'!$D$2:$D$36,'Daily evaluations'!$B$2:$B$36,"=random_09",'Daily evaluations'!$C$2:$C$36,"=d20261016"),"")</f>
      </c>
      <c r="V25" s="8">
        <f>IF((0=1),SUMIFS('Daily evaluations'!$D$2:$D$36,'Daily evaluations'!$B$2:$B$36,"=random_09",'Daily evaluations'!$C$2:$C$36,"=d20261019"),"")</f>
      </c>
      <c r="W25" s="8">
        <f>IF((0=1),SUMIFS('Daily evaluations'!$D$2:$D$36,'Daily evaluations'!$B$2:$B$36,"=random_09",'Daily evaluations'!$C$2:$C$36,"=d20261020"),"")</f>
      </c>
      <c r="X25" s="8">
        <f>IF((0=1),SUMIFS('Daily evaluations'!$D$2:$D$36,'Daily evaluations'!$B$2:$B$36,"=random_09",'Daily evaluations'!$C$2:$C$36,"=d20261021"),"")</f>
      </c>
      <c r="Y25" s="8">
        <f>IF((0=1),SUMIFS('Daily evaluations'!$D$2:$D$36,'Daily evaluations'!$B$2:$B$36,"=random_09",'Daily evaluations'!$C$2:$C$36,"=d20261022"),"")</f>
      </c>
      <c r="Z25" s="8">
        <f>IF((0=1),SUMIFS('Daily evaluations'!$D$2:$D$36,'Daily evaluations'!$B$2:$B$36,"=random_09",'Daily evaluations'!$C$2:$C$36,"=d20261023"),"")</f>
      </c>
      <c r="AA25" s="8">
        <f>IF((0=1),SUMIFS('Daily evaluations'!$D$2:$D$36,'Daily evaluations'!$B$2:$B$36,"=random_09",'Daily evaluations'!$C$2:$C$36,"=d20261026"),"")</f>
      </c>
      <c r="AB25" s="8">
        <f>IF((0=1),SUMIFS('Daily evaluations'!$D$2:$D$36,'Daily evaluations'!$B$2:$B$36,"=random_09",'Daily evaluations'!$C$2:$C$36,"=d20261027"),"")</f>
      </c>
      <c r="AC25" s="8">
        <f>IF((0=1),SUMIFS('Daily evaluations'!$D$2:$D$36,'Daily evaluations'!$B$2:$B$36,"=random_09",'Daily evaluations'!$C$2:$C$36,"=d20261028"),"")</f>
      </c>
      <c r="AD25" s="8">
        <f>IF((0=1),SUMIFS('Daily evaluations'!$D$2:$D$36,'Daily evaluations'!$B$2:$B$36,"=random_09",'Daily evaluations'!$C$2:$C$36,"=d20261029"),"")</f>
      </c>
      <c r="AE25" s="8">
        <f>IF((0=1),SUMIFS('Daily evaluations'!$D$2:$D$36,'Daily evaluations'!$B$2:$B$36,"=random_09",'Daily evaluations'!$C$2:$C$36,"=d20261030"),"")</f>
      </c>
      <c r="AF25" s="8">
        <f>IF((0=1),SUMIFS('Daily evaluations'!$D$2:$D$36,'Daily evaluations'!$B$2:$B$36,"=random_09",'Daily evaluations'!$C$2:$C$36,"=d20261102"),"")</f>
      </c>
      <c r="AG25" s="8">
        <f>IF((0=1),SUMIFS('Daily evaluations'!$D$2:$D$36,'Daily evaluations'!$B$2:$B$36,"=random_09",'Daily evaluations'!$C$2:$C$36,"=d20261103"),"")</f>
      </c>
      <c r="AH25" s="8">
        <f>IF((0=1),SUMIFS('Daily evaluations'!$D$2:$D$36,'Daily evaluations'!$B$2:$B$36,"=random_09",'Daily evaluations'!$C$2:$C$36,"=d20261104"),"")</f>
      </c>
      <c r="AI25" s="8">
        <f>IF((0=1),SUMIFS('Daily evaluations'!$D$2:$D$36,'Daily evaluations'!$B$2:$B$36,"=random_09",'Daily evaluations'!$C$2:$C$36,"=d20261105"),"")</f>
      </c>
      <c r="AJ25" s="8">
        <f>IF((0=1),SUMIFS('Daily evaluations'!$D$2:$D$36,'Daily evaluations'!$B$2:$B$36,"=random_09",'Daily evaluations'!$C$2:$C$36,"=d20261106"),"")</f>
      </c>
      <c r="AK25" s="8">
        <f>IF((0=1),SUMIFS('Daily evaluations'!$D$2:$D$36,'Daily evaluations'!$B$2:$B$36,"=random_09",'Daily evaluations'!$C$2:$C$36,"=d20261109"),"")</f>
      </c>
      <c r="AL25" s="8">
        <f>IF((0=1),SUMIFS('Daily evaluations'!$D$2:$D$36,'Daily evaluations'!$B$2:$B$36,"=random_09",'Daily evaluations'!$C$2:$C$36,"=d20261110"),"")</f>
      </c>
      <c r="AM25" s="8">
        <f>IF((0=1),SUMIFS('Daily evaluations'!$D$2:$D$36,'Daily evaluations'!$B$2:$B$36,"=random_09",'Daily evaluations'!$C$2:$C$36,"=d20261111"),"")</f>
      </c>
      <c r="AN25" s="8">
        <f>IF((0=1),SUMIFS('Daily evaluations'!$D$2:$D$36,'Daily evaluations'!$B$2:$B$36,"=random_09",'Daily evaluations'!$C$2:$C$36,"=d20261112"),"")</f>
      </c>
      <c r="AO25" s="8">
        <f>IF((0=1),SUMIFS('Daily evaluations'!$D$2:$D$36,'Daily evaluations'!$B$2:$B$36,"=random_09",'Daily evaluations'!$C$2:$C$36,"=d20261113"),"")</f>
      </c>
      <c r="AP25" s="8">
        <f>IF((0=1),SUMIFS('Daily evaluations'!$D$2:$D$36,'Daily evaluations'!$B$2:$B$36,"=random_09",'Daily evaluations'!$C$2:$C$36,"=d20261116"),"")</f>
      </c>
      <c r="AQ25" s="8">
        <f>IF((0=1),SUMIFS('Daily evaluations'!$D$2:$D$36,'Daily evaluations'!$B$2:$B$36,"=random_09",'Daily evaluations'!$C$2:$C$36,"=d20261117"),"")</f>
      </c>
      <c r="AR25" s="8">
        <f>IF((0=1),SUMIFS('Daily evaluations'!$D$2:$D$36,'Daily evaluations'!$B$2:$B$36,"=random_09",'Daily evaluations'!$C$2:$C$36,"=d20261118"),"")</f>
      </c>
      <c r="AS25" s="8">
        <f>IF((0=1),SUMIFS('Daily evaluations'!$D$2:$D$36,'Daily evaluations'!$B$2:$B$36,"=random_09",'Daily evaluations'!$C$2:$C$36,"=d20261119"),"")</f>
      </c>
      <c r="AT25" s="8">
        <f>IF((0=1),SUMIFS('Daily evaluations'!$D$2:$D$36,'Daily evaluations'!$B$2:$B$36,"=random_09",'Daily evaluations'!$C$2:$C$36,"=d20261120"),"")</f>
      </c>
      <c r="AU25" s="8">
        <f>IF((0=1),SUMIFS('Daily evaluations'!$D$2:$D$36,'Daily evaluations'!$B$2:$B$36,"=random_09",'Daily evaluations'!$C$2:$C$36,"=d20261123"),"")</f>
      </c>
      <c r="AV25" s="8">
        <f>IF((0=1),SUMIFS('Daily evaluations'!$D$2:$D$36,'Daily evaluations'!$B$2:$B$36,"=random_09",'Daily evaluations'!$C$2:$C$36,"=d20261124"),"")</f>
      </c>
      <c r="AW25" s="8">
        <f>IF((0=1),SUMIFS('Daily evaluations'!$D$2:$D$36,'Daily evaluations'!$B$2:$B$36,"=random_09",'Daily evaluations'!$C$2:$C$36,"=d20261125"),"")</f>
      </c>
      <c r="AX25" s="8">
        <f>IF((0=1),SUMIFS('Daily evaluations'!$D$2:$D$36,'Daily evaluations'!$B$2:$B$36,"=random_09",'Daily evaluations'!$C$2:$C$36,"=d20261127"),"")</f>
      </c>
      <c r="AY25" s="8">
        <f>IF((0=1),SUMIFS('Daily evaluations'!$D$2:$D$36,'Daily evaluations'!$B$2:$B$36,"=random_09",'Daily evaluations'!$C$2:$C$36,"=d20261130"),"")</f>
      </c>
      <c r="AZ25" s="8">
        <f>IF((0=1),SUMIFS('Daily evaluations'!$D$2:$D$36,'Daily evaluations'!$B$2:$B$36,"=random_09",'Daily evaluations'!$C$2:$C$36,"=d20261201"),"")</f>
      </c>
      <c r="BA25" s="8">
        <f>IF((0=1),SUMIFS('Daily evaluations'!$D$2:$D$36,'Daily evaluations'!$B$2:$B$36,"=random_09",'Daily evaluations'!$C$2:$C$36,"=d20261202"),"")</f>
      </c>
      <c r="BB25" s="8">
        <f>IF((0=1),SUMIFS('Daily evaluations'!$D$2:$D$36,'Daily evaluations'!$B$2:$B$36,"=random_09",'Daily evaluations'!$C$2:$C$36,"=d20261203"),"")</f>
      </c>
      <c r="BC25" s="8">
        <f>IF((0=1),SUMIFS('Daily evaluations'!$D$2:$D$36,'Daily evaluations'!$B$2:$B$36,"=random_09",'Daily evaluations'!$C$2:$C$36,"=d20261204"),"")</f>
      </c>
      <c r="BD25" s="8">
        <f>IF((0=1),SUMIFS('Daily evaluations'!$D$2:$D$36,'Daily evaluations'!$B$2:$B$36,"=random_09",'Daily evaluations'!$C$2:$C$36,"=d20261207"),"")</f>
      </c>
      <c r="BE25" s="8">
        <f>IF((0=1),SUMIFS('Daily evaluations'!$D$2:$D$36,'Daily evaluations'!$B$2:$B$36,"=random_09",'Daily evaluations'!$C$2:$C$36,"=d20261208"),"")</f>
      </c>
      <c r="BF25" s="8">
        <f>IF((0=1),SUMIFS('Daily evaluations'!$D$2:$D$36,'Daily evaluations'!$B$2:$B$36,"=random_09",'Daily evaluations'!$C$2:$C$36,"=d20261209"),"")</f>
      </c>
      <c r="BG25" s="8">
        <f>IF((0=1),SUMIFS('Daily evaluations'!$D$2:$D$36,'Daily evaluations'!$B$2:$B$36,"=random_09",'Daily evaluations'!$C$2:$C$36,"=d20261210"),"")</f>
      </c>
      <c r="BH25" s="8">
        <f>IF((0=1),SUMIFS('Daily evaluations'!$D$2:$D$36,'Daily evaluations'!$B$2:$B$36,"=random_09",'Daily evaluations'!$C$2:$C$36,"=d20261211"),"")</f>
      </c>
      <c r="BI25" s="8">
        <f>IF((0=1),SUMIFS('Daily evaluations'!$D$2:$D$36,'Daily evaluations'!$B$2:$B$36,"=random_09",'Daily evaluations'!$C$2:$C$36,"=d20261214"),"")</f>
      </c>
      <c r="BJ25" s="8">
        <f>IF((0=1),SUMIFS('Daily evaluations'!$D$2:$D$36,'Daily evaluations'!$B$2:$B$36,"=random_09",'Daily evaluations'!$C$2:$C$36,"=d20261215"),"")</f>
      </c>
      <c r="BK25" s="8">
        <f>IF((0=1),SUMIFS('Daily evaluations'!$D$2:$D$36,'Daily evaluations'!$B$2:$B$36,"=random_09",'Daily evaluations'!$C$2:$C$36,"=d20261216"),"")</f>
      </c>
      <c r="BL25" s="8">
        <f>IF((0=1),SUMIFS('Daily evaluations'!$D$2:$D$36,'Daily evaluations'!$B$2:$B$36,"=random_09",'Daily evaluations'!$C$2:$C$36,"=d20261217"),"")</f>
      </c>
      <c r="BM25" s="8">
        <f>IF((0=1),SUMIFS('Daily evaluations'!$D$2:$D$36,'Daily evaluations'!$B$2:$B$36,"=random_09",'Daily evaluations'!$C$2:$C$36,"=d20261218"),"")</f>
      </c>
      <c r="BN25" s="8">
        <f>IF((0=1),SUMIFS('Daily evaluations'!$D$2:$D$36,'Daily evaluations'!$B$2:$B$36,"=random_09",'Daily evaluations'!$C$2:$C$36,"=d20261221"),"")</f>
      </c>
      <c r="BO25" s="8">
        <f>IF((0=1),SUMIFS('Daily evaluations'!$D$2:$D$36,'Daily evaluations'!$B$2:$B$36,"=random_09",'Daily evaluations'!$C$2:$C$36,"=d20261222"),"")</f>
      </c>
      <c r="BP25" s="8">
        <f>IF((0=1),SUMIFS('Daily evaluations'!$D$2:$D$36,'Daily evaluations'!$B$2:$B$36,"=random_09",'Daily evaluations'!$C$2:$C$36,"=d20261223"),"")</f>
      </c>
      <c r="BQ25" s="8">
        <f>IF((0=1),SUMIFS('Daily evaluations'!$D$2:$D$36,'Daily evaluations'!$B$2:$B$36,"=random_09",'Daily evaluations'!$C$2:$C$36,"=d20261224"),"")</f>
      </c>
      <c r="BR25" s="8">
        <f>IF((0=1),SUMIFS('Daily evaluations'!$D$2:$D$36,'Daily evaluations'!$B$2:$B$36,"=random_09",'Daily evaluations'!$C$2:$C$36,"=d20261228"),"")</f>
      </c>
      <c r="BS25" s="8">
        <f>IF((0=1),SUMIFS('Daily evaluations'!$D$2:$D$36,'Daily evaluations'!$B$2:$B$36,"=random_09",'Daily evaluations'!$C$2:$C$36,"=d20261229"),"")</f>
      </c>
      <c r="BT25" s="8">
        <f>IF((0=1),SUMIFS('Daily evaluations'!$D$2:$D$36,'Daily evaluations'!$B$2:$B$36,"=random_09",'Daily evaluations'!$C$2:$C$36,"=d20261230"),"")</f>
      </c>
      <c r="BU25" s="8">
        <f>IF((0=1),SUMIFS('Daily evaluations'!$D$2:$D$36,'Daily evaluations'!$B$2:$B$36,"=random_09",'Daily evaluations'!$C$2:$C$36,"=d20261231"),"")</f>
      </c>
      <c r="BV25" s="8">
        <f>IF((0=1),SUMIFS('Daily evaluations'!$D$2:$D$36,'Daily evaluations'!$B$2:$B$36,"=random_09",'Daily evaluations'!$C$2:$C$36,"=d20270104"),"")</f>
      </c>
      <c r="BW25" s="8">
        <f>IF((0=1),SUMIFS('Daily evaluations'!$D$2:$D$36,'Daily evaluations'!$B$2:$B$36,"=random_09",'Daily evaluations'!$C$2:$C$36,"=d20270105"),"")</f>
      </c>
      <c r="BX25" s="8">
        <f>IF((0=1),SUMIFS('Daily evaluations'!$D$2:$D$36,'Daily evaluations'!$B$2:$B$36,"=random_09",'Daily evaluations'!$C$2:$C$36,"=d20270106"),"")</f>
      </c>
      <c r="BY25" s="8">
        <f>IF((0=1),SUMIFS('Daily evaluations'!$D$2:$D$36,'Daily evaluations'!$B$2:$B$36,"=random_09",'Daily evaluations'!$C$2:$C$36,"=d20270107"),"")</f>
      </c>
      <c r="BZ25" s="8">
        <f>IF((0=1),SUMIFS('Daily evaluations'!$D$2:$D$36,'Daily evaluations'!$B$2:$B$36,"=random_09",'Daily evaluations'!$C$2:$C$36,"=d20270108"),"")</f>
      </c>
      <c r="CA25" s="8">
        <f>IF((0=1),SUMIFS('Daily evaluations'!$D$2:$D$36,'Daily evaluations'!$B$2:$B$36,"=random_09",'Daily evaluations'!$C$2:$C$36,"=d20270111"),"")</f>
      </c>
      <c r="CB25" s="8">
        <f>IF((0=1),SUMIFS('Daily evaluations'!$D$2:$D$36,'Daily evaluations'!$B$2:$B$36,"=random_09",'Daily evaluations'!$C$2:$C$36,"=d20270112"),"")</f>
      </c>
      <c r="CC25" s="8">
        <f>IF((0=1),SUMIFS('Daily evaluations'!$D$2:$D$36,'Daily evaluations'!$B$2:$B$36,"=random_09",'Daily evaluations'!$C$2:$C$36,"=d20270113"),"")</f>
      </c>
      <c r="CD25" s="8">
        <f>IF((0=1),SUMIFS('Daily evaluations'!$D$2:$D$36,'Daily evaluations'!$B$2:$B$36,"=random_09",'Daily evaluations'!$C$2:$C$36,"=d20270114"),"")</f>
      </c>
      <c r="CE25" s="8">
        <f>IF((0=1),SUMIFS('Daily evaluations'!$D$2:$D$36,'Daily evaluations'!$B$2:$B$36,"=random_09",'Daily evaluations'!$C$2:$C$36,"=d20270115"),"")</f>
      </c>
      <c r="CF25" s="8">
        <f>IF((0=1),SUMIFS('Daily evaluations'!$D$2:$D$36,'Daily evaluations'!$B$2:$B$36,"=random_09",'Daily evaluations'!$C$2:$C$36,"=d20270119"),"")</f>
      </c>
      <c r="CG25" s="8">
        <f>IF((0=1),SUMIFS('Daily evaluations'!$D$2:$D$36,'Daily evaluations'!$B$2:$B$36,"=random_09",'Daily evaluations'!$C$2:$C$36,"=d20270120"),"")</f>
      </c>
      <c r="CH25" s="8">
        <f>IF((0=1),SUMIFS('Daily evaluations'!$D$2:$D$36,'Daily evaluations'!$B$2:$B$36,"=random_09",'Daily evaluations'!$C$2:$C$36,"=d20270121"),"")</f>
      </c>
      <c r="CI25" s="8">
        <f>IF((0=1),SUMIFS('Daily evaluations'!$D$2:$D$36,'Daily evaluations'!$B$2:$B$36,"=random_09",'Daily evaluations'!$C$2:$C$36,"=d20270122"),"")</f>
      </c>
      <c r="CJ25" s="8">
        <f>IF((0=1),SUMIFS('Daily evaluations'!$D$2:$D$36,'Daily evaluations'!$B$2:$B$36,"=random_09",'Daily evaluations'!$C$2:$C$36,"=d20270125"),"")</f>
      </c>
      <c r="CK25" s="8">
        <f>IF((0=1),SUMIFS('Daily evaluations'!$D$2:$D$36,'Daily evaluations'!$B$2:$B$36,"=random_09",'Daily evaluations'!$C$2:$C$36,"=d20270126"),"")</f>
      </c>
      <c r="CL25" s="8">
        <f>IF((0=1),SUMIFS('Daily evaluations'!$D$2:$D$36,'Daily evaluations'!$B$2:$B$36,"=random_09",'Daily evaluations'!$C$2:$C$36,"=d20270127"),"")</f>
      </c>
      <c r="CM25" s="8">
        <f>IF((0=1),SUMIFS('Daily evaluations'!$D$2:$D$36,'Daily evaluations'!$B$2:$B$36,"=random_09",'Daily evaluations'!$C$2:$C$36,"=d20270128"),"")</f>
      </c>
      <c r="CN25" s="8">
        <f>IF((0=1),SUMIFS('Daily evaluations'!$D$2:$D$36,'Daily evaluations'!$B$2:$B$36,"=random_09",'Daily evaluations'!$C$2:$C$36,"=d20270129"),"")</f>
      </c>
      <c r="CO25" s="8">
        <f>IF((0=1),SUMIFS('Daily evaluations'!$D$2:$D$36,'Daily evaluations'!$B$2:$B$36,"=random_09",'Daily evaluations'!$C$2:$C$36,"=d20270201"),"")</f>
      </c>
      <c r="CP25" s="8">
        <f>IF((0=1),SUMIFS('Daily evaluations'!$D$2:$D$36,'Daily evaluations'!$B$2:$B$36,"=random_09",'Daily evaluations'!$C$2:$C$36,"=d20270202"),"")</f>
      </c>
      <c r="CQ25" s="8">
        <f>IF((0=1),SUMIFS('Daily evaluations'!$D$2:$D$36,'Daily evaluations'!$B$2:$B$36,"=random_09",'Daily evaluations'!$C$2:$C$36,"=d20270203"),"")</f>
      </c>
      <c r="CR25" s="8">
        <f>IF((0=1),SUMIFS('Daily evaluations'!$D$2:$D$36,'Daily evaluations'!$B$2:$B$36,"=random_09",'Daily evaluations'!$C$2:$C$36,"=d20270204"),"")</f>
      </c>
      <c r="CS25" s="8">
        <f>IF((0=1),SUMIFS('Daily evaluations'!$D$2:$D$36,'Daily evaluations'!$B$2:$B$36,"=random_09",'Daily evaluations'!$C$2:$C$36,"=d20270205"),"")</f>
      </c>
      <c r="CT25" s="8">
        <f>IF((0=1),SUMIFS('Daily evaluations'!$D$2:$D$36,'Daily evaluations'!$B$2:$B$36,"=random_09",'Daily evaluations'!$C$2:$C$36,"=d20270208"),"")</f>
      </c>
      <c r="CU25" s="8">
        <f>IF((0=1),SUMIFS('Daily evaluations'!$D$2:$D$36,'Daily evaluations'!$B$2:$B$36,"=random_09",'Daily evaluations'!$C$2:$C$36,"=d20270209"),"")</f>
      </c>
      <c r="CV25" s="8">
        <f>IF((0=1),SUMIFS('Daily evaluations'!$D$2:$D$36,'Daily evaluations'!$B$2:$B$36,"=random_09",'Daily evaluations'!$C$2:$C$36,"=d20270210"),"")</f>
      </c>
      <c r="CW25" s="8">
        <f>IF((0=1),SUMIFS('Daily evaluations'!$D$2:$D$36,'Daily evaluations'!$B$2:$B$36,"=random_09",'Daily evaluations'!$C$2:$C$36,"=d20270211"),"")</f>
      </c>
      <c r="CX25" s="8">
        <f>IF((0=1),SUMIFS('Daily evaluations'!$D$2:$D$36,'Daily evaluations'!$B$2:$B$36,"=random_09",'Daily evaluations'!$C$2:$C$36,"=d20270212"),"")</f>
      </c>
    </row>
    <row r="26">
      <c r="A26" s="0" t="inlineStr">
        <is>
          <t xml:space="preserve">Sector-neutral overnight excess, bps</t>
        </is>
      </c>
      <c r="B26" s="0" t="inlineStr">
        <is>
          <t xml:space="preserve">Random 10</t>
        </is>
      </c>
      <c r="C26" s="8">
        <f>IF((1=1),SUMIFS('Daily evaluations'!$D$2:$D$36,'Daily evaluations'!$B$2:$B$36,"=random_10",'Daily evaluations'!$C$2:$C$36,"=d20260922"),"")</f>
        <v>4.866</v>
      </c>
      <c r="D26" s="8">
        <f>IF((0=1),SUMIFS('Daily evaluations'!$D$2:$D$36,'Daily evaluations'!$B$2:$B$36,"=random_10",'Daily evaluations'!$C$2:$C$36,"=d20260923"),"")</f>
      </c>
      <c r="E26" s="8">
        <f>IF((0=1),SUMIFS('Daily evaluations'!$D$2:$D$36,'Daily evaluations'!$B$2:$B$36,"=random_10",'Daily evaluations'!$C$2:$C$36,"=d20260924"),"")</f>
      </c>
      <c r="F26" s="8">
        <f>IF((0=1),SUMIFS('Daily evaluations'!$D$2:$D$36,'Daily evaluations'!$B$2:$B$36,"=random_10",'Daily evaluations'!$C$2:$C$36,"=d20260925"),"")</f>
      </c>
      <c r="G26" s="8">
        <f>IF((0=1),SUMIFS('Daily evaluations'!$D$2:$D$36,'Daily evaluations'!$B$2:$B$36,"=random_10",'Daily evaluations'!$C$2:$C$36,"=d20260928"),"")</f>
      </c>
      <c r="H26" s="8">
        <f>IF((0=1),SUMIFS('Daily evaluations'!$D$2:$D$36,'Daily evaluations'!$B$2:$B$36,"=random_10",'Daily evaluations'!$C$2:$C$36,"=d20260929"),"")</f>
      </c>
      <c r="I26" s="8">
        <f>IF((0=1),SUMIFS('Daily evaluations'!$D$2:$D$36,'Daily evaluations'!$B$2:$B$36,"=random_10",'Daily evaluations'!$C$2:$C$36,"=d20260930"),"")</f>
      </c>
      <c r="J26" s="8">
        <f>IF((0=1),SUMIFS('Daily evaluations'!$D$2:$D$36,'Daily evaluations'!$B$2:$B$36,"=random_10",'Daily evaluations'!$C$2:$C$36,"=d20261001"),"")</f>
      </c>
      <c r="K26" s="8">
        <f>IF((0=1),SUMIFS('Daily evaluations'!$D$2:$D$36,'Daily evaluations'!$B$2:$B$36,"=random_10",'Daily evaluations'!$C$2:$C$36,"=d20261002"),"")</f>
      </c>
      <c r="L26" s="8">
        <f>IF((0=1),SUMIFS('Daily evaluations'!$D$2:$D$36,'Daily evaluations'!$B$2:$B$36,"=random_10",'Daily evaluations'!$C$2:$C$36,"=d20261005"),"")</f>
      </c>
      <c r="M26" s="8">
        <f>IF((0=1),SUMIFS('Daily evaluations'!$D$2:$D$36,'Daily evaluations'!$B$2:$B$36,"=random_10",'Daily evaluations'!$C$2:$C$36,"=d20261006"),"")</f>
      </c>
      <c r="N26" s="8">
        <f>IF((0=1),SUMIFS('Daily evaluations'!$D$2:$D$36,'Daily evaluations'!$B$2:$B$36,"=random_10",'Daily evaluations'!$C$2:$C$36,"=d20261007"),"")</f>
      </c>
      <c r="O26" s="8">
        <f>IF((0=1),SUMIFS('Daily evaluations'!$D$2:$D$36,'Daily evaluations'!$B$2:$B$36,"=random_10",'Daily evaluations'!$C$2:$C$36,"=d20261008"),"")</f>
      </c>
      <c r="P26" s="8">
        <f>IF((0=1),SUMIFS('Daily evaluations'!$D$2:$D$36,'Daily evaluations'!$B$2:$B$36,"=random_10",'Daily evaluations'!$C$2:$C$36,"=d20261009"),"")</f>
      </c>
      <c r="Q26" s="8">
        <f>IF((0=1),SUMIFS('Daily evaluations'!$D$2:$D$36,'Daily evaluations'!$B$2:$B$36,"=random_10",'Daily evaluations'!$C$2:$C$36,"=d20261012"),"")</f>
      </c>
      <c r="R26" s="8">
        <f>IF((0=1),SUMIFS('Daily evaluations'!$D$2:$D$36,'Daily evaluations'!$B$2:$B$36,"=random_10",'Daily evaluations'!$C$2:$C$36,"=d20261013"),"")</f>
      </c>
      <c r="S26" s="8">
        <f>IF((0=1),SUMIFS('Daily evaluations'!$D$2:$D$36,'Daily evaluations'!$B$2:$B$36,"=random_10",'Daily evaluations'!$C$2:$C$36,"=d20261014"),"")</f>
      </c>
      <c r="T26" s="8">
        <f>IF((0=1),SUMIFS('Daily evaluations'!$D$2:$D$36,'Daily evaluations'!$B$2:$B$36,"=random_10",'Daily evaluations'!$C$2:$C$36,"=d20261015"),"")</f>
      </c>
      <c r="U26" s="8">
        <f>IF((0=1),SUMIFS('Daily evaluations'!$D$2:$D$36,'Daily evaluations'!$B$2:$B$36,"=random_10",'Daily evaluations'!$C$2:$C$36,"=d20261016"),"")</f>
      </c>
      <c r="V26" s="8">
        <f>IF((0=1),SUMIFS('Daily evaluations'!$D$2:$D$36,'Daily evaluations'!$B$2:$B$36,"=random_10",'Daily evaluations'!$C$2:$C$36,"=d20261019"),"")</f>
      </c>
      <c r="W26" s="8">
        <f>IF((0=1),SUMIFS('Daily evaluations'!$D$2:$D$36,'Daily evaluations'!$B$2:$B$36,"=random_10",'Daily evaluations'!$C$2:$C$36,"=d20261020"),"")</f>
      </c>
      <c r="X26" s="8">
        <f>IF((0=1),SUMIFS('Daily evaluations'!$D$2:$D$36,'Daily evaluations'!$B$2:$B$36,"=random_10",'Daily evaluations'!$C$2:$C$36,"=d20261021"),"")</f>
      </c>
      <c r="Y26" s="8">
        <f>IF((0=1),SUMIFS('Daily evaluations'!$D$2:$D$36,'Daily evaluations'!$B$2:$B$36,"=random_10",'Daily evaluations'!$C$2:$C$36,"=d20261022"),"")</f>
      </c>
      <c r="Z26" s="8">
        <f>IF((0=1),SUMIFS('Daily evaluations'!$D$2:$D$36,'Daily evaluations'!$B$2:$B$36,"=random_10",'Daily evaluations'!$C$2:$C$36,"=d20261023"),"")</f>
      </c>
      <c r="AA26" s="8">
        <f>IF((0=1),SUMIFS('Daily evaluations'!$D$2:$D$36,'Daily evaluations'!$B$2:$B$36,"=random_10",'Daily evaluations'!$C$2:$C$36,"=d20261026"),"")</f>
      </c>
      <c r="AB26" s="8">
        <f>IF((0=1),SUMIFS('Daily evaluations'!$D$2:$D$36,'Daily evaluations'!$B$2:$B$36,"=random_10",'Daily evaluations'!$C$2:$C$36,"=d20261027"),"")</f>
      </c>
      <c r="AC26" s="8">
        <f>IF((0=1),SUMIFS('Daily evaluations'!$D$2:$D$36,'Daily evaluations'!$B$2:$B$36,"=random_10",'Daily evaluations'!$C$2:$C$36,"=d20261028"),"")</f>
      </c>
      <c r="AD26" s="8">
        <f>IF((0=1),SUMIFS('Daily evaluations'!$D$2:$D$36,'Daily evaluations'!$B$2:$B$36,"=random_10",'Daily evaluations'!$C$2:$C$36,"=d20261029"),"")</f>
      </c>
      <c r="AE26" s="8">
        <f>IF((0=1),SUMIFS('Daily evaluations'!$D$2:$D$36,'Daily evaluations'!$B$2:$B$36,"=random_10",'Daily evaluations'!$C$2:$C$36,"=d20261030"),"")</f>
      </c>
      <c r="AF26" s="8">
        <f>IF((0=1),SUMIFS('Daily evaluations'!$D$2:$D$36,'Daily evaluations'!$B$2:$B$36,"=random_10",'Daily evaluations'!$C$2:$C$36,"=d20261102"),"")</f>
      </c>
      <c r="AG26" s="8">
        <f>IF((0=1),SUMIFS('Daily evaluations'!$D$2:$D$36,'Daily evaluations'!$B$2:$B$36,"=random_10",'Daily evaluations'!$C$2:$C$36,"=d20261103"),"")</f>
      </c>
      <c r="AH26" s="8">
        <f>IF((0=1),SUMIFS('Daily evaluations'!$D$2:$D$36,'Daily evaluations'!$B$2:$B$36,"=random_10",'Daily evaluations'!$C$2:$C$36,"=d20261104"),"")</f>
      </c>
      <c r="AI26" s="8">
        <f>IF((0=1),SUMIFS('Daily evaluations'!$D$2:$D$36,'Daily evaluations'!$B$2:$B$36,"=random_10",'Daily evaluations'!$C$2:$C$36,"=d20261105"),"")</f>
      </c>
      <c r="AJ26" s="8">
        <f>IF((0=1),SUMIFS('Daily evaluations'!$D$2:$D$36,'Daily evaluations'!$B$2:$B$36,"=random_10",'Daily evaluations'!$C$2:$C$36,"=d20261106"),"")</f>
      </c>
      <c r="AK26" s="8">
        <f>IF((0=1),SUMIFS('Daily evaluations'!$D$2:$D$36,'Daily evaluations'!$B$2:$B$36,"=random_10",'Daily evaluations'!$C$2:$C$36,"=d20261109"),"")</f>
      </c>
      <c r="AL26" s="8">
        <f>IF((0=1),SUMIFS('Daily evaluations'!$D$2:$D$36,'Daily evaluations'!$B$2:$B$36,"=random_10",'Daily evaluations'!$C$2:$C$36,"=d20261110"),"")</f>
      </c>
      <c r="AM26" s="8">
        <f>IF((0=1),SUMIFS('Daily evaluations'!$D$2:$D$36,'Daily evaluations'!$B$2:$B$36,"=random_10",'Daily evaluations'!$C$2:$C$36,"=d20261111"),"")</f>
      </c>
      <c r="AN26" s="8">
        <f>IF((0=1),SUMIFS('Daily evaluations'!$D$2:$D$36,'Daily evaluations'!$B$2:$B$36,"=random_10",'Daily evaluations'!$C$2:$C$36,"=d20261112"),"")</f>
      </c>
      <c r="AO26" s="8">
        <f>IF((0=1),SUMIFS('Daily evaluations'!$D$2:$D$36,'Daily evaluations'!$B$2:$B$36,"=random_10",'Daily evaluations'!$C$2:$C$36,"=d20261113"),"")</f>
      </c>
      <c r="AP26" s="8">
        <f>IF((0=1),SUMIFS('Daily evaluations'!$D$2:$D$36,'Daily evaluations'!$B$2:$B$36,"=random_10",'Daily evaluations'!$C$2:$C$36,"=d20261116"),"")</f>
      </c>
      <c r="AQ26" s="8">
        <f>IF((0=1),SUMIFS('Daily evaluations'!$D$2:$D$36,'Daily evaluations'!$B$2:$B$36,"=random_10",'Daily evaluations'!$C$2:$C$36,"=d20261117"),"")</f>
      </c>
      <c r="AR26" s="8">
        <f>IF((0=1),SUMIFS('Daily evaluations'!$D$2:$D$36,'Daily evaluations'!$B$2:$B$36,"=random_10",'Daily evaluations'!$C$2:$C$36,"=d20261118"),"")</f>
      </c>
      <c r="AS26" s="8">
        <f>IF((0=1),SUMIFS('Daily evaluations'!$D$2:$D$36,'Daily evaluations'!$B$2:$B$36,"=random_10",'Daily evaluations'!$C$2:$C$36,"=d20261119"),"")</f>
      </c>
      <c r="AT26" s="8">
        <f>IF((0=1),SUMIFS('Daily evaluations'!$D$2:$D$36,'Daily evaluations'!$B$2:$B$36,"=random_10",'Daily evaluations'!$C$2:$C$36,"=d20261120"),"")</f>
      </c>
      <c r="AU26" s="8">
        <f>IF((0=1),SUMIFS('Daily evaluations'!$D$2:$D$36,'Daily evaluations'!$B$2:$B$36,"=random_10",'Daily evaluations'!$C$2:$C$36,"=d20261123"),"")</f>
      </c>
      <c r="AV26" s="8">
        <f>IF((0=1),SUMIFS('Daily evaluations'!$D$2:$D$36,'Daily evaluations'!$B$2:$B$36,"=random_10",'Daily evaluations'!$C$2:$C$36,"=d20261124"),"")</f>
      </c>
      <c r="AW26" s="8">
        <f>IF((0=1),SUMIFS('Daily evaluations'!$D$2:$D$36,'Daily evaluations'!$B$2:$B$36,"=random_10",'Daily evaluations'!$C$2:$C$36,"=d20261125"),"")</f>
      </c>
      <c r="AX26" s="8">
        <f>IF((0=1),SUMIFS('Daily evaluations'!$D$2:$D$36,'Daily evaluations'!$B$2:$B$36,"=random_10",'Daily evaluations'!$C$2:$C$36,"=d20261127"),"")</f>
      </c>
      <c r="AY26" s="8">
        <f>IF((0=1),SUMIFS('Daily evaluations'!$D$2:$D$36,'Daily evaluations'!$B$2:$B$36,"=random_10",'Daily evaluations'!$C$2:$C$36,"=d20261130"),"")</f>
      </c>
      <c r="AZ26" s="8">
        <f>IF((0=1),SUMIFS('Daily evaluations'!$D$2:$D$36,'Daily evaluations'!$B$2:$B$36,"=random_10",'Daily evaluations'!$C$2:$C$36,"=d20261201"),"")</f>
      </c>
      <c r="BA26" s="8">
        <f>IF((0=1),SUMIFS('Daily evaluations'!$D$2:$D$36,'Daily evaluations'!$B$2:$B$36,"=random_10",'Daily evaluations'!$C$2:$C$36,"=d20261202"),"")</f>
      </c>
      <c r="BB26" s="8">
        <f>IF((0=1),SUMIFS('Daily evaluations'!$D$2:$D$36,'Daily evaluations'!$B$2:$B$36,"=random_10",'Daily evaluations'!$C$2:$C$36,"=d20261203"),"")</f>
      </c>
      <c r="BC26" s="8">
        <f>IF((0=1),SUMIFS('Daily evaluations'!$D$2:$D$36,'Daily evaluations'!$B$2:$B$36,"=random_10",'Daily evaluations'!$C$2:$C$36,"=d20261204"),"")</f>
      </c>
      <c r="BD26" s="8">
        <f>IF((0=1),SUMIFS('Daily evaluations'!$D$2:$D$36,'Daily evaluations'!$B$2:$B$36,"=random_10",'Daily evaluations'!$C$2:$C$36,"=d20261207"),"")</f>
      </c>
      <c r="BE26" s="8">
        <f>IF((0=1),SUMIFS('Daily evaluations'!$D$2:$D$36,'Daily evaluations'!$B$2:$B$36,"=random_10",'Daily evaluations'!$C$2:$C$36,"=d20261208"),"")</f>
      </c>
      <c r="BF26" s="8">
        <f>IF((0=1),SUMIFS('Daily evaluations'!$D$2:$D$36,'Daily evaluations'!$B$2:$B$36,"=random_10",'Daily evaluations'!$C$2:$C$36,"=d20261209"),"")</f>
      </c>
      <c r="BG26" s="8">
        <f>IF((0=1),SUMIFS('Daily evaluations'!$D$2:$D$36,'Daily evaluations'!$B$2:$B$36,"=random_10",'Daily evaluations'!$C$2:$C$36,"=d20261210"),"")</f>
      </c>
      <c r="BH26" s="8">
        <f>IF((0=1),SUMIFS('Daily evaluations'!$D$2:$D$36,'Daily evaluations'!$B$2:$B$36,"=random_10",'Daily evaluations'!$C$2:$C$36,"=d20261211"),"")</f>
      </c>
      <c r="BI26" s="8">
        <f>IF((0=1),SUMIFS('Daily evaluations'!$D$2:$D$36,'Daily evaluations'!$B$2:$B$36,"=random_10",'Daily evaluations'!$C$2:$C$36,"=d20261214"),"")</f>
      </c>
      <c r="BJ26" s="8">
        <f>IF((0=1),SUMIFS('Daily evaluations'!$D$2:$D$36,'Daily evaluations'!$B$2:$B$36,"=random_10",'Daily evaluations'!$C$2:$C$36,"=d20261215"),"")</f>
      </c>
      <c r="BK26" s="8">
        <f>IF((0=1),SUMIFS('Daily evaluations'!$D$2:$D$36,'Daily evaluations'!$B$2:$B$36,"=random_10",'Daily evaluations'!$C$2:$C$36,"=d20261216"),"")</f>
      </c>
      <c r="BL26" s="8">
        <f>IF((0=1),SUMIFS('Daily evaluations'!$D$2:$D$36,'Daily evaluations'!$B$2:$B$36,"=random_10",'Daily evaluations'!$C$2:$C$36,"=d20261217"),"")</f>
      </c>
      <c r="BM26" s="8">
        <f>IF((0=1),SUMIFS('Daily evaluations'!$D$2:$D$36,'Daily evaluations'!$B$2:$B$36,"=random_10",'Daily evaluations'!$C$2:$C$36,"=d20261218"),"")</f>
      </c>
      <c r="BN26" s="8">
        <f>IF((0=1),SUMIFS('Daily evaluations'!$D$2:$D$36,'Daily evaluations'!$B$2:$B$36,"=random_10",'Daily evaluations'!$C$2:$C$36,"=d20261221"),"")</f>
      </c>
      <c r="BO26" s="8">
        <f>IF((0=1),SUMIFS('Daily evaluations'!$D$2:$D$36,'Daily evaluations'!$B$2:$B$36,"=random_10",'Daily evaluations'!$C$2:$C$36,"=d20261222"),"")</f>
      </c>
      <c r="BP26" s="8">
        <f>IF((0=1),SUMIFS('Daily evaluations'!$D$2:$D$36,'Daily evaluations'!$B$2:$B$36,"=random_10",'Daily evaluations'!$C$2:$C$36,"=d20261223"),"")</f>
      </c>
      <c r="BQ26" s="8">
        <f>IF((0=1),SUMIFS('Daily evaluations'!$D$2:$D$36,'Daily evaluations'!$B$2:$B$36,"=random_10",'Daily evaluations'!$C$2:$C$36,"=d20261224"),"")</f>
      </c>
      <c r="BR26" s="8">
        <f>IF((0=1),SUMIFS('Daily evaluations'!$D$2:$D$36,'Daily evaluations'!$B$2:$B$36,"=random_10",'Daily evaluations'!$C$2:$C$36,"=d20261228"),"")</f>
      </c>
      <c r="BS26" s="8">
        <f>IF((0=1),SUMIFS('Daily evaluations'!$D$2:$D$36,'Daily evaluations'!$B$2:$B$36,"=random_10",'Daily evaluations'!$C$2:$C$36,"=d20261229"),"")</f>
      </c>
      <c r="BT26" s="8">
        <f>IF((0=1),SUMIFS('Daily evaluations'!$D$2:$D$36,'Daily evaluations'!$B$2:$B$36,"=random_10",'Daily evaluations'!$C$2:$C$36,"=d20261230"),"")</f>
      </c>
      <c r="BU26" s="8">
        <f>IF((0=1),SUMIFS('Daily evaluations'!$D$2:$D$36,'Daily evaluations'!$B$2:$B$36,"=random_10",'Daily evaluations'!$C$2:$C$36,"=d20261231"),"")</f>
      </c>
      <c r="BV26" s="8">
        <f>IF((0=1),SUMIFS('Daily evaluations'!$D$2:$D$36,'Daily evaluations'!$B$2:$B$36,"=random_10",'Daily evaluations'!$C$2:$C$36,"=d20270104"),"")</f>
      </c>
      <c r="BW26" s="8">
        <f>IF((0=1),SUMIFS('Daily evaluations'!$D$2:$D$36,'Daily evaluations'!$B$2:$B$36,"=random_10",'Daily evaluations'!$C$2:$C$36,"=d20270105"),"")</f>
      </c>
      <c r="BX26" s="8">
        <f>IF((0=1),SUMIFS('Daily evaluations'!$D$2:$D$36,'Daily evaluations'!$B$2:$B$36,"=random_10",'Daily evaluations'!$C$2:$C$36,"=d20270106"),"")</f>
      </c>
      <c r="BY26" s="8">
        <f>IF((0=1),SUMIFS('Daily evaluations'!$D$2:$D$36,'Daily evaluations'!$B$2:$B$36,"=random_10",'Daily evaluations'!$C$2:$C$36,"=d20270107"),"")</f>
      </c>
      <c r="BZ26" s="8">
        <f>IF((0=1),SUMIFS('Daily evaluations'!$D$2:$D$36,'Daily evaluations'!$B$2:$B$36,"=random_10",'Daily evaluations'!$C$2:$C$36,"=d20270108"),"")</f>
      </c>
      <c r="CA26" s="8">
        <f>IF((0=1),SUMIFS('Daily evaluations'!$D$2:$D$36,'Daily evaluations'!$B$2:$B$36,"=random_10",'Daily evaluations'!$C$2:$C$36,"=d20270111"),"")</f>
      </c>
      <c r="CB26" s="8">
        <f>IF((0=1),SUMIFS('Daily evaluations'!$D$2:$D$36,'Daily evaluations'!$B$2:$B$36,"=random_10",'Daily evaluations'!$C$2:$C$36,"=d20270112"),"")</f>
      </c>
      <c r="CC26" s="8">
        <f>IF((0=1),SUMIFS('Daily evaluations'!$D$2:$D$36,'Daily evaluations'!$B$2:$B$36,"=random_10",'Daily evaluations'!$C$2:$C$36,"=d20270113"),"")</f>
      </c>
      <c r="CD26" s="8">
        <f>IF((0=1),SUMIFS('Daily evaluations'!$D$2:$D$36,'Daily evaluations'!$B$2:$B$36,"=random_10",'Daily evaluations'!$C$2:$C$36,"=d20270114"),"")</f>
      </c>
      <c r="CE26" s="8">
        <f>IF((0=1),SUMIFS('Daily evaluations'!$D$2:$D$36,'Daily evaluations'!$B$2:$B$36,"=random_10",'Daily evaluations'!$C$2:$C$36,"=d20270115"),"")</f>
      </c>
      <c r="CF26" s="8">
        <f>IF((0=1),SUMIFS('Daily evaluations'!$D$2:$D$36,'Daily evaluations'!$B$2:$B$36,"=random_10",'Daily evaluations'!$C$2:$C$36,"=d20270119"),"")</f>
      </c>
      <c r="CG26" s="8">
        <f>IF((0=1),SUMIFS('Daily evaluations'!$D$2:$D$36,'Daily evaluations'!$B$2:$B$36,"=random_10",'Daily evaluations'!$C$2:$C$36,"=d20270120"),"")</f>
      </c>
      <c r="CH26" s="8">
        <f>IF((0=1),SUMIFS('Daily evaluations'!$D$2:$D$36,'Daily evaluations'!$B$2:$B$36,"=random_10",'Daily evaluations'!$C$2:$C$36,"=d20270121"),"")</f>
      </c>
      <c r="CI26" s="8">
        <f>IF((0=1),SUMIFS('Daily evaluations'!$D$2:$D$36,'Daily evaluations'!$B$2:$B$36,"=random_10",'Daily evaluations'!$C$2:$C$36,"=d20270122"),"")</f>
      </c>
      <c r="CJ26" s="8">
        <f>IF((0=1),SUMIFS('Daily evaluations'!$D$2:$D$36,'Daily evaluations'!$B$2:$B$36,"=random_10",'Daily evaluations'!$C$2:$C$36,"=d20270125"),"")</f>
      </c>
      <c r="CK26" s="8">
        <f>IF((0=1),SUMIFS('Daily evaluations'!$D$2:$D$36,'Daily evaluations'!$B$2:$B$36,"=random_10",'Daily evaluations'!$C$2:$C$36,"=d20270126"),"")</f>
      </c>
      <c r="CL26" s="8">
        <f>IF((0=1),SUMIFS('Daily evaluations'!$D$2:$D$36,'Daily evaluations'!$B$2:$B$36,"=random_10",'Daily evaluations'!$C$2:$C$36,"=d20270127"),"")</f>
      </c>
      <c r="CM26" s="8">
        <f>IF((0=1),SUMIFS('Daily evaluations'!$D$2:$D$36,'Daily evaluations'!$B$2:$B$36,"=random_10",'Daily evaluations'!$C$2:$C$36,"=d20270128"),"")</f>
      </c>
      <c r="CN26" s="8">
        <f>IF((0=1),SUMIFS('Daily evaluations'!$D$2:$D$36,'Daily evaluations'!$B$2:$B$36,"=random_10",'Daily evaluations'!$C$2:$C$36,"=d20270129"),"")</f>
      </c>
      <c r="CO26" s="8">
        <f>IF((0=1),SUMIFS('Daily evaluations'!$D$2:$D$36,'Daily evaluations'!$B$2:$B$36,"=random_10",'Daily evaluations'!$C$2:$C$36,"=d20270201"),"")</f>
      </c>
      <c r="CP26" s="8">
        <f>IF((0=1),SUMIFS('Daily evaluations'!$D$2:$D$36,'Daily evaluations'!$B$2:$B$36,"=random_10",'Daily evaluations'!$C$2:$C$36,"=d20270202"),"")</f>
      </c>
      <c r="CQ26" s="8">
        <f>IF((0=1),SUMIFS('Daily evaluations'!$D$2:$D$36,'Daily evaluations'!$B$2:$B$36,"=random_10",'Daily evaluations'!$C$2:$C$36,"=d20270203"),"")</f>
      </c>
      <c r="CR26" s="8">
        <f>IF((0=1),SUMIFS('Daily evaluations'!$D$2:$D$36,'Daily evaluations'!$B$2:$B$36,"=random_10",'Daily evaluations'!$C$2:$C$36,"=d20270204"),"")</f>
      </c>
      <c r="CS26" s="8">
        <f>IF((0=1),SUMIFS('Daily evaluations'!$D$2:$D$36,'Daily evaluations'!$B$2:$B$36,"=random_10",'Daily evaluations'!$C$2:$C$36,"=d20270205"),"")</f>
      </c>
      <c r="CT26" s="8">
        <f>IF((0=1),SUMIFS('Daily evaluations'!$D$2:$D$36,'Daily evaluations'!$B$2:$B$36,"=random_10",'Daily evaluations'!$C$2:$C$36,"=d20270208"),"")</f>
      </c>
      <c r="CU26" s="8">
        <f>IF((0=1),SUMIFS('Daily evaluations'!$D$2:$D$36,'Daily evaluations'!$B$2:$B$36,"=random_10",'Daily evaluations'!$C$2:$C$36,"=d20270209"),"")</f>
      </c>
      <c r="CV26" s="8">
        <f>IF((0=1),SUMIFS('Daily evaluations'!$D$2:$D$36,'Daily evaluations'!$B$2:$B$36,"=random_10",'Daily evaluations'!$C$2:$C$36,"=d20270210"),"")</f>
      </c>
      <c r="CW26" s="8">
        <f>IF((0=1),SUMIFS('Daily evaluations'!$D$2:$D$36,'Daily evaluations'!$B$2:$B$36,"=random_10",'Daily evaluations'!$C$2:$C$36,"=d20270211"),"")</f>
      </c>
      <c r="CX26" s="8">
        <f>IF((0=1),SUMIFS('Daily evaluations'!$D$2:$D$36,'Daily evaluations'!$B$2:$B$36,"=random_10",'Daily evaluations'!$C$2:$C$36,"=d20270212"),"")</f>
      </c>
    </row>
    <row r="27">
      <c r="A27" s="0" t="inlineStr">
        <is>
          <t xml:space="preserve">Sector-neutral overnight excess, bps</t>
        </is>
      </c>
      <c r="B27" s="0" t="inlineStr">
        <is>
          <t xml:space="preserve">Random 11</t>
        </is>
      </c>
      <c r="C27" s="8">
        <f>IF((1=1),SUMIFS('Daily evaluations'!$D$2:$D$36,'Daily evaluations'!$B$2:$B$36,"=random_11",'Daily evaluations'!$C$2:$C$36,"=d20260922"),"")</f>
        <v>13.888</v>
      </c>
      <c r="D27" s="8">
        <f>IF((0=1),SUMIFS('Daily evaluations'!$D$2:$D$36,'Daily evaluations'!$B$2:$B$36,"=random_11",'Daily evaluations'!$C$2:$C$36,"=d20260923"),"")</f>
      </c>
      <c r="E27" s="8">
        <f>IF((0=1),SUMIFS('Daily evaluations'!$D$2:$D$36,'Daily evaluations'!$B$2:$B$36,"=random_11",'Daily evaluations'!$C$2:$C$36,"=d20260924"),"")</f>
      </c>
      <c r="F27" s="8">
        <f>IF((0=1),SUMIFS('Daily evaluations'!$D$2:$D$36,'Daily evaluations'!$B$2:$B$36,"=random_11",'Daily evaluations'!$C$2:$C$36,"=d20260925"),"")</f>
      </c>
      <c r="G27" s="8">
        <f>IF((0=1),SUMIFS('Daily evaluations'!$D$2:$D$36,'Daily evaluations'!$B$2:$B$36,"=random_11",'Daily evaluations'!$C$2:$C$36,"=d20260928"),"")</f>
      </c>
      <c r="H27" s="8">
        <f>IF((0=1),SUMIFS('Daily evaluations'!$D$2:$D$36,'Daily evaluations'!$B$2:$B$36,"=random_11",'Daily evaluations'!$C$2:$C$36,"=d20260929"),"")</f>
      </c>
      <c r="I27" s="8">
        <f>IF((0=1),SUMIFS('Daily evaluations'!$D$2:$D$36,'Daily evaluations'!$B$2:$B$36,"=random_11",'Daily evaluations'!$C$2:$C$36,"=d20260930"),"")</f>
      </c>
      <c r="J27" s="8">
        <f>IF((0=1),SUMIFS('Daily evaluations'!$D$2:$D$36,'Daily evaluations'!$B$2:$B$36,"=random_11",'Daily evaluations'!$C$2:$C$36,"=d20261001"),"")</f>
      </c>
      <c r="K27" s="8">
        <f>IF((0=1),SUMIFS('Daily evaluations'!$D$2:$D$36,'Daily evaluations'!$B$2:$B$36,"=random_11",'Daily evaluations'!$C$2:$C$36,"=d20261002"),"")</f>
      </c>
      <c r="L27" s="8">
        <f>IF((0=1),SUMIFS('Daily evaluations'!$D$2:$D$36,'Daily evaluations'!$B$2:$B$36,"=random_11",'Daily evaluations'!$C$2:$C$36,"=d20261005"),"")</f>
      </c>
      <c r="M27" s="8">
        <f>IF((0=1),SUMIFS('Daily evaluations'!$D$2:$D$36,'Daily evaluations'!$B$2:$B$36,"=random_11",'Daily evaluations'!$C$2:$C$36,"=d20261006"),"")</f>
      </c>
      <c r="N27" s="8">
        <f>IF((0=1),SUMIFS('Daily evaluations'!$D$2:$D$36,'Daily evaluations'!$B$2:$B$36,"=random_11",'Daily evaluations'!$C$2:$C$36,"=d20261007"),"")</f>
      </c>
      <c r="O27" s="8">
        <f>IF((0=1),SUMIFS('Daily evaluations'!$D$2:$D$36,'Daily evaluations'!$B$2:$B$36,"=random_11",'Daily evaluations'!$C$2:$C$36,"=d20261008"),"")</f>
      </c>
      <c r="P27" s="8">
        <f>IF((0=1),SUMIFS('Daily evaluations'!$D$2:$D$36,'Daily evaluations'!$B$2:$B$36,"=random_11",'Daily evaluations'!$C$2:$C$36,"=d20261009"),"")</f>
      </c>
      <c r="Q27" s="8">
        <f>IF((0=1),SUMIFS('Daily evaluations'!$D$2:$D$36,'Daily evaluations'!$B$2:$B$36,"=random_11",'Daily evaluations'!$C$2:$C$36,"=d20261012"),"")</f>
      </c>
      <c r="R27" s="8">
        <f>IF((0=1),SUMIFS('Daily evaluations'!$D$2:$D$36,'Daily evaluations'!$B$2:$B$36,"=random_11",'Daily evaluations'!$C$2:$C$36,"=d20261013"),"")</f>
      </c>
      <c r="S27" s="8">
        <f>IF((0=1),SUMIFS('Daily evaluations'!$D$2:$D$36,'Daily evaluations'!$B$2:$B$36,"=random_11",'Daily evaluations'!$C$2:$C$36,"=d20261014"),"")</f>
      </c>
      <c r="T27" s="8">
        <f>IF((0=1),SUMIFS('Daily evaluations'!$D$2:$D$36,'Daily evaluations'!$B$2:$B$36,"=random_11",'Daily evaluations'!$C$2:$C$36,"=d20261015"),"")</f>
      </c>
      <c r="U27" s="8">
        <f>IF((0=1),SUMIFS('Daily evaluations'!$D$2:$D$36,'Daily evaluations'!$B$2:$B$36,"=random_11",'Daily evaluations'!$C$2:$C$36,"=d20261016"),"")</f>
      </c>
      <c r="V27" s="8">
        <f>IF((0=1),SUMIFS('Daily evaluations'!$D$2:$D$36,'Daily evaluations'!$B$2:$B$36,"=random_11",'Daily evaluations'!$C$2:$C$36,"=d20261019"),"")</f>
      </c>
      <c r="W27" s="8">
        <f>IF((0=1),SUMIFS('Daily evaluations'!$D$2:$D$36,'Daily evaluations'!$B$2:$B$36,"=random_11",'Daily evaluations'!$C$2:$C$36,"=d20261020"),"")</f>
      </c>
      <c r="X27" s="8">
        <f>IF((0=1),SUMIFS('Daily evaluations'!$D$2:$D$36,'Daily evaluations'!$B$2:$B$36,"=random_11",'Daily evaluations'!$C$2:$C$36,"=d20261021"),"")</f>
      </c>
      <c r="Y27" s="8">
        <f>IF((0=1),SUMIFS('Daily evaluations'!$D$2:$D$36,'Daily evaluations'!$B$2:$B$36,"=random_11",'Daily evaluations'!$C$2:$C$36,"=d20261022"),"")</f>
      </c>
      <c r="Z27" s="8">
        <f>IF((0=1),SUMIFS('Daily evaluations'!$D$2:$D$36,'Daily evaluations'!$B$2:$B$36,"=random_11",'Daily evaluations'!$C$2:$C$36,"=d20261023"),"")</f>
      </c>
      <c r="AA27" s="8">
        <f>IF((0=1),SUMIFS('Daily evaluations'!$D$2:$D$36,'Daily evaluations'!$B$2:$B$36,"=random_11",'Daily evaluations'!$C$2:$C$36,"=d20261026"),"")</f>
      </c>
      <c r="AB27" s="8">
        <f>IF((0=1),SUMIFS('Daily evaluations'!$D$2:$D$36,'Daily evaluations'!$B$2:$B$36,"=random_11",'Daily evaluations'!$C$2:$C$36,"=d20261027"),"")</f>
      </c>
      <c r="AC27" s="8">
        <f>IF((0=1),SUMIFS('Daily evaluations'!$D$2:$D$36,'Daily evaluations'!$B$2:$B$36,"=random_11",'Daily evaluations'!$C$2:$C$36,"=d20261028"),"")</f>
      </c>
      <c r="AD27" s="8">
        <f>IF((0=1),SUMIFS('Daily evaluations'!$D$2:$D$36,'Daily evaluations'!$B$2:$B$36,"=random_11",'Daily evaluations'!$C$2:$C$36,"=d20261029"),"")</f>
      </c>
      <c r="AE27" s="8">
        <f>IF((0=1),SUMIFS('Daily evaluations'!$D$2:$D$36,'Daily evaluations'!$B$2:$B$36,"=random_11",'Daily evaluations'!$C$2:$C$36,"=d20261030"),"")</f>
      </c>
      <c r="AF27" s="8">
        <f>IF((0=1),SUMIFS('Daily evaluations'!$D$2:$D$36,'Daily evaluations'!$B$2:$B$36,"=random_11",'Daily evaluations'!$C$2:$C$36,"=d20261102"),"")</f>
      </c>
      <c r="AG27" s="8">
        <f>IF((0=1),SUMIFS('Daily evaluations'!$D$2:$D$36,'Daily evaluations'!$B$2:$B$36,"=random_11",'Daily evaluations'!$C$2:$C$36,"=d20261103"),"")</f>
      </c>
      <c r="AH27" s="8">
        <f>IF((0=1),SUMIFS('Daily evaluations'!$D$2:$D$36,'Daily evaluations'!$B$2:$B$36,"=random_11",'Daily evaluations'!$C$2:$C$36,"=d20261104"),"")</f>
      </c>
      <c r="AI27" s="8">
        <f>IF((0=1),SUMIFS('Daily evaluations'!$D$2:$D$36,'Daily evaluations'!$B$2:$B$36,"=random_11",'Daily evaluations'!$C$2:$C$36,"=d20261105"),"")</f>
      </c>
      <c r="AJ27" s="8">
        <f>IF((0=1),SUMIFS('Daily evaluations'!$D$2:$D$36,'Daily evaluations'!$B$2:$B$36,"=random_11",'Daily evaluations'!$C$2:$C$36,"=d20261106"),"")</f>
      </c>
      <c r="AK27" s="8">
        <f>IF((0=1),SUMIFS('Daily evaluations'!$D$2:$D$36,'Daily evaluations'!$B$2:$B$36,"=random_11",'Daily evaluations'!$C$2:$C$36,"=d20261109"),"")</f>
      </c>
      <c r="AL27" s="8">
        <f>IF((0=1),SUMIFS('Daily evaluations'!$D$2:$D$36,'Daily evaluations'!$B$2:$B$36,"=random_11",'Daily evaluations'!$C$2:$C$36,"=d20261110"),"")</f>
      </c>
      <c r="AM27" s="8">
        <f>IF((0=1),SUMIFS('Daily evaluations'!$D$2:$D$36,'Daily evaluations'!$B$2:$B$36,"=random_11",'Daily evaluations'!$C$2:$C$36,"=d20261111"),"")</f>
      </c>
      <c r="AN27" s="8">
        <f>IF((0=1),SUMIFS('Daily evaluations'!$D$2:$D$36,'Daily evaluations'!$B$2:$B$36,"=random_11",'Daily evaluations'!$C$2:$C$36,"=d20261112"),"")</f>
      </c>
      <c r="AO27" s="8">
        <f>IF((0=1),SUMIFS('Daily evaluations'!$D$2:$D$36,'Daily evaluations'!$B$2:$B$36,"=random_11",'Daily evaluations'!$C$2:$C$36,"=d20261113"),"")</f>
      </c>
      <c r="AP27" s="8">
        <f>IF((0=1),SUMIFS('Daily evaluations'!$D$2:$D$36,'Daily evaluations'!$B$2:$B$36,"=random_11",'Daily evaluations'!$C$2:$C$36,"=d20261116"),"")</f>
      </c>
      <c r="AQ27" s="8">
        <f>IF((0=1),SUMIFS('Daily evaluations'!$D$2:$D$36,'Daily evaluations'!$B$2:$B$36,"=random_11",'Daily evaluations'!$C$2:$C$36,"=d20261117"),"")</f>
      </c>
      <c r="AR27" s="8">
        <f>IF((0=1),SUMIFS('Daily evaluations'!$D$2:$D$36,'Daily evaluations'!$B$2:$B$36,"=random_11",'Daily evaluations'!$C$2:$C$36,"=d20261118"),"")</f>
      </c>
      <c r="AS27" s="8">
        <f>IF((0=1),SUMIFS('Daily evaluations'!$D$2:$D$36,'Daily evaluations'!$B$2:$B$36,"=random_11",'Daily evaluations'!$C$2:$C$36,"=d20261119"),"")</f>
      </c>
      <c r="AT27" s="8">
        <f>IF((0=1),SUMIFS('Daily evaluations'!$D$2:$D$36,'Daily evaluations'!$B$2:$B$36,"=random_11",'Daily evaluations'!$C$2:$C$36,"=d20261120"),"")</f>
      </c>
      <c r="AU27" s="8">
        <f>IF((0=1),SUMIFS('Daily evaluations'!$D$2:$D$36,'Daily evaluations'!$B$2:$B$36,"=random_11",'Daily evaluations'!$C$2:$C$36,"=d20261123"),"")</f>
      </c>
      <c r="AV27" s="8">
        <f>IF((0=1),SUMIFS('Daily evaluations'!$D$2:$D$36,'Daily evaluations'!$B$2:$B$36,"=random_11",'Daily evaluations'!$C$2:$C$36,"=d20261124"),"")</f>
      </c>
      <c r="AW27" s="8">
        <f>IF((0=1),SUMIFS('Daily evaluations'!$D$2:$D$36,'Daily evaluations'!$B$2:$B$36,"=random_11",'Daily evaluations'!$C$2:$C$36,"=d20261125"),"")</f>
      </c>
      <c r="AX27" s="8">
        <f>IF((0=1),SUMIFS('Daily evaluations'!$D$2:$D$36,'Daily evaluations'!$B$2:$B$36,"=random_11",'Daily evaluations'!$C$2:$C$36,"=d20261127"),"")</f>
      </c>
      <c r="AY27" s="8">
        <f>IF((0=1),SUMIFS('Daily evaluations'!$D$2:$D$36,'Daily evaluations'!$B$2:$B$36,"=random_11",'Daily evaluations'!$C$2:$C$36,"=d20261130"),"")</f>
      </c>
      <c r="AZ27" s="8">
        <f>IF((0=1),SUMIFS('Daily evaluations'!$D$2:$D$36,'Daily evaluations'!$B$2:$B$36,"=random_11",'Daily evaluations'!$C$2:$C$36,"=d20261201"),"")</f>
      </c>
      <c r="BA27" s="8">
        <f>IF((0=1),SUMIFS('Daily evaluations'!$D$2:$D$36,'Daily evaluations'!$B$2:$B$36,"=random_11",'Daily evaluations'!$C$2:$C$36,"=d20261202"),"")</f>
      </c>
      <c r="BB27" s="8">
        <f>IF((0=1),SUMIFS('Daily evaluations'!$D$2:$D$36,'Daily evaluations'!$B$2:$B$36,"=random_11",'Daily evaluations'!$C$2:$C$36,"=d20261203"),"")</f>
      </c>
      <c r="BC27" s="8">
        <f>IF((0=1),SUMIFS('Daily evaluations'!$D$2:$D$36,'Daily evaluations'!$B$2:$B$36,"=random_11",'Daily evaluations'!$C$2:$C$36,"=d20261204"),"")</f>
      </c>
      <c r="BD27" s="8">
        <f>IF((0=1),SUMIFS('Daily evaluations'!$D$2:$D$36,'Daily evaluations'!$B$2:$B$36,"=random_11",'Daily evaluations'!$C$2:$C$36,"=d20261207"),"")</f>
      </c>
      <c r="BE27" s="8">
        <f>IF((0=1),SUMIFS('Daily evaluations'!$D$2:$D$36,'Daily evaluations'!$B$2:$B$36,"=random_11",'Daily evaluations'!$C$2:$C$36,"=d20261208"),"")</f>
      </c>
      <c r="BF27" s="8">
        <f>IF((0=1),SUMIFS('Daily evaluations'!$D$2:$D$36,'Daily evaluations'!$B$2:$B$36,"=random_11",'Daily evaluations'!$C$2:$C$36,"=d20261209"),"")</f>
      </c>
      <c r="BG27" s="8">
        <f>IF((0=1),SUMIFS('Daily evaluations'!$D$2:$D$36,'Daily evaluations'!$B$2:$B$36,"=random_11",'Daily evaluations'!$C$2:$C$36,"=d20261210"),"")</f>
      </c>
      <c r="BH27" s="8">
        <f>IF((0=1),SUMIFS('Daily evaluations'!$D$2:$D$36,'Daily evaluations'!$B$2:$B$36,"=random_11",'Daily evaluations'!$C$2:$C$36,"=d20261211"),"")</f>
      </c>
      <c r="BI27" s="8">
        <f>IF((0=1),SUMIFS('Daily evaluations'!$D$2:$D$36,'Daily evaluations'!$B$2:$B$36,"=random_11",'Daily evaluations'!$C$2:$C$36,"=d20261214"),"")</f>
      </c>
      <c r="BJ27" s="8">
        <f>IF((0=1),SUMIFS('Daily evaluations'!$D$2:$D$36,'Daily evaluations'!$B$2:$B$36,"=random_11",'Daily evaluations'!$C$2:$C$36,"=d20261215"),"")</f>
      </c>
      <c r="BK27" s="8">
        <f>IF((0=1),SUMIFS('Daily evaluations'!$D$2:$D$36,'Daily evaluations'!$B$2:$B$36,"=random_11",'Daily evaluations'!$C$2:$C$36,"=d20261216"),"")</f>
      </c>
      <c r="BL27" s="8">
        <f>IF((0=1),SUMIFS('Daily evaluations'!$D$2:$D$36,'Daily evaluations'!$B$2:$B$36,"=random_11",'Daily evaluations'!$C$2:$C$36,"=d20261217"),"")</f>
      </c>
      <c r="BM27" s="8">
        <f>IF((0=1),SUMIFS('Daily evaluations'!$D$2:$D$36,'Daily evaluations'!$B$2:$B$36,"=random_11",'Daily evaluations'!$C$2:$C$36,"=d20261218"),"")</f>
      </c>
      <c r="BN27" s="8">
        <f>IF((0=1),SUMIFS('Daily evaluations'!$D$2:$D$36,'Daily evaluations'!$B$2:$B$36,"=random_11",'Daily evaluations'!$C$2:$C$36,"=d20261221"),"")</f>
      </c>
      <c r="BO27" s="8">
        <f>IF((0=1),SUMIFS('Daily evaluations'!$D$2:$D$36,'Daily evaluations'!$B$2:$B$36,"=random_11",'Daily evaluations'!$C$2:$C$36,"=d20261222"),"")</f>
      </c>
      <c r="BP27" s="8">
        <f>IF((0=1),SUMIFS('Daily evaluations'!$D$2:$D$36,'Daily evaluations'!$B$2:$B$36,"=random_11",'Daily evaluations'!$C$2:$C$36,"=d20261223"),"")</f>
      </c>
      <c r="BQ27" s="8">
        <f>IF((0=1),SUMIFS('Daily evaluations'!$D$2:$D$36,'Daily evaluations'!$B$2:$B$36,"=random_11",'Daily evaluations'!$C$2:$C$36,"=d20261224"),"")</f>
      </c>
      <c r="BR27" s="8">
        <f>IF((0=1),SUMIFS('Daily evaluations'!$D$2:$D$36,'Daily evaluations'!$B$2:$B$36,"=random_11",'Daily evaluations'!$C$2:$C$36,"=d20261228"),"")</f>
      </c>
      <c r="BS27" s="8">
        <f>IF((0=1),SUMIFS('Daily evaluations'!$D$2:$D$36,'Daily evaluations'!$B$2:$B$36,"=random_11",'Daily evaluations'!$C$2:$C$36,"=d20261229"),"")</f>
      </c>
      <c r="BT27" s="8">
        <f>IF((0=1),SUMIFS('Daily evaluations'!$D$2:$D$36,'Daily evaluations'!$B$2:$B$36,"=random_11",'Daily evaluations'!$C$2:$C$36,"=d20261230"),"")</f>
      </c>
      <c r="BU27" s="8">
        <f>IF((0=1),SUMIFS('Daily evaluations'!$D$2:$D$36,'Daily evaluations'!$B$2:$B$36,"=random_11",'Daily evaluations'!$C$2:$C$36,"=d20261231"),"")</f>
      </c>
      <c r="BV27" s="8">
        <f>IF((0=1),SUMIFS('Daily evaluations'!$D$2:$D$36,'Daily evaluations'!$B$2:$B$36,"=random_11",'Daily evaluations'!$C$2:$C$36,"=d20270104"),"")</f>
      </c>
      <c r="BW27" s="8">
        <f>IF((0=1),SUMIFS('Daily evaluations'!$D$2:$D$36,'Daily evaluations'!$B$2:$B$36,"=random_11",'Daily evaluations'!$C$2:$C$36,"=d20270105"),"")</f>
      </c>
      <c r="BX27" s="8">
        <f>IF((0=1),SUMIFS('Daily evaluations'!$D$2:$D$36,'Daily evaluations'!$B$2:$B$36,"=random_11",'Daily evaluations'!$C$2:$C$36,"=d20270106"),"")</f>
      </c>
      <c r="BY27" s="8">
        <f>IF((0=1),SUMIFS('Daily evaluations'!$D$2:$D$36,'Daily evaluations'!$B$2:$B$36,"=random_11",'Daily evaluations'!$C$2:$C$36,"=d20270107"),"")</f>
      </c>
      <c r="BZ27" s="8">
        <f>IF((0=1),SUMIFS('Daily evaluations'!$D$2:$D$36,'Daily evaluations'!$B$2:$B$36,"=random_11",'Daily evaluations'!$C$2:$C$36,"=d20270108"),"")</f>
      </c>
      <c r="CA27" s="8">
        <f>IF((0=1),SUMIFS('Daily evaluations'!$D$2:$D$36,'Daily evaluations'!$B$2:$B$36,"=random_11",'Daily evaluations'!$C$2:$C$36,"=d20270111"),"")</f>
      </c>
      <c r="CB27" s="8">
        <f>IF((0=1),SUMIFS('Daily evaluations'!$D$2:$D$36,'Daily evaluations'!$B$2:$B$36,"=random_11",'Daily evaluations'!$C$2:$C$36,"=d20270112"),"")</f>
      </c>
      <c r="CC27" s="8">
        <f>IF((0=1),SUMIFS('Daily evaluations'!$D$2:$D$36,'Daily evaluations'!$B$2:$B$36,"=random_11",'Daily evaluations'!$C$2:$C$36,"=d20270113"),"")</f>
      </c>
      <c r="CD27" s="8">
        <f>IF((0=1),SUMIFS('Daily evaluations'!$D$2:$D$36,'Daily evaluations'!$B$2:$B$36,"=random_11",'Daily evaluations'!$C$2:$C$36,"=d20270114"),"")</f>
      </c>
      <c r="CE27" s="8">
        <f>IF((0=1),SUMIFS('Daily evaluations'!$D$2:$D$36,'Daily evaluations'!$B$2:$B$36,"=random_11",'Daily evaluations'!$C$2:$C$36,"=d20270115"),"")</f>
      </c>
      <c r="CF27" s="8">
        <f>IF((0=1),SUMIFS('Daily evaluations'!$D$2:$D$36,'Daily evaluations'!$B$2:$B$36,"=random_11",'Daily evaluations'!$C$2:$C$36,"=d20270119"),"")</f>
      </c>
      <c r="CG27" s="8">
        <f>IF((0=1),SUMIFS('Daily evaluations'!$D$2:$D$36,'Daily evaluations'!$B$2:$B$36,"=random_11",'Daily evaluations'!$C$2:$C$36,"=d20270120"),"")</f>
      </c>
      <c r="CH27" s="8">
        <f>IF((0=1),SUMIFS('Daily evaluations'!$D$2:$D$36,'Daily evaluations'!$B$2:$B$36,"=random_11",'Daily evaluations'!$C$2:$C$36,"=d20270121"),"")</f>
      </c>
      <c r="CI27" s="8">
        <f>IF((0=1),SUMIFS('Daily evaluations'!$D$2:$D$36,'Daily evaluations'!$B$2:$B$36,"=random_11",'Daily evaluations'!$C$2:$C$36,"=d20270122"),"")</f>
      </c>
      <c r="CJ27" s="8">
        <f>IF((0=1),SUMIFS('Daily evaluations'!$D$2:$D$36,'Daily evaluations'!$B$2:$B$36,"=random_11",'Daily evaluations'!$C$2:$C$36,"=d20270125"),"")</f>
      </c>
      <c r="CK27" s="8">
        <f>IF((0=1),SUMIFS('Daily evaluations'!$D$2:$D$36,'Daily evaluations'!$B$2:$B$36,"=random_11",'Daily evaluations'!$C$2:$C$36,"=d20270126"),"")</f>
      </c>
      <c r="CL27" s="8">
        <f>IF((0=1),SUMIFS('Daily evaluations'!$D$2:$D$36,'Daily evaluations'!$B$2:$B$36,"=random_11",'Daily evaluations'!$C$2:$C$36,"=d20270127"),"")</f>
      </c>
      <c r="CM27" s="8">
        <f>IF((0=1),SUMIFS('Daily evaluations'!$D$2:$D$36,'Daily evaluations'!$B$2:$B$36,"=random_11",'Daily evaluations'!$C$2:$C$36,"=d20270128"),"")</f>
      </c>
      <c r="CN27" s="8">
        <f>IF((0=1),SUMIFS('Daily evaluations'!$D$2:$D$36,'Daily evaluations'!$B$2:$B$36,"=random_11",'Daily evaluations'!$C$2:$C$36,"=d20270129"),"")</f>
      </c>
      <c r="CO27" s="8">
        <f>IF((0=1),SUMIFS('Daily evaluations'!$D$2:$D$36,'Daily evaluations'!$B$2:$B$36,"=random_11",'Daily evaluations'!$C$2:$C$36,"=d20270201"),"")</f>
      </c>
      <c r="CP27" s="8">
        <f>IF((0=1),SUMIFS('Daily evaluations'!$D$2:$D$36,'Daily evaluations'!$B$2:$B$36,"=random_11",'Daily evaluations'!$C$2:$C$36,"=d20270202"),"")</f>
      </c>
      <c r="CQ27" s="8">
        <f>IF((0=1),SUMIFS('Daily evaluations'!$D$2:$D$36,'Daily evaluations'!$B$2:$B$36,"=random_11",'Daily evaluations'!$C$2:$C$36,"=d20270203"),"")</f>
      </c>
      <c r="CR27" s="8">
        <f>IF((0=1),SUMIFS('Daily evaluations'!$D$2:$D$36,'Daily evaluations'!$B$2:$B$36,"=random_11",'Daily evaluations'!$C$2:$C$36,"=d20270204"),"")</f>
      </c>
      <c r="CS27" s="8">
        <f>IF((0=1),SUMIFS('Daily evaluations'!$D$2:$D$36,'Daily evaluations'!$B$2:$B$36,"=random_11",'Daily evaluations'!$C$2:$C$36,"=d20270205"),"")</f>
      </c>
      <c r="CT27" s="8">
        <f>IF((0=1),SUMIFS('Daily evaluations'!$D$2:$D$36,'Daily evaluations'!$B$2:$B$36,"=random_11",'Daily evaluations'!$C$2:$C$36,"=d20270208"),"")</f>
      </c>
      <c r="CU27" s="8">
        <f>IF((0=1),SUMIFS('Daily evaluations'!$D$2:$D$36,'Daily evaluations'!$B$2:$B$36,"=random_11",'Daily evaluations'!$C$2:$C$36,"=d20270209"),"")</f>
      </c>
      <c r="CV27" s="8">
        <f>IF((0=1),SUMIFS('Daily evaluations'!$D$2:$D$36,'Daily evaluations'!$B$2:$B$36,"=random_11",'Daily evaluations'!$C$2:$C$36,"=d20270210"),"")</f>
      </c>
      <c r="CW27" s="8">
        <f>IF((0=1),SUMIFS('Daily evaluations'!$D$2:$D$36,'Daily evaluations'!$B$2:$B$36,"=random_11",'Daily evaluations'!$C$2:$C$36,"=d20270211"),"")</f>
      </c>
      <c r="CX27" s="8">
        <f>IF((0=1),SUMIFS('Daily evaluations'!$D$2:$D$36,'Daily evaluations'!$B$2:$B$36,"=random_11",'Daily evaluations'!$C$2:$C$36,"=d20270212"),"")</f>
      </c>
    </row>
    <row r="28">
      <c r="A28" s="0" t="inlineStr">
        <is>
          <t xml:space="preserve">Sector-neutral overnight excess, bps</t>
        </is>
      </c>
      <c r="B28" s="0" t="inlineStr">
        <is>
          <t xml:space="preserve">Random 12</t>
        </is>
      </c>
      <c r="C28" s="8">
        <f>IF((1=1),SUMIFS('Daily evaluations'!$D$2:$D$36,'Daily evaluations'!$B$2:$B$36,"=random_12",'Daily evaluations'!$C$2:$C$36,"=d20260922"),"")</f>
        <v>-0.503</v>
      </c>
      <c r="D28" s="8">
        <f>IF((0=1),SUMIFS('Daily evaluations'!$D$2:$D$36,'Daily evaluations'!$B$2:$B$36,"=random_12",'Daily evaluations'!$C$2:$C$36,"=d20260923"),"")</f>
      </c>
      <c r="E28" s="8">
        <f>IF((0=1),SUMIFS('Daily evaluations'!$D$2:$D$36,'Daily evaluations'!$B$2:$B$36,"=random_12",'Daily evaluations'!$C$2:$C$36,"=d20260924"),"")</f>
      </c>
      <c r="F28" s="8">
        <f>IF((0=1),SUMIFS('Daily evaluations'!$D$2:$D$36,'Daily evaluations'!$B$2:$B$36,"=random_12",'Daily evaluations'!$C$2:$C$36,"=d20260925"),"")</f>
      </c>
      <c r="G28" s="8">
        <f>IF((0=1),SUMIFS('Daily evaluations'!$D$2:$D$36,'Daily evaluations'!$B$2:$B$36,"=random_12",'Daily evaluations'!$C$2:$C$36,"=d20260928"),"")</f>
      </c>
      <c r="H28" s="8">
        <f>IF((0=1),SUMIFS('Daily evaluations'!$D$2:$D$36,'Daily evaluations'!$B$2:$B$36,"=random_12",'Daily evaluations'!$C$2:$C$36,"=d20260929"),"")</f>
      </c>
      <c r="I28" s="8">
        <f>IF((0=1),SUMIFS('Daily evaluations'!$D$2:$D$36,'Daily evaluations'!$B$2:$B$36,"=random_12",'Daily evaluations'!$C$2:$C$36,"=d20260930"),"")</f>
      </c>
      <c r="J28" s="8">
        <f>IF((0=1),SUMIFS('Daily evaluations'!$D$2:$D$36,'Daily evaluations'!$B$2:$B$36,"=random_12",'Daily evaluations'!$C$2:$C$36,"=d20261001"),"")</f>
      </c>
      <c r="K28" s="8">
        <f>IF((0=1),SUMIFS('Daily evaluations'!$D$2:$D$36,'Daily evaluations'!$B$2:$B$36,"=random_12",'Daily evaluations'!$C$2:$C$36,"=d20261002"),"")</f>
      </c>
      <c r="L28" s="8">
        <f>IF((0=1),SUMIFS('Daily evaluations'!$D$2:$D$36,'Daily evaluations'!$B$2:$B$36,"=random_12",'Daily evaluations'!$C$2:$C$36,"=d20261005"),"")</f>
      </c>
      <c r="M28" s="8">
        <f>IF((0=1),SUMIFS('Daily evaluations'!$D$2:$D$36,'Daily evaluations'!$B$2:$B$36,"=random_12",'Daily evaluations'!$C$2:$C$36,"=d20261006"),"")</f>
      </c>
      <c r="N28" s="8">
        <f>IF((0=1),SUMIFS('Daily evaluations'!$D$2:$D$36,'Daily evaluations'!$B$2:$B$36,"=random_12",'Daily evaluations'!$C$2:$C$36,"=d20261007"),"")</f>
      </c>
      <c r="O28" s="8">
        <f>IF((0=1),SUMIFS('Daily evaluations'!$D$2:$D$36,'Daily evaluations'!$B$2:$B$36,"=random_12",'Daily evaluations'!$C$2:$C$36,"=d20261008"),"")</f>
      </c>
      <c r="P28" s="8">
        <f>IF((0=1),SUMIFS('Daily evaluations'!$D$2:$D$36,'Daily evaluations'!$B$2:$B$36,"=random_12",'Daily evaluations'!$C$2:$C$36,"=d20261009"),"")</f>
      </c>
      <c r="Q28" s="8">
        <f>IF((0=1),SUMIFS('Daily evaluations'!$D$2:$D$36,'Daily evaluations'!$B$2:$B$36,"=random_12",'Daily evaluations'!$C$2:$C$36,"=d20261012"),"")</f>
      </c>
      <c r="R28" s="8">
        <f>IF((0=1),SUMIFS('Daily evaluations'!$D$2:$D$36,'Daily evaluations'!$B$2:$B$36,"=random_12",'Daily evaluations'!$C$2:$C$36,"=d20261013"),"")</f>
      </c>
      <c r="S28" s="8">
        <f>IF((0=1),SUMIFS('Daily evaluations'!$D$2:$D$36,'Daily evaluations'!$B$2:$B$36,"=random_12",'Daily evaluations'!$C$2:$C$36,"=d20261014"),"")</f>
      </c>
      <c r="T28" s="8">
        <f>IF((0=1),SUMIFS('Daily evaluations'!$D$2:$D$36,'Daily evaluations'!$B$2:$B$36,"=random_12",'Daily evaluations'!$C$2:$C$36,"=d20261015"),"")</f>
      </c>
      <c r="U28" s="8">
        <f>IF((0=1),SUMIFS('Daily evaluations'!$D$2:$D$36,'Daily evaluations'!$B$2:$B$36,"=random_12",'Daily evaluations'!$C$2:$C$36,"=d20261016"),"")</f>
      </c>
      <c r="V28" s="8">
        <f>IF((0=1),SUMIFS('Daily evaluations'!$D$2:$D$36,'Daily evaluations'!$B$2:$B$36,"=random_12",'Daily evaluations'!$C$2:$C$36,"=d20261019"),"")</f>
      </c>
      <c r="W28" s="8">
        <f>IF((0=1),SUMIFS('Daily evaluations'!$D$2:$D$36,'Daily evaluations'!$B$2:$B$36,"=random_12",'Daily evaluations'!$C$2:$C$36,"=d20261020"),"")</f>
      </c>
      <c r="X28" s="8">
        <f>IF((0=1),SUMIFS('Daily evaluations'!$D$2:$D$36,'Daily evaluations'!$B$2:$B$36,"=random_12",'Daily evaluations'!$C$2:$C$36,"=d20261021"),"")</f>
      </c>
      <c r="Y28" s="8">
        <f>IF((0=1),SUMIFS('Daily evaluations'!$D$2:$D$36,'Daily evaluations'!$B$2:$B$36,"=random_12",'Daily evaluations'!$C$2:$C$36,"=d20261022"),"")</f>
      </c>
      <c r="Z28" s="8">
        <f>IF((0=1),SUMIFS('Daily evaluations'!$D$2:$D$36,'Daily evaluations'!$B$2:$B$36,"=random_12",'Daily evaluations'!$C$2:$C$36,"=d20261023"),"")</f>
      </c>
      <c r="AA28" s="8">
        <f>IF((0=1),SUMIFS('Daily evaluations'!$D$2:$D$36,'Daily evaluations'!$B$2:$B$36,"=random_12",'Daily evaluations'!$C$2:$C$36,"=d20261026"),"")</f>
      </c>
      <c r="AB28" s="8">
        <f>IF((0=1),SUMIFS('Daily evaluations'!$D$2:$D$36,'Daily evaluations'!$B$2:$B$36,"=random_12",'Daily evaluations'!$C$2:$C$36,"=d20261027"),"")</f>
      </c>
      <c r="AC28" s="8">
        <f>IF((0=1),SUMIFS('Daily evaluations'!$D$2:$D$36,'Daily evaluations'!$B$2:$B$36,"=random_12",'Daily evaluations'!$C$2:$C$36,"=d20261028"),"")</f>
      </c>
      <c r="AD28" s="8">
        <f>IF((0=1),SUMIFS('Daily evaluations'!$D$2:$D$36,'Daily evaluations'!$B$2:$B$36,"=random_12",'Daily evaluations'!$C$2:$C$36,"=d20261029"),"")</f>
      </c>
      <c r="AE28" s="8">
        <f>IF((0=1),SUMIFS('Daily evaluations'!$D$2:$D$36,'Daily evaluations'!$B$2:$B$36,"=random_12",'Daily evaluations'!$C$2:$C$36,"=d20261030"),"")</f>
      </c>
      <c r="AF28" s="8">
        <f>IF((0=1),SUMIFS('Daily evaluations'!$D$2:$D$36,'Daily evaluations'!$B$2:$B$36,"=random_12",'Daily evaluations'!$C$2:$C$36,"=d20261102"),"")</f>
      </c>
      <c r="AG28" s="8">
        <f>IF((0=1),SUMIFS('Daily evaluations'!$D$2:$D$36,'Daily evaluations'!$B$2:$B$36,"=random_12",'Daily evaluations'!$C$2:$C$36,"=d20261103"),"")</f>
      </c>
      <c r="AH28" s="8">
        <f>IF((0=1),SUMIFS('Daily evaluations'!$D$2:$D$36,'Daily evaluations'!$B$2:$B$36,"=random_12",'Daily evaluations'!$C$2:$C$36,"=d20261104"),"")</f>
      </c>
      <c r="AI28" s="8">
        <f>IF((0=1),SUMIFS('Daily evaluations'!$D$2:$D$36,'Daily evaluations'!$B$2:$B$36,"=random_12",'Daily evaluations'!$C$2:$C$36,"=d20261105"),"")</f>
      </c>
      <c r="AJ28" s="8">
        <f>IF((0=1),SUMIFS('Daily evaluations'!$D$2:$D$36,'Daily evaluations'!$B$2:$B$36,"=random_12",'Daily evaluations'!$C$2:$C$36,"=d20261106"),"")</f>
      </c>
      <c r="AK28" s="8">
        <f>IF((0=1),SUMIFS('Daily evaluations'!$D$2:$D$36,'Daily evaluations'!$B$2:$B$36,"=random_12",'Daily evaluations'!$C$2:$C$36,"=d20261109"),"")</f>
      </c>
      <c r="AL28" s="8">
        <f>IF((0=1),SUMIFS('Daily evaluations'!$D$2:$D$36,'Daily evaluations'!$B$2:$B$36,"=random_12",'Daily evaluations'!$C$2:$C$36,"=d20261110"),"")</f>
      </c>
      <c r="AM28" s="8">
        <f>IF((0=1),SUMIFS('Daily evaluations'!$D$2:$D$36,'Daily evaluations'!$B$2:$B$36,"=random_12",'Daily evaluations'!$C$2:$C$36,"=d20261111"),"")</f>
      </c>
      <c r="AN28" s="8">
        <f>IF((0=1),SUMIFS('Daily evaluations'!$D$2:$D$36,'Daily evaluations'!$B$2:$B$36,"=random_12",'Daily evaluations'!$C$2:$C$36,"=d20261112"),"")</f>
      </c>
      <c r="AO28" s="8">
        <f>IF((0=1),SUMIFS('Daily evaluations'!$D$2:$D$36,'Daily evaluations'!$B$2:$B$36,"=random_12",'Daily evaluations'!$C$2:$C$36,"=d20261113"),"")</f>
      </c>
      <c r="AP28" s="8">
        <f>IF((0=1),SUMIFS('Daily evaluations'!$D$2:$D$36,'Daily evaluations'!$B$2:$B$36,"=random_12",'Daily evaluations'!$C$2:$C$36,"=d20261116"),"")</f>
      </c>
      <c r="AQ28" s="8">
        <f>IF((0=1),SUMIFS('Daily evaluations'!$D$2:$D$36,'Daily evaluations'!$B$2:$B$36,"=random_12",'Daily evaluations'!$C$2:$C$36,"=d20261117"),"")</f>
      </c>
      <c r="AR28" s="8">
        <f>IF((0=1),SUMIFS('Daily evaluations'!$D$2:$D$36,'Daily evaluations'!$B$2:$B$36,"=random_12",'Daily evaluations'!$C$2:$C$36,"=d20261118"),"")</f>
      </c>
      <c r="AS28" s="8">
        <f>IF((0=1),SUMIFS('Daily evaluations'!$D$2:$D$36,'Daily evaluations'!$B$2:$B$36,"=random_12",'Daily evaluations'!$C$2:$C$36,"=d20261119"),"")</f>
      </c>
      <c r="AT28" s="8">
        <f>IF((0=1),SUMIFS('Daily evaluations'!$D$2:$D$36,'Daily evaluations'!$B$2:$B$36,"=random_12",'Daily evaluations'!$C$2:$C$36,"=d20261120"),"")</f>
      </c>
      <c r="AU28" s="8">
        <f>IF((0=1),SUMIFS('Daily evaluations'!$D$2:$D$36,'Daily evaluations'!$B$2:$B$36,"=random_12",'Daily evaluations'!$C$2:$C$36,"=d20261123"),"")</f>
      </c>
      <c r="AV28" s="8">
        <f>IF((0=1),SUMIFS('Daily evaluations'!$D$2:$D$36,'Daily evaluations'!$B$2:$B$36,"=random_12",'Daily evaluations'!$C$2:$C$36,"=d20261124"),"")</f>
      </c>
      <c r="AW28" s="8">
        <f>IF((0=1),SUMIFS('Daily evaluations'!$D$2:$D$36,'Daily evaluations'!$B$2:$B$36,"=random_12",'Daily evaluations'!$C$2:$C$36,"=d20261125"),"")</f>
      </c>
      <c r="AX28" s="8">
        <f>IF((0=1),SUMIFS('Daily evaluations'!$D$2:$D$36,'Daily evaluations'!$B$2:$B$36,"=random_12",'Daily evaluations'!$C$2:$C$36,"=d20261127"),"")</f>
      </c>
      <c r="AY28" s="8">
        <f>IF((0=1),SUMIFS('Daily evaluations'!$D$2:$D$36,'Daily evaluations'!$B$2:$B$36,"=random_12",'Daily evaluations'!$C$2:$C$36,"=d20261130"),"")</f>
      </c>
      <c r="AZ28" s="8">
        <f>IF((0=1),SUMIFS('Daily evaluations'!$D$2:$D$36,'Daily evaluations'!$B$2:$B$36,"=random_12",'Daily evaluations'!$C$2:$C$36,"=d20261201"),"")</f>
      </c>
      <c r="BA28" s="8">
        <f>IF((0=1),SUMIFS('Daily evaluations'!$D$2:$D$36,'Daily evaluations'!$B$2:$B$36,"=random_12",'Daily evaluations'!$C$2:$C$36,"=d20261202"),"")</f>
      </c>
      <c r="BB28" s="8">
        <f>IF((0=1),SUMIFS('Daily evaluations'!$D$2:$D$36,'Daily evaluations'!$B$2:$B$36,"=random_12",'Daily evaluations'!$C$2:$C$36,"=d20261203"),"")</f>
      </c>
      <c r="BC28" s="8">
        <f>IF((0=1),SUMIFS('Daily evaluations'!$D$2:$D$36,'Daily evaluations'!$B$2:$B$36,"=random_12",'Daily evaluations'!$C$2:$C$36,"=d20261204"),"")</f>
      </c>
      <c r="BD28" s="8">
        <f>IF((0=1),SUMIFS('Daily evaluations'!$D$2:$D$36,'Daily evaluations'!$B$2:$B$36,"=random_12",'Daily evaluations'!$C$2:$C$36,"=d20261207"),"")</f>
      </c>
      <c r="BE28" s="8">
        <f>IF((0=1),SUMIFS('Daily evaluations'!$D$2:$D$36,'Daily evaluations'!$B$2:$B$36,"=random_12",'Daily evaluations'!$C$2:$C$36,"=d20261208"),"")</f>
      </c>
      <c r="BF28" s="8">
        <f>IF((0=1),SUMIFS('Daily evaluations'!$D$2:$D$36,'Daily evaluations'!$B$2:$B$36,"=random_12",'Daily evaluations'!$C$2:$C$36,"=d20261209"),"")</f>
      </c>
      <c r="BG28" s="8">
        <f>IF((0=1),SUMIFS('Daily evaluations'!$D$2:$D$36,'Daily evaluations'!$B$2:$B$36,"=random_12",'Daily evaluations'!$C$2:$C$36,"=d20261210"),"")</f>
      </c>
      <c r="BH28" s="8">
        <f>IF((0=1),SUMIFS('Daily evaluations'!$D$2:$D$36,'Daily evaluations'!$B$2:$B$36,"=random_12",'Daily evaluations'!$C$2:$C$36,"=d20261211"),"")</f>
      </c>
      <c r="BI28" s="8">
        <f>IF((0=1),SUMIFS('Daily evaluations'!$D$2:$D$36,'Daily evaluations'!$B$2:$B$36,"=random_12",'Daily evaluations'!$C$2:$C$36,"=d20261214"),"")</f>
      </c>
      <c r="BJ28" s="8">
        <f>IF((0=1),SUMIFS('Daily evaluations'!$D$2:$D$36,'Daily evaluations'!$B$2:$B$36,"=random_12",'Daily evaluations'!$C$2:$C$36,"=d20261215"),"")</f>
      </c>
      <c r="BK28" s="8">
        <f>IF((0=1),SUMIFS('Daily evaluations'!$D$2:$D$36,'Daily evaluations'!$B$2:$B$36,"=random_12",'Daily evaluations'!$C$2:$C$36,"=d20261216"),"")</f>
      </c>
      <c r="BL28" s="8">
        <f>IF((0=1),SUMIFS('Daily evaluations'!$D$2:$D$36,'Daily evaluations'!$B$2:$B$36,"=random_12",'Daily evaluations'!$C$2:$C$36,"=d20261217"),"")</f>
      </c>
      <c r="BM28" s="8">
        <f>IF((0=1),SUMIFS('Daily evaluations'!$D$2:$D$36,'Daily evaluations'!$B$2:$B$36,"=random_12",'Daily evaluations'!$C$2:$C$36,"=d20261218"),"")</f>
      </c>
      <c r="BN28" s="8">
        <f>IF((0=1),SUMIFS('Daily evaluations'!$D$2:$D$36,'Daily evaluations'!$B$2:$B$36,"=random_12",'Daily evaluations'!$C$2:$C$36,"=d20261221"),"")</f>
      </c>
      <c r="BO28" s="8">
        <f>IF((0=1),SUMIFS('Daily evaluations'!$D$2:$D$36,'Daily evaluations'!$B$2:$B$36,"=random_12",'Daily evaluations'!$C$2:$C$36,"=d20261222"),"")</f>
      </c>
      <c r="BP28" s="8">
        <f>IF((0=1),SUMIFS('Daily evaluations'!$D$2:$D$36,'Daily evaluations'!$B$2:$B$36,"=random_12",'Daily evaluations'!$C$2:$C$36,"=d20261223"),"")</f>
      </c>
      <c r="BQ28" s="8">
        <f>IF((0=1),SUMIFS('Daily evaluations'!$D$2:$D$36,'Daily evaluations'!$B$2:$B$36,"=random_12",'Daily evaluations'!$C$2:$C$36,"=d20261224"),"")</f>
      </c>
      <c r="BR28" s="8">
        <f>IF((0=1),SUMIFS('Daily evaluations'!$D$2:$D$36,'Daily evaluations'!$B$2:$B$36,"=random_12",'Daily evaluations'!$C$2:$C$36,"=d20261228"),"")</f>
      </c>
      <c r="BS28" s="8">
        <f>IF((0=1),SUMIFS('Daily evaluations'!$D$2:$D$36,'Daily evaluations'!$B$2:$B$36,"=random_12",'Daily evaluations'!$C$2:$C$36,"=d20261229"),"")</f>
      </c>
      <c r="BT28" s="8">
        <f>IF((0=1),SUMIFS('Daily evaluations'!$D$2:$D$36,'Daily evaluations'!$B$2:$B$36,"=random_12",'Daily evaluations'!$C$2:$C$36,"=d20261230"),"")</f>
      </c>
      <c r="BU28" s="8">
        <f>IF((0=1),SUMIFS('Daily evaluations'!$D$2:$D$36,'Daily evaluations'!$B$2:$B$36,"=random_12",'Daily evaluations'!$C$2:$C$36,"=d20261231"),"")</f>
      </c>
      <c r="BV28" s="8">
        <f>IF((0=1),SUMIFS('Daily evaluations'!$D$2:$D$36,'Daily evaluations'!$B$2:$B$36,"=random_12",'Daily evaluations'!$C$2:$C$36,"=d20270104"),"")</f>
      </c>
      <c r="BW28" s="8">
        <f>IF((0=1),SUMIFS('Daily evaluations'!$D$2:$D$36,'Daily evaluations'!$B$2:$B$36,"=random_12",'Daily evaluations'!$C$2:$C$36,"=d20270105"),"")</f>
      </c>
      <c r="BX28" s="8">
        <f>IF((0=1),SUMIFS('Daily evaluations'!$D$2:$D$36,'Daily evaluations'!$B$2:$B$36,"=random_12",'Daily evaluations'!$C$2:$C$36,"=d20270106"),"")</f>
      </c>
      <c r="BY28" s="8">
        <f>IF((0=1),SUMIFS('Daily evaluations'!$D$2:$D$36,'Daily evaluations'!$B$2:$B$36,"=random_12",'Daily evaluations'!$C$2:$C$36,"=d20270107"),"")</f>
      </c>
      <c r="BZ28" s="8">
        <f>IF((0=1),SUMIFS('Daily evaluations'!$D$2:$D$36,'Daily evaluations'!$B$2:$B$36,"=random_12",'Daily evaluations'!$C$2:$C$36,"=d20270108"),"")</f>
      </c>
      <c r="CA28" s="8">
        <f>IF((0=1),SUMIFS('Daily evaluations'!$D$2:$D$36,'Daily evaluations'!$B$2:$B$36,"=random_12",'Daily evaluations'!$C$2:$C$36,"=d20270111"),"")</f>
      </c>
      <c r="CB28" s="8">
        <f>IF((0=1),SUMIFS('Daily evaluations'!$D$2:$D$36,'Daily evaluations'!$B$2:$B$36,"=random_12",'Daily evaluations'!$C$2:$C$36,"=d20270112"),"")</f>
      </c>
      <c r="CC28" s="8">
        <f>IF((0=1),SUMIFS('Daily evaluations'!$D$2:$D$36,'Daily evaluations'!$B$2:$B$36,"=random_12",'Daily evaluations'!$C$2:$C$36,"=d20270113"),"")</f>
      </c>
      <c r="CD28" s="8">
        <f>IF((0=1),SUMIFS('Daily evaluations'!$D$2:$D$36,'Daily evaluations'!$B$2:$B$36,"=random_12",'Daily evaluations'!$C$2:$C$36,"=d20270114"),"")</f>
      </c>
      <c r="CE28" s="8">
        <f>IF((0=1),SUMIFS('Daily evaluations'!$D$2:$D$36,'Daily evaluations'!$B$2:$B$36,"=random_12",'Daily evaluations'!$C$2:$C$36,"=d20270115"),"")</f>
      </c>
      <c r="CF28" s="8">
        <f>IF((0=1),SUMIFS('Daily evaluations'!$D$2:$D$36,'Daily evaluations'!$B$2:$B$36,"=random_12",'Daily evaluations'!$C$2:$C$36,"=d20270119"),"")</f>
      </c>
      <c r="CG28" s="8">
        <f>IF((0=1),SUMIFS('Daily evaluations'!$D$2:$D$36,'Daily evaluations'!$B$2:$B$36,"=random_12",'Daily evaluations'!$C$2:$C$36,"=d20270120"),"")</f>
      </c>
      <c r="CH28" s="8">
        <f>IF((0=1),SUMIFS('Daily evaluations'!$D$2:$D$36,'Daily evaluations'!$B$2:$B$36,"=random_12",'Daily evaluations'!$C$2:$C$36,"=d20270121"),"")</f>
      </c>
      <c r="CI28" s="8">
        <f>IF((0=1),SUMIFS('Daily evaluations'!$D$2:$D$36,'Daily evaluations'!$B$2:$B$36,"=random_12",'Daily evaluations'!$C$2:$C$36,"=d20270122"),"")</f>
      </c>
      <c r="CJ28" s="8">
        <f>IF((0=1),SUMIFS('Daily evaluations'!$D$2:$D$36,'Daily evaluations'!$B$2:$B$36,"=random_12",'Daily evaluations'!$C$2:$C$36,"=d20270125"),"")</f>
      </c>
      <c r="CK28" s="8">
        <f>IF((0=1),SUMIFS('Daily evaluations'!$D$2:$D$36,'Daily evaluations'!$B$2:$B$36,"=random_12",'Daily evaluations'!$C$2:$C$36,"=d20270126"),"")</f>
      </c>
      <c r="CL28" s="8">
        <f>IF((0=1),SUMIFS('Daily evaluations'!$D$2:$D$36,'Daily evaluations'!$B$2:$B$36,"=random_12",'Daily evaluations'!$C$2:$C$36,"=d20270127"),"")</f>
      </c>
      <c r="CM28" s="8">
        <f>IF((0=1),SUMIFS('Daily evaluations'!$D$2:$D$36,'Daily evaluations'!$B$2:$B$36,"=random_12",'Daily evaluations'!$C$2:$C$36,"=d20270128"),"")</f>
      </c>
      <c r="CN28" s="8">
        <f>IF((0=1),SUMIFS('Daily evaluations'!$D$2:$D$36,'Daily evaluations'!$B$2:$B$36,"=random_12",'Daily evaluations'!$C$2:$C$36,"=d20270129"),"")</f>
      </c>
      <c r="CO28" s="8">
        <f>IF((0=1),SUMIFS('Daily evaluations'!$D$2:$D$36,'Daily evaluations'!$B$2:$B$36,"=random_12",'Daily evaluations'!$C$2:$C$36,"=d20270201"),"")</f>
      </c>
      <c r="CP28" s="8">
        <f>IF((0=1),SUMIFS('Daily evaluations'!$D$2:$D$36,'Daily evaluations'!$B$2:$B$36,"=random_12",'Daily evaluations'!$C$2:$C$36,"=d20270202"),"")</f>
      </c>
      <c r="CQ28" s="8">
        <f>IF((0=1),SUMIFS('Daily evaluations'!$D$2:$D$36,'Daily evaluations'!$B$2:$B$36,"=random_12",'Daily evaluations'!$C$2:$C$36,"=d20270203"),"")</f>
      </c>
      <c r="CR28" s="8">
        <f>IF((0=1),SUMIFS('Daily evaluations'!$D$2:$D$36,'Daily evaluations'!$B$2:$B$36,"=random_12",'Daily evaluations'!$C$2:$C$36,"=d20270204"),"")</f>
      </c>
      <c r="CS28" s="8">
        <f>IF((0=1),SUMIFS('Daily evaluations'!$D$2:$D$36,'Daily evaluations'!$B$2:$B$36,"=random_12",'Daily evaluations'!$C$2:$C$36,"=d20270205"),"")</f>
      </c>
      <c r="CT28" s="8">
        <f>IF((0=1),SUMIFS('Daily evaluations'!$D$2:$D$36,'Daily evaluations'!$B$2:$B$36,"=random_12",'Daily evaluations'!$C$2:$C$36,"=d20270208"),"")</f>
      </c>
      <c r="CU28" s="8">
        <f>IF((0=1),SUMIFS('Daily evaluations'!$D$2:$D$36,'Daily evaluations'!$B$2:$B$36,"=random_12",'Daily evaluations'!$C$2:$C$36,"=d20270209"),"")</f>
      </c>
      <c r="CV28" s="8">
        <f>IF((0=1),SUMIFS('Daily evaluations'!$D$2:$D$36,'Daily evaluations'!$B$2:$B$36,"=random_12",'Daily evaluations'!$C$2:$C$36,"=d20270210"),"")</f>
      </c>
      <c r="CW28" s="8">
        <f>IF((0=1),SUMIFS('Daily evaluations'!$D$2:$D$36,'Daily evaluations'!$B$2:$B$36,"=random_12",'Daily evaluations'!$C$2:$C$36,"=d20270211"),"")</f>
      </c>
      <c r="CX28" s="8">
        <f>IF((0=1),SUMIFS('Daily evaluations'!$D$2:$D$36,'Daily evaluations'!$B$2:$B$36,"=random_12",'Daily evaluations'!$C$2:$C$36,"=d20270212"),"")</f>
      </c>
    </row>
    <row r="29">
      <c r="A29" s="0" t="inlineStr">
        <is>
          <t xml:space="preserve">Sector-neutral overnight excess, bps</t>
        </is>
      </c>
      <c r="B29" s="0" t="inlineStr">
        <is>
          <t xml:space="preserve">Random 13</t>
        </is>
      </c>
      <c r="C29" s="8">
        <f>IF((1=1),SUMIFS('Daily evaluations'!$D$2:$D$36,'Daily evaluations'!$B$2:$B$36,"=random_13",'Daily evaluations'!$C$2:$C$36,"=d20260922"),"")</f>
        <v>-8.316</v>
      </c>
      <c r="D29" s="8">
        <f>IF((0=1),SUMIFS('Daily evaluations'!$D$2:$D$36,'Daily evaluations'!$B$2:$B$36,"=random_13",'Daily evaluations'!$C$2:$C$36,"=d20260923"),"")</f>
      </c>
      <c r="E29" s="8">
        <f>IF((0=1),SUMIFS('Daily evaluations'!$D$2:$D$36,'Daily evaluations'!$B$2:$B$36,"=random_13",'Daily evaluations'!$C$2:$C$36,"=d20260924"),"")</f>
      </c>
      <c r="F29" s="8">
        <f>IF((0=1),SUMIFS('Daily evaluations'!$D$2:$D$36,'Daily evaluations'!$B$2:$B$36,"=random_13",'Daily evaluations'!$C$2:$C$36,"=d20260925"),"")</f>
      </c>
      <c r="G29" s="8">
        <f>IF((0=1),SUMIFS('Daily evaluations'!$D$2:$D$36,'Daily evaluations'!$B$2:$B$36,"=random_13",'Daily evaluations'!$C$2:$C$36,"=d20260928"),"")</f>
      </c>
      <c r="H29" s="8">
        <f>IF((0=1),SUMIFS('Daily evaluations'!$D$2:$D$36,'Daily evaluations'!$B$2:$B$36,"=random_13",'Daily evaluations'!$C$2:$C$36,"=d20260929"),"")</f>
      </c>
      <c r="I29" s="8">
        <f>IF((0=1),SUMIFS('Daily evaluations'!$D$2:$D$36,'Daily evaluations'!$B$2:$B$36,"=random_13",'Daily evaluations'!$C$2:$C$36,"=d20260930"),"")</f>
      </c>
      <c r="J29" s="8">
        <f>IF((0=1),SUMIFS('Daily evaluations'!$D$2:$D$36,'Daily evaluations'!$B$2:$B$36,"=random_13",'Daily evaluations'!$C$2:$C$36,"=d20261001"),"")</f>
      </c>
      <c r="K29" s="8">
        <f>IF((0=1),SUMIFS('Daily evaluations'!$D$2:$D$36,'Daily evaluations'!$B$2:$B$36,"=random_13",'Daily evaluations'!$C$2:$C$36,"=d20261002"),"")</f>
      </c>
      <c r="L29" s="8">
        <f>IF((0=1),SUMIFS('Daily evaluations'!$D$2:$D$36,'Daily evaluations'!$B$2:$B$36,"=random_13",'Daily evaluations'!$C$2:$C$36,"=d20261005"),"")</f>
      </c>
      <c r="M29" s="8">
        <f>IF((0=1),SUMIFS('Daily evaluations'!$D$2:$D$36,'Daily evaluations'!$B$2:$B$36,"=random_13",'Daily evaluations'!$C$2:$C$36,"=d20261006"),"")</f>
      </c>
      <c r="N29" s="8">
        <f>IF((0=1),SUMIFS('Daily evaluations'!$D$2:$D$36,'Daily evaluations'!$B$2:$B$36,"=random_13",'Daily evaluations'!$C$2:$C$36,"=d20261007"),"")</f>
      </c>
      <c r="O29" s="8">
        <f>IF((0=1),SUMIFS('Daily evaluations'!$D$2:$D$36,'Daily evaluations'!$B$2:$B$36,"=random_13",'Daily evaluations'!$C$2:$C$36,"=d20261008"),"")</f>
      </c>
      <c r="P29" s="8">
        <f>IF((0=1),SUMIFS('Daily evaluations'!$D$2:$D$36,'Daily evaluations'!$B$2:$B$36,"=random_13",'Daily evaluations'!$C$2:$C$36,"=d20261009"),"")</f>
      </c>
      <c r="Q29" s="8">
        <f>IF((0=1),SUMIFS('Daily evaluations'!$D$2:$D$36,'Daily evaluations'!$B$2:$B$36,"=random_13",'Daily evaluations'!$C$2:$C$36,"=d20261012"),"")</f>
      </c>
      <c r="R29" s="8">
        <f>IF((0=1),SUMIFS('Daily evaluations'!$D$2:$D$36,'Daily evaluations'!$B$2:$B$36,"=random_13",'Daily evaluations'!$C$2:$C$36,"=d20261013"),"")</f>
      </c>
      <c r="S29" s="8">
        <f>IF((0=1),SUMIFS('Daily evaluations'!$D$2:$D$36,'Daily evaluations'!$B$2:$B$36,"=random_13",'Daily evaluations'!$C$2:$C$36,"=d20261014"),"")</f>
      </c>
      <c r="T29" s="8">
        <f>IF((0=1),SUMIFS('Daily evaluations'!$D$2:$D$36,'Daily evaluations'!$B$2:$B$36,"=random_13",'Daily evaluations'!$C$2:$C$36,"=d20261015"),"")</f>
      </c>
      <c r="U29" s="8">
        <f>IF((0=1),SUMIFS('Daily evaluations'!$D$2:$D$36,'Daily evaluations'!$B$2:$B$36,"=random_13",'Daily evaluations'!$C$2:$C$36,"=d20261016"),"")</f>
      </c>
      <c r="V29" s="8">
        <f>IF((0=1),SUMIFS('Daily evaluations'!$D$2:$D$36,'Daily evaluations'!$B$2:$B$36,"=random_13",'Daily evaluations'!$C$2:$C$36,"=d20261019"),"")</f>
      </c>
      <c r="W29" s="8">
        <f>IF((0=1),SUMIFS('Daily evaluations'!$D$2:$D$36,'Daily evaluations'!$B$2:$B$36,"=random_13",'Daily evaluations'!$C$2:$C$36,"=d20261020"),"")</f>
      </c>
      <c r="X29" s="8">
        <f>IF((0=1),SUMIFS('Daily evaluations'!$D$2:$D$36,'Daily evaluations'!$B$2:$B$36,"=random_13",'Daily evaluations'!$C$2:$C$36,"=d20261021"),"")</f>
      </c>
      <c r="Y29" s="8">
        <f>IF((0=1),SUMIFS('Daily evaluations'!$D$2:$D$36,'Daily evaluations'!$B$2:$B$36,"=random_13",'Daily evaluations'!$C$2:$C$36,"=d20261022"),"")</f>
      </c>
      <c r="Z29" s="8">
        <f>IF((0=1),SUMIFS('Daily evaluations'!$D$2:$D$36,'Daily evaluations'!$B$2:$B$36,"=random_13",'Daily evaluations'!$C$2:$C$36,"=d20261023"),"")</f>
      </c>
      <c r="AA29" s="8">
        <f>IF((0=1),SUMIFS('Daily evaluations'!$D$2:$D$36,'Daily evaluations'!$B$2:$B$36,"=random_13",'Daily evaluations'!$C$2:$C$36,"=d20261026"),"")</f>
      </c>
      <c r="AB29" s="8">
        <f>IF((0=1),SUMIFS('Daily evaluations'!$D$2:$D$36,'Daily evaluations'!$B$2:$B$36,"=random_13",'Daily evaluations'!$C$2:$C$36,"=d20261027"),"")</f>
      </c>
      <c r="AC29" s="8">
        <f>IF((0=1),SUMIFS('Daily evaluations'!$D$2:$D$36,'Daily evaluations'!$B$2:$B$36,"=random_13",'Daily evaluations'!$C$2:$C$36,"=d20261028"),"")</f>
      </c>
      <c r="AD29" s="8">
        <f>IF((0=1),SUMIFS('Daily evaluations'!$D$2:$D$36,'Daily evaluations'!$B$2:$B$36,"=random_13",'Daily evaluations'!$C$2:$C$36,"=d20261029"),"")</f>
      </c>
      <c r="AE29" s="8">
        <f>IF((0=1),SUMIFS('Daily evaluations'!$D$2:$D$36,'Daily evaluations'!$B$2:$B$36,"=random_13",'Daily evaluations'!$C$2:$C$36,"=d20261030"),"")</f>
      </c>
      <c r="AF29" s="8">
        <f>IF((0=1),SUMIFS('Daily evaluations'!$D$2:$D$36,'Daily evaluations'!$B$2:$B$36,"=random_13",'Daily evaluations'!$C$2:$C$36,"=d20261102"),"")</f>
      </c>
      <c r="AG29" s="8">
        <f>IF((0=1),SUMIFS('Daily evaluations'!$D$2:$D$36,'Daily evaluations'!$B$2:$B$36,"=random_13",'Daily evaluations'!$C$2:$C$36,"=d20261103"),"")</f>
      </c>
      <c r="AH29" s="8">
        <f>IF((0=1),SUMIFS('Daily evaluations'!$D$2:$D$36,'Daily evaluations'!$B$2:$B$36,"=random_13",'Daily evaluations'!$C$2:$C$36,"=d20261104"),"")</f>
      </c>
      <c r="AI29" s="8">
        <f>IF((0=1),SUMIFS('Daily evaluations'!$D$2:$D$36,'Daily evaluations'!$B$2:$B$36,"=random_13",'Daily evaluations'!$C$2:$C$36,"=d20261105"),"")</f>
      </c>
      <c r="AJ29" s="8">
        <f>IF((0=1),SUMIFS('Daily evaluations'!$D$2:$D$36,'Daily evaluations'!$B$2:$B$36,"=random_13",'Daily evaluations'!$C$2:$C$36,"=d20261106"),"")</f>
      </c>
      <c r="AK29" s="8">
        <f>IF((0=1),SUMIFS('Daily evaluations'!$D$2:$D$36,'Daily evaluations'!$B$2:$B$36,"=random_13",'Daily evaluations'!$C$2:$C$36,"=d20261109"),"")</f>
      </c>
      <c r="AL29" s="8">
        <f>IF((0=1),SUMIFS('Daily evaluations'!$D$2:$D$36,'Daily evaluations'!$B$2:$B$36,"=random_13",'Daily evaluations'!$C$2:$C$36,"=d20261110"),"")</f>
      </c>
      <c r="AM29" s="8">
        <f>IF((0=1),SUMIFS('Daily evaluations'!$D$2:$D$36,'Daily evaluations'!$B$2:$B$36,"=random_13",'Daily evaluations'!$C$2:$C$36,"=d20261111"),"")</f>
      </c>
      <c r="AN29" s="8">
        <f>IF((0=1),SUMIFS('Daily evaluations'!$D$2:$D$36,'Daily evaluations'!$B$2:$B$36,"=random_13",'Daily evaluations'!$C$2:$C$36,"=d20261112"),"")</f>
      </c>
      <c r="AO29" s="8">
        <f>IF((0=1),SUMIFS('Daily evaluations'!$D$2:$D$36,'Daily evaluations'!$B$2:$B$36,"=random_13",'Daily evaluations'!$C$2:$C$36,"=d20261113"),"")</f>
      </c>
      <c r="AP29" s="8">
        <f>IF((0=1),SUMIFS('Daily evaluations'!$D$2:$D$36,'Daily evaluations'!$B$2:$B$36,"=random_13",'Daily evaluations'!$C$2:$C$36,"=d20261116"),"")</f>
      </c>
      <c r="AQ29" s="8">
        <f>IF((0=1),SUMIFS('Daily evaluations'!$D$2:$D$36,'Daily evaluations'!$B$2:$B$36,"=random_13",'Daily evaluations'!$C$2:$C$36,"=d20261117"),"")</f>
      </c>
      <c r="AR29" s="8">
        <f>IF((0=1),SUMIFS('Daily evaluations'!$D$2:$D$36,'Daily evaluations'!$B$2:$B$36,"=random_13",'Daily evaluations'!$C$2:$C$36,"=d20261118"),"")</f>
      </c>
      <c r="AS29" s="8">
        <f>IF((0=1),SUMIFS('Daily evaluations'!$D$2:$D$36,'Daily evaluations'!$B$2:$B$36,"=random_13",'Daily evaluations'!$C$2:$C$36,"=d20261119"),"")</f>
      </c>
      <c r="AT29" s="8">
        <f>IF((0=1),SUMIFS('Daily evaluations'!$D$2:$D$36,'Daily evaluations'!$B$2:$B$36,"=random_13",'Daily evaluations'!$C$2:$C$36,"=d20261120"),"")</f>
      </c>
      <c r="AU29" s="8">
        <f>IF((0=1),SUMIFS('Daily evaluations'!$D$2:$D$36,'Daily evaluations'!$B$2:$B$36,"=random_13",'Daily evaluations'!$C$2:$C$36,"=d20261123"),"")</f>
      </c>
      <c r="AV29" s="8">
        <f>IF((0=1),SUMIFS('Daily evaluations'!$D$2:$D$36,'Daily evaluations'!$B$2:$B$36,"=random_13",'Daily evaluations'!$C$2:$C$36,"=d20261124"),"")</f>
      </c>
      <c r="AW29" s="8">
        <f>IF((0=1),SUMIFS('Daily evaluations'!$D$2:$D$36,'Daily evaluations'!$B$2:$B$36,"=random_13",'Daily evaluations'!$C$2:$C$36,"=d20261125"),"")</f>
      </c>
      <c r="AX29" s="8">
        <f>IF((0=1),SUMIFS('Daily evaluations'!$D$2:$D$36,'Daily evaluations'!$B$2:$B$36,"=random_13",'Daily evaluations'!$C$2:$C$36,"=d20261127"),"")</f>
      </c>
      <c r="AY29" s="8">
        <f>IF((0=1),SUMIFS('Daily evaluations'!$D$2:$D$36,'Daily evaluations'!$B$2:$B$36,"=random_13",'Daily evaluations'!$C$2:$C$36,"=d20261130"),"")</f>
      </c>
      <c r="AZ29" s="8">
        <f>IF((0=1),SUMIFS('Daily evaluations'!$D$2:$D$36,'Daily evaluations'!$B$2:$B$36,"=random_13",'Daily evaluations'!$C$2:$C$36,"=d20261201"),"")</f>
      </c>
      <c r="BA29" s="8">
        <f>IF((0=1),SUMIFS('Daily evaluations'!$D$2:$D$36,'Daily evaluations'!$B$2:$B$36,"=random_13",'Daily evaluations'!$C$2:$C$36,"=d20261202"),"")</f>
      </c>
      <c r="BB29" s="8">
        <f>IF((0=1),SUMIFS('Daily evaluations'!$D$2:$D$36,'Daily evaluations'!$B$2:$B$36,"=random_13",'Daily evaluations'!$C$2:$C$36,"=d20261203"),"")</f>
      </c>
      <c r="BC29" s="8">
        <f>IF((0=1),SUMIFS('Daily evaluations'!$D$2:$D$36,'Daily evaluations'!$B$2:$B$36,"=random_13",'Daily evaluations'!$C$2:$C$36,"=d20261204"),"")</f>
      </c>
      <c r="BD29" s="8">
        <f>IF((0=1),SUMIFS('Daily evaluations'!$D$2:$D$36,'Daily evaluations'!$B$2:$B$36,"=random_13",'Daily evaluations'!$C$2:$C$36,"=d20261207"),"")</f>
      </c>
      <c r="BE29" s="8">
        <f>IF((0=1),SUMIFS('Daily evaluations'!$D$2:$D$36,'Daily evaluations'!$B$2:$B$36,"=random_13",'Daily evaluations'!$C$2:$C$36,"=d20261208"),"")</f>
      </c>
      <c r="BF29" s="8">
        <f>IF((0=1),SUMIFS('Daily evaluations'!$D$2:$D$36,'Daily evaluations'!$B$2:$B$36,"=random_13",'Daily evaluations'!$C$2:$C$36,"=d20261209"),"")</f>
      </c>
      <c r="BG29" s="8">
        <f>IF((0=1),SUMIFS('Daily evaluations'!$D$2:$D$36,'Daily evaluations'!$B$2:$B$36,"=random_13",'Daily evaluations'!$C$2:$C$36,"=d20261210"),"")</f>
      </c>
      <c r="BH29" s="8">
        <f>IF((0=1),SUMIFS('Daily evaluations'!$D$2:$D$36,'Daily evaluations'!$B$2:$B$36,"=random_13",'Daily evaluations'!$C$2:$C$36,"=d20261211"),"")</f>
      </c>
      <c r="BI29" s="8">
        <f>IF((0=1),SUMIFS('Daily evaluations'!$D$2:$D$36,'Daily evaluations'!$B$2:$B$36,"=random_13",'Daily evaluations'!$C$2:$C$36,"=d20261214"),"")</f>
      </c>
      <c r="BJ29" s="8">
        <f>IF((0=1),SUMIFS('Daily evaluations'!$D$2:$D$36,'Daily evaluations'!$B$2:$B$36,"=random_13",'Daily evaluations'!$C$2:$C$36,"=d20261215"),"")</f>
      </c>
      <c r="BK29" s="8">
        <f>IF((0=1),SUMIFS('Daily evaluations'!$D$2:$D$36,'Daily evaluations'!$B$2:$B$36,"=random_13",'Daily evaluations'!$C$2:$C$36,"=d20261216"),"")</f>
      </c>
      <c r="BL29" s="8">
        <f>IF((0=1),SUMIFS('Daily evaluations'!$D$2:$D$36,'Daily evaluations'!$B$2:$B$36,"=random_13",'Daily evaluations'!$C$2:$C$36,"=d20261217"),"")</f>
      </c>
      <c r="BM29" s="8">
        <f>IF((0=1),SUMIFS('Daily evaluations'!$D$2:$D$36,'Daily evaluations'!$B$2:$B$36,"=random_13",'Daily evaluations'!$C$2:$C$36,"=d20261218"),"")</f>
      </c>
      <c r="BN29" s="8">
        <f>IF((0=1),SUMIFS('Daily evaluations'!$D$2:$D$36,'Daily evaluations'!$B$2:$B$36,"=random_13",'Daily evaluations'!$C$2:$C$36,"=d20261221"),"")</f>
      </c>
      <c r="BO29" s="8">
        <f>IF((0=1),SUMIFS('Daily evaluations'!$D$2:$D$36,'Daily evaluations'!$B$2:$B$36,"=random_13",'Daily evaluations'!$C$2:$C$36,"=d20261222"),"")</f>
      </c>
      <c r="BP29" s="8">
        <f>IF((0=1),SUMIFS('Daily evaluations'!$D$2:$D$36,'Daily evaluations'!$B$2:$B$36,"=random_13",'Daily evaluations'!$C$2:$C$36,"=d20261223"),"")</f>
      </c>
      <c r="BQ29" s="8">
        <f>IF((0=1),SUMIFS('Daily evaluations'!$D$2:$D$36,'Daily evaluations'!$B$2:$B$36,"=random_13",'Daily evaluations'!$C$2:$C$36,"=d20261224"),"")</f>
      </c>
      <c r="BR29" s="8">
        <f>IF((0=1),SUMIFS('Daily evaluations'!$D$2:$D$36,'Daily evaluations'!$B$2:$B$36,"=random_13",'Daily evaluations'!$C$2:$C$36,"=d20261228"),"")</f>
      </c>
      <c r="BS29" s="8">
        <f>IF((0=1),SUMIFS('Daily evaluations'!$D$2:$D$36,'Daily evaluations'!$B$2:$B$36,"=random_13",'Daily evaluations'!$C$2:$C$36,"=d20261229"),"")</f>
      </c>
      <c r="BT29" s="8">
        <f>IF((0=1),SUMIFS('Daily evaluations'!$D$2:$D$36,'Daily evaluations'!$B$2:$B$36,"=random_13",'Daily evaluations'!$C$2:$C$36,"=d20261230"),"")</f>
      </c>
      <c r="BU29" s="8">
        <f>IF((0=1),SUMIFS('Daily evaluations'!$D$2:$D$36,'Daily evaluations'!$B$2:$B$36,"=random_13",'Daily evaluations'!$C$2:$C$36,"=d20261231"),"")</f>
      </c>
      <c r="BV29" s="8">
        <f>IF((0=1),SUMIFS('Daily evaluations'!$D$2:$D$36,'Daily evaluations'!$B$2:$B$36,"=random_13",'Daily evaluations'!$C$2:$C$36,"=d20270104"),"")</f>
      </c>
      <c r="BW29" s="8">
        <f>IF((0=1),SUMIFS('Daily evaluations'!$D$2:$D$36,'Daily evaluations'!$B$2:$B$36,"=random_13",'Daily evaluations'!$C$2:$C$36,"=d20270105"),"")</f>
      </c>
      <c r="BX29" s="8">
        <f>IF((0=1),SUMIFS('Daily evaluations'!$D$2:$D$36,'Daily evaluations'!$B$2:$B$36,"=random_13",'Daily evaluations'!$C$2:$C$36,"=d20270106"),"")</f>
      </c>
      <c r="BY29" s="8">
        <f>IF((0=1),SUMIFS('Daily evaluations'!$D$2:$D$36,'Daily evaluations'!$B$2:$B$36,"=random_13",'Daily evaluations'!$C$2:$C$36,"=d20270107"),"")</f>
      </c>
      <c r="BZ29" s="8">
        <f>IF((0=1),SUMIFS('Daily evaluations'!$D$2:$D$36,'Daily evaluations'!$B$2:$B$36,"=random_13",'Daily evaluations'!$C$2:$C$36,"=d20270108"),"")</f>
      </c>
      <c r="CA29" s="8">
        <f>IF((0=1),SUMIFS('Daily evaluations'!$D$2:$D$36,'Daily evaluations'!$B$2:$B$36,"=random_13",'Daily evaluations'!$C$2:$C$36,"=d20270111"),"")</f>
      </c>
      <c r="CB29" s="8">
        <f>IF((0=1),SUMIFS('Daily evaluations'!$D$2:$D$36,'Daily evaluations'!$B$2:$B$36,"=random_13",'Daily evaluations'!$C$2:$C$36,"=d20270112"),"")</f>
      </c>
      <c r="CC29" s="8">
        <f>IF((0=1),SUMIFS('Daily evaluations'!$D$2:$D$36,'Daily evaluations'!$B$2:$B$36,"=random_13",'Daily evaluations'!$C$2:$C$36,"=d20270113"),"")</f>
      </c>
      <c r="CD29" s="8">
        <f>IF((0=1),SUMIFS('Daily evaluations'!$D$2:$D$36,'Daily evaluations'!$B$2:$B$36,"=random_13",'Daily evaluations'!$C$2:$C$36,"=d20270114"),"")</f>
      </c>
      <c r="CE29" s="8">
        <f>IF((0=1),SUMIFS('Daily evaluations'!$D$2:$D$36,'Daily evaluations'!$B$2:$B$36,"=random_13",'Daily evaluations'!$C$2:$C$36,"=d20270115"),"")</f>
      </c>
      <c r="CF29" s="8">
        <f>IF((0=1),SUMIFS('Daily evaluations'!$D$2:$D$36,'Daily evaluations'!$B$2:$B$36,"=random_13",'Daily evaluations'!$C$2:$C$36,"=d20270119"),"")</f>
      </c>
      <c r="CG29" s="8">
        <f>IF((0=1),SUMIFS('Daily evaluations'!$D$2:$D$36,'Daily evaluations'!$B$2:$B$36,"=random_13",'Daily evaluations'!$C$2:$C$36,"=d20270120"),"")</f>
      </c>
      <c r="CH29" s="8">
        <f>IF((0=1),SUMIFS('Daily evaluations'!$D$2:$D$36,'Daily evaluations'!$B$2:$B$36,"=random_13",'Daily evaluations'!$C$2:$C$36,"=d20270121"),"")</f>
      </c>
      <c r="CI29" s="8">
        <f>IF((0=1),SUMIFS('Daily evaluations'!$D$2:$D$36,'Daily evaluations'!$B$2:$B$36,"=random_13",'Daily evaluations'!$C$2:$C$36,"=d20270122"),"")</f>
      </c>
      <c r="CJ29" s="8">
        <f>IF((0=1),SUMIFS('Daily evaluations'!$D$2:$D$36,'Daily evaluations'!$B$2:$B$36,"=random_13",'Daily evaluations'!$C$2:$C$36,"=d20270125"),"")</f>
      </c>
      <c r="CK29" s="8">
        <f>IF((0=1),SUMIFS('Daily evaluations'!$D$2:$D$36,'Daily evaluations'!$B$2:$B$36,"=random_13",'Daily evaluations'!$C$2:$C$36,"=d20270126"),"")</f>
      </c>
      <c r="CL29" s="8">
        <f>IF((0=1),SUMIFS('Daily evaluations'!$D$2:$D$36,'Daily evaluations'!$B$2:$B$36,"=random_13",'Daily evaluations'!$C$2:$C$36,"=d20270127"),"")</f>
      </c>
      <c r="CM29" s="8">
        <f>IF((0=1),SUMIFS('Daily evaluations'!$D$2:$D$36,'Daily evaluations'!$B$2:$B$36,"=random_13",'Daily evaluations'!$C$2:$C$36,"=d20270128"),"")</f>
      </c>
      <c r="CN29" s="8">
        <f>IF((0=1),SUMIFS('Daily evaluations'!$D$2:$D$36,'Daily evaluations'!$B$2:$B$36,"=random_13",'Daily evaluations'!$C$2:$C$36,"=d20270129"),"")</f>
      </c>
      <c r="CO29" s="8">
        <f>IF((0=1),SUMIFS('Daily evaluations'!$D$2:$D$36,'Daily evaluations'!$B$2:$B$36,"=random_13",'Daily evaluations'!$C$2:$C$36,"=d20270201"),"")</f>
      </c>
      <c r="CP29" s="8">
        <f>IF((0=1),SUMIFS('Daily evaluations'!$D$2:$D$36,'Daily evaluations'!$B$2:$B$36,"=random_13",'Daily evaluations'!$C$2:$C$36,"=d20270202"),"")</f>
      </c>
      <c r="CQ29" s="8">
        <f>IF((0=1),SUMIFS('Daily evaluations'!$D$2:$D$36,'Daily evaluations'!$B$2:$B$36,"=random_13",'Daily evaluations'!$C$2:$C$36,"=d20270203"),"")</f>
      </c>
      <c r="CR29" s="8">
        <f>IF((0=1),SUMIFS('Daily evaluations'!$D$2:$D$36,'Daily evaluations'!$B$2:$B$36,"=random_13",'Daily evaluations'!$C$2:$C$36,"=d20270204"),"")</f>
      </c>
      <c r="CS29" s="8">
        <f>IF((0=1),SUMIFS('Daily evaluations'!$D$2:$D$36,'Daily evaluations'!$B$2:$B$36,"=random_13",'Daily evaluations'!$C$2:$C$36,"=d20270205"),"")</f>
      </c>
      <c r="CT29" s="8">
        <f>IF((0=1),SUMIFS('Daily evaluations'!$D$2:$D$36,'Daily evaluations'!$B$2:$B$36,"=random_13",'Daily evaluations'!$C$2:$C$36,"=d20270208"),"")</f>
      </c>
      <c r="CU29" s="8">
        <f>IF((0=1),SUMIFS('Daily evaluations'!$D$2:$D$36,'Daily evaluations'!$B$2:$B$36,"=random_13",'Daily evaluations'!$C$2:$C$36,"=d20270209"),"")</f>
      </c>
      <c r="CV29" s="8">
        <f>IF((0=1),SUMIFS('Daily evaluations'!$D$2:$D$36,'Daily evaluations'!$B$2:$B$36,"=random_13",'Daily evaluations'!$C$2:$C$36,"=d20270210"),"")</f>
      </c>
      <c r="CW29" s="8">
        <f>IF((0=1),SUMIFS('Daily evaluations'!$D$2:$D$36,'Daily evaluations'!$B$2:$B$36,"=random_13",'Daily evaluations'!$C$2:$C$36,"=d20270211"),"")</f>
      </c>
      <c r="CX29" s="8">
        <f>IF((0=1),SUMIFS('Daily evaluations'!$D$2:$D$36,'Daily evaluations'!$B$2:$B$36,"=random_13",'Daily evaluations'!$C$2:$C$36,"=d20270212"),"")</f>
      </c>
    </row>
    <row r="30">
      <c r="A30" s="0" t="inlineStr">
        <is>
          <t xml:space="preserve">Sector-neutral overnight excess, bps</t>
        </is>
      </c>
      <c r="B30" s="0" t="inlineStr">
        <is>
          <t xml:space="preserve">Random 14</t>
        </is>
      </c>
      <c r="C30" s="8">
        <f>IF((1=1),SUMIFS('Daily evaluations'!$D$2:$D$36,'Daily evaluations'!$B$2:$B$36,"=random_14",'Daily evaluations'!$C$2:$C$36,"=d20260922"),"")</f>
        <v>1.692</v>
      </c>
      <c r="D30" s="8">
        <f>IF((0=1),SUMIFS('Daily evaluations'!$D$2:$D$36,'Daily evaluations'!$B$2:$B$36,"=random_14",'Daily evaluations'!$C$2:$C$36,"=d20260923"),"")</f>
      </c>
      <c r="E30" s="8">
        <f>IF((0=1),SUMIFS('Daily evaluations'!$D$2:$D$36,'Daily evaluations'!$B$2:$B$36,"=random_14",'Daily evaluations'!$C$2:$C$36,"=d20260924"),"")</f>
      </c>
      <c r="F30" s="8">
        <f>IF((0=1),SUMIFS('Daily evaluations'!$D$2:$D$36,'Daily evaluations'!$B$2:$B$36,"=random_14",'Daily evaluations'!$C$2:$C$36,"=d20260925"),"")</f>
      </c>
      <c r="G30" s="8">
        <f>IF((0=1),SUMIFS('Daily evaluations'!$D$2:$D$36,'Daily evaluations'!$B$2:$B$36,"=random_14",'Daily evaluations'!$C$2:$C$36,"=d20260928"),"")</f>
      </c>
      <c r="H30" s="8">
        <f>IF((0=1),SUMIFS('Daily evaluations'!$D$2:$D$36,'Daily evaluations'!$B$2:$B$36,"=random_14",'Daily evaluations'!$C$2:$C$36,"=d20260929"),"")</f>
      </c>
      <c r="I30" s="8">
        <f>IF((0=1),SUMIFS('Daily evaluations'!$D$2:$D$36,'Daily evaluations'!$B$2:$B$36,"=random_14",'Daily evaluations'!$C$2:$C$36,"=d20260930"),"")</f>
      </c>
      <c r="J30" s="8">
        <f>IF((0=1),SUMIFS('Daily evaluations'!$D$2:$D$36,'Daily evaluations'!$B$2:$B$36,"=random_14",'Daily evaluations'!$C$2:$C$36,"=d20261001"),"")</f>
      </c>
      <c r="K30" s="8">
        <f>IF((0=1),SUMIFS('Daily evaluations'!$D$2:$D$36,'Daily evaluations'!$B$2:$B$36,"=random_14",'Daily evaluations'!$C$2:$C$36,"=d20261002"),"")</f>
      </c>
      <c r="L30" s="8">
        <f>IF((0=1),SUMIFS('Daily evaluations'!$D$2:$D$36,'Daily evaluations'!$B$2:$B$36,"=random_14",'Daily evaluations'!$C$2:$C$36,"=d20261005"),"")</f>
      </c>
      <c r="M30" s="8">
        <f>IF((0=1),SUMIFS('Daily evaluations'!$D$2:$D$36,'Daily evaluations'!$B$2:$B$36,"=random_14",'Daily evaluations'!$C$2:$C$36,"=d20261006"),"")</f>
      </c>
      <c r="N30" s="8">
        <f>IF((0=1),SUMIFS('Daily evaluations'!$D$2:$D$36,'Daily evaluations'!$B$2:$B$36,"=random_14",'Daily evaluations'!$C$2:$C$36,"=d20261007"),"")</f>
      </c>
      <c r="O30" s="8">
        <f>IF((0=1),SUMIFS('Daily evaluations'!$D$2:$D$36,'Daily evaluations'!$B$2:$B$36,"=random_14",'Daily evaluations'!$C$2:$C$36,"=d20261008"),"")</f>
      </c>
      <c r="P30" s="8">
        <f>IF((0=1),SUMIFS('Daily evaluations'!$D$2:$D$36,'Daily evaluations'!$B$2:$B$36,"=random_14",'Daily evaluations'!$C$2:$C$36,"=d20261009"),"")</f>
      </c>
      <c r="Q30" s="8">
        <f>IF((0=1),SUMIFS('Daily evaluations'!$D$2:$D$36,'Daily evaluations'!$B$2:$B$36,"=random_14",'Daily evaluations'!$C$2:$C$36,"=d20261012"),"")</f>
      </c>
      <c r="R30" s="8">
        <f>IF((0=1),SUMIFS('Daily evaluations'!$D$2:$D$36,'Daily evaluations'!$B$2:$B$36,"=random_14",'Daily evaluations'!$C$2:$C$36,"=d20261013"),"")</f>
      </c>
      <c r="S30" s="8">
        <f>IF((0=1),SUMIFS('Daily evaluations'!$D$2:$D$36,'Daily evaluations'!$B$2:$B$36,"=random_14",'Daily evaluations'!$C$2:$C$36,"=d20261014"),"")</f>
      </c>
      <c r="T30" s="8">
        <f>IF((0=1),SUMIFS('Daily evaluations'!$D$2:$D$36,'Daily evaluations'!$B$2:$B$36,"=random_14",'Daily evaluations'!$C$2:$C$36,"=d20261015"),"")</f>
      </c>
      <c r="U30" s="8">
        <f>IF((0=1),SUMIFS('Daily evaluations'!$D$2:$D$36,'Daily evaluations'!$B$2:$B$36,"=random_14",'Daily evaluations'!$C$2:$C$36,"=d20261016"),"")</f>
      </c>
      <c r="V30" s="8">
        <f>IF((0=1),SUMIFS('Daily evaluations'!$D$2:$D$36,'Daily evaluations'!$B$2:$B$36,"=random_14",'Daily evaluations'!$C$2:$C$36,"=d20261019"),"")</f>
      </c>
      <c r="W30" s="8">
        <f>IF((0=1),SUMIFS('Daily evaluations'!$D$2:$D$36,'Daily evaluations'!$B$2:$B$36,"=random_14",'Daily evaluations'!$C$2:$C$36,"=d20261020"),"")</f>
      </c>
      <c r="X30" s="8">
        <f>IF((0=1),SUMIFS('Daily evaluations'!$D$2:$D$36,'Daily evaluations'!$B$2:$B$36,"=random_14",'Daily evaluations'!$C$2:$C$36,"=d20261021"),"")</f>
      </c>
      <c r="Y30" s="8">
        <f>IF((0=1),SUMIFS('Daily evaluations'!$D$2:$D$36,'Daily evaluations'!$B$2:$B$36,"=random_14",'Daily evaluations'!$C$2:$C$36,"=d20261022"),"")</f>
      </c>
      <c r="Z30" s="8">
        <f>IF((0=1),SUMIFS('Daily evaluations'!$D$2:$D$36,'Daily evaluations'!$B$2:$B$36,"=random_14",'Daily evaluations'!$C$2:$C$36,"=d20261023"),"")</f>
      </c>
      <c r="AA30" s="8">
        <f>IF((0=1),SUMIFS('Daily evaluations'!$D$2:$D$36,'Daily evaluations'!$B$2:$B$36,"=random_14",'Daily evaluations'!$C$2:$C$36,"=d20261026"),"")</f>
      </c>
      <c r="AB30" s="8">
        <f>IF((0=1),SUMIFS('Daily evaluations'!$D$2:$D$36,'Daily evaluations'!$B$2:$B$36,"=random_14",'Daily evaluations'!$C$2:$C$36,"=d20261027"),"")</f>
      </c>
      <c r="AC30" s="8">
        <f>IF((0=1),SUMIFS('Daily evaluations'!$D$2:$D$36,'Daily evaluations'!$B$2:$B$36,"=random_14",'Daily evaluations'!$C$2:$C$36,"=d20261028"),"")</f>
      </c>
      <c r="AD30" s="8">
        <f>IF((0=1),SUMIFS('Daily evaluations'!$D$2:$D$36,'Daily evaluations'!$B$2:$B$36,"=random_14",'Daily evaluations'!$C$2:$C$36,"=d20261029"),"")</f>
      </c>
      <c r="AE30" s="8">
        <f>IF((0=1),SUMIFS('Daily evaluations'!$D$2:$D$36,'Daily evaluations'!$B$2:$B$36,"=random_14",'Daily evaluations'!$C$2:$C$36,"=d20261030"),"")</f>
      </c>
      <c r="AF30" s="8">
        <f>IF((0=1),SUMIFS('Daily evaluations'!$D$2:$D$36,'Daily evaluations'!$B$2:$B$36,"=random_14",'Daily evaluations'!$C$2:$C$36,"=d20261102"),"")</f>
      </c>
      <c r="AG30" s="8">
        <f>IF((0=1),SUMIFS('Daily evaluations'!$D$2:$D$36,'Daily evaluations'!$B$2:$B$36,"=random_14",'Daily evaluations'!$C$2:$C$36,"=d20261103"),"")</f>
      </c>
      <c r="AH30" s="8">
        <f>IF((0=1),SUMIFS('Daily evaluations'!$D$2:$D$36,'Daily evaluations'!$B$2:$B$36,"=random_14",'Daily evaluations'!$C$2:$C$36,"=d20261104"),"")</f>
      </c>
      <c r="AI30" s="8">
        <f>IF((0=1),SUMIFS('Daily evaluations'!$D$2:$D$36,'Daily evaluations'!$B$2:$B$36,"=random_14",'Daily evaluations'!$C$2:$C$36,"=d20261105"),"")</f>
      </c>
      <c r="AJ30" s="8">
        <f>IF((0=1),SUMIFS('Daily evaluations'!$D$2:$D$36,'Daily evaluations'!$B$2:$B$36,"=random_14",'Daily evaluations'!$C$2:$C$36,"=d20261106"),"")</f>
      </c>
      <c r="AK30" s="8">
        <f>IF((0=1),SUMIFS('Daily evaluations'!$D$2:$D$36,'Daily evaluations'!$B$2:$B$36,"=random_14",'Daily evaluations'!$C$2:$C$36,"=d20261109"),"")</f>
      </c>
      <c r="AL30" s="8">
        <f>IF((0=1),SUMIFS('Daily evaluations'!$D$2:$D$36,'Daily evaluations'!$B$2:$B$36,"=random_14",'Daily evaluations'!$C$2:$C$36,"=d20261110"),"")</f>
      </c>
      <c r="AM30" s="8">
        <f>IF((0=1),SUMIFS('Daily evaluations'!$D$2:$D$36,'Daily evaluations'!$B$2:$B$36,"=random_14",'Daily evaluations'!$C$2:$C$36,"=d20261111"),"")</f>
      </c>
      <c r="AN30" s="8">
        <f>IF((0=1),SUMIFS('Daily evaluations'!$D$2:$D$36,'Daily evaluations'!$B$2:$B$36,"=random_14",'Daily evaluations'!$C$2:$C$36,"=d20261112"),"")</f>
      </c>
      <c r="AO30" s="8">
        <f>IF((0=1),SUMIFS('Daily evaluations'!$D$2:$D$36,'Daily evaluations'!$B$2:$B$36,"=random_14",'Daily evaluations'!$C$2:$C$36,"=d20261113"),"")</f>
      </c>
      <c r="AP30" s="8">
        <f>IF((0=1),SUMIFS('Daily evaluations'!$D$2:$D$36,'Daily evaluations'!$B$2:$B$36,"=random_14",'Daily evaluations'!$C$2:$C$36,"=d20261116"),"")</f>
      </c>
      <c r="AQ30" s="8">
        <f>IF((0=1),SUMIFS('Daily evaluations'!$D$2:$D$36,'Daily evaluations'!$B$2:$B$36,"=random_14",'Daily evaluations'!$C$2:$C$36,"=d20261117"),"")</f>
      </c>
      <c r="AR30" s="8">
        <f>IF((0=1),SUMIFS('Daily evaluations'!$D$2:$D$36,'Daily evaluations'!$B$2:$B$36,"=random_14",'Daily evaluations'!$C$2:$C$36,"=d20261118"),"")</f>
      </c>
      <c r="AS30" s="8">
        <f>IF((0=1),SUMIFS('Daily evaluations'!$D$2:$D$36,'Daily evaluations'!$B$2:$B$36,"=random_14",'Daily evaluations'!$C$2:$C$36,"=d20261119"),"")</f>
      </c>
      <c r="AT30" s="8">
        <f>IF((0=1),SUMIFS('Daily evaluations'!$D$2:$D$36,'Daily evaluations'!$B$2:$B$36,"=random_14",'Daily evaluations'!$C$2:$C$36,"=d20261120"),"")</f>
      </c>
      <c r="AU30" s="8">
        <f>IF((0=1),SUMIFS('Daily evaluations'!$D$2:$D$36,'Daily evaluations'!$B$2:$B$36,"=random_14",'Daily evaluations'!$C$2:$C$36,"=d20261123"),"")</f>
      </c>
      <c r="AV30" s="8">
        <f>IF((0=1),SUMIFS('Daily evaluations'!$D$2:$D$36,'Daily evaluations'!$B$2:$B$36,"=random_14",'Daily evaluations'!$C$2:$C$36,"=d20261124"),"")</f>
      </c>
      <c r="AW30" s="8">
        <f>IF((0=1),SUMIFS('Daily evaluations'!$D$2:$D$36,'Daily evaluations'!$B$2:$B$36,"=random_14",'Daily evaluations'!$C$2:$C$36,"=d20261125"),"")</f>
      </c>
      <c r="AX30" s="8">
        <f>IF((0=1),SUMIFS('Daily evaluations'!$D$2:$D$36,'Daily evaluations'!$B$2:$B$36,"=random_14",'Daily evaluations'!$C$2:$C$36,"=d20261127"),"")</f>
      </c>
      <c r="AY30" s="8">
        <f>IF((0=1),SUMIFS('Daily evaluations'!$D$2:$D$36,'Daily evaluations'!$B$2:$B$36,"=random_14",'Daily evaluations'!$C$2:$C$36,"=d20261130"),"")</f>
      </c>
      <c r="AZ30" s="8">
        <f>IF((0=1),SUMIFS('Daily evaluations'!$D$2:$D$36,'Daily evaluations'!$B$2:$B$36,"=random_14",'Daily evaluations'!$C$2:$C$36,"=d20261201"),"")</f>
      </c>
      <c r="BA30" s="8">
        <f>IF((0=1),SUMIFS('Daily evaluations'!$D$2:$D$36,'Daily evaluations'!$B$2:$B$36,"=random_14",'Daily evaluations'!$C$2:$C$36,"=d20261202"),"")</f>
      </c>
      <c r="BB30" s="8">
        <f>IF((0=1),SUMIFS('Daily evaluations'!$D$2:$D$36,'Daily evaluations'!$B$2:$B$36,"=random_14",'Daily evaluations'!$C$2:$C$36,"=d20261203"),"")</f>
      </c>
      <c r="BC30" s="8">
        <f>IF((0=1),SUMIFS('Daily evaluations'!$D$2:$D$36,'Daily evaluations'!$B$2:$B$36,"=random_14",'Daily evaluations'!$C$2:$C$36,"=d20261204"),"")</f>
      </c>
      <c r="BD30" s="8">
        <f>IF((0=1),SUMIFS('Daily evaluations'!$D$2:$D$36,'Daily evaluations'!$B$2:$B$36,"=random_14",'Daily evaluations'!$C$2:$C$36,"=d20261207"),"")</f>
      </c>
      <c r="BE30" s="8">
        <f>IF((0=1),SUMIFS('Daily evaluations'!$D$2:$D$36,'Daily evaluations'!$B$2:$B$36,"=random_14",'Daily evaluations'!$C$2:$C$36,"=d20261208"),"")</f>
      </c>
      <c r="BF30" s="8">
        <f>IF((0=1),SUMIFS('Daily evaluations'!$D$2:$D$36,'Daily evaluations'!$B$2:$B$36,"=random_14",'Daily evaluations'!$C$2:$C$36,"=d20261209"),"")</f>
      </c>
      <c r="BG30" s="8">
        <f>IF((0=1),SUMIFS('Daily evaluations'!$D$2:$D$36,'Daily evaluations'!$B$2:$B$36,"=random_14",'Daily evaluations'!$C$2:$C$36,"=d20261210"),"")</f>
      </c>
      <c r="BH30" s="8">
        <f>IF((0=1),SUMIFS('Daily evaluations'!$D$2:$D$36,'Daily evaluations'!$B$2:$B$36,"=random_14",'Daily evaluations'!$C$2:$C$36,"=d20261211"),"")</f>
      </c>
      <c r="BI30" s="8">
        <f>IF((0=1),SUMIFS('Daily evaluations'!$D$2:$D$36,'Daily evaluations'!$B$2:$B$36,"=random_14",'Daily evaluations'!$C$2:$C$36,"=d20261214"),"")</f>
      </c>
      <c r="BJ30" s="8">
        <f>IF((0=1),SUMIFS('Daily evaluations'!$D$2:$D$36,'Daily evaluations'!$B$2:$B$36,"=random_14",'Daily evaluations'!$C$2:$C$36,"=d20261215"),"")</f>
      </c>
      <c r="BK30" s="8">
        <f>IF((0=1),SUMIFS('Daily evaluations'!$D$2:$D$36,'Daily evaluations'!$B$2:$B$36,"=random_14",'Daily evaluations'!$C$2:$C$36,"=d20261216"),"")</f>
      </c>
      <c r="BL30" s="8">
        <f>IF((0=1),SUMIFS('Daily evaluations'!$D$2:$D$36,'Daily evaluations'!$B$2:$B$36,"=random_14",'Daily evaluations'!$C$2:$C$36,"=d20261217"),"")</f>
      </c>
      <c r="BM30" s="8">
        <f>IF((0=1),SUMIFS('Daily evaluations'!$D$2:$D$36,'Daily evaluations'!$B$2:$B$36,"=random_14",'Daily evaluations'!$C$2:$C$36,"=d20261218"),"")</f>
      </c>
      <c r="BN30" s="8">
        <f>IF((0=1),SUMIFS('Daily evaluations'!$D$2:$D$36,'Daily evaluations'!$B$2:$B$36,"=random_14",'Daily evaluations'!$C$2:$C$36,"=d20261221"),"")</f>
      </c>
      <c r="BO30" s="8">
        <f>IF((0=1),SUMIFS('Daily evaluations'!$D$2:$D$36,'Daily evaluations'!$B$2:$B$36,"=random_14",'Daily evaluations'!$C$2:$C$36,"=d20261222"),"")</f>
      </c>
      <c r="BP30" s="8">
        <f>IF((0=1),SUMIFS('Daily evaluations'!$D$2:$D$36,'Daily evaluations'!$B$2:$B$36,"=random_14",'Daily evaluations'!$C$2:$C$36,"=d20261223"),"")</f>
      </c>
      <c r="BQ30" s="8">
        <f>IF((0=1),SUMIFS('Daily evaluations'!$D$2:$D$36,'Daily evaluations'!$B$2:$B$36,"=random_14",'Daily evaluations'!$C$2:$C$36,"=d20261224"),"")</f>
      </c>
      <c r="BR30" s="8">
        <f>IF((0=1),SUMIFS('Daily evaluations'!$D$2:$D$36,'Daily evaluations'!$B$2:$B$36,"=random_14",'Daily evaluations'!$C$2:$C$36,"=d20261228"),"")</f>
      </c>
      <c r="BS30" s="8">
        <f>IF((0=1),SUMIFS('Daily evaluations'!$D$2:$D$36,'Daily evaluations'!$B$2:$B$36,"=random_14",'Daily evaluations'!$C$2:$C$36,"=d20261229"),"")</f>
      </c>
      <c r="BT30" s="8">
        <f>IF((0=1),SUMIFS('Daily evaluations'!$D$2:$D$36,'Daily evaluations'!$B$2:$B$36,"=random_14",'Daily evaluations'!$C$2:$C$36,"=d20261230"),"")</f>
      </c>
      <c r="BU30" s="8">
        <f>IF((0=1),SUMIFS('Daily evaluations'!$D$2:$D$36,'Daily evaluations'!$B$2:$B$36,"=random_14",'Daily evaluations'!$C$2:$C$36,"=d20261231"),"")</f>
      </c>
      <c r="BV30" s="8">
        <f>IF((0=1),SUMIFS('Daily evaluations'!$D$2:$D$36,'Daily evaluations'!$B$2:$B$36,"=random_14",'Daily evaluations'!$C$2:$C$36,"=d20270104"),"")</f>
      </c>
      <c r="BW30" s="8">
        <f>IF((0=1),SUMIFS('Daily evaluations'!$D$2:$D$36,'Daily evaluations'!$B$2:$B$36,"=random_14",'Daily evaluations'!$C$2:$C$36,"=d20270105"),"")</f>
      </c>
      <c r="BX30" s="8">
        <f>IF((0=1),SUMIFS('Daily evaluations'!$D$2:$D$36,'Daily evaluations'!$B$2:$B$36,"=random_14",'Daily evaluations'!$C$2:$C$36,"=d20270106"),"")</f>
      </c>
      <c r="BY30" s="8">
        <f>IF((0=1),SUMIFS('Daily evaluations'!$D$2:$D$36,'Daily evaluations'!$B$2:$B$36,"=random_14",'Daily evaluations'!$C$2:$C$36,"=d20270107"),"")</f>
      </c>
      <c r="BZ30" s="8">
        <f>IF((0=1),SUMIFS('Daily evaluations'!$D$2:$D$36,'Daily evaluations'!$B$2:$B$36,"=random_14",'Daily evaluations'!$C$2:$C$36,"=d20270108"),"")</f>
      </c>
      <c r="CA30" s="8">
        <f>IF((0=1),SUMIFS('Daily evaluations'!$D$2:$D$36,'Daily evaluations'!$B$2:$B$36,"=random_14",'Daily evaluations'!$C$2:$C$36,"=d20270111"),"")</f>
      </c>
      <c r="CB30" s="8">
        <f>IF((0=1),SUMIFS('Daily evaluations'!$D$2:$D$36,'Daily evaluations'!$B$2:$B$36,"=random_14",'Daily evaluations'!$C$2:$C$36,"=d20270112"),"")</f>
      </c>
      <c r="CC30" s="8">
        <f>IF((0=1),SUMIFS('Daily evaluations'!$D$2:$D$36,'Daily evaluations'!$B$2:$B$36,"=random_14",'Daily evaluations'!$C$2:$C$36,"=d20270113"),"")</f>
      </c>
      <c r="CD30" s="8">
        <f>IF((0=1),SUMIFS('Daily evaluations'!$D$2:$D$36,'Daily evaluations'!$B$2:$B$36,"=random_14",'Daily evaluations'!$C$2:$C$36,"=d20270114"),"")</f>
      </c>
      <c r="CE30" s="8">
        <f>IF((0=1),SUMIFS('Daily evaluations'!$D$2:$D$36,'Daily evaluations'!$B$2:$B$36,"=random_14",'Daily evaluations'!$C$2:$C$36,"=d20270115"),"")</f>
      </c>
      <c r="CF30" s="8">
        <f>IF((0=1),SUMIFS('Daily evaluations'!$D$2:$D$36,'Daily evaluations'!$B$2:$B$36,"=random_14",'Daily evaluations'!$C$2:$C$36,"=d20270119"),"")</f>
      </c>
      <c r="CG30" s="8">
        <f>IF((0=1),SUMIFS('Daily evaluations'!$D$2:$D$36,'Daily evaluations'!$B$2:$B$36,"=random_14",'Daily evaluations'!$C$2:$C$36,"=d20270120"),"")</f>
      </c>
      <c r="CH30" s="8">
        <f>IF((0=1),SUMIFS('Daily evaluations'!$D$2:$D$36,'Daily evaluations'!$B$2:$B$36,"=random_14",'Daily evaluations'!$C$2:$C$36,"=d20270121"),"")</f>
      </c>
      <c r="CI30" s="8">
        <f>IF((0=1),SUMIFS('Daily evaluations'!$D$2:$D$36,'Daily evaluations'!$B$2:$B$36,"=random_14",'Daily evaluations'!$C$2:$C$36,"=d20270122"),"")</f>
      </c>
      <c r="CJ30" s="8">
        <f>IF((0=1),SUMIFS('Daily evaluations'!$D$2:$D$36,'Daily evaluations'!$B$2:$B$36,"=random_14",'Daily evaluations'!$C$2:$C$36,"=d20270125"),"")</f>
      </c>
      <c r="CK30" s="8">
        <f>IF((0=1),SUMIFS('Daily evaluations'!$D$2:$D$36,'Daily evaluations'!$B$2:$B$36,"=random_14",'Daily evaluations'!$C$2:$C$36,"=d20270126"),"")</f>
      </c>
      <c r="CL30" s="8">
        <f>IF((0=1),SUMIFS('Daily evaluations'!$D$2:$D$36,'Daily evaluations'!$B$2:$B$36,"=random_14",'Daily evaluations'!$C$2:$C$36,"=d20270127"),"")</f>
      </c>
      <c r="CM30" s="8">
        <f>IF((0=1),SUMIFS('Daily evaluations'!$D$2:$D$36,'Daily evaluations'!$B$2:$B$36,"=random_14",'Daily evaluations'!$C$2:$C$36,"=d20270128"),"")</f>
      </c>
      <c r="CN30" s="8">
        <f>IF((0=1),SUMIFS('Daily evaluations'!$D$2:$D$36,'Daily evaluations'!$B$2:$B$36,"=random_14",'Daily evaluations'!$C$2:$C$36,"=d20270129"),"")</f>
      </c>
      <c r="CO30" s="8">
        <f>IF((0=1),SUMIFS('Daily evaluations'!$D$2:$D$36,'Daily evaluations'!$B$2:$B$36,"=random_14",'Daily evaluations'!$C$2:$C$36,"=d20270201"),"")</f>
      </c>
      <c r="CP30" s="8">
        <f>IF((0=1),SUMIFS('Daily evaluations'!$D$2:$D$36,'Daily evaluations'!$B$2:$B$36,"=random_14",'Daily evaluations'!$C$2:$C$36,"=d20270202"),"")</f>
      </c>
      <c r="CQ30" s="8">
        <f>IF((0=1),SUMIFS('Daily evaluations'!$D$2:$D$36,'Daily evaluations'!$B$2:$B$36,"=random_14",'Daily evaluations'!$C$2:$C$36,"=d20270203"),"")</f>
      </c>
      <c r="CR30" s="8">
        <f>IF((0=1),SUMIFS('Daily evaluations'!$D$2:$D$36,'Daily evaluations'!$B$2:$B$36,"=random_14",'Daily evaluations'!$C$2:$C$36,"=d20270204"),"")</f>
      </c>
      <c r="CS30" s="8">
        <f>IF((0=1),SUMIFS('Daily evaluations'!$D$2:$D$36,'Daily evaluations'!$B$2:$B$36,"=random_14",'Daily evaluations'!$C$2:$C$36,"=d20270205"),"")</f>
      </c>
      <c r="CT30" s="8">
        <f>IF((0=1),SUMIFS('Daily evaluations'!$D$2:$D$36,'Daily evaluations'!$B$2:$B$36,"=random_14",'Daily evaluations'!$C$2:$C$36,"=d20270208"),"")</f>
      </c>
      <c r="CU30" s="8">
        <f>IF((0=1),SUMIFS('Daily evaluations'!$D$2:$D$36,'Daily evaluations'!$B$2:$B$36,"=random_14",'Daily evaluations'!$C$2:$C$36,"=d20270209"),"")</f>
      </c>
      <c r="CV30" s="8">
        <f>IF((0=1),SUMIFS('Daily evaluations'!$D$2:$D$36,'Daily evaluations'!$B$2:$B$36,"=random_14",'Daily evaluations'!$C$2:$C$36,"=d20270210"),"")</f>
      </c>
      <c r="CW30" s="8">
        <f>IF((0=1),SUMIFS('Daily evaluations'!$D$2:$D$36,'Daily evaluations'!$B$2:$B$36,"=random_14",'Daily evaluations'!$C$2:$C$36,"=d20270211"),"")</f>
      </c>
      <c r="CX30" s="8">
        <f>IF((0=1),SUMIFS('Daily evaluations'!$D$2:$D$36,'Daily evaluations'!$B$2:$B$36,"=random_14",'Daily evaluations'!$C$2:$C$36,"=d20270212"),"")</f>
      </c>
    </row>
    <row r="31">
      <c r="A31" s="0" t="inlineStr">
        <is>
          <t xml:space="preserve">Sector-neutral overnight excess, bps</t>
        </is>
      </c>
      <c r="B31" s="0" t="inlineStr">
        <is>
          <t xml:space="preserve">Random 15</t>
        </is>
      </c>
      <c r="C31" s="8">
        <f>IF((1=1),SUMIFS('Daily evaluations'!$D$2:$D$36,'Daily evaluations'!$B$2:$B$36,"=random_15",'Daily evaluations'!$C$2:$C$36,"=d20260922"),"")</f>
        <v>-13.795</v>
      </c>
      <c r="D31" s="8">
        <f>IF((0=1),SUMIFS('Daily evaluations'!$D$2:$D$36,'Daily evaluations'!$B$2:$B$36,"=random_15",'Daily evaluations'!$C$2:$C$36,"=d20260923"),"")</f>
      </c>
      <c r="E31" s="8">
        <f>IF((0=1),SUMIFS('Daily evaluations'!$D$2:$D$36,'Daily evaluations'!$B$2:$B$36,"=random_15",'Daily evaluations'!$C$2:$C$36,"=d20260924"),"")</f>
      </c>
      <c r="F31" s="8">
        <f>IF((0=1),SUMIFS('Daily evaluations'!$D$2:$D$36,'Daily evaluations'!$B$2:$B$36,"=random_15",'Daily evaluations'!$C$2:$C$36,"=d20260925"),"")</f>
      </c>
      <c r="G31" s="8">
        <f>IF((0=1),SUMIFS('Daily evaluations'!$D$2:$D$36,'Daily evaluations'!$B$2:$B$36,"=random_15",'Daily evaluations'!$C$2:$C$36,"=d20260928"),"")</f>
      </c>
      <c r="H31" s="8">
        <f>IF((0=1),SUMIFS('Daily evaluations'!$D$2:$D$36,'Daily evaluations'!$B$2:$B$36,"=random_15",'Daily evaluations'!$C$2:$C$36,"=d20260929"),"")</f>
      </c>
      <c r="I31" s="8">
        <f>IF((0=1),SUMIFS('Daily evaluations'!$D$2:$D$36,'Daily evaluations'!$B$2:$B$36,"=random_15",'Daily evaluations'!$C$2:$C$36,"=d20260930"),"")</f>
      </c>
      <c r="J31" s="8">
        <f>IF((0=1),SUMIFS('Daily evaluations'!$D$2:$D$36,'Daily evaluations'!$B$2:$B$36,"=random_15",'Daily evaluations'!$C$2:$C$36,"=d20261001"),"")</f>
      </c>
      <c r="K31" s="8">
        <f>IF((0=1),SUMIFS('Daily evaluations'!$D$2:$D$36,'Daily evaluations'!$B$2:$B$36,"=random_15",'Daily evaluations'!$C$2:$C$36,"=d20261002"),"")</f>
      </c>
      <c r="L31" s="8">
        <f>IF((0=1),SUMIFS('Daily evaluations'!$D$2:$D$36,'Daily evaluations'!$B$2:$B$36,"=random_15",'Daily evaluations'!$C$2:$C$36,"=d20261005"),"")</f>
      </c>
      <c r="M31" s="8">
        <f>IF((0=1),SUMIFS('Daily evaluations'!$D$2:$D$36,'Daily evaluations'!$B$2:$B$36,"=random_15",'Daily evaluations'!$C$2:$C$36,"=d20261006"),"")</f>
      </c>
      <c r="N31" s="8">
        <f>IF((0=1),SUMIFS('Daily evaluations'!$D$2:$D$36,'Daily evaluations'!$B$2:$B$36,"=random_15",'Daily evaluations'!$C$2:$C$36,"=d20261007"),"")</f>
      </c>
      <c r="O31" s="8">
        <f>IF((0=1),SUMIFS('Daily evaluations'!$D$2:$D$36,'Daily evaluations'!$B$2:$B$36,"=random_15",'Daily evaluations'!$C$2:$C$36,"=d20261008"),"")</f>
      </c>
      <c r="P31" s="8">
        <f>IF((0=1),SUMIFS('Daily evaluations'!$D$2:$D$36,'Daily evaluations'!$B$2:$B$36,"=random_15",'Daily evaluations'!$C$2:$C$36,"=d20261009"),"")</f>
      </c>
      <c r="Q31" s="8">
        <f>IF((0=1),SUMIFS('Daily evaluations'!$D$2:$D$36,'Daily evaluations'!$B$2:$B$36,"=random_15",'Daily evaluations'!$C$2:$C$36,"=d20261012"),"")</f>
      </c>
      <c r="R31" s="8">
        <f>IF((0=1),SUMIFS('Daily evaluations'!$D$2:$D$36,'Daily evaluations'!$B$2:$B$36,"=random_15",'Daily evaluations'!$C$2:$C$36,"=d20261013"),"")</f>
      </c>
      <c r="S31" s="8">
        <f>IF((0=1),SUMIFS('Daily evaluations'!$D$2:$D$36,'Daily evaluations'!$B$2:$B$36,"=random_15",'Daily evaluations'!$C$2:$C$36,"=d20261014"),"")</f>
      </c>
      <c r="T31" s="8">
        <f>IF((0=1),SUMIFS('Daily evaluations'!$D$2:$D$36,'Daily evaluations'!$B$2:$B$36,"=random_15",'Daily evaluations'!$C$2:$C$36,"=d20261015"),"")</f>
      </c>
      <c r="U31" s="8">
        <f>IF((0=1),SUMIFS('Daily evaluations'!$D$2:$D$36,'Daily evaluations'!$B$2:$B$36,"=random_15",'Daily evaluations'!$C$2:$C$36,"=d20261016"),"")</f>
      </c>
      <c r="V31" s="8">
        <f>IF((0=1),SUMIFS('Daily evaluations'!$D$2:$D$36,'Daily evaluations'!$B$2:$B$36,"=random_15",'Daily evaluations'!$C$2:$C$36,"=d20261019"),"")</f>
      </c>
      <c r="W31" s="8">
        <f>IF((0=1),SUMIFS('Daily evaluations'!$D$2:$D$36,'Daily evaluations'!$B$2:$B$36,"=random_15",'Daily evaluations'!$C$2:$C$36,"=d20261020"),"")</f>
      </c>
      <c r="X31" s="8">
        <f>IF((0=1),SUMIFS('Daily evaluations'!$D$2:$D$36,'Daily evaluations'!$B$2:$B$36,"=random_15",'Daily evaluations'!$C$2:$C$36,"=d20261021"),"")</f>
      </c>
      <c r="Y31" s="8">
        <f>IF((0=1),SUMIFS('Daily evaluations'!$D$2:$D$36,'Daily evaluations'!$B$2:$B$36,"=random_15",'Daily evaluations'!$C$2:$C$36,"=d20261022"),"")</f>
      </c>
      <c r="Z31" s="8">
        <f>IF((0=1),SUMIFS('Daily evaluations'!$D$2:$D$36,'Daily evaluations'!$B$2:$B$36,"=random_15",'Daily evaluations'!$C$2:$C$36,"=d20261023"),"")</f>
      </c>
      <c r="AA31" s="8">
        <f>IF((0=1),SUMIFS('Daily evaluations'!$D$2:$D$36,'Daily evaluations'!$B$2:$B$36,"=random_15",'Daily evaluations'!$C$2:$C$36,"=d20261026"),"")</f>
      </c>
      <c r="AB31" s="8">
        <f>IF((0=1),SUMIFS('Daily evaluations'!$D$2:$D$36,'Daily evaluations'!$B$2:$B$36,"=random_15",'Daily evaluations'!$C$2:$C$36,"=d20261027"),"")</f>
      </c>
      <c r="AC31" s="8">
        <f>IF((0=1),SUMIFS('Daily evaluations'!$D$2:$D$36,'Daily evaluations'!$B$2:$B$36,"=random_15",'Daily evaluations'!$C$2:$C$36,"=d20261028"),"")</f>
      </c>
      <c r="AD31" s="8">
        <f>IF((0=1),SUMIFS('Daily evaluations'!$D$2:$D$36,'Daily evaluations'!$B$2:$B$36,"=random_15",'Daily evaluations'!$C$2:$C$36,"=d20261029"),"")</f>
      </c>
      <c r="AE31" s="8">
        <f>IF((0=1),SUMIFS('Daily evaluations'!$D$2:$D$36,'Daily evaluations'!$B$2:$B$36,"=random_15",'Daily evaluations'!$C$2:$C$36,"=d20261030"),"")</f>
      </c>
      <c r="AF31" s="8">
        <f>IF((0=1),SUMIFS('Daily evaluations'!$D$2:$D$36,'Daily evaluations'!$B$2:$B$36,"=random_15",'Daily evaluations'!$C$2:$C$36,"=d20261102"),"")</f>
      </c>
      <c r="AG31" s="8">
        <f>IF((0=1),SUMIFS('Daily evaluations'!$D$2:$D$36,'Daily evaluations'!$B$2:$B$36,"=random_15",'Daily evaluations'!$C$2:$C$36,"=d20261103"),"")</f>
      </c>
      <c r="AH31" s="8">
        <f>IF((0=1),SUMIFS('Daily evaluations'!$D$2:$D$36,'Daily evaluations'!$B$2:$B$36,"=random_15",'Daily evaluations'!$C$2:$C$36,"=d20261104"),"")</f>
      </c>
      <c r="AI31" s="8">
        <f>IF((0=1),SUMIFS('Daily evaluations'!$D$2:$D$36,'Daily evaluations'!$B$2:$B$36,"=random_15",'Daily evaluations'!$C$2:$C$36,"=d20261105"),"")</f>
      </c>
      <c r="AJ31" s="8">
        <f>IF((0=1),SUMIFS('Daily evaluations'!$D$2:$D$36,'Daily evaluations'!$B$2:$B$36,"=random_15",'Daily evaluations'!$C$2:$C$36,"=d20261106"),"")</f>
      </c>
      <c r="AK31" s="8">
        <f>IF((0=1),SUMIFS('Daily evaluations'!$D$2:$D$36,'Daily evaluations'!$B$2:$B$36,"=random_15",'Daily evaluations'!$C$2:$C$36,"=d20261109"),"")</f>
      </c>
      <c r="AL31" s="8">
        <f>IF((0=1),SUMIFS('Daily evaluations'!$D$2:$D$36,'Daily evaluations'!$B$2:$B$36,"=random_15",'Daily evaluations'!$C$2:$C$36,"=d20261110"),"")</f>
      </c>
      <c r="AM31" s="8">
        <f>IF((0=1),SUMIFS('Daily evaluations'!$D$2:$D$36,'Daily evaluations'!$B$2:$B$36,"=random_15",'Daily evaluations'!$C$2:$C$36,"=d20261111"),"")</f>
      </c>
      <c r="AN31" s="8">
        <f>IF((0=1),SUMIFS('Daily evaluations'!$D$2:$D$36,'Daily evaluations'!$B$2:$B$36,"=random_15",'Daily evaluations'!$C$2:$C$36,"=d20261112"),"")</f>
      </c>
      <c r="AO31" s="8">
        <f>IF((0=1),SUMIFS('Daily evaluations'!$D$2:$D$36,'Daily evaluations'!$B$2:$B$36,"=random_15",'Daily evaluations'!$C$2:$C$36,"=d20261113"),"")</f>
      </c>
      <c r="AP31" s="8">
        <f>IF((0=1),SUMIFS('Daily evaluations'!$D$2:$D$36,'Daily evaluations'!$B$2:$B$36,"=random_15",'Daily evaluations'!$C$2:$C$36,"=d20261116"),"")</f>
      </c>
      <c r="AQ31" s="8">
        <f>IF((0=1),SUMIFS('Daily evaluations'!$D$2:$D$36,'Daily evaluations'!$B$2:$B$36,"=random_15",'Daily evaluations'!$C$2:$C$36,"=d20261117"),"")</f>
      </c>
      <c r="AR31" s="8">
        <f>IF((0=1),SUMIFS('Daily evaluations'!$D$2:$D$36,'Daily evaluations'!$B$2:$B$36,"=random_15",'Daily evaluations'!$C$2:$C$36,"=d20261118"),"")</f>
      </c>
      <c r="AS31" s="8">
        <f>IF((0=1),SUMIFS('Daily evaluations'!$D$2:$D$36,'Daily evaluations'!$B$2:$B$36,"=random_15",'Daily evaluations'!$C$2:$C$36,"=d20261119"),"")</f>
      </c>
      <c r="AT31" s="8">
        <f>IF((0=1),SUMIFS('Daily evaluations'!$D$2:$D$36,'Daily evaluations'!$B$2:$B$36,"=random_15",'Daily evaluations'!$C$2:$C$36,"=d20261120"),"")</f>
      </c>
      <c r="AU31" s="8">
        <f>IF((0=1),SUMIFS('Daily evaluations'!$D$2:$D$36,'Daily evaluations'!$B$2:$B$36,"=random_15",'Daily evaluations'!$C$2:$C$36,"=d20261123"),"")</f>
      </c>
      <c r="AV31" s="8">
        <f>IF((0=1),SUMIFS('Daily evaluations'!$D$2:$D$36,'Daily evaluations'!$B$2:$B$36,"=random_15",'Daily evaluations'!$C$2:$C$36,"=d20261124"),"")</f>
      </c>
      <c r="AW31" s="8">
        <f>IF((0=1),SUMIFS('Daily evaluations'!$D$2:$D$36,'Daily evaluations'!$B$2:$B$36,"=random_15",'Daily evaluations'!$C$2:$C$36,"=d20261125"),"")</f>
      </c>
      <c r="AX31" s="8">
        <f>IF((0=1),SUMIFS('Daily evaluations'!$D$2:$D$36,'Daily evaluations'!$B$2:$B$36,"=random_15",'Daily evaluations'!$C$2:$C$36,"=d20261127"),"")</f>
      </c>
      <c r="AY31" s="8">
        <f>IF((0=1),SUMIFS('Daily evaluations'!$D$2:$D$36,'Daily evaluations'!$B$2:$B$36,"=random_15",'Daily evaluations'!$C$2:$C$36,"=d20261130"),"")</f>
      </c>
      <c r="AZ31" s="8">
        <f>IF((0=1),SUMIFS('Daily evaluations'!$D$2:$D$36,'Daily evaluations'!$B$2:$B$36,"=random_15",'Daily evaluations'!$C$2:$C$36,"=d20261201"),"")</f>
      </c>
      <c r="BA31" s="8">
        <f>IF((0=1),SUMIFS('Daily evaluations'!$D$2:$D$36,'Daily evaluations'!$B$2:$B$36,"=random_15",'Daily evaluations'!$C$2:$C$36,"=d20261202"),"")</f>
      </c>
      <c r="BB31" s="8">
        <f>IF((0=1),SUMIFS('Daily evaluations'!$D$2:$D$36,'Daily evaluations'!$B$2:$B$36,"=random_15",'Daily evaluations'!$C$2:$C$36,"=d20261203"),"")</f>
      </c>
      <c r="BC31" s="8">
        <f>IF((0=1),SUMIFS('Daily evaluations'!$D$2:$D$36,'Daily evaluations'!$B$2:$B$36,"=random_15",'Daily evaluations'!$C$2:$C$36,"=d20261204"),"")</f>
      </c>
      <c r="BD31" s="8">
        <f>IF((0=1),SUMIFS('Daily evaluations'!$D$2:$D$36,'Daily evaluations'!$B$2:$B$36,"=random_15",'Daily evaluations'!$C$2:$C$36,"=d20261207"),"")</f>
      </c>
      <c r="BE31" s="8">
        <f>IF((0=1),SUMIFS('Daily evaluations'!$D$2:$D$36,'Daily evaluations'!$B$2:$B$36,"=random_15",'Daily evaluations'!$C$2:$C$36,"=d20261208"),"")</f>
      </c>
      <c r="BF31" s="8">
        <f>IF((0=1),SUMIFS('Daily evaluations'!$D$2:$D$36,'Daily evaluations'!$B$2:$B$36,"=random_15",'Daily evaluations'!$C$2:$C$36,"=d20261209"),"")</f>
      </c>
      <c r="BG31" s="8">
        <f>IF((0=1),SUMIFS('Daily evaluations'!$D$2:$D$36,'Daily evaluations'!$B$2:$B$36,"=random_15",'Daily evaluations'!$C$2:$C$36,"=d20261210"),"")</f>
      </c>
      <c r="BH31" s="8">
        <f>IF((0=1),SUMIFS('Daily evaluations'!$D$2:$D$36,'Daily evaluations'!$B$2:$B$36,"=random_15",'Daily evaluations'!$C$2:$C$36,"=d20261211"),"")</f>
      </c>
      <c r="BI31" s="8">
        <f>IF((0=1),SUMIFS('Daily evaluations'!$D$2:$D$36,'Daily evaluations'!$B$2:$B$36,"=random_15",'Daily evaluations'!$C$2:$C$36,"=d20261214"),"")</f>
      </c>
      <c r="BJ31" s="8">
        <f>IF((0=1),SUMIFS('Daily evaluations'!$D$2:$D$36,'Daily evaluations'!$B$2:$B$36,"=random_15",'Daily evaluations'!$C$2:$C$36,"=d20261215"),"")</f>
      </c>
      <c r="BK31" s="8">
        <f>IF((0=1),SUMIFS('Daily evaluations'!$D$2:$D$36,'Daily evaluations'!$B$2:$B$36,"=random_15",'Daily evaluations'!$C$2:$C$36,"=d20261216"),"")</f>
      </c>
      <c r="BL31" s="8">
        <f>IF((0=1),SUMIFS('Daily evaluations'!$D$2:$D$36,'Daily evaluations'!$B$2:$B$36,"=random_15",'Daily evaluations'!$C$2:$C$36,"=d20261217"),"")</f>
      </c>
      <c r="BM31" s="8">
        <f>IF((0=1),SUMIFS('Daily evaluations'!$D$2:$D$36,'Daily evaluations'!$B$2:$B$36,"=random_15",'Daily evaluations'!$C$2:$C$36,"=d20261218"),"")</f>
      </c>
      <c r="BN31" s="8">
        <f>IF((0=1),SUMIFS('Daily evaluations'!$D$2:$D$36,'Daily evaluations'!$B$2:$B$36,"=random_15",'Daily evaluations'!$C$2:$C$36,"=d20261221"),"")</f>
      </c>
      <c r="BO31" s="8">
        <f>IF((0=1),SUMIFS('Daily evaluations'!$D$2:$D$36,'Daily evaluations'!$B$2:$B$36,"=random_15",'Daily evaluations'!$C$2:$C$36,"=d20261222"),"")</f>
      </c>
      <c r="BP31" s="8">
        <f>IF((0=1),SUMIFS('Daily evaluations'!$D$2:$D$36,'Daily evaluations'!$B$2:$B$36,"=random_15",'Daily evaluations'!$C$2:$C$36,"=d20261223"),"")</f>
      </c>
      <c r="BQ31" s="8">
        <f>IF((0=1),SUMIFS('Daily evaluations'!$D$2:$D$36,'Daily evaluations'!$B$2:$B$36,"=random_15",'Daily evaluations'!$C$2:$C$36,"=d20261224"),"")</f>
      </c>
      <c r="BR31" s="8">
        <f>IF((0=1),SUMIFS('Daily evaluations'!$D$2:$D$36,'Daily evaluations'!$B$2:$B$36,"=random_15",'Daily evaluations'!$C$2:$C$36,"=d20261228"),"")</f>
      </c>
      <c r="BS31" s="8">
        <f>IF((0=1),SUMIFS('Daily evaluations'!$D$2:$D$36,'Daily evaluations'!$B$2:$B$36,"=random_15",'Daily evaluations'!$C$2:$C$36,"=d20261229"),"")</f>
      </c>
      <c r="BT31" s="8">
        <f>IF((0=1),SUMIFS('Daily evaluations'!$D$2:$D$36,'Daily evaluations'!$B$2:$B$36,"=random_15",'Daily evaluations'!$C$2:$C$36,"=d20261230"),"")</f>
      </c>
      <c r="BU31" s="8">
        <f>IF((0=1),SUMIFS('Daily evaluations'!$D$2:$D$36,'Daily evaluations'!$B$2:$B$36,"=random_15",'Daily evaluations'!$C$2:$C$36,"=d20261231"),"")</f>
      </c>
      <c r="BV31" s="8">
        <f>IF((0=1),SUMIFS('Daily evaluations'!$D$2:$D$36,'Daily evaluations'!$B$2:$B$36,"=random_15",'Daily evaluations'!$C$2:$C$36,"=d20270104"),"")</f>
      </c>
      <c r="BW31" s="8">
        <f>IF((0=1),SUMIFS('Daily evaluations'!$D$2:$D$36,'Daily evaluations'!$B$2:$B$36,"=random_15",'Daily evaluations'!$C$2:$C$36,"=d20270105"),"")</f>
      </c>
      <c r="BX31" s="8">
        <f>IF((0=1),SUMIFS('Daily evaluations'!$D$2:$D$36,'Daily evaluations'!$B$2:$B$36,"=random_15",'Daily evaluations'!$C$2:$C$36,"=d20270106"),"")</f>
      </c>
      <c r="BY31" s="8">
        <f>IF((0=1),SUMIFS('Daily evaluations'!$D$2:$D$36,'Daily evaluations'!$B$2:$B$36,"=random_15",'Daily evaluations'!$C$2:$C$36,"=d20270107"),"")</f>
      </c>
      <c r="BZ31" s="8">
        <f>IF((0=1),SUMIFS('Daily evaluations'!$D$2:$D$36,'Daily evaluations'!$B$2:$B$36,"=random_15",'Daily evaluations'!$C$2:$C$36,"=d20270108"),"")</f>
      </c>
      <c r="CA31" s="8">
        <f>IF((0=1),SUMIFS('Daily evaluations'!$D$2:$D$36,'Daily evaluations'!$B$2:$B$36,"=random_15",'Daily evaluations'!$C$2:$C$36,"=d20270111"),"")</f>
      </c>
      <c r="CB31" s="8">
        <f>IF((0=1),SUMIFS('Daily evaluations'!$D$2:$D$36,'Daily evaluations'!$B$2:$B$36,"=random_15",'Daily evaluations'!$C$2:$C$36,"=d20270112"),"")</f>
      </c>
      <c r="CC31" s="8">
        <f>IF((0=1),SUMIFS('Daily evaluations'!$D$2:$D$36,'Daily evaluations'!$B$2:$B$36,"=random_15",'Daily evaluations'!$C$2:$C$36,"=d20270113"),"")</f>
      </c>
      <c r="CD31" s="8">
        <f>IF((0=1),SUMIFS('Daily evaluations'!$D$2:$D$36,'Daily evaluations'!$B$2:$B$36,"=random_15",'Daily evaluations'!$C$2:$C$36,"=d20270114"),"")</f>
      </c>
      <c r="CE31" s="8">
        <f>IF((0=1),SUMIFS('Daily evaluations'!$D$2:$D$36,'Daily evaluations'!$B$2:$B$36,"=random_15",'Daily evaluations'!$C$2:$C$36,"=d20270115"),"")</f>
      </c>
      <c r="CF31" s="8">
        <f>IF((0=1),SUMIFS('Daily evaluations'!$D$2:$D$36,'Daily evaluations'!$B$2:$B$36,"=random_15",'Daily evaluations'!$C$2:$C$36,"=d20270119"),"")</f>
      </c>
      <c r="CG31" s="8">
        <f>IF((0=1),SUMIFS('Daily evaluations'!$D$2:$D$36,'Daily evaluations'!$B$2:$B$36,"=random_15",'Daily evaluations'!$C$2:$C$36,"=d20270120"),"")</f>
      </c>
      <c r="CH31" s="8">
        <f>IF((0=1),SUMIFS('Daily evaluations'!$D$2:$D$36,'Daily evaluations'!$B$2:$B$36,"=random_15",'Daily evaluations'!$C$2:$C$36,"=d20270121"),"")</f>
      </c>
      <c r="CI31" s="8">
        <f>IF((0=1),SUMIFS('Daily evaluations'!$D$2:$D$36,'Daily evaluations'!$B$2:$B$36,"=random_15",'Daily evaluations'!$C$2:$C$36,"=d20270122"),"")</f>
      </c>
      <c r="CJ31" s="8">
        <f>IF((0=1),SUMIFS('Daily evaluations'!$D$2:$D$36,'Daily evaluations'!$B$2:$B$36,"=random_15",'Daily evaluations'!$C$2:$C$36,"=d20270125"),"")</f>
      </c>
      <c r="CK31" s="8">
        <f>IF((0=1),SUMIFS('Daily evaluations'!$D$2:$D$36,'Daily evaluations'!$B$2:$B$36,"=random_15",'Daily evaluations'!$C$2:$C$36,"=d20270126"),"")</f>
      </c>
      <c r="CL31" s="8">
        <f>IF((0=1),SUMIFS('Daily evaluations'!$D$2:$D$36,'Daily evaluations'!$B$2:$B$36,"=random_15",'Daily evaluations'!$C$2:$C$36,"=d20270127"),"")</f>
      </c>
      <c r="CM31" s="8">
        <f>IF((0=1),SUMIFS('Daily evaluations'!$D$2:$D$36,'Daily evaluations'!$B$2:$B$36,"=random_15",'Daily evaluations'!$C$2:$C$36,"=d20270128"),"")</f>
      </c>
      <c r="CN31" s="8">
        <f>IF((0=1),SUMIFS('Daily evaluations'!$D$2:$D$36,'Daily evaluations'!$B$2:$B$36,"=random_15",'Daily evaluations'!$C$2:$C$36,"=d20270129"),"")</f>
      </c>
      <c r="CO31" s="8">
        <f>IF((0=1),SUMIFS('Daily evaluations'!$D$2:$D$36,'Daily evaluations'!$B$2:$B$36,"=random_15",'Daily evaluations'!$C$2:$C$36,"=d20270201"),"")</f>
      </c>
      <c r="CP31" s="8">
        <f>IF((0=1),SUMIFS('Daily evaluations'!$D$2:$D$36,'Daily evaluations'!$B$2:$B$36,"=random_15",'Daily evaluations'!$C$2:$C$36,"=d20270202"),"")</f>
      </c>
      <c r="CQ31" s="8">
        <f>IF((0=1),SUMIFS('Daily evaluations'!$D$2:$D$36,'Daily evaluations'!$B$2:$B$36,"=random_15",'Daily evaluations'!$C$2:$C$36,"=d20270203"),"")</f>
      </c>
      <c r="CR31" s="8">
        <f>IF((0=1),SUMIFS('Daily evaluations'!$D$2:$D$36,'Daily evaluations'!$B$2:$B$36,"=random_15",'Daily evaluations'!$C$2:$C$36,"=d20270204"),"")</f>
      </c>
      <c r="CS31" s="8">
        <f>IF((0=1),SUMIFS('Daily evaluations'!$D$2:$D$36,'Daily evaluations'!$B$2:$B$36,"=random_15",'Daily evaluations'!$C$2:$C$36,"=d20270205"),"")</f>
      </c>
      <c r="CT31" s="8">
        <f>IF((0=1),SUMIFS('Daily evaluations'!$D$2:$D$36,'Daily evaluations'!$B$2:$B$36,"=random_15",'Daily evaluations'!$C$2:$C$36,"=d20270208"),"")</f>
      </c>
      <c r="CU31" s="8">
        <f>IF((0=1),SUMIFS('Daily evaluations'!$D$2:$D$36,'Daily evaluations'!$B$2:$B$36,"=random_15",'Daily evaluations'!$C$2:$C$36,"=d20270209"),"")</f>
      </c>
      <c r="CV31" s="8">
        <f>IF((0=1),SUMIFS('Daily evaluations'!$D$2:$D$36,'Daily evaluations'!$B$2:$B$36,"=random_15",'Daily evaluations'!$C$2:$C$36,"=d20270210"),"")</f>
      </c>
      <c r="CW31" s="8">
        <f>IF((0=1),SUMIFS('Daily evaluations'!$D$2:$D$36,'Daily evaluations'!$B$2:$B$36,"=random_15",'Daily evaluations'!$C$2:$C$36,"=d20270211"),"")</f>
      </c>
      <c r="CX31" s="8">
        <f>IF((0=1),SUMIFS('Daily evaluations'!$D$2:$D$36,'Daily evaluations'!$B$2:$B$36,"=random_15",'Daily evaluations'!$C$2:$C$36,"=d20270212"),"")</f>
      </c>
    </row>
    <row r="32">
      <c r="A32" s="0" t="inlineStr">
        <is>
          <t xml:space="preserve">Sector-neutral overnight excess, bps</t>
        </is>
      </c>
      <c r="B32" s="0" t="inlineStr">
        <is>
          <t xml:space="preserve">Random 16</t>
        </is>
      </c>
      <c r="C32" s="8">
        <f>IF((1=1),SUMIFS('Daily evaluations'!$D$2:$D$36,'Daily evaluations'!$B$2:$B$36,"=random_16",'Daily evaluations'!$C$2:$C$36,"=d20260922"),"")</f>
        <v>-1.212</v>
      </c>
      <c r="D32" s="8">
        <f>IF((0=1),SUMIFS('Daily evaluations'!$D$2:$D$36,'Daily evaluations'!$B$2:$B$36,"=random_16",'Daily evaluations'!$C$2:$C$36,"=d20260923"),"")</f>
      </c>
      <c r="E32" s="8">
        <f>IF((0=1),SUMIFS('Daily evaluations'!$D$2:$D$36,'Daily evaluations'!$B$2:$B$36,"=random_16",'Daily evaluations'!$C$2:$C$36,"=d20260924"),"")</f>
      </c>
      <c r="F32" s="8">
        <f>IF((0=1),SUMIFS('Daily evaluations'!$D$2:$D$36,'Daily evaluations'!$B$2:$B$36,"=random_16",'Daily evaluations'!$C$2:$C$36,"=d20260925"),"")</f>
      </c>
      <c r="G32" s="8">
        <f>IF((0=1),SUMIFS('Daily evaluations'!$D$2:$D$36,'Daily evaluations'!$B$2:$B$36,"=random_16",'Daily evaluations'!$C$2:$C$36,"=d20260928"),"")</f>
      </c>
      <c r="H32" s="8">
        <f>IF((0=1),SUMIFS('Daily evaluations'!$D$2:$D$36,'Daily evaluations'!$B$2:$B$36,"=random_16",'Daily evaluations'!$C$2:$C$36,"=d20260929"),"")</f>
      </c>
      <c r="I32" s="8">
        <f>IF((0=1),SUMIFS('Daily evaluations'!$D$2:$D$36,'Daily evaluations'!$B$2:$B$36,"=random_16",'Daily evaluations'!$C$2:$C$36,"=d20260930"),"")</f>
      </c>
      <c r="J32" s="8">
        <f>IF((0=1),SUMIFS('Daily evaluations'!$D$2:$D$36,'Daily evaluations'!$B$2:$B$36,"=random_16",'Daily evaluations'!$C$2:$C$36,"=d20261001"),"")</f>
      </c>
      <c r="K32" s="8">
        <f>IF((0=1),SUMIFS('Daily evaluations'!$D$2:$D$36,'Daily evaluations'!$B$2:$B$36,"=random_16",'Daily evaluations'!$C$2:$C$36,"=d20261002"),"")</f>
      </c>
      <c r="L32" s="8">
        <f>IF((0=1),SUMIFS('Daily evaluations'!$D$2:$D$36,'Daily evaluations'!$B$2:$B$36,"=random_16",'Daily evaluations'!$C$2:$C$36,"=d20261005"),"")</f>
      </c>
      <c r="M32" s="8">
        <f>IF((0=1),SUMIFS('Daily evaluations'!$D$2:$D$36,'Daily evaluations'!$B$2:$B$36,"=random_16",'Daily evaluations'!$C$2:$C$36,"=d20261006"),"")</f>
      </c>
      <c r="N32" s="8">
        <f>IF((0=1),SUMIFS('Daily evaluations'!$D$2:$D$36,'Daily evaluations'!$B$2:$B$36,"=random_16",'Daily evaluations'!$C$2:$C$36,"=d20261007"),"")</f>
      </c>
      <c r="O32" s="8">
        <f>IF((0=1),SUMIFS('Daily evaluations'!$D$2:$D$36,'Daily evaluations'!$B$2:$B$36,"=random_16",'Daily evaluations'!$C$2:$C$36,"=d20261008"),"")</f>
      </c>
      <c r="P32" s="8">
        <f>IF((0=1),SUMIFS('Daily evaluations'!$D$2:$D$36,'Daily evaluations'!$B$2:$B$36,"=random_16",'Daily evaluations'!$C$2:$C$36,"=d20261009"),"")</f>
      </c>
      <c r="Q32" s="8">
        <f>IF((0=1),SUMIFS('Daily evaluations'!$D$2:$D$36,'Daily evaluations'!$B$2:$B$36,"=random_16",'Daily evaluations'!$C$2:$C$36,"=d20261012"),"")</f>
      </c>
      <c r="R32" s="8">
        <f>IF((0=1),SUMIFS('Daily evaluations'!$D$2:$D$36,'Daily evaluations'!$B$2:$B$36,"=random_16",'Daily evaluations'!$C$2:$C$36,"=d20261013"),"")</f>
      </c>
      <c r="S32" s="8">
        <f>IF((0=1),SUMIFS('Daily evaluations'!$D$2:$D$36,'Daily evaluations'!$B$2:$B$36,"=random_16",'Daily evaluations'!$C$2:$C$36,"=d20261014"),"")</f>
      </c>
      <c r="T32" s="8">
        <f>IF((0=1),SUMIFS('Daily evaluations'!$D$2:$D$36,'Daily evaluations'!$B$2:$B$36,"=random_16",'Daily evaluations'!$C$2:$C$36,"=d20261015"),"")</f>
      </c>
      <c r="U32" s="8">
        <f>IF((0=1),SUMIFS('Daily evaluations'!$D$2:$D$36,'Daily evaluations'!$B$2:$B$36,"=random_16",'Daily evaluations'!$C$2:$C$36,"=d20261016"),"")</f>
      </c>
      <c r="V32" s="8">
        <f>IF((0=1),SUMIFS('Daily evaluations'!$D$2:$D$36,'Daily evaluations'!$B$2:$B$36,"=random_16",'Daily evaluations'!$C$2:$C$36,"=d20261019"),"")</f>
      </c>
      <c r="W32" s="8">
        <f>IF((0=1),SUMIFS('Daily evaluations'!$D$2:$D$36,'Daily evaluations'!$B$2:$B$36,"=random_16",'Daily evaluations'!$C$2:$C$36,"=d20261020"),"")</f>
      </c>
      <c r="X32" s="8">
        <f>IF((0=1),SUMIFS('Daily evaluations'!$D$2:$D$36,'Daily evaluations'!$B$2:$B$36,"=random_16",'Daily evaluations'!$C$2:$C$36,"=d20261021"),"")</f>
      </c>
      <c r="Y32" s="8">
        <f>IF((0=1),SUMIFS('Daily evaluations'!$D$2:$D$36,'Daily evaluations'!$B$2:$B$36,"=random_16",'Daily evaluations'!$C$2:$C$36,"=d20261022"),"")</f>
      </c>
      <c r="Z32" s="8">
        <f>IF((0=1),SUMIFS('Daily evaluations'!$D$2:$D$36,'Daily evaluations'!$B$2:$B$36,"=random_16",'Daily evaluations'!$C$2:$C$36,"=d20261023"),"")</f>
      </c>
      <c r="AA32" s="8">
        <f>IF((0=1),SUMIFS('Daily evaluations'!$D$2:$D$36,'Daily evaluations'!$B$2:$B$36,"=random_16",'Daily evaluations'!$C$2:$C$36,"=d20261026"),"")</f>
      </c>
      <c r="AB32" s="8">
        <f>IF((0=1),SUMIFS('Daily evaluations'!$D$2:$D$36,'Daily evaluations'!$B$2:$B$36,"=random_16",'Daily evaluations'!$C$2:$C$36,"=d20261027"),"")</f>
      </c>
      <c r="AC32" s="8">
        <f>IF((0=1),SUMIFS('Daily evaluations'!$D$2:$D$36,'Daily evaluations'!$B$2:$B$36,"=random_16",'Daily evaluations'!$C$2:$C$36,"=d20261028"),"")</f>
      </c>
      <c r="AD32" s="8">
        <f>IF((0=1),SUMIFS('Daily evaluations'!$D$2:$D$36,'Daily evaluations'!$B$2:$B$36,"=random_16",'Daily evaluations'!$C$2:$C$36,"=d20261029"),"")</f>
      </c>
      <c r="AE32" s="8">
        <f>IF((0=1),SUMIFS('Daily evaluations'!$D$2:$D$36,'Daily evaluations'!$B$2:$B$36,"=random_16",'Daily evaluations'!$C$2:$C$36,"=d20261030"),"")</f>
      </c>
      <c r="AF32" s="8">
        <f>IF((0=1),SUMIFS('Daily evaluations'!$D$2:$D$36,'Daily evaluations'!$B$2:$B$36,"=random_16",'Daily evaluations'!$C$2:$C$36,"=d20261102"),"")</f>
      </c>
      <c r="AG32" s="8">
        <f>IF((0=1),SUMIFS('Daily evaluations'!$D$2:$D$36,'Daily evaluations'!$B$2:$B$36,"=random_16",'Daily evaluations'!$C$2:$C$36,"=d20261103"),"")</f>
      </c>
      <c r="AH32" s="8">
        <f>IF((0=1),SUMIFS('Daily evaluations'!$D$2:$D$36,'Daily evaluations'!$B$2:$B$36,"=random_16",'Daily evaluations'!$C$2:$C$36,"=d20261104"),"")</f>
      </c>
      <c r="AI32" s="8">
        <f>IF((0=1),SUMIFS('Daily evaluations'!$D$2:$D$36,'Daily evaluations'!$B$2:$B$36,"=random_16",'Daily evaluations'!$C$2:$C$36,"=d20261105"),"")</f>
      </c>
      <c r="AJ32" s="8">
        <f>IF((0=1),SUMIFS('Daily evaluations'!$D$2:$D$36,'Daily evaluations'!$B$2:$B$36,"=random_16",'Daily evaluations'!$C$2:$C$36,"=d20261106"),"")</f>
      </c>
      <c r="AK32" s="8">
        <f>IF((0=1),SUMIFS('Daily evaluations'!$D$2:$D$36,'Daily evaluations'!$B$2:$B$36,"=random_16",'Daily evaluations'!$C$2:$C$36,"=d20261109"),"")</f>
      </c>
      <c r="AL32" s="8">
        <f>IF((0=1),SUMIFS('Daily evaluations'!$D$2:$D$36,'Daily evaluations'!$B$2:$B$36,"=random_16",'Daily evaluations'!$C$2:$C$36,"=d20261110"),"")</f>
      </c>
      <c r="AM32" s="8">
        <f>IF((0=1),SUMIFS('Daily evaluations'!$D$2:$D$36,'Daily evaluations'!$B$2:$B$36,"=random_16",'Daily evaluations'!$C$2:$C$36,"=d20261111"),"")</f>
      </c>
      <c r="AN32" s="8">
        <f>IF((0=1),SUMIFS('Daily evaluations'!$D$2:$D$36,'Daily evaluations'!$B$2:$B$36,"=random_16",'Daily evaluations'!$C$2:$C$36,"=d20261112"),"")</f>
      </c>
      <c r="AO32" s="8">
        <f>IF((0=1),SUMIFS('Daily evaluations'!$D$2:$D$36,'Daily evaluations'!$B$2:$B$36,"=random_16",'Daily evaluations'!$C$2:$C$36,"=d20261113"),"")</f>
      </c>
      <c r="AP32" s="8">
        <f>IF((0=1),SUMIFS('Daily evaluations'!$D$2:$D$36,'Daily evaluations'!$B$2:$B$36,"=random_16",'Daily evaluations'!$C$2:$C$36,"=d20261116"),"")</f>
      </c>
      <c r="AQ32" s="8">
        <f>IF((0=1),SUMIFS('Daily evaluations'!$D$2:$D$36,'Daily evaluations'!$B$2:$B$36,"=random_16",'Daily evaluations'!$C$2:$C$36,"=d20261117"),"")</f>
      </c>
      <c r="AR32" s="8">
        <f>IF((0=1),SUMIFS('Daily evaluations'!$D$2:$D$36,'Daily evaluations'!$B$2:$B$36,"=random_16",'Daily evaluations'!$C$2:$C$36,"=d20261118"),"")</f>
      </c>
      <c r="AS32" s="8">
        <f>IF((0=1),SUMIFS('Daily evaluations'!$D$2:$D$36,'Daily evaluations'!$B$2:$B$36,"=random_16",'Daily evaluations'!$C$2:$C$36,"=d20261119"),"")</f>
      </c>
      <c r="AT32" s="8">
        <f>IF((0=1),SUMIFS('Daily evaluations'!$D$2:$D$36,'Daily evaluations'!$B$2:$B$36,"=random_16",'Daily evaluations'!$C$2:$C$36,"=d20261120"),"")</f>
      </c>
      <c r="AU32" s="8">
        <f>IF((0=1),SUMIFS('Daily evaluations'!$D$2:$D$36,'Daily evaluations'!$B$2:$B$36,"=random_16",'Daily evaluations'!$C$2:$C$36,"=d20261123"),"")</f>
      </c>
      <c r="AV32" s="8">
        <f>IF((0=1),SUMIFS('Daily evaluations'!$D$2:$D$36,'Daily evaluations'!$B$2:$B$36,"=random_16",'Daily evaluations'!$C$2:$C$36,"=d20261124"),"")</f>
      </c>
      <c r="AW32" s="8">
        <f>IF((0=1),SUMIFS('Daily evaluations'!$D$2:$D$36,'Daily evaluations'!$B$2:$B$36,"=random_16",'Daily evaluations'!$C$2:$C$36,"=d20261125"),"")</f>
      </c>
      <c r="AX32" s="8">
        <f>IF((0=1),SUMIFS('Daily evaluations'!$D$2:$D$36,'Daily evaluations'!$B$2:$B$36,"=random_16",'Daily evaluations'!$C$2:$C$36,"=d20261127"),"")</f>
      </c>
      <c r="AY32" s="8">
        <f>IF((0=1),SUMIFS('Daily evaluations'!$D$2:$D$36,'Daily evaluations'!$B$2:$B$36,"=random_16",'Daily evaluations'!$C$2:$C$36,"=d20261130"),"")</f>
      </c>
      <c r="AZ32" s="8">
        <f>IF((0=1),SUMIFS('Daily evaluations'!$D$2:$D$36,'Daily evaluations'!$B$2:$B$36,"=random_16",'Daily evaluations'!$C$2:$C$36,"=d20261201"),"")</f>
      </c>
      <c r="BA32" s="8">
        <f>IF((0=1),SUMIFS('Daily evaluations'!$D$2:$D$36,'Daily evaluations'!$B$2:$B$36,"=random_16",'Daily evaluations'!$C$2:$C$36,"=d20261202"),"")</f>
      </c>
      <c r="BB32" s="8">
        <f>IF((0=1),SUMIFS('Daily evaluations'!$D$2:$D$36,'Daily evaluations'!$B$2:$B$36,"=random_16",'Daily evaluations'!$C$2:$C$36,"=d20261203"),"")</f>
      </c>
      <c r="BC32" s="8">
        <f>IF((0=1),SUMIFS('Daily evaluations'!$D$2:$D$36,'Daily evaluations'!$B$2:$B$36,"=random_16",'Daily evaluations'!$C$2:$C$36,"=d20261204"),"")</f>
      </c>
      <c r="BD32" s="8">
        <f>IF((0=1),SUMIFS('Daily evaluations'!$D$2:$D$36,'Daily evaluations'!$B$2:$B$36,"=random_16",'Daily evaluations'!$C$2:$C$36,"=d20261207"),"")</f>
      </c>
      <c r="BE32" s="8">
        <f>IF((0=1),SUMIFS('Daily evaluations'!$D$2:$D$36,'Daily evaluations'!$B$2:$B$36,"=random_16",'Daily evaluations'!$C$2:$C$36,"=d20261208"),"")</f>
      </c>
      <c r="BF32" s="8">
        <f>IF((0=1),SUMIFS('Daily evaluations'!$D$2:$D$36,'Daily evaluations'!$B$2:$B$36,"=random_16",'Daily evaluations'!$C$2:$C$36,"=d20261209"),"")</f>
      </c>
      <c r="BG32" s="8">
        <f>IF((0=1),SUMIFS('Daily evaluations'!$D$2:$D$36,'Daily evaluations'!$B$2:$B$36,"=random_16",'Daily evaluations'!$C$2:$C$36,"=d20261210"),"")</f>
      </c>
      <c r="BH32" s="8">
        <f>IF((0=1),SUMIFS('Daily evaluations'!$D$2:$D$36,'Daily evaluations'!$B$2:$B$36,"=random_16",'Daily evaluations'!$C$2:$C$36,"=d20261211"),"")</f>
      </c>
      <c r="BI32" s="8">
        <f>IF((0=1),SUMIFS('Daily evaluations'!$D$2:$D$36,'Daily evaluations'!$B$2:$B$36,"=random_16",'Daily evaluations'!$C$2:$C$36,"=d20261214"),"")</f>
      </c>
      <c r="BJ32" s="8">
        <f>IF((0=1),SUMIFS('Daily evaluations'!$D$2:$D$36,'Daily evaluations'!$B$2:$B$36,"=random_16",'Daily evaluations'!$C$2:$C$36,"=d20261215"),"")</f>
      </c>
      <c r="BK32" s="8">
        <f>IF((0=1),SUMIFS('Daily evaluations'!$D$2:$D$36,'Daily evaluations'!$B$2:$B$36,"=random_16",'Daily evaluations'!$C$2:$C$36,"=d20261216"),"")</f>
      </c>
      <c r="BL32" s="8">
        <f>IF((0=1),SUMIFS('Daily evaluations'!$D$2:$D$36,'Daily evaluations'!$B$2:$B$36,"=random_16",'Daily evaluations'!$C$2:$C$36,"=d20261217"),"")</f>
      </c>
      <c r="BM32" s="8">
        <f>IF((0=1),SUMIFS('Daily evaluations'!$D$2:$D$36,'Daily evaluations'!$B$2:$B$36,"=random_16",'Daily evaluations'!$C$2:$C$36,"=d20261218"),"")</f>
      </c>
      <c r="BN32" s="8">
        <f>IF((0=1),SUMIFS('Daily evaluations'!$D$2:$D$36,'Daily evaluations'!$B$2:$B$36,"=random_16",'Daily evaluations'!$C$2:$C$36,"=d20261221"),"")</f>
      </c>
      <c r="BO32" s="8">
        <f>IF((0=1),SUMIFS('Daily evaluations'!$D$2:$D$36,'Daily evaluations'!$B$2:$B$36,"=random_16",'Daily evaluations'!$C$2:$C$36,"=d20261222"),"")</f>
      </c>
      <c r="BP32" s="8">
        <f>IF((0=1),SUMIFS('Daily evaluations'!$D$2:$D$36,'Daily evaluations'!$B$2:$B$36,"=random_16",'Daily evaluations'!$C$2:$C$36,"=d20261223"),"")</f>
      </c>
      <c r="BQ32" s="8">
        <f>IF((0=1),SUMIFS('Daily evaluations'!$D$2:$D$36,'Daily evaluations'!$B$2:$B$36,"=random_16",'Daily evaluations'!$C$2:$C$36,"=d20261224"),"")</f>
      </c>
      <c r="BR32" s="8">
        <f>IF((0=1),SUMIFS('Daily evaluations'!$D$2:$D$36,'Daily evaluations'!$B$2:$B$36,"=random_16",'Daily evaluations'!$C$2:$C$36,"=d20261228"),"")</f>
      </c>
      <c r="BS32" s="8">
        <f>IF((0=1),SUMIFS('Daily evaluations'!$D$2:$D$36,'Daily evaluations'!$B$2:$B$36,"=random_16",'Daily evaluations'!$C$2:$C$36,"=d20261229"),"")</f>
      </c>
      <c r="BT32" s="8">
        <f>IF((0=1),SUMIFS('Daily evaluations'!$D$2:$D$36,'Daily evaluations'!$B$2:$B$36,"=random_16",'Daily evaluations'!$C$2:$C$36,"=d20261230"),"")</f>
      </c>
      <c r="BU32" s="8">
        <f>IF((0=1),SUMIFS('Daily evaluations'!$D$2:$D$36,'Daily evaluations'!$B$2:$B$36,"=random_16",'Daily evaluations'!$C$2:$C$36,"=d20261231"),"")</f>
      </c>
      <c r="BV32" s="8">
        <f>IF((0=1),SUMIFS('Daily evaluations'!$D$2:$D$36,'Daily evaluations'!$B$2:$B$36,"=random_16",'Daily evaluations'!$C$2:$C$36,"=d20270104"),"")</f>
      </c>
      <c r="BW32" s="8">
        <f>IF((0=1),SUMIFS('Daily evaluations'!$D$2:$D$36,'Daily evaluations'!$B$2:$B$36,"=random_16",'Daily evaluations'!$C$2:$C$36,"=d20270105"),"")</f>
      </c>
      <c r="BX32" s="8">
        <f>IF((0=1),SUMIFS('Daily evaluations'!$D$2:$D$36,'Daily evaluations'!$B$2:$B$36,"=random_16",'Daily evaluations'!$C$2:$C$36,"=d20270106"),"")</f>
      </c>
      <c r="BY32" s="8">
        <f>IF((0=1),SUMIFS('Daily evaluations'!$D$2:$D$36,'Daily evaluations'!$B$2:$B$36,"=random_16",'Daily evaluations'!$C$2:$C$36,"=d20270107"),"")</f>
      </c>
      <c r="BZ32" s="8">
        <f>IF((0=1),SUMIFS('Daily evaluations'!$D$2:$D$36,'Daily evaluations'!$B$2:$B$36,"=random_16",'Daily evaluations'!$C$2:$C$36,"=d20270108"),"")</f>
      </c>
      <c r="CA32" s="8">
        <f>IF((0=1),SUMIFS('Daily evaluations'!$D$2:$D$36,'Daily evaluations'!$B$2:$B$36,"=random_16",'Daily evaluations'!$C$2:$C$36,"=d20270111"),"")</f>
      </c>
      <c r="CB32" s="8">
        <f>IF((0=1),SUMIFS('Daily evaluations'!$D$2:$D$36,'Daily evaluations'!$B$2:$B$36,"=random_16",'Daily evaluations'!$C$2:$C$36,"=d20270112"),"")</f>
      </c>
      <c r="CC32" s="8">
        <f>IF((0=1),SUMIFS('Daily evaluations'!$D$2:$D$36,'Daily evaluations'!$B$2:$B$36,"=random_16",'Daily evaluations'!$C$2:$C$36,"=d20270113"),"")</f>
      </c>
      <c r="CD32" s="8">
        <f>IF((0=1),SUMIFS('Daily evaluations'!$D$2:$D$36,'Daily evaluations'!$B$2:$B$36,"=random_16",'Daily evaluations'!$C$2:$C$36,"=d20270114"),"")</f>
      </c>
      <c r="CE32" s="8">
        <f>IF((0=1),SUMIFS('Daily evaluations'!$D$2:$D$36,'Daily evaluations'!$B$2:$B$36,"=random_16",'Daily evaluations'!$C$2:$C$36,"=d20270115"),"")</f>
      </c>
      <c r="CF32" s="8">
        <f>IF((0=1),SUMIFS('Daily evaluations'!$D$2:$D$36,'Daily evaluations'!$B$2:$B$36,"=random_16",'Daily evaluations'!$C$2:$C$36,"=d20270119"),"")</f>
      </c>
      <c r="CG32" s="8">
        <f>IF((0=1),SUMIFS('Daily evaluations'!$D$2:$D$36,'Daily evaluations'!$B$2:$B$36,"=random_16",'Daily evaluations'!$C$2:$C$36,"=d20270120"),"")</f>
      </c>
      <c r="CH32" s="8">
        <f>IF((0=1),SUMIFS('Daily evaluations'!$D$2:$D$36,'Daily evaluations'!$B$2:$B$36,"=random_16",'Daily evaluations'!$C$2:$C$36,"=d20270121"),"")</f>
      </c>
      <c r="CI32" s="8">
        <f>IF((0=1),SUMIFS('Daily evaluations'!$D$2:$D$36,'Daily evaluations'!$B$2:$B$36,"=random_16",'Daily evaluations'!$C$2:$C$36,"=d20270122"),"")</f>
      </c>
      <c r="CJ32" s="8">
        <f>IF((0=1),SUMIFS('Daily evaluations'!$D$2:$D$36,'Daily evaluations'!$B$2:$B$36,"=random_16",'Daily evaluations'!$C$2:$C$36,"=d20270125"),"")</f>
      </c>
      <c r="CK32" s="8">
        <f>IF((0=1),SUMIFS('Daily evaluations'!$D$2:$D$36,'Daily evaluations'!$B$2:$B$36,"=random_16",'Daily evaluations'!$C$2:$C$36,"=d20270126"),"")</f>
      </c>
      <c r="CL32" s="8">
        <f>IF((0=1),SUMIFS('Daily evaluations'!$D$2:$D$36,'Daily evaluations'!$B$2:$B$36,"=random_16",'Daily evaluations'!$C$2:$C$36,"=d20270127"),"")</f>
      </c>
      <c r="CM32" s="8">
        <f>IF((0=1),SUMIFS('Daily evaluations'!$D$2:$D$36,'Daily evaluations'!$B$2:$B$36,"=random_16",'Daily evaluations'!$C$2:$C$36,"=d20270128"),"")</f>
      </c>
      <c r="CN32" s="8">
        <f>IF((0=1),SUMIFS('Daily evaluations'!$D$2:$D$36,'Daily evaluations'!$B$2:$B$36,"=random_16",'Daily evaluations'!$C$2:$C$36,"=d20270129"),"")</f>
      </c>
      <c r="CO32" s="8">
        <f>IF((0=1),SUMIFS('Daily evaluations'!$D$2:$D$36,'Daily evaluations'!$B$2:$B$36,"=random_16",'Daily evaluations'!$C$2:$C$36,"=d20270201"),"")</f>
      </c>
      <c r="CP32" s="8">
        <f>IF((0=1),SUMIFS('Daily evaluations'!$D$2:$D$36,'Daily evaluations'!$B$2:$B$36,"=random_16",'Daily evaluations'!$C$2:$C$36,"=d20270202"),"")</f>
      </c>
      <c r="CQ32" s="8">
        <f>IF((0=1),SUMIFS('Daily evaluations'!$D$2:$D$36,'Daily evaluations'!$B$2:$B$36,"=random_16",'Daily evaluations'!$C$2:$C$36,"=d20270203"),"")</f>
      </c>
      <c r="CR32" s="8">
        <f>IF((0=1),SUMIFS('Daily evaluations'!$D$2:$D$36,'Daily evaluations'!$B$2:$B$36,"=random_16",'Daily evaluations'!$C$2:$C$36,"=d20270204"),"")</f>
      </c>
      <c r="CS32" s="8">
        <f>IF((0=1),SUMIFS('Daily evaluations'!$D$2:$D$36,'Daily evaluations'!$B$2:$B$36,"=random_16",'Daily evaluations'!$C$2:$C$36,"=d20270205"),"")</f>
      </c>
      <c r="CT32" s="8">
        <f>IF((0=1),SUMIFS('Daily evaluations'!$D$2:$D$36,'Daily evaluations'!$B$2:$B$36,"=random_16",'Daily evaluations'!$C$2:$C$36,"=d20270208"),"")</f>
      </c>
      <c r="CU32" s="8">
        <f>IF((0=1),SUMIFS('Daily evaluations'!$D$2:$D$36,'Daily evaluations'!$B$2:$B$36,"=random_16",'Daily evaluations'!$C$2:$C$36,"=d20270209"),"")</f>
      </c>
      <c r="CV32" s="8">
        <f>IF((0=1),SUMIFS('Daily evaluations'!$D$2:$D$36,'Daily evaluations'!$B$2:$B$36,"=random_16",'Daily evaluations'!$C$2:$C$36,"=d20270210"),"")</f>
      </c>
      <c r="CW32" s="8">
        <f>IF((0=1),SUMIFS('Daily evaluations'!$D$2:$D$36,'Daily evaluations'!$B$2:$B$36,"=random_16",'Daily evaluations'!$C$2:$C$36,"=d20270211"),"")</f>
      </c>
      <c r="CX32" s="8">
        <f>IF((0=1),SUMIFS('Daily evaluations'!$D$2:$D$36,'Daily evaluations'!$B$2:$B$36,"=random_16",'Daily evaluations'!$C$2:$C$36,"=d20270212"),"")</f>
      </c>
    </row>
    <row r="33">
      <c r="A33" s="0" t="inlineStr">
        <is>
          <t xml:space="preserve">Sector-neutral overnight excess, bps</t>
        </is>
      </c>
      <c r="B33" s="0" t="inlineStr">
        <is>
          <t xml:space="preserve">Random 17</t>
        </is>
      </c>
      <c r="C33" s="8">
        <f>IF((1=1),SUMIFS('Daily evaluations'!$D$2:$D$36,'Daily evaluations'!$B$2:$B$36,"=random_17",'Daily evaluations'!$C$2:$C$36,"=d20260922"),"")</f>
        <v>-2.98</v>
      </c>
      <c r="D33" s="8">
        <f>IF((0=1),SUMIFS('Daily evaluations'!$D$2:$D$36,'Daily evaluations'!$B$2:$B$36,"=random_17",'Daily evaluations'!$C$2:$C$36,"=d20260923"),"")</f>
      </c>
      <c r="E33" s="8">
        <f>IF((0=1),SUMIFS('Daily evaluations'!$D$2:$D$36,'Daily evaluations'!$B$2:$B$36,"=random_17",'Daily evaluations'!$C$2:$C$36,"=d20260924"),"")</f>
      </c>
      <c r="F33" s="8">
        <f>IF((0=1),SUMIFS('Daily evaluations'!$D$2:$D$36,'Daily evaluations'!$B$2:$B$36,"=random_17",'Daily evaluations'!$C$2:$C$36,"=d20260925"),"")</f>
      </c>
      <c r="G33" s="8">
        <f>IF((0=1),SUMIFS('Daily evaluations'!$D$2:$D$36,'Daily evaluations'!$B$2:$B$36,"=random_17",'Daily evaluations'!$C$2:$C$36,"=d20260928"),"")</f>
      </c>
      <c r="H33" s="8">
        <f>IF((0=1),SUMIFS('Daily evaluations'!$D$2:$D$36,'Daily evaluations'!$B$2:$B$36,"=random_17",'Daily evaluations'!$C$2:$C$36,"=d20260929"),"")</f>
      </c>
      <c r="I33" s="8">
        <f>IF((0=1),SUMIFS('Daily evaluations'!$D$2:$D$36,'Daily evaluations'!$B$2:$B$36,"=random_17",'Daily evaluations'!$C$2:$C$36,"=d20260930"),"")</f>
      </c>
      <c r="J33" s="8">
        <f>IF((0=1),SUMIFS('Daily evaluations'!$D$2:$D$36,'Daily evaluations'!$B$2:$B$36,"=random_17",'Daily evaluations'!$C$2:$C$36,"=d20261001"),"")</f>
      </c>
      <c r="K33" s="8">
        <f>IF((0=1),SUMIFS('Daily evaluations'!$D$2:$D$36,'Daily evaluations'!$B$2:$B$36,"=random_17",'Daily evaluations'!$C$2:$C$36,"=d20261002"),"")</f>
      </c>
      <c r="L33" s="8">
        <f>IF((0=1),SUMIFS('Daily evaluations'!$D$2:$D$36,'Daily evaluations'!$B$2:$B$36,"=random_17",'Daily evaluations'!$C$2:$C$36,"=d20261005"),"")</f>
      </c>
      <c r="M33" s="8">
        <f>IF((0=1),SUMIFS('Daily evaluations'!$D$2:$D$36,'Daily evaluations'!$B$2:$B$36,"=random_17",'Daily evaluations'!$C$2:$C$36,"=d20261006"),"")</f>
      </c>
      <c r="N33" s="8">
        <f>IF((0=1),SUMIFS('Daily evaluations'!$D$2:$D$36,'Daily evaluations'!$B$2:$B$36,"=random_17",'Daily evaluations'!$C$2:$C$36,"=d20261007"),"")</f>
      </c>
      <c r="O33" s="8">
        <f>IF((0=1),SUMIFS('Daily evaluations'!$D$2:$D$36,'Daily evaluations'!$B$2:$B$36,"=random_17",'Daily evaluations'!$C$2:$C$36,"=d20261008"),"")</f>
      </c>
      <c r="P33" s="8">
        <f>IF((0=1),SUMIFS('Daily evaluations'!$D$2:$D$36,'Daily evaluations'!$B$2:$B$36,"=random_17",'Daily evaluations'!$C$2:$C$36,"=d20261009"),"")</f>
      </c>
      <c r="Q33" s="8">
        <f>IF((0=1),SUMIFS('Daily evaluations'!$D$2:$D$36,'Daily evaluations'!$B$2:$B$36,"=random_17",'Daily evaluations'!$C$2:$C$36,"=d20261012"),"")</f>
      </c>
      <c r="R33" s="8">
        <f>IF((0=1),SUMIFS('Daily evaluations'!$D$2:$D$36,'Daily evaluations'!$B$2:$B$36,"=random_17",'Daily evaluations'!$C$2:$C$36,"=d20261013"),"")</f>
      </c>
      <c r="S33" s="8">
        <f>IF((0=1),SUMIFS('Daily evaluations'!$D$2:$D$36,'Daily evaluations'!$B$2:$B$36,"=random_17",'Daily evaluations'!$C$2:$C$36,"=d20261014"),"")</f>
      </c>
      <c r="T33" s="8">
        <f>IF((0=1),SUMIFS('Daily evaluations'!$D$2:$D$36,'Daily evaluations'!$B$2:$B$36,"=random_17",'Daily evaluations'!$C$2:$C$36,"=d20261015"),"")</f>
      </c>
      <c r="U33" s="8">
        <f>IF((0=1),SUMIFS('Daily evaluations'!$D$2:$D$36,'Daily evaluations'!$B$2:$B$36,"=random_17",'Daily evaluations'!$C$2:$C$36,"=d20261016"),"")</f>
      </c>
      <c r="V33" s="8">
        <f>IF((0=1),SUMIFS('Daily evaluations'!$D$2:$D$36,'Daily evaluations'!$B$2:$B$36,"=random_17",'Daily evaluations'!$C$2:$C$36,"=d20261019"),"")</f>
      </c>
      <c r="W33" s="8">
        <f>IF((0=1),SUMIFS('Daily evaluations'!$D$2:$D$36,'Daily evaluations'!$B$2:$B$36,"=random_17",'Daily evaluations'!$C$2:$C$36,"=d20261020"),"")</f>
      </c>
      <c r="X33" s="8">
        <f>IF((0=1),SUMIFS('Daily evaluations'!$D$2:$D$36,'Daily evaluations'!$B$2:$B$36,"=random_17",'Daily evaluations'!$C$2:$C$36,"=d20261021"),"")</f>
      </c>
      <c r="Y33" s="8">
        <f>IF((0=1),SUMIFS('Daily evaluations'!$D$2:$D$36,'Daily evaluations'!$B$2:$B$36,"=random_17",'Daily evaluations'!$C$2:$C$36,"=d20261022"),"")</f>
      </c>
      <c r="Z33" s="8">
        <f>IF((0=1),SUMIFS('Daily evaluations'!$D$2:$D$36,'Daily evaluations'!$B$2:$B$36,"=random_17",'Daily evaluations'!$C$2:$C$36,"=d20261023"),"")</f>
      </c>
      <c r="AA33" s="8">
        <f>IF((0=1),SUMIFS('Daily evaluations'!$D$2:$D$36,'Daily evaluations'!$B$2:$B$36,"=random_17",'Daily evaluations'!$C$2:$C$36,"=d20261026"),"")</f>
      </c>
      <c r="AB33" s="8">
        <f>IF((0=1),SUMIFS('Daily evaluations'!$D$2:$D$36,'Daily evaluations'!$B$2:$B$36,"=random_17",'Daily evaluations'!$C$2:$C$36,"=d20261027"),"")</f>
      </c>
      <c r="AC33" s="8">
        <f>IF((0=1),SUMIFS('Daily evaluations'!$D$2:$D$36,'Daily evaluations'!$B$2:$B$36,"=random_17",'Daily evaluations'!$C$2:$C$36,"=d20261028"),"")</f>
      </c>
      <c r="AD33" s="8">
        <f>IF((0=1),SUMIFS('Daily evaluations'!$D$2:$D$36,'Daily evaluations'!$B$2:$B$36,"=random_17",'Daily evaluations'!$C$2:$C$36,"=d20261029"),"")</f>
      </c>
      <c r="AE33" s="8">
        <f>IF((0=1),SUMIFS('Daily evaluations'!$D$2:$D$36,'Daily evaluations'!$B$2:$B$36,"=random_17",'Daily evaluations'!$C$2:$C$36,"=d20261030"),"")</f>
      </c>
      <c r="AF33" s="8">
        <f>IF((0=1),SUMIFS('Daily evaluations'!$D$2:$D$36,'Daily evaluations'!$B$2:$B$36,"=random_17",'Daily evaluations'!$C$2:$C$36,"=d20261102"),"")</f>
      </c>
      <c r="AG33" s="8">
        <f>IF((0=1),SUMIFS('Daily evaluations'!$D$2:$D$36,'Daily evaluations'!$B$2:$B$36,"=random_17",'Daily evaluations'!$C$2:$C$36,"=d20261103"),"")</f>
      </c>
      <c r="AH33" s="8">
        <f>IF((0=1),SUMIFS('Daily evaluations'!$D$2:$D$36,'Daily evaluations'!$B$2:$B$36,"=random_17",'Daily evaluations'!$C$2:$C$36,"=d20261104"),"")</f>
      </c>
      <c r="AI33" s="8">
        <f>IF((0=1),SUMIFS('Daily evaluations'!$D$2:$D$36,'Daily evaluations'!$B$2:$B$36,"=random_17",'Daily evaluations'!$C$2:$C$36,"=d20261105"),"")</f>
      </c>
      <c r="AJ33" s="8">
        <f>IF((0=1),SUMIFS('Daily evaluations'!$D$2:$D$36,'Daily evaluations'!$B$2:$B$36,"=random_17",'Daily evaluations'!$C$2:$C$36,"=d20261106"),"")</f>
      </c>
      <c r="AK33" s="8">
        <f>IF((0=1),SUMIFS('Daily evaluations'!$D$2:$D$36,'Daily evaluations'!$B$2:$B$36,"=random_17",'Daily evaluations'!$C$2:$C$36,"=d20261109"),"")</f>
      </c>
      <c r="AL33" s="8">
        <f>IF((0=1),SUMIFS('Daily evaluations'!$D$2:$D$36,'Daily evaluations'!$B$2:$B$36,"=random_17",'Daily evaluations'!$C$2:$C$36,"=d20261110"),"")</f>
      </c>
      <c r="AM33" s="8">
        <f>IF((0=1),SUMIFS('Daily evaluations'!$D$2:$D$36,'Daily evaluations'!$B$2:$B$36,"=random_17",'Daily evaluations'!$C$2:$C$36,"=d20261111"),"")</f>
      </c>
      <c r="AN33" s="8">
        <f>IF((0=1),SUMIFS('Daily evaluations'!$D$2:$D$36,'Daily evaluations'!$B$2:$B$36,"=random_17",'Daily evaluations'!$C$2:$C$36,"=d20261112"),"")</f>
      </c>
      <c r="AO33" s="8">
        <f>IF((0=1),SUMIFS('Daily evaluations'!$D$2:$D$36,'Daily evaluations'!$B$2:$B$36,"=random_17",'Daily evaluations'!$C$2:$C$36,"=d20261113"),"")</f>
      </c>
      <c r="AP33" s="8">
        <f>IF((0=1),SUMIFS('Daily evaluations'!$D$2:$D$36,'Daily evaluations'!$B$2:$B$36,"=random_17",'Daily evaluations'!$C$2:$C$36,"=d20261116"),"")</f>
      </c>
      <c r="AQ33" s="8">
        <f>IF((0=1),SUMIFS('Daily evaluations'!$D$2:$D$36,'Daily evaluations'!$B$2:$B$36,"=random_17",'Daily evaluations'!$C$2:$C$36,"=d20261117"),"")</f>
      </c>
      <c r="AR33" s="8">
        <f>IF((0=1),SUMIFS('Daily evaluations'!$D$2:$D$36,'Daily evaluations'!$B$2:$B$36,"=random_17",'Daily evaluations'!$C$2:$C$36,"=d20261118"),"")</f>
      </c>
      <c r="AS33" s="8">
        <f>IF((0=1),SUMIFS('Daily evaluations'!$D$2:$D$36,'Daily evaluations'!$B$2:$B$36,"=random_17",'Daily evaluations'!$C$2:$C$36,"=d20261119"),"")</f>
      </c>
      <c r="AT33" s="8">
        <f>IF((0=1),SUMIFS('Daily evaluations'!$D$2:$D$36,'Daily evaluations'!$B$2:$B$36,"=random_17",'Daily evaluations'!$C$2:$C$36,"=d20261120"),"")</f>
      </c>
      <c r="AU33" s="8">
        <f>IF((0=1),SUMIFS('Daily evaluations'!$D$2:$D$36,'Daily evaluations'!$B$2:$B$36,"=random_17",'Daily evaluations'!$C$2:$C$36,"=d20261123"),"")</f>
      </c>
      <c r="AV33" s="8">
        <f>IF((0=1),SUMIFS('Daily evaluations'!$D$2:$D$36,'Daily evaluations'!$B$2:$B$36,"=random_17",'Daily evaluations'!$C$2:$C$36,"=d20261124"),"")</f>
      </c>
      <c r="AW33" s="8">
        <f>IF((0=1),SUMIFS('Daily evaluations'!$D$2:$D$36,'Daily evaluations'!$B$2:$B$36,"=random_17",'Daily evaluations'!$C$2:$C$36,"=d20261125"),"")</f>
      </c>
      <c r="AX33" s="8">
        <f>IF((0=1),SUMIFS('Daily evaluations'!$D$2:$D$36,'Daily evaluations'!$B$2:$B$36,"=random_17",'Daily evaluations'!$C$2:$C$36,"=d20261127"),"")</f>
      </c>
      <c r="AY33" s="8">
        <f>IF((0=1),SUMIFS('Daily evaluations'!$D$2:$D$36,'Daily evaluations'!$B$2:$B$36,"=random_17",'Daily evaluations'!$C$2:$C$36,"=d20261130"),"")</f>
      </c>
      <c r="AZ33" s="8">
        <f>IF((0=1),SUMIFS('Daily evaluations'!$D$2:$D$36,'Daily evaluations'!$B$2:$B$36,"=random_17",'Daily evaluations'!$C$2:$C$36,"=d20261201"),"")</f>
      </c>
      <c r="BA33" s="8">
        <f>IF((0=1),SUMIFS('Daily evaluations'!$D$2:$D$36,'Daily evaluations'!$B$2:$B$36,"=random_17",'Daily evaluations'!$C$2:$C$36,"=d20261202"),"")</f>
      </c>
      <c r="BB33" s="8">
        <f>IF((0=1),SUMIFS('Daily evaluations'!$D$2:$D$36,'Daily evaluations'!$B$2:$B$36,"=random_17",'Daily evaluations'!$C$2:$C$36,"=d20261203"),"")</f>
      </c>
      <c r="BC33" s="8">
        <f>IF((0=1),SUMIFS('Daily evaluations'!$D$2:$D$36,'Daily evaluations'!$B$2:$B$36,"=random_17",'Daily evaluations'!$C$2:$C$36,"=d20261204"),"")</f>
      </c>
      <c r="BD33" s="8">
        <f>IF((0=1),SUMIFS('Daily evaluations'!$D$2:$D$36,'Daily evaluations'!$B$2:$B$36,"=random_17",'Daily evaluations'!$C$2:$C$36,"=d20261207"),"")</f>
      </c>
      <c r="BE33" s="8">
        <f>IF((0=1),SUMIFS('Daily evaluations'!$D$2:$D$36,'Daily evaluations'!$B$2:$B$36,"=random_17",'Daily evaluations'!$C$2:$C$36,"=d20261208"),"")</f>
      </c>
      <c r="BF33" s="8">
        <f>IF((0=1),SUMIFS('Daily evaluations'!$D$2:$D$36,'Daily evaluations'!$B$2:$B$36,"=random_17",'Daily evaluations'!$C$2:$C$36,"=d20261209"),"")</f>
      </c>
      <c r="BG33" s="8">
        <f>IF((0=1),SUMIFS('Daily evaluations'!$D$2:$D$36,'Daily evaluations'!$B$2:$B$36,"=random_17",'Daily evaluations'!$C$2:$C$36,"=d20261210"),"")</f>
      </c>
      <c r="BH33" s="8">
        <f>IF((0=1),SUMIFS('Daily evaluations'!$D$2:$D$36,'Daily evaluations'!$B$2:$B$36,"=random_17",'Daily evaluations'!$C$2:$C$36,"=d20261211"),"")</f>
      </c>
      <c r="BI33" s="8">
        <f>IF((0=1),SUMIFS('Daily evaluations'!$D$2:$D$36,'Daily evaluations'!$B$2:$B$36,"=random_17",'Daily evaluations'!$C$2:$C$36,"=d20261214"),"")</f>
      </c>
      <c r="BJ33" s="8">
        <f>IF((0=1),SUMIFS('Daily evaluations'!$D$2:$D$36,'Daily evaluations'!$B$2:$B$36,"=random_17",'Daily evaluations'!$C$2:$C$36,"=d20261215"),"")</f>
      </c>
      <c r="BK33" s="8">
        <f>IF((0=1),SUMIFS('Daily evaluations'!$D$2:$D$36,'Daily evaluations'!$B$2:$B$36,"=random_17",'Daily evaluations'!$C$2:$C$36,"=d20261216"),"")</f>
      </c>
      <c r="BL33" s="8">
        <f>IF((0=1),SUMIFS('Daily evaluations'!$D$2:$D$36,'Daily evaluations'!$B$2:$B$36,"=random_17",'Daily evaluations'!$C$2:$C$36,"=d20261217"),"")</f>
      </c>
      <c r="BM33" s="8">
        <f>IF((0=1),SUMIFS('Daily evaluations'!$D$2:$D$36,'Daily evaluations'!$B$2:$B$36,"=random_17",'Daily evaluations'!$C$2:$C$36,"=d20261218"),"")</f>
      </c>
      <c r="BN33" s="8">
        <f>IF((0=1),SUMIFS('Daily evaluations'!$D$2:$D$36,'Daily evaluations'!$B$2:$B$36,"=random_17",'Daily evaluations'!$C$2:$C$36,"=d20261221"),"")</f>
      </c>
      <c r="BO33" s="8">
        <f>IF((0=1),SUMIFS('Daily evaluations'!$D$2:$D$36,'Daily evaluations'!$B$2:$B$36,"=random_17",'Daily evaluations'!$C$2:$C$36,"=d20261222"),"")</f>
      </c>
      <c r="BP33" s="8">
        <f>IF((0=1),SUMIFS('Daily evaluations'!$D$2:$D$36,'Daily evaluations'!$B$2:$B$36,"=random_17",'Daily evaluations'!$C$2:$C$36,"=d20261223"),"")</f>
      </c>
      <c r="BQ33" s="8">
        <f>IF((0=1),SUMIFS('Daily evaluations'!$D$2:$D$36,'Daily evaluations'!$B$2:$B$36,"=random_17",'Daily evaluations'!$C$2:$C$36,"=d20261224"),"")</f>
      </c>
      <c r="BR33" s="8">
        <f>IF((0=1),SUMIFS('Daily evaluations'!$D$2:$D$36,'Daily evaluations'!$B$2:$B$36,"=random_17",'Daily evaluations'!$C$2:$C$36,"=d20261228"),"")</f>
      </c>
      <c r="BS33" s="8">
        <f>IF((0=1),SUMIFS('Daily evaluations'!$D$2:$D$36,'Daily evaluations'!$B$2:$B$36,"=random_17",'Daily evaluations'!$C$2:$C$36,"=d20261229"),"")</f>
      </c>
      <c r="BT33" s="8">
        <f>IF((0=1),SUMIFS('Daily evaluations'!$D$2:$D$36,'Daily evaluations'!$B$2:$B$36,"=random_17",'Daily evaluations'!$C$2:$C$36,"=d20261230"),"")</f>
      </c>
      <c r="BU33" s="8">
        <f>IF((0=1),SUMIFS('Daily evaluations'!$D$2:$D$36,'Daily evaluations'!$B$2:$B$36,"=random_17",'Daily evaluations'!$C$2:$C$36,"=d20261231"),"")</f>
      </c>
      <c r="BV33" s="8">
        <f>IF((0=1),SUMIFS('Daily evaluations'!$D$2:$D$36,'Daily evaluations'!$B$2:$B$36,"=random_17",'Daily evaluations'!$C$2:$C$36,"=d20270104"),"")</f>
      </c>
      <c r="BW33" s="8">
        <f>IF((0=1),SUMIFS('Daily evaluations'!$D$2:$D$36,'Daily evaluations'!$B$2:$B$36,"=random_17",'Daily evaluations'!$C$2:$C$36,"=d20270105"),"")</f>
      </c>
      <c r="BX33" s="8">
        <f>IF((0=1),SUMIFS('Daily evaluations'!$D$2:$D$36,'Daily evaluations'!$B$2:$B$36,"=random_17",'Daily evaluations'!$C$2:$C$36,"=d20270106"),"")</f>
      </c>
      <c r="BY33" s="8">
        <f>IF((0=1),SUMIFS('Daily evaluations'!$D$2:$D$36,'Daily evaluations'!$B$2:$B$36,"=random_17",'Daily evaluations'!$C$2:$C$36,"=d20270107"),"")</f>
      </c>
      <c r="BZ33" s="8">
        <f>IF((0=1),SUMIFS('Daily evaluations'!$D$2:$D$36,'Daily evaluations'!$B$2:$B$36,"=random_17",'Daily evaluations'!$C$2:$C$36,"=d20270108"),"")</f>
      </c>
      <c r="CA33" s="8">
        <f>IF((0=1),SUMIFS('Daily evaluations'!$D$2:$D$36,'Daily evaluations'!$B$2:$B$36,"=random_17",'Daily evaluations'!$C$2:$C$36,"=d20270111"),"")</f>
      </c>
      <c r="CB33" s="8">
        <f>IF((0=1),SUMIFS('Daily evaluations'!$D$2:$D$36,'Daily evaluations'!$B$2:$B$36,"=random_17",'Daily evaluations'!$C$2:$C$36,"=d20270112"),"")</f>
      </c>
      <c r="CC33" s="8">
        <f>IF((0=1),SUMIFS('Daily evaluations'!$D$2:$D$36,'Daily evaluations'!$B$2:$B$36,"=random_17",'Daily evaluations'!$C$2:$C$36,"=d20270113"),"")</f>
      </c>
      <c r="CD33" s="8">
        <f>IF((0=1),SUMIFS('Daily evaluations'!$D$2:$D$36,'Daily evaluations'!$B$2:$B$36,"=random_17",'Daily evaluations'!$C$2:$C$36,"=d20270114"),"")</f>
      </c>
      <c r="CE33" s="8">
        <f>IF((0=1),SUMIFS('Daily evaluations'!$D$2:$D$36,'Daily evaluations'!$B$2:$B$36,"=random_17",'Daily evaluations'!$C$2:$C$36,"=d20270115"),"")</f>
      </c>
      <c r="CF33" s="8">
        <f>IF((0=1),SUMIFS('Daily evaluations'!$D$2:$D$36,'Daily evaluations'!$B$2:$B$36,"=random_17",'Daily evaluations'!$C$2:$C$36,"=d20270119"),"")</f>
      </c>
      <c r="CG33" s="8">
        <f>IF((0=1),SUMIFS('Daily evaluations'!$D$2:$D$36,'Daily evaluations'!$B$2:$B$36,"=random_17",'Daily evaluations'!$C$2:$C$36,"=d20270120"),"")</f>
      </c>
      <c r="CH33" s="8">
        <f>IF((0=1),SUMIFS('Daily evaluations'!$D$2:$D$36,'Daily evaluations'!$B$2:$B$36,"=random_17",'Daily evaluations'!$C$2:$C$36,"=d20270121"),"")</f>
      </c>
      <c r="CI33" s="8">
        <f>IF((0=1),SUMIFS('Daily evaluations'!$D$2:$D$36,'Daily evaluations'!$B$2:$B$36,"=random_17",'Daily evaluations'!$C$2:$C$36,"=d20270122"),"")</f>
      </c>
      <c r="CJ33" s="8">
        <f>IF((0=1),SUMIFS('Daily evaluations'!$D$2:$D$36,'Daily evaluations'!$B$2:$B$36,"=random_17",'Daily evaluations'!$C$2:$C$36,"=d20270125"),"")</f>
      </c>
      <c r="CK33" s="8">
        <f>IF((0=1),SUMIFS('Daily evaluations'!$D$2:$D$36,'Daily evaluations'!$B$2:$B$36,"=random_17",'Daily evaluations'!$C$2:$C$36,"=d20270126"),"")</f>
      </c>
      <c r="CL33" s="8">
        <f>IF((0=1),SUMIFS('Daily evaluations'!$D$2:$D$36,'Daily evaluations'!$B$2:$B$36,"=random_17",'Daily evaluations'!$C$2:$C$36,"=d20270127"),"")</f>
      </c>
      <c r="CM33" s="8">
        <f>IF((0=1),SUMIFS('Daily evaluations'!$D$2:$D$36,'Daily evaluations'!$B$2:$B$36,"=random_17",'Daily evaluations'!$C$2:$C$36,"=d20270128"),"")</f>
      </c>
      <c r="CN33" s="8">
        <f>IF((0=1),SUMIFS('Daily evaluations'!$D$2:$D$36,'Daily evaluations'!$B$2:$B$36,"=random_17",'Daily evaluations'!$C$2:$C$36,"=d20270129"),"")</f>
      </c>
      <c r="CO33" s="8">
        <f>IF((0=1),SUMIFS('Daily evaluations'!$D$2:$D$36,'Daily evaluations'!$B$2:$B$36,"=random_17",'Daily evaluations'!$C$2:$C$36,"=d20270201"),"")</f>
      </c>
      <c r="CP33" s="8">
        <f>IF((0=1),SUMIFS('Daily evaluations'!$D$2:$D$36,'Daily evaluations'!$B$2:$B$36,"=random_17",'Daily evaluations'!$C$2:$C$36,"=d20270202"),"")</f>
      </c>
      <c r="CQ33" s="8">
        <f>IF((0=1),SUMIFS('Daily evaluations'!$D$2:$D$36,'Daily evaluations'!$B$2:$B$36,"=random_17",'Daily evaluations'!$C$2:$C$36,"=d20270203"),"")</f>
      </c>
      <c r="CR33" s="8">
        <f>IF((0=1),SUMIFS('Daily evaluations'!$D$2:$D$36,'Daily evaluations'!$B$2:$B$36,"=random_17",'Daily evaluations'!$C$2:$C$36,"=d20270204"),"")</f>
      </c>
      <c r="CS33" s="8">
        <f>IF((0=1),SUMIFS('Daily evaluations'!$D$2:$D$36,'Daily evaluations'!$B$2:$B$36,"=random_17",'Daily evaluations'!$C$2:$C$36,"=d20270205"),"")</f>
      </c>
      <c r="CT33" s="8">
        <f>IF((0=1),SUMIFS('Daily evaluations'!$D$2:$D$36,'Daily evaluations'!$B$2:$B$36,"=random_17",'Daily evaluations'!$C$2:$C$36,"=d20270208"),"")</f>
      </c>
      <c r="CU33" s="8">
        <f>IF((0=1),SUMIFS('Daily evaluations'!$D$2:$D$36,'Daily evaluations'!$B$2:$B$36,"=random_17",'Daily evaluations'!$C$2:$C$36,"=d20270209"),"")</f>
      </c>
      <c r="CV33" s="8">
        <f>IF((0=1),SUMIFS('Daily evaluations'!$D$2:$D$36,'Daily evaluations'!$B$2:$B$36,"=random_17",'Daily evaluations'!$C$2:$C$36,"=d20270210"),"")</f>
      </c>
      <c r="CW33" s="8">
        <f>IF((0=1),SUMIFS('Daily evaluations'!$D$2:$D$36,'Daily evaluations'!$B$2:$B$36,"=random_17",'Daily evaluations'!$C$2:$C$36,"=d20270211"),"")</f>
      </c>
      <c r="CX33" s="8">
        <f>IF((0=1),SUMIFS('Daily evaluations'!$D$2:$D$36,'Daily evaluations'!$B$2:$B$36,"=random_17",'Daily evaluations'!$C$2:$C$36,"=d20270212"),"")</f>
      </c>
    </row>
    <row r="34">
      <c r="A34" s="0" t="inlineStr">
        <is>
          <t xml:space="preserve">Sector-neutral overnight excess, bps</t>
        </is>
      </c>
      <c r="B34" s="0" t="inlineStr">
        <is>
          <t xml:space="preserve">Random 18</t>
        </is>
      </c>
      <c r="C34" s="8">
        <f>IF((1=1),SUMIFS('Daily evaluations'!$D$2:$D$36,'Daily evaluations'!$B$2:$B$36,"=random_18",'Daily evaluations'!$C$2:$C$36,"=d20260922"),"")</f>
        <v>10.83</v>
      </c>
      <c r="D34" s="8">
        <f>IF((0=1),SUMIFS('Daily evaluations'!$D$2:$D$36,'Daily evaluations'!$B$2:$B$36,"=random_18",'Daily evaluations'!$C$2:$C$36,"=d20260923"),"")</f>
      </c>
      <c r="E34" s="8">
        <f>IF((0=1),SUMIFS('Daily evaluations'!$D$2:$D$36,'Daily evaluations'!$B$2:$B$36,"=random_18",'Daily evaluations'!$C$2:$C$36,"=d20260924"),"")</f>
      </c>
      <c r="F34" s="8">
        <f>IF((0=1),SUMIFS('Daily evaluations'!$D$2:$D$36,'Daily evaluations'!$B$2:$B$36,"=random_18",'Daily evaluations'!$C$2:$C$36,"=d20260925"),"")</f>
      </c>
      <c r="G34" s="8">
        <f>IF((0=1),SUMIFS('Daily evaluations'!$D$2:$D$36,'Daily evaluations'!$B$2:$B$36,"=random_18",'Daily evaluations'!$C$2:$C$36,"=d20260928"),"")</f>
      </c>
      <c r="H34" s="8">
        <f>IF((0=1),SUMIFS('Daily evaluations'!$D$2:$D$36,'Daily evaluations'!$B$2:$B$36,"=random_18",'Daily evaluations'!$C$2:$C$36,"=d20260929"),"")</f>
      </c>
      <c r="I34" s="8">
        <f>IF((0=1),SUMIFS('Daily evaluations'!$D$2:$D$36,'Daily evaluations'!$B$2:$B$36,"=random_18",'Daily evaluations'!$C$2:$C$36,"=d20260930"),"")</f>
      </c>
      <c r="J34" s="8">
        <f>IF((0=1),SUMIFS('Daily evaluations'!$D$2:$D$36,'Daily evaluations'!$B$2:$B$36,"=random_18",'Daily evaluations'!$C$2:$C$36,"=d20261001"),"")</f>
      </c>
      <c r="K34" s="8">
        <f>IF((0=1),SUMIFS('Daily evaluations'!$D$2:$D$36,'Daily evaluations'!$B$2:$B$36,"=random_18",'Daily evaluations'!$C$2:$C$36,"=d20261002"),"")</f>
      </c>
      <c r="L34" s="8">
        <f>IF((0=1),SUMIFS('Daily evaluations'!$D$2:$D$36,'Daily evaluations'!$B$2:$B$36,"=random_18",'Daily evaluations'!$C$2:$C$36,"=d20261005"),"")</f>
      </c>
      <c r="M34" s="8">
        <f>IF((0=1),SUMIFS('Daily evaluations'!$D$2:$D$36,'Daily evaluations'!$B$2:$B$36,"=random_18",'Daily evaluations'!$C$2:$C$36,"=d20261006"),"")</f>
      </c>
      <c r="N34" s="8">
        <f>IF((0=1),SUMIFS('Daily evaluations'!$D$2:$D$36,'Daily evaluations'!$B$2:$B$36,"=random_18",'Daily evaluations'!$C$2:$C$36,"=d20261007"),"")</f>
      </c>
      <c r="O34" s="8">
        <f>IF((0=1),SUMIFS('Daily evaluations'!$D$2:$D$36,'Daily evaluations'!$B$2:$B$36,"=random_18",'Daily evaluations'!$C$2:$C$36,"=d20261008"),"")</f>
      </c>
      <c r="P34" s="8">
        <f>IF((0=1),SUMIFS('Daily evaluations'!$D$2:$D$36,'Daily evaluations'!$B$2:$B$36,"=random_18",'Daily evaluations'!$C$2:$C$36,"=d20261009"),"")</f>
      </c>
      <c r="Q34" s="8">
        <f>IF((0=1),SUMIFS('Daily evaluations'!$D$2:$D$36,'Daily evaluations'!$B$2:$B$36,"=random_18",'Daily evaluations'!$C$2:$C$36,"=d20261012"),"")</f>
      </c>
      <c r="R34" s="8">
        <f>IF((0=1),SUMIFS('Daily evaluations'!$D$2:$D$36,'Daily evaluations'!$B$2:$B$36,"=random_18",'Daily evaluations'!$C$2:$C$36,"=d20261013"),"")</f>
      </c>
      <c r="S34" s="8">
        <f>IF((0=1),SUMIFS('Daily evaluations'!$D$2:$D$36,'Daily evaluations'!$B$2:$B$36,"=random_18",'Daily evaluations'!$C$2:$C$36,"=d20261014"),"")</f>
      </c>
      <c r="T34" s="8">
        <f>IF((0=1),SUMIFS('Daily evaluations'!$D$2:$D$36,'Daily evaluations'!$B$2:$B$36,"=random_18",'Daily evaluations'!$C$2:$C$36,"=d20261015"),"")</f>
      </c>
      <c r="U34" s="8">
        <f>IF((0=1),SUMIFS('Daily evaluations'!$D$2:$D$36,'Daily evaluations'!$B$2:$B$36,"=random_18",'Daily evaluations'!$C$2:$C$36,"=d20261016"),"")</f>
      </c>
      <c r="V34" s="8">
        <f>IF((0=1),SUMIFS('Daily evaluations'!$D$2:$D$36,'Daily evaluations'!$B$2:$B$36,"=random_18",'Daily evaluations'!$C$2:$C$36,"=d20261019"),"")</f>
      </c>
      <c r="W34" s="8">
        <f>IF((0=1),SUMIFS('Daily evaluations'!$D$2:$D$36,'Daily evaluations'!$B$2:$B$36,"=random_18",'Daily evaluations'!$C$2:$C$36,"=d20261020"),"")</f>
      </c>
      <c r="X34" s="8">
        <f>IF((0=1),SUMIFS('Daily evaluations'!$D$2:$D$36,'Daily evaluations'!$B$2:$B$36,"=random_18",'Daily evaluations'!$C$2:$C$36,"=d20261021"),"")</f>
      </c>
      <c r="Y34" s="8">
        <f>IF((0=1),SUMIFS('Daily evaluations'!$D$2:$D$36,'Daily evaluations'!$B$2:$B$36,"=random_18",'Daily evaluations'!$C$2:$C$36,"=d20261022"),"")</f>
      </c>
      <c r="Z34" s="8">
        <f>IF((0=1),SUMIFS('Daily evaluations'!$D$2:$D$36,'Daily evaluations'!$B$2:$B$36,"=random_18",'Daily evaluations'!$C$2:$C$36,"=d20261023"),"")</f>
      </c>
      <c r="AA34" s="8">
        <f>IF((0=1),SUMIFS('Daily evaluations'!$D$2:$D$36,'Daily evaluations'!$B$2:$B$36,"=random_18",'Daily evaluations'!$C$2:$C$36,"=d20261026"),"")</f>
      </c>
      <c r="AB34" s="8">
        <f>IF((0=1),SUMIFS('Daily evaluations'!$D$2:$D$36,'Daily evaluations'!$B$2:$B$36,"=random_18",'Daily evaluations'!$C$2:$C$36,"=d20261027"),"")</f>
      </c>
      <c r="AC34" s="8">
        <f>IF((0=1),SUMIFS('Daily evaluations'!$D$2:$D$36,'Daily evaluations'!$B$2:$B$36,"=random_18",'Daily evaluations'!$C$2:$C$36,"=d20261028"),"")</f>
      </c>
      <c r="AD34" s="8">
        <f>IF((0=1),SUMIFS('Daily evaluations'!$D$2:$D$36,'Daily evaluations'!$B$2:$B$36,"=random_18",'Daily evaluations'!$C$2:$C$36,"=d20261029"),"")</f>
      </c>
      <c r="AE34" s="8">
        <f>IF((0=1),SUMIFS('Daily evaluations'!$D$2:$D$36,'Daily evaluations'!$B$2:$B$36,"=random_18",'Daily evaluations'!$C$2:$C$36,"=d20261030"),"")</f>
      </c>
      <c r="AF34" s="8">
        <f>IF((0=1),SUMIFS('Daily evaluations'!$D$2:$D$36,'Daily evaluations'!$B$2:$B$36,"=random_18",'Daily evaluations'!$C$2:$C$36,"=d20261102"),"")</f>
      </c>
      <c r="AG34" s="8">
        <f>IF((0=1),SUMIFS('Daily evaluations'!$D$2:$D$36,'Daily evaluations'!$B$2:$B$36,"=random_18",'Daily evaluations'!$C$2:$C$36,"=d20261103"),"")</f>
      </c>
      <c r="AH34" s="8">
        <f>IF((0=1),SUMIFS('Daily evaluations'!$D$2:$D$36,'Daily evaluations'!$B$2:$B$36,"=random_18",'Daily evaluations'!$C$2:$C$36,"=d20261104"),"")</f>
      </c>
      <c r="AI34" s="8">
        <f>IF((0=1),SUMIFS('Daily evaluations'!$D$2:$D$36,'Daily evaluations'!$B$2:$B$36,"=random_18",'Daily evaluations'!$C$2:$C$36,"=d20261105"),"")</f>
      </c>
      <c r="AJ34" s="8">
        <f>IF((0=1),SUMIFS('Daily evaluations'!$D$2:$D$36,'Daily evaluations'!$B$2:$B$36,"=random_18",'Daily evaluations'!$C$2:$C$36,"=d20261106"),"")</f>
      </c>
      <c r="AK34" s="8">
        <f>IF((0=1),SUMIFS('Daily evaluations'!$D$2:$D$36,'Daily evaluations'!$B$2:$B$36,"=random_18",'Daily evaluations'!$C$2:$C$36,"=d20261109"),"")</f>
      </c>
      <c r="AL34" s="8">
        <f>IF((0=1),SUMIFS('Daily evaluations'!$D$2:$D$36,'Daily evaluations'!$B$2:$B$36,"=random_18",'Daily evaluations'!$C$2:$C$36,"=d20261110"),"")</f>
      </c>
      <c r="AM34" s="8">
        <f>IF((0=1),SUMIFS('Daily evaluations'!$D$2:$D$36,'Daily evaluations'!$B$2:$B$36,"=random_18",'Daily evaluations'!$C$2:$C$36,"=d20261111"),"")</f>
      </c>
      <c r="AN34" s="8">
        <f>IF((0=1),SUMIFS('Daily evaluations'!$D$2:$D$36,'Daily evaluations'!$B$2:$B$36,"=random_18",'Daily evaluations'!$C$2:$C$36,"=d20261112"),"")</f>
      </c>
      <c r="AO34" s="8">
        <f>IF((0=1),SUMIFS('Daily evaluations'!$D$2:$D$36,'Daily evaluations'!$B$2:$B$36,"=random_18",'Daily evaluations'!$C$2:$C$36,"=d20261113"),"")</f>
      </c>
      <c r="AP34" s="8">
        <f>IF((0=1),SUMIFS('Daily evaluations'!$D$2:$D$36,'Daily evaluations'!$B$2:$B$36,"=random_18",'Daily evaluations'!$C$2:$C$36,"=d20261116"),"")</f>
      </c>
      <c r="AQ34" s="8">
        <f>IF((0=1),SUMIFS('Daily evaluations'!$D$2:$D$36,'Daily evaluations'!$B$2:$B$36,"=random_18",'Daily evaluations'!$C$2:$C$36,"=d20261117"),"")</f>
      </c>
      <c r="AR34" s="8">
        <f>IF((0=1),SUMIFS('Daily evaluations'!$D$2:$D$36,'Daily evaluations'!$B$2:$B$36,"=random_18",'Daily evaluations'!$C$2:$C$36,"=d20261118"),"")</f>
      </c>
      <c r="AS34" s="8">
        <f>IF((0=1),SUMIFS('Daily evaluations'!$D$2:$D$36,'Daily evaluations'!$B$2:$B$36,"=random_18",'Daily evaluations'!$C$2:$C$36,"=d20261119"),"")</f>
      </c>
      <c r="AT34" s="8">
        <f>IF((0=1),SUMIFS('Daily evaluations'!$D$2:$D$36,'Daily evaluations'!$B$2:$B$36,"=random_18",'Daily evaluations'!$C$2:$C$36,"=d20261120"),"")</f>
      </c>
      <c r="AU34" s="8">
        <f>IF((0=1),SUMIFS('Daily evaluations'!$D$2:$D$36,'Daily evaluations'!$B$2:$B$36,"=random_18",'Daily evaluations'!$C$2:$C$36,"=d20261123"),"")</f>
      </c>
      <c r="AV34" s="8">
        <f>IF((0=1),SUMIFS('Daily evaluations'!$D$2:$D$36,'Daily evaluations'!$B$2:$B$36,"=random_18",'Daily evaluations'!$C$2:$C$36,"=d20261124"),"")</f>
      </c>
      <c r="AW34" s="8">
        <f>IF((0=1),SUMIFS('Daily evaluations'!$D$2:$D$36,'Daily evaluations'!$B$2:$B$36,"=random_18",'Daily evaluations'!$C$2:$C$36,"=d20261125"),"")</f>
      </c>
      <c r="AX34" s="8">
        <f>IF((0=1),SUMIFS('Daily evaluations'!$D$2:$D$36,'Daily evaluations'!$B$2:$B$36,"=random_18",'Daily evaluations'!$C$2:$C$36,"=d20261127"),"")</f>
      </c>
      <c r="AY34" s="8">
        <f>IF((0=1),SUMIFS('Daily evaluations'!$D$2:$D$36,'Daily evaluations'!$B$2:$B$36,"=random_18",'Daily evaluations'!$C$2:$C$36,"=d20261130"),"")</f>
      </c>
      <c r="AZ34" s="8">
        <f>IF((0=1),SUMIFS('Daily evaluations'!$D$2:$D$36,'Daily evaluations'!$B$2:$B$36,"=random_18",'Daily evaluations'!$C$2:$C$36,"=d20261201"),"")</f>
      </c>
      <c r="BA34" s="8">
        <f>IF((0=1),SUMIFS('Daily evaluations'!$D$2:$D$36,'Daily evaluations'!$B$2:$B$36,"=random_18",'Daily evaluations'!$C$2:$C$36,"=d20261202"),"")</f>
      </c>
      <c r="BB34" s="8">
        <f>IF((0=1),SUMIFS('Daily evaluations'!$D$2:$D$36,'Daily evaluations'!$B$2:$B$36,"=random_18",'Daily evaluations'!$C$2:$C$36,"=d20261203"),"")</f>
      </c>
      <c r="BC34" s="8">
        <f>IF((0=1),SUMIFS('Daily evaluations'!$D$2:$D$36,'Daily evaluations'!$B$2:$B$36,"=random_18",'Daily evaluations'!$C$2:$C$36,"=d20261204"),"")</f>
      </c>
      <c r="BD34" s="8">
        <f>IF((0=1),SUMIFS('Daily evaluations'!$D$2:$D$36,'Daily evaluations'!$B$2:$B$36,"=random_18",'Daily evaluations'!$C$2:$C$36,"=d20261207"),"")</f>
      </c>
      <c r="BE34" s="8">
        <f>IF((0=1),SUMIFS('Daily evaluations'!$D$2:$D$36,'Daily evaluations'!$B$2:$B$36,"=random_18",'Daily evaluations'!$C$2:$C$36,"=d20261208"),"")</f>
      </c>
      <c r="BF34" s="8">
        <f>IF((0=1),SUMIFS('Daily evaluations'!$D$2:$D$36,'Daily evaluations'!$B$2:$B$36,"=random_18",'Daily evaluations'!$C$2:$C$36,"=d20261209"),"")</f>
      </c>
      <c r="BG34" s="8">
        <f>IF((0=1),SUMIFS('Daily evaluations'!$D$2:$D$36,'Daily evaluations'!$B$2:$B$36,"=random_18",'Daily evaluations'!$C$2:$C$36,"=d20261210"),"")</f>
      </c>
      <c r="BH34" s="8">
        <f>IF((0=1),SUMIFS('Daily evaluations'!$D$2:$D$36,'Daily evaluations'!$B$2:$B$36,"=random_18",'Daily evaluations'!$C$2:$C$36,"=d20261211"),"")</f>
      </c>
      <c r="BI34" s="8">
        <f>IF((0=1),SUMIFS('Daily evaluations'!$D$2:$D$36,'Daily evaluations'!$B$2:$B$36,"=random_18",'Daily evaluations'!$C$2:$C$36,"=d20261214"),"")</f>
      </c>
      <c r="BJ34" s="8">
        <f>IF((0=1),SUMIFS('Daily evaluations'!$D$2:$D$36,'Daily evaluations'!$B$2:$B$36,"=random_18",'Daily evaluations'!$C$2:$C$36,"=d20261215"),"")</f>
      </c>
      <c r="BK34" s="8">
        <f>IF((0=1),SUMIFS('Daily evaluations'!$D$2:$D$36,'Daily evaluations'!$B$2:$B$36,"=random_18",'Daily evaluations'!$C$2:$C$36,"=d20261216"),"")</f>
      </c>
      <c r="BL34" s="8">
        <f>IF((0=1),SUMIFS('Daily evaluations'!$D$2:$D$36,'Daily evaluations'!$B$2:$B$36,"=random_18",'Daily evaluations'!$C$2:$C$36,"=d20261217"),"")</f>
      </c>
      <c r="BM34" s="8">
        <f>IF((0=1),SUMIFS('Daily evaluations'!$D$2:$D$36,'Daily evaluations'!$B$2:$B$36,"=random_18",'Daily evaluations'!$C$2:$C$36,"=d20261218"),"")</f>
      </c>
      <c r="BN34" s="8">
        <f>IF((0=1),SUMIFS('Daily evaluations'!$D$2:$D$36,'Daily evaluations'!$B$2:$B$36,"=random_18",'Daily evaluations'!$C$2:$C$36,"=d20261221"),"")</f>
      </c>
      <c r="BO34" s="8">
        <f>IF((0=1),SUMIFS('Daily evaluations'!$D$2:$D$36,'Daily evaluations'!$B$2:$B$36,"=random_18",'Daily evaluations'!$C$2:$C$36,"=d20261222"),"")</f>
      </c>
      <c r="BP34" s="8">
        <f>IF((0=1),SUMIFS('Daily evaluations'!$D$2:$D$36,'Daily evaluations'!$B$2:$B$36,"=random_18",'Daily evaluations'!$C$2:$C$36,"=d20261223"),"")</f>
      </c>
      <c r="BQ34" s="8">
        <f>IF((0=1),SUMIFS('Daily evaluations'!$D$2:$D$36,'Daily evaluations'!$B$2:$B$36,"=random_18",'Daily evaluations'!$C$2:$C$36,"=d20261224"),"")</f>
      </c>
      <c r="BR34" s="8">
        <f>IF((0=1),SUMIFS('Daily evaluations'!$D$2:$D$36,'Daily evaluations'!$B$2:$B$36,"=random_18",'Daily evaluations'!$C$2:$C$36,"=d20261228"),"")</f>
      </c>
      <c r="BS34" s="8">
        <f>IF((0=1),SUMIFS('Daily evaluations'!$D$2:$D$36,'Daily evaluations'!$B$2:$B$36,"=random_18",'Daily evaluations'!$C$2:$C$36,"=d20261229"),"")</f>
      </c>
      <c r="BT34" s="8">
        <f>IF((0=1),SUMIFS('Daily evaluations'!$D$2:$D$36,'Daily evaluations'!$B$2:$B$36,"=random_18",'Daily evaluations'!$C$2:$C$36,"=d20261230"),"")</f>
      </c>
      <c r="BU34" s="8">
        <f>IF((0=1),SUMIFS('Daily evaluations'!$D$2:$D$36,'Daily evaluations'!$B$2:$B$36,"=random_18",'Daily evaluations'!$C$2:$C$36,"=d20261231"),"")</f>
      </c>
      <c r="BV34" s="8">
        <f>IF((0=1),SUMIFS('Daily evaluations'!$D$2:$D$36,'Daily evaluations'!$B$2:$B$36,"=random_18",'Daily evaluations'!$C$2:$C$36,"=d20270104"),"")</f>
      </c>
      <c r="BW34" s="8">
        <f>IF((0=1),SUMIFS('Daily evaluations'!$D$2:$D$36,'Daily evaluations'!$B$2:$B$36,"=random_18",'Daily evaluations'!$C$2:$C$36,"=d20270105"),"")</f>
      </c>
      <c r="BX34" s="8">
        <f>IF((0=1),SUMIFS('Daily evaluations'!$D$2:$D$36,'Daily evaluations'!$B$2:$B$36,"=random_18",'Daily evaluations'!$C$2:$C$36,"=d20270106"),"")</f>
      </c>
      <c r="BY34" s="8">
        <f>IF((0=1),SUMIFS('Daily evaluations'!$D$2:$D$36,'Daily evaluations'!$B$2:$B$36,"=random_18",'Daily evaluations'!$C$2:$C$36,"=d20270107"),"")</f>
      </c>
      <c r="BZ34" s="8">
        <f>IF((0=1),SUMIFS('Daily evaluations'!$D$2:$D$36,'Daily evaluations'!$B$2:$B$36,"=random_18",'Daily evaluations'!$C$2:$C$36,"=d20270108"),"")</f>
      </c>
      <c r="CA34" s="8">
        <f>IF((0=1),SUMIFS('Daily evaluations'!$D$2:$D$36,'Daily evaluations'!$B$2:$B$36,"=random_18",'Daily evaluations'!$C$2:$C$36,"=d20270111"),"")</f>
      </c>
      <c r="CB34" s="8">
        <f>IF((0=1),SUMIFS('Daily evaluations'!$D$2:$D$36,'Daily evaluations'!$B$2:$B$36,"=random_18",'Daily evaluations'!$C$2:$C$36,"=d20270112"),"")</f>
      </c>
      <c r="CC34" s="8">
        <f>IF((0=1),SUMIFS('Daily evaluations'!$D$2:$D$36,'Daily evaluations'!$B$2:$B$36,"=random_18",'Daily evaluations'!$C$2:$C$36,"=d20270113"),"")</f>
      </c>
      <c r="CD34" s="8">
        <f>IF((0=1),SUMIFS('Daily evaluations'!$D$2:$D$36,'Daily evaluations'!$B$2:$B$36,"=random_18",'Daily evaluations'!$C$2:$C$36,"=d20270114"),"")</f>
      </c>
      <c r="CE34" s="8">
        <f>IF((0=1),SUMIFS('Daily evaluations'!$D$2:$D$36,'Daily evaluations'!$B$2:$B$36,"=random_18",'Daily evaluations'!$C$2:$C$36,"=d20270115"),"")</f>
      </c>
      <c r="CF34" s="8">
        <f>IF((0=1),SUMIFS('Daily evaluations'!$D$2:$D$36,'Daily evaluations'!$B$2:$B$36,"=random_18",'Daily evaluations'!$C$2:$C$36,"=d20270119"),"")</f>
      </c>
      <c r="CG34" s="8">
        <f>IF((0=1),SUMIFS('Daily evaluations'!$D$2:$D$36,'Daily evaluations'!$B$2:$B$36,"=random_18",'Daily evaluations'!$C$2:$C$36,"=d20270120"),"")</f>
      </c>
      <c r="CH34" s="8">
        <f>IF((0=1),SUMIFS('Daily evaluations'!$D$2:$D$36,'Daily evaluations'!$B$2:$B$36,"=random_18",'Daily evaluations'!$C$2:$C$36,"=d20270121"),"")</f>
      </c>
      <c r="CI34" s="8">
        <f>IF((0=1),SUMIFS('Daily evaluations'!$D$2:$D$36,'Daily evaluations'!$B$2:$B$36,"=random_18",'Daily evaluations'!$C$2:$C$36,"=d20270122"),"")</f>
      </c>
      <c r="CJ34" s="8">
        <f>IF((0=1),SUMIFS('Daily evaluations'!$D$2:$D$36,'Daily evaluations'!$B$2:$B$36,"=random_18",'Daily evaluations'!$C$2:$C$36,"=d20270125"),"")</f>
      </c>
      <c r="CK34" s="8">
        <f>IF((0=1),SUMIFS('Daily evaluations'!$D$2:$D$36,'Daily evaluations'!$B$2:$B$36,"=random_18",'Daily evaluations'!$C$2:$C$36,"=d20270126"),"")</f>
      </c>
      <c r="CL34" s="8">
        <f>IF((0=1),SUMIFS('Daily evaluations'!$D$2:$D$36,'Daily evaluations'!$B$2:$B$36,"=random_18",'Daily evaluations'!$C$2:$C$36,"=d20270127"),"")</f>
      </c>
      <c r="CM34" s="8">
        <f>IF((0=1),SUMIFS('Daily evaluations'!$D$2:$D$36,'Daily evaluations'!$B$2:$B$36,"=random_18",'Daily evaluations'!$C$2:$C$36,"=d20270128"),"")</f>
      </c>
      <c r="CN34" s="8">
        <f>IF((0=1),SUMIFS('Daily evaluations'!$D$2:$D$36,'Daily evaluations'!$B$2:$B$36,"=random_18",'Daily evaluations'!$C$2:$C$36,"=d20270129"),"")</f>
      </c>
      <c r="CO34" s="8">
        <f>IF((0=1),SUMIFS('Daily evaluations'!$D$2:$D$36,'Daily evaluations'!$B$2:$B$36,"=random_18",'Daily evaluations'!$C$2:$C$36,"=d20270201"),"")</f>
      </c>
      <c r="CP34" s="8">
        <f>IF((0=1),SUMIFS('Daily evaluations'!$D$2:$D$36,'Daily evaluations'!$B$2:$B$36,"=random_18",'Daily evaluations'!$C$2:$C$36,"=d20270202"),"")</f>
      </c>
      <c r="CQ34" s="8">
        <f>IF((0=1),SUMIFS('Daily evaluations'!$D$2:$D$36,'Daily evaluations'!$B$2:$B$36,"=random_18",'Daily evaluations'!$C$2:$C$36,"=d20270203"),"")</f>
      </c>
      <c r="CR34" s="8">
        <f>IF((0=1),SUMIFS('Daily evaluations'!$D$2:$D$36,'Daily evaluations'!$B$2:$B$36,"=random_18",'Daily evaluations'!$C$2:$C$36,"=d20270204"),"")</f>
      </c>
      <c r="CS34" s="8">
        <f>IF((0=1),SUMIFS('Daily evaluations'!$D$2:$D$36,'Daily evaluations'!$B$2:$B$36,"=random_18",'Daily evaluations'!$C$2:$C$36,"=d20270205"),"")</f>
      </c>
      <c r="CT34" s="8">
        <f>IF((0=1),SUMIFS('Daily evaluations'!$D$2:$D$36,'Daily evaluations'!$B$2:$B$36,"=random_18",'Daily evaluations'!$C$2:$C$36,"=d20270208"),"")</f>
      </c>
      <c r="CU34" s="8">
        <f>IF((0=1),SUMIFS('Daily evaluations'!$D$2:$D$36,'Daily evaluations'!$B$2:$B$36,"=random_18",'Daily evaluations'!$C$2:$C$36,"=d20270209"),"")</f>
      </c>
      <c r="CV34" s="8">
        <f>IF((0=1),SUMIFS('Daily evaluations'!$D$2:$D$36,'Daily evaluations'!$B$2:$B$36,"=random_18",'Daily evaluations'!$C$2:$C$36,"=d20270210"),"")</f>
      </c>
      <c r="CW34" s="8">
        <f>IF((0=1),SUMIFS('Daily evaluations'!$D$2:$D$36,'Daily evaluations'!$B$2:$B$36,"=random_18",'Daily evaluations'!$C$2:$C$36,"=d20270211"),"")</f>
      </c>
      <c r="CX34" s="8">
        <f>IF((0=1),SUMIFS('Daily evaluations'!$D$2:$D$36,'Daily evaluations'!$B$2:$B$36,"=random_18",'Daily evaluations'!$C$2:$C$36,"=d20270212"),"")</f>
      </c>
    </row>
    <row r="35">
      <c r="A35" s="0" t="inlineStr">
        <is>
          <t xml:space="preserve">Sector-neutral overnight excess, bps</t>
        </is>
      </c>
      <c r="B35" s="0" t="inlineStr">
        <is>
          <t xml:space="preserve">Random 19</t>
        </is>
      </c>
      <c r="C35" s="8">
        <f>IF((1=1),SUMIFS('Daily evaluations'!$D$2:$D$36,'Daily evaluations'!$B$2:$B$36,"=random_19",'Daily evaluations'!$C$2:$C$36,"=d20260922"),"")</f>
        <v>5.56</v>
      </c>
      <c r="D35" s="8">
        <f>IF((0=1),SUMIFS('Daily evaluations'!$D$2:$D$36,'Daily evaluations'!$B$2:$B$36,"=random_19",'Daily evaluations'!$C$2:$C$36,"=d20260923"),"")</f>
      </c>
      <c r="E35" s="8">
        <f>IF((0=1),SUMIFS('Daily evaluations'!$D$2:$D$36,'Daily evaluations'!$B$2:$B$36,"=random_19",'Daily evaluations'!$C$2:$C$36,"=d20260924"),"")</f>
      </c>
      <c r="F35" s="8">
        <f>IF((0=1),SUMIFS('Daily evaluations'!$D$2:$D$36,'Daily evaluations'!$B$2:$B$36,"=random_19",'Daily evaluations'!$C$2:$C$36,"=d20260925"),"")</f>
      </c>
      <c r="G35" s="8">
        <f>IF((0=1),SUMIFS('Daily evaluations'!$D$2:$D$36,'Daily evaluations'!$B$2:$B$36,"=random_19",'Daily evaluations'!$C$2:$C$36,"=d20260928"),"")</f>
      </c>
      <c r="H35" s="8">
        <f>IF((0=1),SUMIFS('Daily evaluations'!$D$2:$D$36,'Daily evaluations'!$B$2:$B$36,"=random_19",'Daily evaluations'!$C$2:$C$36,"=d20260929"),"")</f>
      </c>
      <c r="I35" s="8">
        <f>IF((0=1),SUMIFS('Daily evaluations'!$D$2:$D$36,'Daily evaluations'!$B$2:$B$36,"=random_19",'Daily evaluations'!$C$2:$C$36,"=d20260930"),"")</f>
      </c>
      <c r="J35" s="8">
        <f>IF((0=1),SUMIFS('Daily evaluations'!$D$2:$D$36,'Daily evaluations'!$B$2:$B$36,"=random_19",'Daily evaluations'!$C$2:$C$36,"=d20261001"),"")</f>
      </c>
      <c r="K35" s="8">
        <f>IF((0=1),SUMIFS('Daily evaluations'!$D$2:$D$36,'Daily evaluations'!$B$2:$B$36,"=random_19",'Daily evaluations'!$C$2:$C$36,"=d20261002"),"")</f>
      </c>
      <c r="L35" s="8">
        <f>IF((0=1),SUMIFS('Daily evaluations'!$D$2:$D$36,'Daily evaluations'!$B$2:$B$36,"=random_19",'Daily evaluations'!$C$2:$C$36,"=d20261005"),"")</f>
      </c>
      <c r="M35" s="8">
        <f>IF((0=1),SUMIFS('Daily evaluations'!$D$2:$D$36,'Daily evaluations'!$B$2:$B$36,"=random_19",'Daily evaluations'!$C$2:$C$36,"=d20261006"),"")</f>
      </c>
      <c r="N35" s="8">
        <f>IF((0=1),SUMIFS('Daily evaluations'!$D$2:$D$36,'Daily evaluations'!$B$2:$B$36,"=random_19",'Daily evaluations'!$C$2:$C$36,"=d20261007"),"")</f>
      </c>
      <c r="O35" s="8">
        <f>IF((0=1),SUMIFS('Daily evaluations'!$D$2:$D$36,'Daily evaluations'!$B$2:$B$36,"=random_19",'Daily evaluations'!$C$2:$C$36,"=d20261008"),"")</f>
      </c>
      <c r="P35" s="8">
        <f>IF((0=1),SUMIFS('Daily evaluations'!$D$2:$D$36,'Daily evaluations'!$B$2:$B$36,"=random_19",'Daily evaluations'!$C$2:$C$36,"=d20261009"),"")</f>
      </c>
      <c r="Q35" s="8">
        <f>IF((0=1),SUMIFS('Daily evaluations'!$D$2:$D$36,'Daily evaluations'!$B$2:$B$36,"=random_19",'Daily evaluations'!$C$2:$C$36,"=d20261012"),"")</f>
      </c>
      <c r="R35" s="8">
        <f>IF((0=1),SUMIFS('Daily evaluations'!$D$2:$D$36,'Daily evaluations'!$B$2:$B$36,"=random_19",'Daily evaluations'!$C$2:$C$36,"=d20261013"),"")</f>
      </c>
      <c r="S35" s="8">
        <f>IF((0=1),SUMIFS('Daily evaluations'!$D$2:$D$36,'Daily evaluations'!$B$2:$B$36,"=random_19",'Daily evaluations'!$C$2:$C$36,"=d20261014"),"")</f>
      </c>
      <c r="T35" s="8">
        <f>IF((0=1),SUMIFS('Daily evaluations'!$D$2:$D$36,'Daily evaluations'!$B$2:$B$36,"=random_19",'Daily evaluations'!$C$2:$C$36,"=d20261015"),"")</f>
      </c>
      <c r="U35" s="8">
        <f>IF((0=1),SUMIFS('Daily evaluations'!$D$2:$D$36,'Daily evaluations'!$B$2:$B$36,"=random_19",'Daily evaluations'!$C$2:$C$36,"=d20261016"),"")</f>
      </c>
      <c r="V35" s="8">
        <f>IF((0=1),SUMIFS('Daily evaluations'!$D$2:$D$36,'Daily evaluations'!$B$2:$B$36,"=random_19",'Daily evaluations'!$C$2:$C$36,"=d20261019"),"")</f>
      </c>
      <c r="W35" s="8">
        <f>IF((0=1),SUMIFS('Daily evaluations'!$D$2:$D$36,'Daily evaluations'!$B$2:$B$36,"=random_19",'Daily evaluations'!$C$2:$C$36,"=d20261020"),"")</f>
      </c>
      <c r="X35" s="8">
        <f>IF((0=1),SUMIFS('Daily evaluations'!$D$2:$D$36,'Daily evaluations'!$B$2:$B$36,"=random_19",'Daily evaluations'!$C$2:$C$36,"=d20261021"),"")</f>
      </c>
      <c r="Y35" s="8">
        <f>IF((0=1),SUMIFS('Daily evaluations'!$D$2:$D$36,'Daily evaluations'!$B$2:$B$36,"=random_19",'Daily evaluations'!$C$2:$C$36,"=d20261022"),"")</f>
      </c>
      <c r="Z35" s="8">
        <f>IF((0=1),SUMIFS('Daily evaluations'!$D$2:$D$36,'Daily evaluations'!$B$2:$B$36,"=random_19",'Daily evaluations'!$C$2:$C$36,"=d20261023"),"")</f>
      </c>
      <c r="AA35" s="8">
        <f>IF((0=1),SUMIFS('Daily evaluations'!$D$2:$D$36,'Daily evaluations'!$B$2:$B$36,"=random_19",'Daily evaluations'!$C$2:$C$36,"=d20261026"),"")</f>
      </c>
      <c r="AB35" s="8">
        <f>IF((0=1),SUMIFS('Daily evaluations'!$D$2:$D$36,'Daily evaluations'!$B$2:$B$36,"=random_19",'Daily evaluations'!$C$2:$C$36,"=d20261027"),"")</f>
      </c>
      <c r="AC35" s="8">
        <f>IF((0=1),SUMIFS('Daily evaluations'!$D$2:$D$36,'Daily evaluations'!$B$2:$B$36,"=random_19",'Daily evaluations'!$C$2:$C$36,"=d20261028"),"")</f>
      </c>
      <c r="AD35" s="8">
        <f>IF((0=1),SUMIFS('Daily evaluations'!$D$2:$D$36,'Daily evaluations'!$B$2:$B$36,"=random_19",'Daily evaluations'!$C$2:$C$36,"=d20261029"),"")</f>
      </c>
      <c r="AE35" s="8">
        <f>IF((0=1),SUMIFS('Daily evaluations'!$D$2:$D$36,'Daily evaluations'!$B$2:$B$36,"=random_19",'Daily evaluations'!$C$2:$C$36,"=d20261030"),"")</f>
      </c>
      <c r="AF35" s="8">
        <f>IF((0=1),SUMIFS('Daily evaluations'!$D$2:$D$36,'Daily evaluations'!$B$2:$B$36,"=random_19",'Daily evaluations'!$C$2:$C$36,"=d20261102"),"")</f>
      </c>
      <c r="AG35" s="8">
        <f>IF((0=1),SUMIFS('Daily evaluations'!$D$2:$D$36,'Daily evaluations'!$B$2:$B$36,"=random_19",'Daily evaluations'!$C$2:$C$36,"=d20261103"),"")</f>
      </c>
      <c r="AH35" s="8">
        <f>IF((0=1),SUMIFS('Daily evaluations'!$D$2:$D$36,'Daily evaluations'!$B$2:$B$36,"=random_19",'Daily evaluations'!$C$2:$C$36,"=d20261104"),"")</f>
      </c>
      <c r="AI35" s="8">
        <f>IF((0=1),SUMIFS('Daily evaluations'!$D$2:$D$36,'Daily evaluations'!$B$2:$B$36,"=random_19",'Daily evaluations'!$C$2:$C$36,"=d20261105"),"")</f>
      </c>
      <c r="AJ35" s="8">
        <f>IF((0=1),SUMIFS('Daily evaluations'!$D$2:$D$36,'Daily evaluations'!$B$2:$B$36,"=random_19",'Daily evaluations'!$C$2:$C$36,"=d20261106"),"")</f>
      </c>
      <c r="AK35" s="8">
        <f>IF((0=1),SUMIFS('Daily evaluations'!$D$2:$D$36,'Daily evaluations'!$B$2:$B$36,"=random_19",'Daily evaluations'!$C$2:$C$36,"=d20261109"),"")</f>
      </c>
      <c r="AL35" s="8">
        <f>IF((0=1),SUMIFS('Daily evaluations'!$D$2:$D$36,'Daily evaluations'!$B$2:$B$36,"=random_19",'Daily evaluations'!$C$2:$C$36,"=d20261110"),"")</f>
      </c>
      <c r="AM35" s="8">
        <f>IF((0=1),SUMIFS('Daily evaluations'!$D$2:$D$36,'Daily evaluations'!$B$2:$B$36,"=random_19",'Daily evaluations'!$C$2:$C$36,"=d20261111"),"")</f>
      </c>
      <c r="AN35" s="8">
        <f>IF((0=1),SUMIFS('Daily evaluations'!$D$2:$D$36,'Daily evaluations'!$B$2:$B$36,"=random_19",'Daily evaluations'!$C$2:$C$36,"=d20261112"),"")</f>
      </c>
      <c r="AO35" s="8">
        <f>IF((0=1),SUMIFS('Daily evaluations'!$D$2:$D$36,'Daily evaluations'!$B$2:$B$36,"=random_19",'Daily evaluations'!$C$2:$C$36,"=d20261113"),"")</f>
      </c>
      <c r="AP35" s="8">
        <f>IF((0=1),SUMIFS('Daily evaluations'!$D$2:$D$36,'Daily evaluations'!$B$2:$B$36,"=random_19",'Daily evaluations'!$C$2:$C$36,"=d20261116"),"")</f>
      </c>
      <c r="AQ35" s="8">
        <f>IF((0=1),SUMIFS('Daily evaluations'!$D$2:$D$36,'Daily evaluations'!$B$2:$B$36,"=random_19",'Daily evaluations'!$C$2:$C$36,"=d20261117"),"")</f>
      </c>
      <c r="AR35" s="8">
        <f>IF((0=1),SUMIFS('Daily evaluations'!$D$2:$D$36,'Daily evaluations'!$B$2:$B$36,"=random_19",'Daily evaluations'!$C$2:$C$36,"=d20261118"),"")</f>
      </c>
      <c r="AS35" s="8">
        <f>IF((0=1),SUMIFS('Daily evaluations'!$D$2:$D$36,'Daily evaluations'!$B$2:$B$36,"=random_19",'Daily evaluations'!$C$2:$C$36,"=d20261119"),"")</f>
      </c>
      <c r="AT35" s="8">
        <f>IF((0=1),SUMIFS('Daily evaluations'!$D$2:$D$36,'Daily evaluations'!$B$2:$B$36,"=random_19",'Daily evaluations'!$C$2:$C$36,"=d20261120"),"")</f>
      </c>
      <c r="AU35" s="8">
        <f>IF((0=1),SUMIFS('Daily evaluations'!$D$2:$D$36,'Daily evaluations'!$B$2:$B$36,"=random_19",'Daily evaluations'!$C$2:$C$36,"=d20261123"),"")</f>
      </c>
      <c r="AV35" s="8">
        <f>IF((0=1),SUMIFS('Daily evaluations'!$D$2:$D$36,'Daily evaluations'!$B$2:$B$36,"=random_19",'Daily evaluations'!$C$2:$C$36,"=d20261124"),"")</f>
      </c>
      <c r="AW35" s="8">
        <f>IF((0=1),SUMIFS('Daily evaluations'!$D$2:$D$36,'Daily evaluations'!$B$2:$B$36,"=random_19",'Daily evaluations'!$C$2:$C$36,"=d20261125"),"")</f>
      </c>
      <c r="AX35" s="8">
        <f>IF((0=1),SUMIFS('Daily evaluations'!$D$2:$D$36,'Daily evaluations'!$B$2:$B$36,"=random_19",'Daily evaluations'!$C$2:$C$36,"=d20261127"),"")</f>
      </c>
      <c r="AY35" s="8">
        <f>IF((0=1),SUMIFS('Daily evaluations'!$D$2:$D$36,'Daily evaluations'!$B$2:$B$36,"=random_19",'Daily evaluations'!$C$2:$C$36,"=d20261130"),"")</f>
      </c>
      <c r="AZ35" s="8">
        <f>IF((0=1),SUMIFS('Daily evaluations'!$D$2:$D$36,'Daily evaluations'!$B$2:$B$36,"=random_19",'Daily evaluations'!$C$2:$C$36,"=d20261201"),"")</f>
      </c>
      <c r="BA35" s="8">
        <f>IF((0=1),SUMIFS('Daily evaluations'!$D$2:$D$36,'Daily evaluations'!$B$2:$B$36,"=random_19",'Daily evaluations'!$C$2:$C$36,"=d20261202"),"")</f>
      </c>
      <c r="BB35" s="8">
        <f>IF((0=1),SUMIFS('Daily evaluations'!$D$2:$D$36,'Daily evaluations'!$B$2:$B$36,"=random_19",'Daily evaluations'!$C$2:$C$36,"=d20261203"),"")</f>
      </c>
      <c r="BC35" s="8">
        <f>IF((0=1),SUMIFS('Daily evaluations'!$D$2:$D$36,'Daily evaluations'!$B$2:$B$36,"=random_19",'Daily evaluations'!$C$2:$C$36,"=d20261204"),"")</f>
      </c>
      <c r="BD35" s="8">
        <f>IF((0=1),SUMIFS('Daily evaluations'!$D$2:$D$36,'Daily evaluations'!$B$2:$B$36,"=random_19",'Daily evaluations'!$C$2:$C$36,"=d20261207"),"")</f>
      </c>
      <c r="BE35" s="8">
        <f>IF((0=1),SUMIFS('Daily evaluations'!$D$2:$D$36,'Daily evaluations'!$B$2:$B$36,"=random_19",'Daily evaluations'!$C$2:$C$36,"=d20261208"),"")</f>
      </c>
      <c r="BF35" s="8">
        <f>IF((0=1),SUMIFS('Daily evaluations'!$D$2:$D$36,'Daily evaluations'!$B$2:$B$36,"=random_19",'Daily evaluations'!$C$2:$C$36,"=d20261209"),"")</f>
      </c>
      <c r="BG35" s="8">
        <f>IF((0=1),SUMIFS('Daily evaluations'!$D$2:$D$36,'Daily evaluations'!$B$2:$B$36,"=random_19",'Daily evaluations'!$C$2:$C$36,"=d20261210"),"")</f>
      </c>
      <c r="BH35" s="8">
        <f>IF((0=1),SUMIFS('Daily evaluations'!$D$2:$D$36,'Daily evaluations'!$B$2:$B$36,"=random_19",'Daily evaluations'!$C$2:$C$36,"=d20261211"),"")</f>
      </c>
      <c r="BI35" s="8">
        <f>IF((0=1),SUMIFS('Daily evaluations'!$D$2:$D$36,'Daily evaluations'!$B$2:$B$36,"=random_19",'Daily evaluations'!$C$2:$C$36,"=d20261214"),"")</f>
      </c>
      <c r="BJ35" s="8">
        <f>IF((0=1),SUMIFS('Daily evaluations'!$D$2:$D$36,'Daily evaluations'!$B$2:$B$36,"=random_19",'Daily evaluations'!$C$2:$C$36,"=d20261215"),"")</f>
      </c>
      <c r="BK35" s="8">
        <f>IF((0=1),SUMIFS('Daily evaluations'!$D$2:$D$36,'Daily evaluations'!$B$2:$B$36,"=random_19",'Daily evaluations'!$C$2:$C$36,"=d20261216"),"")</f>
      </c>
      <c r="BL35" s="8">
        <f>IF((0=1),SUMIFS('Daily evaluations'!$D$2:$D$36,'Daily evaluations'!$B$2:$B$36,"=random_19",'Daily evaluations'!$C$2:$C$36,"=d20261217"),"")</f>
      </c>
      <c r="BM35" s="8">
        <f>IF((0=1),SUMIFS('Daily evaluations'!$D$2:$D$36,'Daily evaluations'!$B$2:$B$36,"=random_19",'Daily evaluations'!$C$2:$C$36,"=d20261218"),"")</f>
      </c>
      <c r="BN35" s="8">
        <f>IF((0=1),SUMIFS('Daily evaluations'!$D$2:$D$36,'Daily evaluations'!$B$2:$B$36,"=random_19",'Daily evaluations'!$C$2:$C$36,"=d20261221"),"")</f>
      </c>
      <c r="BO35" s="8">
        <f>IF((0=1),SUMIFS('Daily evaluations'!$D$2:$D$36,'Daily evaluations'!$B$2:$B$36,"=random_19",'Daily evaluations'!$C$2:$C$36,"=d20261222"),"")</f>
      </c>
      <c r="BP35" s="8">
        <f>IF((0=1),SUMIFS('Daily evaluations'!$D$2:$D$36,'Daily evaluations'!$B$2:$B$36,"=random_19",'Daily evaluations'!$C$2:$C$36,"=d20261223"),"")</f>
      </c>
      <c r="BQ35" s="8">
        <f>IF((0=1),SUMIFS('Daily evaluations'!$D$2:$D$36,'Daily evaluations'!$B$2:$B$36,"=random_19",'Daily evaluations'!$C$2:$C$36,"=d20261224"),"")</f>
      </c>
      <c r="BR35" s="8">
        <f>IF((0=1),SUMIFS('Daily evaluations'!$D$2:$D$36,'Daily evaluations'!$B$2:$B$36,"=random_19",'Daily evaluations'!$C$2:$C$36,"=d20261228"),"")</f>
      </c>
      <c r="BS35" s="8">
        <f>IF((0=1),SUMIFS('Daily evaluations'!$D$2:$D$36,'Daily evaluations'!$B$2:$B$36,"=random_19",'Daily evaluations'!$C$2:$C$36,"=d20261229"),"")</f>
      </c>
      <c r="BT35" s="8">
        <f>IF((0=1),SUMIFS('Daily evaluations'!$D$2:$D$36,'Daily evaluations'!$B$2:$B$36,"=random_19",'Daily evaluations'!$C$2:$C$36,"=d20261230"),"")</f>
      </c>
      <c r="BU35" s="8">
        <f>IF((0=1),SUMIFS('Daily evaluations'!$D$2:$D$36,'Daily evaluations'!$B$2:$B$36,"=random_19",'Daily evaluations'!$C$2:$C$36,"=d20261231"),"")</f>
      </c>
      <c r="BV35" s="8">
        <f>IF((0=1),SUMIFS('Daily evaluations'!$D$2:$D$36,'Daily evaluations'!$B$2:$B$36,"=random_19",'Daily evaluations'!$C$2:$C$36,"=d20270104"),"")</f>
      </c>
      <c r="BW35" s="8">
        <f>IF((0=1),SUMIFS('Daily evaluations'!$D$2:$D$36,'Daily evaluations'!$B$2:$B$36,"=random_19",'Daily evaluations'!$C$2:$C$36,"=d20270105"),"")</f>
      </c>
      <c r="BX35" s="8">
        <f>IF((0=1),SUMIFS('Daily evaluations'!$D$2:$D$36,'Daily evaluations'!$B$2:$B$36,"=random_19",'Daily evaluations'!$C$2:$C$36,"=d20270106"),"")</f>
      </c>
      <c r="BY35" s="8">
        <f>IF((0=1),SUMIFS('Daily evaluations'!$D$2:$D$36,'Daily evaluations'!$B$2:$B$36,"=random_19",'Daily evaluations'!$C$2:$C$36,"=d20270107"),"")</f>
      </c>
      <c r="BZ35" s="8">
        <f>IF((0=1),SUMIFS('Daily evaluations'!$D$2:$D$36,'Daily evaluations'!$B$2:$B$36,"=random_19",'Daily evaluations'!$C$2:$C$36,"=d20270108"),"")</f>
      </c>
      <c r="CA35" s="8">
        <f>IF((0=1),SUMIFS('Daily evaluations'!$D$2:$D$36,'Daily evaluations'!$B$2:$B$36,"=random_19",'Daily evaluations'!$C$2:$C$36,"=d20270111"),"")</f>
      </c>
      <c r="CB35" s="8">
        <f>IF((0=1),SUMIFS('Daily evaluations'!$D$2:$D$36,'Daily evaluations'!$B$2:$B$36,"=random_19",'Daily evaluations'!$C$2:$C$36,"=d20270112"),"")</f>
      </c>
      <c r="CC35" s="8">
        <f>IF((0=1),SUMIFS('Daily evaluations'!$D$2:$D$36,'Daily evaluations'!$B$2:$B$36,"=random_19",'Daily evaluations'!$C$2:$C$36,"=d20270113"),"")</f>
      </c>
      <c r="CD35" s="8">
        <f>IF((0=1),SUMIFS('Daily evaluations'!$D$2:$D$36,'Daily evaluations'!$B$2:$B$36,"=random_19",'Daily evaluations'!$C$2:$C$36,"=d20270114"),"")</f>
      </c>
      <c r="CE35" s="8">
        <f>IF((0=1),SUMIFS('Daily evaluations'!$D$2:$D$36,'Daily evaluations'!$B$2:$B$36,"=random_19",'Daily evaluations'!$C$2:$C$36,"=d20270115"),"")</f>
      </c>
      <c r="CF35" s="8">
        <f>IF((0=1),SUMIFS('Daily evaluations'!$D$2:$D$36,'Daily evaluations'!$B$2:$B$36,"=random_19",'Daily evaluations'!$C$2:$C$36,"=d20270119"),"")</f>
      </c>
      <c r="CG35" s="8">
        <f>IF((0=1),SUMIFS('Daily evaluations'!$D$2:$D$36,'Daily evaluations'!$B$2:$B$36,"=random_19",'Daily evaluations'!$C$2:$C$36,"=d20270120"),"")</f>
      </c>
      <c r="CH35" s="8">
        <f>IF((0=1),SUMIFS('Daily evaluations'!$D$2:$D$36,'Daily evaluations'!$B$2:$B$36,"=random_19",'Daily evaluations'!$C$2:$C$36,"=d20270121"),"")</f>
      </c>
      <c r="CI35" s="8">
        <f>IF((0=1),SUMIFS('Daily evaluations'!$D$2:$D$36,'Daily evaluations'!$B$2:$B$36,"=random_19",'Daily evaluations'!$C$2:$C$36,"=d20270122"),"")</f>
      </c>
      <c r="CJ35" s="8">
        <f>IF((0=1),SUMIFS('Daily evaluations'!$D$2:$D$36,'Daily evaluations'!$B$2:$B$36,"=random_19",'Daily evaluations'!$C$2:$C$36,"=d20270125"),"")</f>
      </c>
      <c r="CK35" s="8">
        <f>IF((0=1),SUMIFS('Daily evaluations'!$D$2:$D$36,'Daily evaluations'!$B$2:$B$36,"=random_19",'Daily evaluations'!$C$2:$C$36,"=d20270126"),"")</f>
      </c>
      <c r="CL35" s="8">
        <f>IF((0=1),SUMIFS('Daily evaluations'!$D$2:$D$36,'Daily evaluations'!$B$2:$B$36,"=random_19",'Daily evaluations'!$C$2:$C$36,"=d20270127"),"")</f>
      </c>
      <c r="CM35" s="8">
        <f>IF((0=1),SUMIFS('Daily evaluations'!$D$2:$D$36,'Daily evaluations'!$B$2:$B$36,"=random_19",'Daily evaluations'!$C$2:$C$36,"=d20270128"),"")</f>
      </c>
      <c r="CN35" s="8">
        <f>IF((0=1),SUMIFS('Daily evaluations'!$D$2:$D$36,'Daily evaluations'!$B$2:$B$36,"=random_19",'Daily evaluations'!$C$2:$C$36,"=d20270129"),"")</f>
      </c>
      <c r="CO35" s="8">
        <f>IF((0=1),SUMIFS('Daily evaluations'!$D$2:$D$36,'Daily evaluations'!$B$2:$B$36,"=random_19",'Daily evaluations'!$C$2:$C$36,"=d20270201"),"")</f>
      </c>
      <c r="CP35" s="8">
        <f>IF((0=1),SUMIFS('Daily evaluations'!$D$2:$D$36,'Daily evaluations'!$B$2:$B$36,"=random_19",'Daily evaluations'!$C$2:$C$36,"=d20270202"),"")</f>
      </c>
      <c r="CQ35" s="8">
        <f>IF((0=1),SUMIFS('Daily evaluations'!$D$2:$D$36,'Daily evaluations'!$B$2:$B$36,"=random_19",'Daily evaluations'!$C$2:$C$36,"=d20270203"),"")</f>
      </c>
      <c r="CR35" s="8">
        <f>IF((0=1),SUMIFS('Daily evaluations'!$D$2:$D$36,'Daily evaluations'!$B$2:$B$36,"=random_19",'Daily evaluations'!$C$2:$C$36,"=d20270204"),"")</f>
      </c>
      <c r="CS35" s="8">
        <f>IF((0=1),SUMIFS('Daily evaluations'!$D$2:$D$36,'Daily evaluations'!$B$2:$B$36,"=random_19",'Daily evaluations'!$C$2:$C$36,"=d20270205"),"")</f>
      </c>
      <c r="CT35" s="8">
        <f>IF((0=1),SUMIFS('Daily evaluations'!$D$2:$D$36,'Daily evaluations'!$B$2:$B$36,"=random_19",'Daily evaluations'!$C$2:$C$36,"=d20270208"),"")</f>
      </c>
      <c r="CU35" s="8">
        <f>IF((0=1),SUMIFS('Daily evaluations'!$D$2:$D$36,'Daily evaluations'!$B$2:$B$36,"=random_19",'Daily evaluations'!$C$2:$C$36,"=d20270209"),"")</f>
      </c>
      <c r="CV35" s="8">
        <f>IF((0=1),SUMIFS('Daily evaluations'!$D$2:$D$36,'Daily evaluations'!$B$2:$B$36,"=random_19",'Daily evaluations'!$C$2:$C$36,"=d20270210"),"")</f>
      </c>
      <c r="CW35" s="8">
        <f>IF((0=1),SUMIFS('Daily evaluations'!$D$2:$D$36,'Daily evaluations'!$B$2:$B$36,"=random_19",'Daily evaluations'!$C$2:$C$36,"=d20270211"),"")</f>
      </c>
      <c r="CX35" s="8">
        <f>IF((0=1),SUMIFS('Daily evaluations'!$D$2:$D$36,'Daily evaluations'!$B$2:$B$36,"=random_19",'Daily evaluations'!$C$2:$C$36,"=d20270212"),"")</f>
      </c>
    </row>
    <row r="36">
      <c r="A36" s="0" t="inlineStr">
        <is>
          <t xml:space="preserve">Sector-neutral overnight excess, bps</t>
        </is>
      </c>
      <c r="B36" s="0" t="inlineStr">
        <is>
          <t xml:space="preserve">Random 20</t>
        </is>
      </c>
      <c r="C36" s="8">
        <f>IF((1=1),SUMIFS('Daily evaluations'!$D$2:$D$36,'Daily evaluations'!$B$2:$B$36,"=random_20",'Daily evaluations'!$C$2:$C$36,"=d20260922"),"")</f>
        <v>5.013</v>
      </c>
      <c r="D36" s="8">
        <f>IF((0=1),SUMIFS('Daily evaluations'!$D$2:$D$36,'Daily evaluations'!$B$2:$B$36,"=random_20",'Daily evaluations'!$C$2:$C$36,"=d20260923"),"")</f>
      </c>
      <c r="E36" s="8">
        <f>IF((0=1),SUMIFS('Daily evaluations'!$D$2:$D$36,'Daily evaluations'!$B$2:$B$36,"=random_20",'Daily evaluations'!$C$2:$C$36,"=d20260924"),"")</f>
      </c>
      <c r="F36" s="8">
        <f>IF((0=1),SUMIFS('Daily evaluations'!$D$2:$D$36,'Daily evaluations'!$B$2:$B$36,"=random_20",'Daily evaluations'!$C$2:$C$36,"=d20260925"),"")</f>
      </c>
      <c r="G36" s="8">
        <f>IF((0=1),SUMIFS('Daily evaluations'!$D$2:$D$36,'Daily evaluations'!$B$2:$B$36,"=random_20",'Daily evaluations'!$C$2:$C$36,"=d20260928"),"")</f>
      </c>
      <c r="H36" s="8">
        <f>IF((0=1),SUMIFS('Daily evaluations'!$D$2:$D$36,'Daily evaluations'!$B$2:$B$36,"=random_20",'Daily evaluations'!$C$2:$C$36,"=d20260929"),"")</f>
      </c>
      <c r="I36" s="8">
        <f>IF((0=1),SUMIFS('Daily evaluations'!$D$2:$D$36,'Daily evaluations'!$B$2:$B$36,"=random_20",'Daily evaluations'!$C$2:$C$36,"=d20260930"),"")</f>
      </c>
      <c r="J36" s="8">
        <f>IF((0=1),SUMIFS('Daily evaluations'!$D$2:$D$36,'Daily evaluations'!$B$2:$B$36,"=random_20",'Daily evaluations'!$C$2:$C$36,"=d20261001"),"")</f>
      </c>
      <c r="K36" s="8">
        <f>IF((0=1),SUMIFS('Daily evaluations'!$D$2:$D$36,'Daily evaluations'!$B$2:$B$36,"=random_20",'Daily evaluations'!$C$2:$C$36,"=d20261002"),"")</f>
      </c>
      <c r="L36" s="8">
        <f>IF((0=1),SUMIFS('Daily evaluations'!$D$2:$D$36,'Daily evaluations'!$B$2:$B$36,"=random_20",'Daily evaluations'!$C$2:$C$36,"=d20261005"),"")</f>
      </c>
      <c r="M36" s="8">
        <f>IF((0=1),SUMIFS('Daily evaluations'!$D$2:$D$36,'Daily evaluations'!$B$2:$B$36,"=random_20",'Daily evaluations'!$C$2:$C$36,"=d20261006"),"")</f>
      </c>
      <c r="N36" s="8">
        <f>IF((0=1),SUMIFS('Daily evaluations'!$D$2:$D$36,'Daily evaluations'!$B$2:$B$36,"=random_20",'Daily evaluations'!$C$2:$C$36,"=d20261007"),"")</f>
      </c>
      <c r="O36" s="8">
        <f>IF((0=1),SUMIFS('Daily evaluations'!$D$2:$D$36,'Daily evaluations'!$B$2:$B$36,"=random_20",'Daily evaluations'!$C$2:$C$36,"=d20261008"),"")</f>
      </c>
      <c r="P36" s="8">
        <f>IF((0=1),SUMIFS('Daily evaluations'!$D$2:$D$36,'Daily evaluations'!$B$2:$B$36,"=random_20",'Daily evaluations'!$C$2:$C$36,"=d20261009"),"")</f>
      </c>
      <c r="Q36" s="8">
        <f>IF((0=1),SUMIFS('Daily evaluations'!$D$2:$D$36,'Daily evaluations'!$B$2:$B$36,"=random_20",'Daily evaluations'!$C$2:$C$36,"=d20261012"),"")</f>
      </c>
      <c r="R36" s="8">
        <f>IF((0=1),SUMIFS('Daily evaluations'!$D$2:$D$36,'Daily evaluations'!$B$2:$B$36,"=random_20",'Daily evaluations'!$C$2:$C$36,"=d20261013"),"")</f>
      </c>
      <c r="S36" s="8">
        <f>IF((0=1),SUMIFS('Daily evaluations'!$D$2:$D$36,'Daily evaluations'!$B$2:$B$36,"=random_20",'Daily evaluations'!$C$2:$C$36,"=d20261014"),"")</f>
      </c>
      <c r="T36" s="8">
        <f>IF((0=1),SUMIFS('Daily evaluations'!$D$2:$D$36,'Daily evaluations'!$B$2:$B$36,"=random_20",'Daily evaluations'!$C$2:$C$36,"=d20261015"),"")</f>
      </c>
      <c r="U36" s="8">
        <f>IF((0=1),SUMIFS('Daily evaluations'!$D$2:$D$36,'Daily evaluations'!$B$2:$B$36,"=random_20",'Daily evaluations'!$C$2:$C$36,"=d20261016"),"")</f>
      </c>
      <c r="V36" s="8">
        <f>IF((0=1),SUMIFS('Daily evaluations'!$D$2:$D$36,'Daily evaluations'!$B$2:$B$36,"=random_20",'Daily evaluations'!$C$2:$C$36,"=d20261019"),"")</f>
      </c>
      <c r="W36" s="8">
        <f>IF((0=1),SUMIFS('Daily evaluations'!$D$2:$D$36,'Daily evaluations'!$B$2:$B$36,"=random_20",'Daily evaluations'!$C$2:$C$36,"=d20261020"),"")</f>
      </c>
      <c r="X36" s="8">
        <f>IF((0=1),SUMIFS('Daily evaluations'!$D$2:$D$36,'Daily evaluations'!$B$2:$B$36,"=random_20",'Daily evaluations'!$C$2:$C$36,"=d20261021"),"")</f>
      </c>
      <c r="Y36" s="8">
        <f>IF((0=1),SUMIFS('Daily evaluations'!$D$2:$D$36,'Daily evaluations'!$B$2:$B$36,"=random_20",'Daily evaluations'!$C$2:$C$36,"=d20261022"),"")</f>
      </c>
      <c r="Z36" s="8">
        <f>IF((0=1),SUMIFS('Daily evaluations'!$D$2:$D$36,'Daily evaluations'!$B$2:$B$36,"=random_20",'Daily evaluations'!$C$2:$C$36,"=d20261023"),"")</f>
      </c>
      <c r="AA36" s="8">
        <f>IF((0=1),SUMIFS('Daily evaluations'!$D$2:$D$36,'Daily evaluations'!$B$2:$B$36,"=random_20",'Daily evaluations'!$C$2:$C$36,"=d20261026"),"")</f>
      </c>
      <c r="AB36" s="8">
        <f>IF((0=1),SUMIFS('Daily evaluations'!$D$2:$D$36,'Daily evaluations'!$B$2:$B$36,"=random_20",'Daily evaluations'!$C$2:$C$36,"=d20261027"),"")</f>
      </c>
      <c r="AC36" s="8">
        <f>IF((0=1),SUMIFS('Daily evaluations'!$D$2:$D$36,'Daily evaluations'!$B$2:$B$36,"=random_20",'Daily evaluations'!$C$2:$C$36,"=d20261028"),"")</f>
      </c>
      <c r="AD36" s="8">
        <f>IF((0=1),SUMIFS('Daily evaluations'!$D$2:$D$36,'Daily evaluations'!$B$2:$B$36,"=random_20",'Daily evaluations'!$C$2:$C$36,"=d20261029"),"")</f>
      </c>
      <c r="AE36" s="8">
        <f>IF((0=1),SUMIFS('Daily evaluations'!$D$2:$D$36,'Daily evaluations'!$B$2:$B$36,"=random_20",'Daily evaluations'!$C$2:$C$36,"=d20261030"),"")</f>
      </c>
      <c r="AF36" s="8">
        <f>IF((0=1),SUMIFS('Daily evaluations'!$D$2:$D$36,'Daily evaluations'!$B$2:$B$36,"=random_20",'Daily evaluations'!$C$2:$C$36,"=d20261102"),"")</f>
      </c>
      <c r="AG36" s="8">
        <f>IF((0=1),SUMIFS('Daily evaluations'!$D$2:$D$36,'Daily evaluations'!$B$2:$B$36,"=random_20",'Daily evaluations'!$C$2:$C$36,"=d20261103"),"")</f>
      </c>
      <c r="AH36" s="8">
        <f>IF((0=1),SUMIFS('Daily evaluations'!$D$2:$D$36,'Daily evaluations'!$B$2:$B$36,"=random_20",'Daily evaluations'!$C$2:$C$36,"=d20261104"),"")</f>
      </c>
      <c r="AI36" s="8">
        <f>IF((0=1),SUMIFS('Daily evaluations'!$D$2:$D$36,'Daily evaluations'!$B$2:$B$36,"=random_20",'Daily evaluations'!$C$2:$C$36,"=d20261105"),"")</f>
      </c>
      <c r="AJ36" s="8">
        <f>IF((0=1),SUMIFS('Daily evaluations'!$D$2:$D$36,'Daily evaluations'!$B$2:$B$36,"=random_20",'Daily evaluations'!$C$2:$C$36,"=d20261106"),"")</f>
      </c>
      <c r="AK36" s="8">
        <f>IF((0=1),SUMIFS('Daily evaluations'!$D$2:$D$36,'Daily evaluations'!$B$2:$B$36,"=random_20",'Daily evaluations'!$C$2:$C$36,"=d20261109"),"")</f>
      </c>
      <c r="AL36" s="8">
        <f>IF((0=1),SUMIFS('Daily evaluations'!$D$2:$D$36,'Daily evaluations'!$B$2:$B$36,"=random_20",'Daily evaluations'!$C$2:$C$36,"=d20261110"),"")</f>
      </c>
      <c r="AM36" s="8">
        <f>IF((0=1),SUMIFS('Daily evaluations'!$D$2:$D$36,'Daily evaluations'!$B$2:$B$36,"=random_20",'Daily evaluations'!$C$2:$C$36,"=d20261111"),"")</f>
      </c>
      <c r="AN36" s="8">
        <f>IF((0=1),SUMIFS('Daily evaluations'!$D$2:$D$36,'Daily evaluations'!$B$2:$B$36,"=random_20",'Daily evaluations'!$C$2:$C$36,"=d20261112"),"")</f>
      </c>
      <c r="AO36" s="8">
        <f>IF((0=1),SUMIFS('Daily evaluations'!$D$2:$D$36,'Daily evaluations'!$B$2:$B$36,"=random_20",'Daily evaluations'!$C$2:$C$36,"=d20261113"),"")</f>
      </c>
      <c r="AP36" s="8">
        <f>IF((0=1),SUMIFS('Daily evaluations'!$D$2:$D$36,'Daily evaluations'!$B$2:$B$36,"=random_20",'Daily evaluations'!$C$2:$C$36,"=d20261116"),"")</f>
      </c>
      <c r="AQ36" s="8">
        <f>IF((0=1),SUMIFS('Daily evaluations'!$D$2:$D$36,'Daily evaluations'!$B$2:$B$36,"=random_20",'Daily evaluations'!$C$2:$C$36,"=d20261117"),"")</f>
      </c>
      <c r="AR36" s="8">
        <f>IF((0=1),SUMIFS('Daily evaluations'!$D$2:$D$36,'Daily evaluations'!$B$2:$B$36,"=random_20",'Daily evaluations'!$C$2:$C$36,"=d20261118"),"")</f>
      </c>
      <c r="AS36" s="8">
        <f>IF((0=1),SUMIFS('Daily evaluations'!$D$2:$D$36,'Daily evaluations'!$B$2:$B$36,"=random_20",'Daily evaluations'!$C$2:$C$36,"=d20261119"),"")</f>
      </c>
      <c r="AT36" s="8">
        <f>IF((0=1),SUMIFS('Daily evaluations'!$D$2:$D$36,'Daily evaluations'!$B$2:$B$36,"=random_20",'Daily evaluations'!$C$2:$C$36,"=d20261120"),"")</f>
      </c>
      <c r="AU36" s="8">
        <f>IF((0=1),SUMIFS('Daily evaluations'!$D$2:$D$36,'Daily evaluations'!$B$2:$B$36,"=random_20",'Daily evaluations'!$C$2:$C$36,"=d20261123"),"")</f>
      </c>
      <c r="AV36" s="8">
        <f>IF((0=1),SUMIFS('Daily evaluations'!$D$2:$D$36,'Daily evaluations'!$B$2:$B$36,"=random_20",'Daily evaluations'!$C$2:$C$36,"=d20261124"),"")</f>
      </c>
      <c r="AW36" s="8">
        <f>IF((0=1),SUMIFS('Daily evaluations'!$D$2:$D$36,'Daily evaluations'!$B$2:$B$36,"=random_20",'Daily evaluations'!$C$2:$C$36,"=d20261125"),"")</f>
      </c>
      <c r="AX36" s="8">
        <f>IF((0=1),SUMIFS('Daily evaluations'!$D$2:$D$36,'Daily evaluations'!$B$2:$B$36,"=random_20",'Daily evaluations'!$C$2:$C$36,"=d20261127"),"")</f>
      </c>
      <c r="AY36" s="8">
        <f>IF((0=1),SUMIFS('Daily evaluations'!$D$2:$D$36,'Daily evaluations'!$B$2:$B$36,"=random_20",'Daily evaluations'!$C$2:$C$36,"=d20261130"),"")</f>
      </c>
      <c r="AZ36" s="8">
        <f>IF((0=1),SUMIFS('Daily evaluations'!$D$2:$D$36,'Daily evaluations'!$B$2:$B$36,"=random_20",'Daily evaluations'!$C$2:$C$36,"=d20261201"),"")</f>
      </c>
      <c r="BA36" s="8">
        <f>IF((0=1),SUMIFS('Daily evaluations'!$D$2:$D$36,'Daily evaluations'!$B$2:$B$36,"=random_20",'Daily evaluations'!$C$2:$C$36,"=d20261202"),"")</f>
      </c>
      <c r="BB36" s="8">
        <f>IF((0=1),SUMIFS('Daily evaluations'!$D$2:$D$36,'Daily evaluations'!$B$2:$B$36,"=random_20",'Daily evaluations'!$C$2:$C$36,"=d20261203"),"")</f>
      </c>
      <c r="BC36" s="8">
        <f>IF((0=1),SUMIFS('Daily evaluations'!$D$2:$D$36,'Daily evaluations'!$B$2:$B$36,"=random_20",'Daily evaluations'!$C$2:$C$36,"=d20261204"),"")</f>
      </c>
      <c r="BD36" s="8">
        <f>IF((0=1),SUMIFS('Daily evaluations'!$D$2:$D$36,'Daily evaluations'!$B$2:$B$36,"=random_20",'Daily evaluations'!$C$2:$C$36,"=d20261207"),"")</f>
      </c>
      <c r="BE36" s="8">
        <f>IF((0=1),SUMIFS('Daily evaluations'!$D$2:$D$36,'Daily evaluations'!$B$2:$B$36,"=random_20",'Daily evaluations'!$C$2:$C$36,"=d20261208"),"")</f>
      </c>
      <c r="BF36" s="8">
        <f>IF((0=1),SUMIFS('Daily evaluations'!$D$2:$D$36,'Daily evaluations'!$B$2:$B$36,"=random_20",'Daily evaluations'!$C$2:$C$36,"=d20261209"),"")</f>
      </c>
      <c r="BG36" s="8">
        <f>IF((0=1),SUMIFS('Daily evaluations'!$D$2:$D$36,'Daily evaluations'!$B$2:$B$36,"=random_20",'Daily evaluations'!$C$2:$C$36,"=d20261210"),"")</f>
      </c>
      <c r="BH36" s="8">
        <f>IF((0=1),SUMIFS('Daily evaluations'!$D$2:$D$36,'Daily evaluations'!$B$2:$B$36,"=random_20",'Daily evaluations'!$C$2:$C$36,"=d20261211"),"")</f>
      </c>
      <c r="BI36" s="8">
        <f>IF((0=1),SUMIFS('Daily evaluations'!$D$2:$D$36,'Daily evaluations'!$B$2:$B$36,"=random_20",'Daily evaluations'!$C$2:$C$36,"=d20261214"),"")</f>
      </c>
      <c r="BJ36" s="8">
        <f>IF((0=1),SUMIFS('Daily evaluations'!$D$2:$D$36,'Daily evaluations'!$B$2:$B$36,"=random_20",'Daily evaluations'!$C$2:$C$36,"=d20261215"),"")</f>
      </c>
      <c r="BK36" s="8">
        <f>IF((0=1),SUMIFS('Daily evaluations'!$D$2:$D$36,'Daily evaluations'!$B$2:$B$36,"=random_20",'Daily evaluations'!$C$2:$C$36,"=d20261216"),"")</f>
      </c>
      <c r="BL36" s="8">
        <f>IF((0=1),SUMIFS('Daily evaluations'!$D$2:$D$36,'Daily evaluations'!$B$2:$B$36,"=random_20",'Daily evaluations'!$C$2:$C$36,"=d20261217"),"")</f>
      </c>
      <c r="BM36" s="8">
        <f>IF((0=1),SUMIFS('Daily evaluations'!$D$2:$D$36,'Daily evaluations'!$B$2:$B$36,"=random_20",'Daily evaluations'!$C$2:$C$36,"=d20261218"),"")</f>
      </c>
      <c r="BN36" s="8">
        <f>IF((0=1),SUMIFS('Daily evaluations'!$D$2:$D$36,'Daily evaluations'!$B$2:$B$36,"=random_20",'Daily evaluations'!$C$2:$C$36,"=d20261221"),"")</f>
      </c>
      <c r="BO36" s="8">
        <f>IF((0=1),SUMIFS('Daily evaluations'!$D$2:$D$36,'Daily evaluations'!$B$2:$B$36,"=random_20",'Daily evaluations'!$C$2:$C$36,"=d20261222"),"")</f>
      </c>
      <c r="BP36" s="8">
        <f>IF((0=1),SUMIFS('Daily evaluations'!$D$2:$D$36,'Daily evaluations'!$B$2:$B$36,"=random_20",'Daily evaluations'!$C$2:$C$36,"=d20261223"),"")</f>
      </c>
      <c r="BQ36" s="8">
        <f>IF((0=1),SUMIFS('Daily evaluations'!$D$2:$D$36,'Daily evaluations'!$B$2:$B$36,"=random_20",'Daily evaluations'!$C$2:$C$36,"=d20261224"),"")</f>
      </c>
      <c r="BR36" s="8">
        <f>IF((0=1),SUMIFS('Daily evaluations'!$D$2:$D$36,'Daily evaluations'!$B$2:$B$36,"=random_20",'Daily evaluations'!$C$2:$C$36,"=d20261228"),"")</f>
      </c>
      <c r="BS36" s="8">
        <f>IF((0=1),SUMIFS('Daily evaluations'!$D$2:$D$36,'Daily evaluations'!$B$2:$B$36,"=random_20",'Daily evaluations'!$C$2:$C$36,"=d20261229"),"")</f>
      </c>
      <c r="BT36" s="8">
        <f>IF((0=1),SUMIFS('Daily evaluations'!$D$2:$D$36,'Daily evaluations'!$B$2:$B$36,"=random_20",'Daily evaluations'!$C$2:$C$36,"=d20261230"),"")</f>
      </c>
      <c r="BU36" s="8">
        <f>IF((0=1),SUMIFS('Daily evaluations'!$D$2:$D$36,'Daily evaluations'!$B$2:$B$36,"=random_20",'Daily evaluations'!$C$2:$C$36,"=d20261231"),"")</f>
      </c>
      <c r="BV36" s="8">
        <f>IF((0=1),SUMIFS('Daily evaluations'!$D$2:$D$36,'Daily evaluations'!$B$2:$B$36,"=random_20",'Daily evaluations'!$C$2:$C$36,"=d20270104"),"")</f>
      </c>
      <c r="BW36" s="8">
        <f>IF((0=1),SUMIFS('Daily evaluations'!$D$2:$D$36,'Daily evaluations'!$B$2:$B$36,"=random_20",'Daily evaluations'!$C$2:$C$36,"=d20270105"),"")</f>
      </c>
      <c r="BX36" s="8">
        <f>IF((0=1),SUMIFS('Daily evaluations'!$D$2:$D$36,'Daily evaluations'!$B$2:$B$36,"=random_20",'Daily evaluations'!$C$2:$C$36,"=d20270106"),"")</f>
      </c>
      <c r="BY36" s="8">
        <f>IF((0=1),SUMIFS('Daily evaluations'!$D$2:$D$36,'Daily evaluations'!$B$2:$B$36,"=random_20",'Daily evaluations'!$C$2:$C$36,"=d20270107"),"")</f>
      </c>
      <c r="BZ36" s="8">
        <f>IF((0=1),SUMIFS('Daily evaluations'!$D$2:$D$36,'Daily evaluations'!$B$2:$B$36,"=random_20",'Daily evaluations'!$C$2:$C$36,"=d20270108"),"")</f>
      </c>
      <c r="CA36" s="8">
        <f>IF((0=1),SUMIFS('Daily evaluations'!$D$2:$D$36,'Daily evaluations'!$B$2:$B$36,"=random_20",'Daily evaluations'!$C$2:$C$36,"=d20270111"),"")</f>
      </c>
      <c r="CB36" s="8">
        <f>IF((0=1),SUMIFS('Daily evaluations'!$D$2:$D$36,'Daily evaluations'!$B$2:$B$36,"=random_20",'Daily evaluations'!$C$2:$C$36,"=d20270112"),"")</f>
      </c>
      <c r="CC36" s="8">
        <f>IF((0=1),SUMIFS('Daily evaluations'!$D$2:$D$36,'Daily evaluations'!$B$2:$B$36,"=random_20",'Daily evaluations'!$C$2:$C$36,"=d20270113"),"")</f>
      </c>
      <c r="CD36" s="8">
        <f>IF((0=1),SUMIFS('Daily evaluations'!$D$2:$D$36,'Daily evaluations'!$B$2:$B$36,"=random_20",'Daily evaluations'!$C$2:$C$36,"=d20270114"),"")</f>
      </c>
      <c r="CE36" s="8">
        <f>IF((0=1),SUMIFS('Daily evaluations'!$D$2:$D$36,'Daily evaluations'!$B$2:$B$36,"=random_20",'Daily evaluations'!$C$2:$C$36,"=d20270115"),"")</f>
      </c>
      <c r="CF36" s="8">
        <f>IF((0=1),SUMIFS('Daily evaluations'!$D$2:$D$36,'Daily evaluations'!$B$2:$B$36,"=random_20",'Daily evaluations'!$C$2:$C$36,"=d20270119"),"")</f>
      </c>
      <c r="CG36" s="8">
        <f>IF((0=1),SUMIFS('Daily evaluations'!$D$2:$D$36,'Daily evaluations'!$B$2:$B$36,"=random_20",'Daily evaluations'!$C$2:$C$36,"=d20270120"),"")</f>
      </c>
      <c r="CH36" s="8">
        <f>IF((0=1),SUMIFS('Daily evaluations'!$D$2:$D$36,'Daily evaluations'!$B$2:$B$36,"=random_20",'Daily evaluations'!$C$2:$C$36,"=d20270121"),"")</f>
      </c>
      <c r="CI36" s="8">
        <f>IF((0=1),SUMIFS('Daily evaluations'!$D$2:$D$36,'Daily evaluations'!$B$2:$B$36,"=random_20",'Daily evaluations'!$C$2:$C$36,"=d20270122"),"")</f>
      </c>
      <c r="CJ36" s="8">
        <f>IF((0=1),SUMIFS('Daily evaluations'!$D$2:$D$36,'Daily evaluations'!$B$2:$B$36,"=random_20",'Daily evaluations'!$C$2:$C$36,"=d20270125"),"")</f>
      </c>
      <c r="CK36" s="8">
        <f>IF((0=1),SUMIFS('Daily evaluations'!$D$2:$D$36,'Daily evaluations'!$B$2:$B$36,"=random_20",'Daily evaluations'!$C$2:$C$36,"=d20270126"),"")</f>
      </c>
      <c r="CL36" s="8">
        <f>IF((0=1),SUMIFS('Daily evaluations'!$D$2:$D$36,'Daily evaluations'!$B$2:$B$36,"=random_20",'Daily evaluations'!$C$2:$C$36,"=d20270127"),"")</f>
      </c>
      <c r="CM36" s="8">
        <f>IF((0=1),SUMIFS('Daily evaluations'!$D$2:$D$36,'Daily evaluations'!$B$2:$B$36,"=random_20",'Daily evaluations'!$C$2:$C$36,"=d20270128"),"")</f>
      </c>
      <c r="CN36" s="8">
        <f>IF((0=1),SUMIFS('Daily evaluations'!$D$2:$D$36,'Daily evaluations'!$B$2:$B$36,"=random_20",'Daily evaluations'!$C$2:$C$36,"=d20270129"),"")</f>
      </c>
      <c r="CO36" s="8">
        <f>IF((0=1),SUMIFS('Daily evaluations'!$D$2:$D$36,'Daily evaluations'!$B$2:$B$36,"=random_20",'Daily evaluations'!$C$2:$C$36,"=d20270201"),"")</f>
      </c>
      <c r="CP36" s="8">
        <f>IF((0=1),SUMIFS('Daily evaluations'!$D$2:$D$36,'Daily evaluations'!$B$2:$B$36,"=random_20",'Daily evaluations'!$C$2:$C$36,"=d20270202"),"")</f>
      </c>
      <c r="CQ36" s="8">
        <f>IF((0=1),SUMIFS('Daily evaluations'!$D$2:$D$36,'Daily evaluations'!$B$2:$B$36,"=random_20",'Daily evaluations'!$C$2:$C$36,"=d20270203"),"")</f>
      </c>
      <c r="CR36" s="8">
        <f>IF((0=1),SUMIFS('Daily evaluations'!$D$2:$D$36,'Daily evaluations'!$B$2:$B$36,"=random_20",'Daily evaluations'!$C$2:$C$36,"=d20270204"),"")</f>
      </c>
      <c r="CS36" s="8">
        <f>IF((0=1),SUMIFS('Daily evaluations'!$D$2:$D$36,'Daily evaluations'!$B$2:$B$36,"=random_20",'Daily evaluations'!$C$2:$C$36,"=d20270205"),"")</f>
      </c>
      <c r="CT36" s="8">
        <f>IF((0=1),SUMIFS('Daily evaluations'!$D$2:$D$36,'Daily evaluations'!$B$2:$B$36,"=random_20",'Daily evaluations'!$C$2:$C$36,"=d20270208"),"")</f>
      </c>
      <c r="CU36" s="8">
        <f>IF((0=1),SUMIFS('Daily evaluations'!$D$2:$D$36,'Daily evaluations'!$B$2:$B$36,"=random_20",'Daily evaluations'!$C$2:$C$36,"=d20270209"),"")</f>
      </c>
      <c r="CV36" s="8">
        <f>IF((0=1),SUMIFS('Daily evaluations'!$D$2:$D$36,'Daily evaluations'!$B$2:$B$36,"=random_20",'Daily evaluations'!$C$2:$C$36,"=d20270210"),"")</f>
      </c>
      <c r="CW36" s="8">
        <f>IF((0=1),SUMIFS('Daily evaluations'!$D$2:$D$36,'Daily evaluations'!$B$2:$B$36,"=random_20",'Daily evaluations'!$C$2:$C$36,"=d20270211"),"")</f>
      </c>
      <c r="CX36" s="8">
        <f>IF((0=1),SUMIFS('Daily evaluations'!$D$2:$D$36,'Daily evaluations'!$B$2:$B$36,"=random_20",'Daily evaluations'!$C$2:$C$36,"=d20270212"),"")</f>
      </c>
    </row>
    <row r="37">
      <c r="A37" s="0" t="inlineStr">
        <is>
          <t xml:space="preserve">Overnight excess vs universe, bps</t>
        </is>
      </c>
      <c r="B37" s="0" t="inlineStr">
        <is>
          <t xml:space="preserve">worst 100 by yesterday's close-to-close return</t>
        </is>
      </c>
      <c r="C37" s="8">
        <f>IF((1=1),SUMIFS('Daily evaluations'!$E$2:$E$36,'Daily evaluations'!$B$2:$B$36,"=naive_loser1d",'Daily evaluations'!$C$2:$C$36,"=d20260922"),"")</f>
        <v>37.379</v>
      </c>
      <c r="D37" s="8">
        <f>IF((0=1),SUMIFS('Daily evaluations'!$E$2:$E$36,'Daily evaluations'!$B$2:$B$36,"=naive_loser1d",'Daily evaluations'!$C$2:$C$36,"=d20260923"),"")</f>
      </c>
      <c r="E37" s="8">
        <f>IF((0=1),SUMIFS('Daily evaluations'!$E$2:$E$36,'Daily evaluations'!$B$2:$B$36,"=naive_loser1d",'Daily evaluations'!$C$2:$C$36,"=d20260924"),"")</f>
      </c>
      <c r="F37" s="8">
        <f>IF((0=1),SUMIFS('Daily evaluations'!$E$2:$E$36,'Daily evaluations'!$B$2:$B$36,"=naive_loser1d",'Daily evaluations'!$C$2:$C$36,"=d20260925"),"")</f>
      </c>
      <c r="G37" s="8">
        <f>IF((0=1),SUMIFS('Daily evaluations'!$E$2:$E$36,'Daily evaluations'!$B$2:$B$36,"=naive_loser1d",'Daily evaluations'!$C$2:$C$36,"=d20260928"),"")</f>
      </c>
      <c r="H37" s="8">
        <f>IF((0=1),SUMIFS('Daily evaluations'!$E$2:$E$36,'Daily evaluations'!$B$2:$B$36,"=naive_loser1d",'Daily evaluations'!$C$2:$C$36,"=d20260929"),"")</f>
      </c>
      <c r="I37" s="8">
        <f>IF((0=1),SUMIFS('Daily evaluations'!$E$2:$E$36,'Daily evaluations'!$B$2:$B$36,"=naive_loser1d",'Daily evaluations'!$C$2:$C$36,"=d20260930"),"")</f>
      </c>
      <c r="J37" s="8">
        <f>IF((0=1),SUMIFS('Daily evaluations'!$E$2:$E$36,'Daily evaluations'!$B$2:$B$36,"=naive_loser1d",'Daily evaluations'!$C$2:$C$36,"=d20261001"),"")</f>
      </c>
      <c r="K37" s="8">
        <f>IF((0=1),SUMIFS('Daily evaluations'!$E$2:$E$36,'Daily evaluations'!$B$2:$B$36,"=naive_loser1d",'Daily evaluations'!$C$2:$C$36,"=d20261002"),"")</f>
      </c>
      <c r="L37" s="8">
        <f>IF((0=1),SUMIFS('Daily evaluations'!$E$2:$E$36,'Daily evaluations'!$B$2:$B$36,"=naive_loser1d",'Daily evaluations'!$C$2:$C$36,"=d20261005"),"")</f>
      </c>
      <c r="M37" s="8">
        <f>IF((0=1),SUMIFS('Daily evaluations'!$E$2:$E$36,'Daily evaluations'!$B$2:$B$36,"=naive_loser1d",'Daily evaluations'!$C$2:$C$36,"=d20261006"),"")</f>
      </c>
      <c r="N37" s="8">
        <f>IF((0=1),SUMIFS('Daily evaluations'!$E$2:$E$36,'Daily evaluations'!$B$2:$B$36,"=naive_loser1d",'Daily evaluations'!$C$2:$C$36,"=d20261007"),"")</f>
      </c>
      <c r="O37" s="8">
        <f>IF((0=1),SUMIFS('Daily evaluations'!$E$2:$E$36,'Daily evaluations'!$B$2:$B$36,"=naive_loser1d",'Daily evaluations'!$C$2:$C$36,"=d20261008"),"")</f>
      </c>
      <c r="P37" s="8">
        <f>IF((0=1),SUMIFS('Daily evaluations'!$E$2:$E$36,'Daily evaluations'!$B$2:$B$36,"=naive_loser1d",'Daily evaluations'!$C$2:$C$36,"=d20261009"),"")</f>
      </c>
      <c r="Q37" s="8">
        <f>IF((0=1),SUMIFS('Daily evaluations'!$E$2:$E$36,'Daily evaluations'!$B$2:$B$36,"=naive_loser1d",'Daily evaluations'!$C$2:$C$36,"=d20261012"),"")</f>
      </c>
      <c r="R37" s="8">
        <f>IF((0=1),SUMIFS('Daily evaluations'!$E$2:$E$36,'Daily evaluations'!$B$2:$B$36,"=naive_loser1d",'Daily evaluations'!$C$2:$C$36,"=d20261013"),"")</f>
      </c>
      <c r="S37" s="8">
        <f>IF((0=1),SUMIFS('Daily evaluations'!$E$2:$E$36,'Daily evaluations'!$B$2:$B$36,"=naive_loser1d",'Daily evaluations'!$C$2:$C$36,"=d20261014"),"")</f>
      </c>
      <c r="T37" s="8">
        <f>IF((0=1),SUMIFS('Daily evaluations'!$E$2:$E$36,'Daily evaluations'!$B$2:$B$36,"=naive_loser1d",'Daily evaluations'!$C$2:$C$36,"=d20261015"),"")</f>
      </c>
      <c r="U37" s="8">
        <f>IF((0=1),SUMIFS('Daily evaluations'!$E$2:$E$36,'Daily evaluations'!$B$2:$B$36,"=naive_loser1d",'Daily evaluations'!$C$2:$C$36,"=d20261016"),"")</f>
      </c>
      <c r="V37" s="8">
        <f>IF((0=1),SUMIFS('Daily evaluations'!$E$2:$E$36,'Daily evaluations'!$B$2:$B$36,"=naive_loser1d",'Daily evaluations'!$C$2:$C$36,"=d20261019"),"")</f>
      </c>
      <c r="W37" s="8">
        <f>IF((0=1),SUMIFS('Daily evaluations'!$E$2:$E$36,'Daily evaluations'!$B$2:$B$36,"=naive_loser1d",'Daily evaluations'!$C$2:$C$36,"=d20261020"),"")</f>
      </c>
      <c r="X37" s="8">
        <f>IF((0=1),SUMIFS('Daily evaluations'!$E$2:$E$36,'Daily evaluations'!$B$2:$B$36,"=naive_loser1d",'Daily evaluations'!$C$2:$C$36,"=d20261021"),"")</f>
      </c>
      <c r="Y37" s="8">
        <f>IF((0=1),SUMIFS('Daily evaluations'!$E$2:$E$36,'Daily evaluations'!$B$2:$B$36,"=naive_loser1d",'Daily evaluations'!$C$2:$C$36,"=d20261022"),"")</f>
      </c>
      <c r="Z37" s="8">
        <f>IF((0=1),SUMIFS('Daily evaluations'!$E$2:$E$36,'Daily evaluations'!$B$2:$B$36,"=naive_loser1d",'Daily evaluations'!$C$2:$C$36,"=d20261023"),"")</f>
      </c>
      <c r="AA37" s="8">
        <f>IF((0=1),SUMIFS('Daily evaluations'!$E$2:$E$36,'Daily evaluations'!$B$2:$B$36,"=naive_loser1d",'Daily evaluations'!$C$2:$C$36,"=d20261026"),"")</f>
      </c>
      <c r="AB37" s="8">
        <f>IF((0=1),SUMIFS('Daily evaluations'!$E$2:$E$36,'Daily evaluations'!$B$2:$B$36,"=naive_loser1d",'Daily evaluations'!$C$2:$C$36,"=d20261027"),"")</f>
      </c>
      <c r="AC37" s="8">
        <f>IF((0=1),SUMIFS('Daily evaluations'!$E$2:$E$36,'Daily evaluations'!$B$2:$B$36,"=naive_loser1d",'Daily evaluations'!$C$2:$C$36,"=d20261028"),"")</f>
      </c>
      <c r="AD37" s="8">
        <f>IF((0=1),SUMIFS('Daily evaluations'!$E$2:$E$36,'Daily evaluations'!$B$2:$B$36,"=naive_loser1d",'Daily evaluations'!$C$2:$C$36,"=d20261029"),"")</f>
      </c>
      <c r="AE37" s="8">
        <f>IF((0=1),SUMIFS('Daily evaluations'!$E$2:$E$36,'Daily evaluations'!$B$2:$B$36,"=naive_loser1d",'Daily evaluations'!$C$2:$C$36,"=d20261030"),"")</f>
      </c>
      <c r="AF37" s="8">
        <f>IF((0=1),SUMIFS('Daily evaluations'!$E$2:$E$36,'Daily evaluations'!$B$2:$B$36,"=naive_loser1d",'Daily evaluations'!$C$2:$C$36,"=d20261102"),"")</f>
      </c>
      <c r="AG37" s="8">
        <f>IF((0=1),SUMIFS('Daily evaluations'!$E$2:$E$36,'Daily evaluations'!$B$2:$B$36,"=naive_loser1d",'Daily evaluations'!$C$2:$C$36,"=d20261103"),"")</f>
      </c>
      <c r="AH37" s="8">
        <f>IF((0=1),SUMIFS('Daily evaluations'!$E$2:$E$36,'Daily evaluations'!$B$2:$B$36,"=naive_loser1d",'Daily evaluations'!$C$2:$C$36,"=d20261104"),"")</f>
      </c>
      <c r="AI37" s="8">
        <f>IF((0=1),SUMIFS('Daily evaluations'!$E$2:$E$36,'Daily evaluations'!$B$2:$B$36,"=naive_loser1d",'Daily evaluations'!$C$2:$C$36,"=d20261105"),"")</f>
      </c>
      <c r="AJ37" s="8">
        <f>IF((0=1),SUMIFS('Daily evaluations'!$E$2:$E$36,'Daily evaluations'!$B$2:$B$36,"=naive_loser1d",'Daily evaluations'!$C$2:$C$36,"=d20261106"),"")</f>
      </c>
      <c r="AK37" s="8">
        <f>IF((0=1),SUMIFS('Daily evaluations'!$E$2:$E$36,'Daily evaluations'!$B$2:$B$36,"=naive_loser1d",'Daily evaluations'!$C$2:$C$36,"=d20261109"),"")</f>
      </c>
      <c r="AL37" s="8">
        <f>IF((0=1),SUMIFS('Daily evaluations'!$E$2:$E$36,'Daily evaluations'!$B$2:$B$36,"=naive_loser1d",'Daily evaluations'!$C$2:$C$36,"=d20261110"),"")</f>
      </c>
      <c r="AM37" s="8">
        <f>IF((0=1),SUMIFS('Daily evaluations'!$E$2:$E$36,'Daily evaluations'!$B$2:$B$36,"=naive_loser1d",'Daily evaluations'!$C$2:$C$36,"=d20261111"),"")</f>
      </c>
      <c r="AN37" s="8">
        <f>IF((0=1),SUMIFS('Daily evaluations'!$E$2:$E$36,'Daily evaluations'!$B$2:$B$36,"=naive_loser1d",'Daily evaluations'!$C$2:$C$36,"=d20261112"),"")</f>
      </c>
      <c r="AO37" s="8">
        <f>IF((0=1),SUMIFS('Daily evaluations'!$E$2:$E$36,'Daily evaluations'!$B$2:$B$36,"=naive_loser1d",'Daily evaluations'!$C$2:$C$36,"=d20261113"),"")</f>
      </c>
      <c r="AP37" s="8">
        <f>IF((0=1),SUMIFS('Daily evaluations'!$E$2:$E$36,'Daily evaluations'!$B$2:$B$36,"=naive_loser1d",'Daily evaluations'!$C$2:$C$36,"=d20261116"),"")</f>
      </c>
      <c r="AQ37" s="8">
        <f>IF((0=1),SUMIFS('Daily evaluations'!$E$2:$E$36,'Daily evaluations'!$B$2:$B$36,"=naive_loser1d",'Daily evaluations'!$C$2:$C$36,"=d20261117"),"")</f>
      </c>
      <c r="AR37" s="8">
        <f>IF((0=1),SUMIFS('Daily evaluations'!$E$2:$E$36,'Daily evaluations'!$B$2:$B$36,"=naive_loser1d",'Daily evaluations'!$C$2:$C$36,"=d20261118"),"")</f>
      </c>
      <c r="AS37" s="8">
        <f>IF((0=1),SUMIFS('Daily evaluations'!$E$2:$E$36,'Daily evaluations'!$B$2:$B$36,"=naive_loser1d",'Daily evaluations'!$C$2:$C$36,"=d20261119"),"")</f>
      </c>
      <c r="AT37" s="8">
        <f>IF((0=1),SUMIFS('Daily evaluations'!$E$2:$E$36,'Daily evaluations'!$B$2:$B$36,"=naive_loser1d",'Daily evaluations'!$C$2:$C$36,"=d20261120"),"")</f>
      </c>
      <c r="AU37" s="8">
        <f>IF((0=1),SUMIFS('Daily evaluations'!$E$2:$E$36,'Daily evaluations'!$B$2:$B$36,"=naive_loser1d",'Daily evaluations'!$C$2:$C$36,"=d20261123"),"")</f>
      </c>
      <c r="AV37" s="8">
        <f>IF((0=1),SUMIFS('Daily evaluations'!$E$2:$E$36,'Daily evaluations'!$B$2:$B$36,"=naive_loser1d",'Daily evaluations'!$C$2:$C$36,"=d20261124"),"")</f>
      </c>
      <c r="AW37" s="8">
        <f>IF((0=1),SUMIFS('Daily evaluations'!$E$2:$E$36,'Daily evaluations'!$B$2:$B$36,"=naive_loser1d",'Daily evaluations'!$C$2:$C$36,"=d20261125"),"")</f>
      </c>
      <c r="AX37" s="8">
        <f>IF((0=1),SUMIFS('Daily evaluations'!$E$2:$E$36,'Daily evaluations'!$B$2:$B$36,"=naive_loser1d",'Daily evaluations'!$C$2:$C$36,"=d20261127"),"")</f>
      </c>
      <c r="AY37" s="8">
        <f>IF((0=1),SUMIFS('Daily evaluations'!$E$2:$E$36,'Daily evaluations'!$B$2:$B$36,"=naive_loser1d",'Daily evaluations'!$C$2:$C$36,"=d20261130"),"")</f>
      </c>
      <c r="AZ37" s="8">
        <f>IF((0=1),SUMIFS('Daily evaluations'!$E$2:$E$36,'Daily evaluations'!$B$2:$B$36,"=naive_loser1d",'Daily evaluations'!$C$2:$C$36,"=d20261201"),"")</f>
      </c>
      <c r="BA37" s="8">
        <f>IF((0=1),SUMIFS('Daily evaluations'!$E$2:$E$36,'Daily evaluations'!$B$2:$B$36,"=naive_loser1d",'Daily evaluations'!$C$2:$C$36,"=d20261202"),"")</f>
      </c>
      <c r="BB37" s="8">
        <f>IF((0=1),SUMIFS('Daily evaluations'!$E$2:$E$36,'Daily evaluations'!$B$2:$B$36,"=naive_loser1d",'Daily evaluations'!$C$2:$C$36,"=d20261203"),"")</f>
      </c>
      <c r="BC37" s="8">
        <f>IF((0=1),SUMIFS('Daily evaluations'!$E$2:$E$36,'Daily evaluations'!$B$2:$B$36,"=naive_loser1d",'Daily evaluations'!$C$2:$C$36,"=d20261204"),"")</f>
      </c>
      <c r="BD37" s="8">
        <f>IF((0=1),SUMIFS('Daily evaluations'!$E$2:$E$36,'Daily evaluations'!$B$2:$B$36,"=naive_loser1d",'Daily evaluations'!$C$2:$C$36,"=d20261207"),"")</f>
      </c>
      <c r="BE37" s="8">
        <f>IF((0=1),SUMIFS('Daily evaluations'!$E$2:$E$36,'Daily evaluations'!$B$2:$B$36,"=naive_loser1d",'Daily evaluations'!$C$2:$C$36,"=d20261208"),"")</f>
      </c>
      <c r="BF37" s="8">
        <f>IF((0=1),SUMIFS('Daily evaluations'!$E$2:$E$36,'Daily evaluations'!$B$2:$B$36,"=naive_loser1d",'Daily evaluations'!$C$2:$C$36,"=d20261209"),"")</f>
      </c>
      <c r="BG37" s="8">
        <f>IF((0=1),SUMIFS('Daily evaluations'!$E$2:$E$36,'Daily evaluations'!$B$2:$B$36,"=naive_loser1d",'Daily evaluations'!$C$2:$C$36,"=d20261210"),"")</f>
      </c>
      <c r="BH37" s="8">
        <f>IF((0=1),SUMIFS('Daily evaluations'!$E$2:$E$36,'Daily evaluations'!$B$2:$B$36,"=naive_loser1d",'Daily evaluations'!$C$2:$C$36,"=d20261211"),"")</f>
      </c>
      <c r="BI37" s="8">
        <f>IF((0=1),SUMIFS('Daily evaluations'!$E$2:$E$36,'Daily evaluations'!$B$2:$B$36,"=naive_loser1d",'Daily evaluations'!$C$2:$C$36,"=d20261214"),"")</f>
      </c>
      <c r="BJ37" s="8">
        <f>IF((0=1),SUMIFS('Daily evaluations'!$E$2:$E$36,'Daily evaluations'!$B$2:$B$36,"=naive_loser1d",'Daily evaluations'!$C$2:$C$36,"=d20261215"),"")</f>
      </c>
      <c r="BK37" s="8">
        <f>IF((0=1),SUMIFS('Daily evaluations'!$E$2:$E$36,'Daily evaluations'!$B$2:$B$36,"=naive_loser1d",'Daily evaluations'!$C$2:$C$36,"=d20261216"),"")</f>
      </c>
      <c r="BL37" s="8">
        <f>IF((0=1),SUMIFS('Daily evaluations'!$E$2:$E$36,'Daily evaluations'!$B$2:$B$36,"=naive_loser1d",'Daily evaluations'!$C$2:$C$36,"=d20261217"),"")</f>
      </c>
      <c r="BM37" s="8">
        <f>IF((0=1),SUMIFS('Daily evaluations'!$E$2:$E$36,'Daily evaluations'!$B$2:$B$36,"=naive_loser1d",'Daily evaluations'!$C$2:$C$36,"=d20261218"),"")</f>
      </c>
      <c r="BN37" s="8">
        <f>IF((0=1),SUMIFS('Daily evaluations'!$E$2:$E$36,'Daily evaluations'!$B$2:$B$36,"=naive_loser1d",'Daily evaluations'!$C$2:$C$36,"=d20261221"),"")</f>
      </c>
      <c r="BO37" s="8">
        <f>IF((0=1),SUMIFS('Daily evaluations'!$E$2:$E$36,'Daily evaluations'!$B$2:$B$36,"=naive_loser1d",'Daily evaluations'!$C$2:$C$36,"=d20261222"),"")</f>
      </c>
      <c r="BP37" s="8">
        <f>IF((0=1),SUMIFS('Daily evaluations'!$E$2:$E$36,'Daily evaluations'!$B$2:$B$36,"=naive_loser1d",'Daily evaluations'!$C$2:$C$36,"=d20261223"),"")</f>
      </c>
      <c r="BQ37" s="8">
        <f>IF((0=1),SUMIFS('Daily evaluations'!$E$2:$E$36,'Daily evaluations'!$B$2:$B$36,"=naive_loser1d",'Daily evaluations'!$C$2:$C$36,"=d20261224"),"")</f>
      </c>
      <c r="BR37" s="8">
        <f>IF((0=1),SUMIFS('Daily evaluations'!$E$2:$E$36,'Daily evaluations'!$B$2:$B$36,"=naive_loser1d",'Daily evaluations'!$C$2:$C$36,"=d20261228"),"")</f>
      </c>
      <c r="BS37" s="8">
        <f>IF((0=1),SUMIFS('Daily evaluations'!$E$2:$E$36,'Daily evaluations'!$B$2:$B$36,"=naive_loser1d",'Daily evaluations'!$C$2:$C$36,"=d20261229"),"")</f>
      </c>
      <c r="BT37" s="8">
        <f>IF((0=1),SUMIFS('Daily evaluations'!$E$2:$E$36,'Daily evaluations'!$B$2:$B$36,"=naive_loser1d",'Daily evaluations'!$C$2:$C$36,"=d20261230"),"")</f>
      </c>
      <c r="BU37" s="8">
        <f>IF((0=1),SUMIFS('Daily evaluations'!$E$2:$E$36,'Daily evaluations'!$B$2:$B$36,"=naive_loser1d",'Daily evaluations'!$C$2:$C$36,"=d20261231"),"")</f>
      </c>
      <c r="BV37" s="8">
        <f>IF((0=1),SUMIFS('Daily evaluations'!$E$2:$E$36,'Daily evaluations'!$B$2:$B$36,"=naive_loser1d",'Daily evaluations'!$C$2:$C$36,"=d20270104"),"")</f>
      </c>
      <c r="BW37" s="8">
        <f>IF((0=1),SUMIFS('Daily evaluations'!$E$2:$E$36,'Daily evaluations'!$B$2:$B$36,"=naive_loser1d",'Daily evaluations'!$C$2:$C$36,"=d20270105"),"")</f>
      </c>
      <c r="BX37" s="8">
        <f>IF((0=1),SUMIFS('Daily evaluations'!$E$2:$E$36,'Daily evaluations'!$B$2:$B$36,"=naive_loser1d",'Daily evaluations'!$C$2:$C$36,"=d20270106"),"")</f>
      </c>
      <c r="BY37" s="8">
        <f>IF((0=1),SUMIFS('Daily evaluations'!$E$2:$E$36,'Daily evaluations'!$B$2:$B$36,"=naive_loser1d",'Daily evaluations'!$C$2:$C$36,"=d20270107"),"")</f>
      </c>
      <c r="BZ37" s="8">
        <f>IF((0=1),SUMIFS('Daily evaluations'!$E$2:$E$36,'Daily evaluations'!$B$2:$B$36,"=naive_loser1d",'Daily evaluations'!$C$2:$C$36,"=d20270108"),"")</f>
      </c>
      <c r="CA37" s="8">
        <f>IF((0=1),SUMIFS('Daily evaluations'!$E$2:$E$36,'Daily evaluations'!$B$2:$B$36,"=naive_loser1d",'Daily evaluations'!$C$2:$C$36,"=d20270111"),"")</f>
      </c>
      <c r="CB37" s="8">
        <f>IF((0=1),SUMIFS('Daily evaluations'!$E$2:$E$36,'Daily evaluations'!$B$2:$B$36,"=naive_loser1d",'Daily evaluations'!$C$2:$C$36,"=d20270112"),"")</f>
      </c>
      <c r="CC37" s="8">
        <f>IF((0=1),SUMIFS('Daily evaluations'!$E$2:$E$36,'Daily evaluations'!$B$2:$B$36,"=naive_loser1d",'Daily evaluations'!$C$2:$C$36,"=d20270113"),"")</f>
      </c>
      <c r="CD37" s="8">
        <f>IF((0=1),SUMIFS('Daily evaluations'!$E$2:$E$36,'Daily evaluations'!$B$2:$B$36,"=naive_loser1d",'Daily evaluations'!$C$2:$C$36,"=d20270114"),"")</f>
      </c>
      <c r="CE37" s="8">
        <f>IF((0=1),SUMIFS('Daily evaluations'!$E$2:$E$36,'Daily evaluations'!$B$2:$B$36,"=naive_loser1d",'Daily evaluations'!$C$2:$C$36,"=d20270115"),"")</f>
      </c>
      <c r="CF37" s="8">
        <f>IF((0=1),SUMIFS('Daily evaluations'!$E$2:$E$36,'Daily evaluations'!$B$2:$B$36,"=naive_loser1d",'Daily evaluations'!$C$2:$C$36,"=d20270119"),"")</f>
      </c>
      <c r="CG37" s="8">
        <f>IF((0=1),SUMIFS('Daily evaluations'!$E$2:$E$36,'Daily evaluations'!$B$2:$B$36,"=naive_loser1d",'Daily evaluations'!$C$2:$C$36,"=d20270120"),"")</f>
      </c>
      <c r="CH37" s="8">
        <f>IF((0=1),SUMIFS('Daily evaluations'!$E$2:$E$36,'Daily evaluations'!$B$2:$B$36,"=naive_loser1d",'Daily evaluations'!$C$2:$C$36,"=d20270121"),"")</f>
      </c>
      <c r="CI37" s="8">
        <f>IF((0=1),SUMIFS('Daily evaluations'!$E$2:$E$36,'Daily evaluations'!$B$2:$B$36,"=naive_loser1d",'Daily evaluations'!$C$2:$C$36,"=d20270122"),"")</f>
      </c>
      <c r="CJ37" s="8">
        <f>IF((0=1),SUMIFS('Daily evaluations'!$E$2:$E$36,'Daily evaluations'!$B$2:$B$36,"=naive_loser1d",'Daily evaluations'!$C$2:$C$36,"=d20270125"),"")</f>
      </c>
      <c r="CK37" s="8">
        <f>IF((0=1),SUMIFS('Daily evaluations'!$E$2:$E$36,'Daily evaluations'!$B$2:$B$36,"=naive_loser1d",'Daily evaluations'!$C$2:$C$36,"=d20270126"),"")</f>
      </c>
      <c r="CL37" s="8">
        <f>IF((0=1),SUMIFS('Daily evaluations'!$E$2:$E$36,'Daily evaluations'!$B$2:$B$36,"=naive_loser1d",'Daily evaluations'!$C$2:$C$36,"=d20270127"),"")</f>
      </c>
      <c r="CM37" s="8">
        <f>IF((0=1),SUMIFS('Daily evaluations'!$E$2:$E$36,'Daily evaluations'!$B$2:$B$36,"=naive_loser1d",'Daily evaluations'!$C$2:$C$36,"=d20270128"),"")</f>
      </c>
      <c r="CN37" s="8">
        <f>IF((0=1),SUMIFS('Daily evaluations'!$E$2:$E$36,'Daily evaluations'!$B$2:$B$36,"=naive_loser1d",'Daily evaluations'!$C$2:$C$36,"=d20270129"),"")</f>
      </c>
      <c r="CO37" s="8">
        <f>IF((0=1),SUMIFS('Daily evaluations'!$E$2:$E$36,'Daily evaluations'!$B$2:$B$36,"=naive_loser1d",'Daily evaluations'!$C$2:$C$36,"=d20270201"),"")</f>
      </c>
      <c r="CP37" s="8">
        <f>IF((0=1),SUMIFS('Daily evaluations'!$E$2:$E$36,'Daily evaluations'!$B$2:$B$36,"=naive_loser1d",'Daily evaluations'!$C$2:$C$36,"=d20270202"),"")</f>
      </c>
      <c r="CQ37" s="8">
        <f>IF((0=1),SUMIFS('Daily evaluations'!$E$2:$E$36,'Daily evaluations'!$B$2:$B$36,"=naive_loser1d",'Daily evaluations'!$C$2:$C$36,"=d20270203"),"")</f>
      </c>
      <c r="CR37" s="8">
        <f>IF((0=1),SUMIFS('Daily evaluations'!$E$2:$E$36,'Daily evaluations'!$B$2:$B$36,"=naive_loser1d",'Daily evaluations'!$C$2:$C$36,"=d20270204"),"")</f>
      </c>
      <c r="CS37" s="8">
        <f>IF((0=1),SUMIFS('Daily evaluations'!$E$2:$E$36,'Daily evaluations'!$B$2:$B$36,"=naive_loser1d",'Daily evaluations'!$C$2:$C$36,"=d20270205"),"")</f>
      </c>
      <c r="CT37" s="8">
        <f>IF((0=1),SUMIFS('Daily evaluations'!$E$2:$E$36,'Daily evaluations'!$B$2:$B$36,"=naive_loser1d",'Daily evaluations'!$C$2:$C$36,"=d20270208"),"")</f>
      </c>
      <c r="CU37" s="8">
        <f>IF((0=1),SUMIFS('Daily evaluations'!$E$2:$E$36,'Daily evaluations'!$B$2:$B$36,"=naive_loser1d",'Daily evaluations'!$C$2:$C$36,"=d20270209"),"")</f>
      </c>
      <c r="CV37" s="8">
        <f>IF((0=1),SUMIFS('Daily evaluations'!$E$2:$E$36,'Daily evaluations'!$B$2:$B$36,"=naive_loser1d",'Daily evaluations'!$C$2:$C$36,"=d20270210"),"")</f>
      </c>
      <c r="CW37" s="8">
        <f>IF((0=1),SUMIFS('Daily evaluations'!$E$2:$E$36,'Daily evaluations'!$B$2:$B$36,"=naive_loser1d",'Daily evaluations'!$C$2:$C$36,"=d20270211"),"")</f>
      </c>
      <c r="CX37" s="8">
        <f>IF((0=1),SUMIFS('Daily evaluations'!$E$2:$E$36,'Daily evaluations'!$B$2:$B$36,"=naive_loser1d",'Daily evaluations'!$C$2:$C$36,"=d20270212"),"")</f>
      </c>
    </row>
    <row r="38">
      <c r="A38" s="0" t="inlineStr">
        <is>
          <t xml:space="preserve">Overnight excess vs universe, bps</t>
        </is>
      </c>
      <c r="B38" s="0" t="inlineStr">
        <is>
          <t xml:space="preserve">lowest 100 by 60-day volatility</t>
        </is>
      </c>
      <c r="C38" s="8">
        <f>IF((1=1),SUMIFS('Daily evaluations'!$E$2:$E$36,'Daily evaluations'!$B$2:$B$36,"=naive_lowvol",'Daily evaluations'!$C$2:$C$36,"=d20260922"),"")</f>
        <v>-4.709</v>
      </c>
      <c r="D38" s="8">
        <f>IF((0=1),SUMIFS('Daily evaluations'!$E$2:$E$36,'Daily evaluations'!$B$2:$B$36,"=naive_lowvol",'Daily evaluations'!$C$2:$C$36,"=d20260923"),"")</f>
      </c>
      <c r="E38" s="8">
        <f>IF((0=1),SUMIFS('Daily evaluations'!$E$2:$E$36,'Daily evaluations'!$B$2:$B$36,"=naive_lowvol",'Daily evaluations'!$C$2:$C$36,"=d20260924"),"")</f>
      </c>
      <c r="F38" s="8">
        <f>IF((0=1),SUMIFS('Daily evaluations'!$E$2:$E$36,'Daily evaluations'!$B$2:$B$36,"=naive_lowvol",'Daily evaluations'!$C$2:$C$36,"=d20260925"),"")</f>
      </c>
      <c r="G38" s="8">
        <f>IF((0=1),SUMIFS('Daily evaluations'!$E$2:$E$36,'Daily evaluations'!$B$2:$B$36,"=naive_lowvol",'Daily evaluations'!$C$2:$C$36,"=d20260928"),"")</f>
      </c>
      <c r="H38" s="8">
        <f>IF((0=1),SUMIFS('Daily evaluations'!$E$2:$E$36,'Daily evaluations'!$B$2:$B$36,"=naive_lowvol",'Daily evaluations'!$C$2:$C$36,"=d20260929"),"")</f>
      </c>
      <c r="I38" s="8">
        <f>IF((0=1),SUMIFS('Daily evaluations'!$E$2:$E$36,'Daily evaluations'!$B$2:$B$36,"=naive_lowvol",'Daily evaluations'!$C$2:$C$36,"=d20260930"),"")</f>
      </c>
      <c r="J38" s="8">
        <f>IF((0=1),SUMIFS('Daily evaluations'!$E$2:$E$36,'Daily evaluations'!$B$2:$B$36,"=naive_lowvol",'Daily evaluations'!$C$2:$C$36,"=d20261001"),"")</f>
      </c>
      <c r="K38" s="8">
        <f>IF((0=1),SUMIFS('Daily evaluations'!$E$2:$E$36,'Daily evaluations'!$B$2:$B$36,"=naive_lowvol",'Daily evaluations'!$C$2:$C$36,"=d20261002"),"")</f>
      </c>
      <c r="L38" s="8">
        <f>IF((0=1),SUMIFS('Daily evaluations'!$E$2:$E$36,'Daily evaluations'!$B$2:$B$36,"=naive_lowvol",'Daily evaluations'!$C$2:$C$36,"=d20261005"),"")</f>
      </c>
      <c r="M38" s="8">
        <f>IF((0=1),SUMIFS('Daily evaluations'!$E$2:$E$36,'Daily evaluations'!$B$2:$B$36,"=naive_lowvol",'Daily evaluations'!$C$2:$C$36,"=d20261006"),"")</f>
      </c>
      <c r="N38" s="8">
        <f>IF((0=1),SUMIFS('Daily evaluations'!$E$2:$E$36,'Daily evaluations'!$B$2:$B$36,"=naive_lowvol",'Daily evaluations'!$C$2:$C$36,"=d20261007"),"")</f>
      </c>
      <c r="O38" s="8">
        <f>IF((0=1),SUMIFS('Daily evaluations'!$E$2:$E$36,'Daily evaluations'!$B$2:$B$36,"=naive_lowvol",'Daily evaluations'!$C$2:$C$36,"=d20261008"),"")</f>
      </c>
      <c r="P38" s="8">
        <f>IF((0=1),SUMIFS('Daily evaluations'!$E$2:$E$36,'Daily evaluations'!$B$2:$B$36,"=naive_lowvol",'Daily evaluations'!$C$2:$C$36,"=d20261009"),"")</f>
      </c>
      <c r="Q38" s="8">
        <f>IF((0=1),SUMIFS('Daily evaluations'!$E$2:$E$36,'Daily evaluations'!$B$2:$B$36,"=naive_lowvol",'Daily evaluations'!$C$2:$C$36,"=d20261012"),"")</f>
      </c>
      <c r="R38" s="8">
        <f>IF((0=1),SUMIFS('Daily evaluations'!$E$2:$E$36,'Daily evaluations'!$B$2:$B$36,"=naive_lowvol",'Daily evaluations'!$C$2:$C$36,"=d20261013"),"")</f>
      </c>
      <c r="S38" s="8">
        <f>IF((0=1),SUMIFS('Daily evaluations'!$E$2:$E$36,'Daily evaluations'!$B$2:$B$36,"=naive_lowvol",'Daily evaluations'!$C$2:$C$36,"=d20261014"),"")</f>
      </c>
      <c r="T38" s="8">
        <f>IF((0=1),SUMIFS('Daily evaluations'!$E$2:$E$36,'Daily evaluations'!$B$2:$B$36,"=naive_lowvol",'Daily evaluations'!$C$2:$C$36,"=d20261015"),"")</f>
      </c>
      <c r="U38" s="8">
        <f>IF((0=1),SUMIFS('Daily evaluations'!$E$2:$E$36,'Daily evaluations'!$B$2:$B$36,"=naive_lowvol",'Daily evaluations'!$C$2:$C$36,"=d20261016"),"")</f>
      </c>
      <c r="V38" s="8">
        <f>IF((0=1),SUMIFS('Daily evaluations'!$E$2:$E$36,'Daily evaluations'!$B$2:$B$36,"=naive_lowvol",'Daily evaluations'!$C$2:$C$36,"=d20261019"),"")</f>
      </c>
      <c r="W38" s="8">
        <f>IF((0=1),SUMIFS('Daily evaluations'!$E$2:$E$36,'Daily evaluations'!$B$2:$B$36,"=naive_lowvol",'Daily evaluations'!$C$2:$C$36,"=d20261020"),"")</f>
      </c>
      <c r="X38" s="8">
        <f>IF((0=1),SUMIFS('Daily evaluations'!$E$2:$E$36,'Daily evaluations'!$B$2:$B$36,"=naive_lowvol",'Daily evaluations'!$C$2:$C$36,"=d20261021"),"")</f>
      </c>
      <c r="Y38" s="8">
        <f>IF((0=1),SUMIFS('Daily evaluations'!$E$2:$E$36,'Daily evaluations'!$B$2:$B$36,"=naive_lowvol",'Daily evaluations'!$C$2:$C$36,"=d20261022"),"")</f>
      </c>
      <c r="Z38" s="8">
        <f>IF((0=1),SUMIFS('Daily evaluations'!$E$2:$E$36,'Daily evaluations'!$B$2:$B$36,"=naive_lowvol",'Daily evaluations'!$C$2:$C$36,"=d20261023"),"")</f>
      </c>
      <c r="AA38" s="8">
        <f>IF((0=1),SUMIFS('Daily evaluations'!$E$2:$E$36,'Daily evaluations'!$B$2:$B$36,"=naive_lowvol",'Daily evaluations'!$C$2:$C$36,"=d20261026"),"")</f>
      </c>
      <c r="AB38" s="8">
        <f>IF((0=1),SUMIFS('Daily evaluations'!$E$2:$E$36,'Daily evaluations'!$B$2:$B$36,"=naive_lowvol",'Daily evaluations'!$C$2:$C$36,"=d20261027"),"")</f>
      </c>
      <c r="AC38" s="8">
        <f>IF((0=1),SUMIFS('Daily evaluations'!$E$2:$E$36,'Daily evaluations'!$B$2:$B$36,"=naive_lowvol",'Daily evaluations'!$C$2:$C$36,"=d20261028"),"")</f>
      </c>
      <c r="AD38" s="8">
        <f>IF((0=1),SUMIFS('Daily evaluations'!$E$2:$E$36,'Daily evaluations'!$B$2:$B$36,"=naive_lowvol",'Daily evaluations'!$C$2:$C$36,"=d20261029"),"")</f>
      </c>
      <c r="AE38" s="8">
        <f>IF((0=1),SUMIFS('Daily evaluations'!$E$2:$E$36,'Daily evaluations'!$B$2:$B$36,"=naive_lowvol",'Daily evaluations'!$C$2:$C$36,"=d20261030"),"")</f>
      </c>
      <c r="AF38" s="8">
        <f>IF((0=1),SUMIFS('Daily evaluations'!$E$2:$E$36,'Daily evaluations'!$B$2:$B$36,"=naive_lowvol",'Daily evaluations'!$C$2:$C$36,"=d20261102"),"")</f>
      </c>
      <c r="AG38" s="8">
        <f>IF((0=1),SUMIFS('Daily evaluations'!$E$2:$E$36,'Daily evaluations'!$B$2:$B$36,"=naive_lowvol",'Daily evaluations'!$C$2:$C$36,"=d20261103"),"")</f>
      </c>
      <c r="AH38" s="8">
        <f>IF((0=1),SUMIFS('Daily evaluations'!$E$2:$E$36,'Daily evaluations'!$B$2:$B$36,"=naive_lowvol",'Daily evaluations'!$C$2:$C$36,"=d20261104"),"")</f>
      </c>
      <c r="AI38" s="8">
        <f>IF((0=1),SUMIFS('Daily evaluations'!$E$2:$E$36,'Daily evaluations'!$B$2:$B$36,"=naive_lowvol",'Daily evaluations'!$C$2:$C$36,"=d20261105"),"")</f>
      </c>
      <c r="AJ38" s="8">
        <f>IF((0=1),SUMIFS('Daily evaluations'!$E$2:$E$36,'Daily evaluations'!$B$2:$B$36,"=naive_lowvol",'Daily evaluations'!$C$2:$C$36,"=d20261106"),"")</f>
      </c>
      <c r="AK38" s="8">
        <f>IF((0=1),SUMIFS('Daily evaluations'!$E$2:$E$36,'Daily evaluations'!$B$2:$B$36,"=naive_lowvol",'Daily evaluations'!$C$2:$C$36,"=d20261109"),"")</f>
      </c>
      <c r="AL38" s="8">
        <f>IF((0=1),SUMIFS('Daily evaluations'!$E$2:$E$36,'Daily evaluations'!$B$2:$B$36,"=naive_lowvol",'Daily evaluations'!$C$2:$C$36,"=d20261110"),"")</f>
      </c>
      <c r="AM38" s="8">
        <f>IF((0=1),SUMIFS('Daily evaluations'!$E$2:$E$36,'Daily evaluations'!$B$2:$B$36,"=naive_lowvol",'Daily evaluations'!$C$2:$C$36,"=d20261111"),"")</f>
      </c>
      <c r="AN38" s="8">
        <f>IF((0=1),SUMIFS('Daily evaluations'!$E$2:$E$36,'Daily evaluations'!$B$2:$B$36,"=naive_lowvol",'Daily evaluations'!$C$2:$C$36,"=d20261112"),"")</f>
      </c>
      <c r="AO38" s="8">
        <f>IF((0=1),SUMIFS('Daily evaluations'!$E$2:$E$36,'Daily evaluations'!$B$2:$B$36,"=naive_lowvol",'Daily evaluations'!$C$2:$C$36,"=d20261113"),"")</f>
      </c>
      <c r="AP38" s="8">
        <f>IF((0=1),SUMIFS('Daily evaluations'!$E$2:$E$36,'Daily evaluations'!$B$2:$B$36,"=naive_lowvol",'Daily evaluations'!$C$2:$C$36,"=d20261116"),"")</f>
      </c>
      <c r="AQ38" s="8">
        <f>IF((0=1),SUMIFS('Daily evaluations'!$E$2:$E$36,'Daily evaluations'!$B$2:$B$36,"=naive_lowvol",'Daily evaluations'!$C$2:$C$36,"=d20261117"),"")</f>
      </c>
      <c r="AR38" s="8">
        <f>IF((0=1),SUMIFS('Daily evaluations'!$E$2:$E$36,'Daily evaluations'!$B$2:$B$36,"=naive_lowvol",'Daily evaluations'!$C$2:$C$36,"=d20261118"),"")</f>
      </c>
      <c r="AS38" s="8">
        <f>IF((0=1),SUMIFS('Daily evaluations'!$E$2:$E$36,'Daily evaluations'!$B$2:$B$36,"=naive_lowvol",'Daily evaluations'!$C$2:$C$36,"=d20261119"),"")</f>
      </c>
      <c r="AT38" s="8">
        <f>IF((0=1),SUMIFS('Daily evaluations'!$E$2:$E$36,'Daily evaluations'!$B$2:$B$36,"=naive_lowvol",'Daily evaluations'!$C$2:$C$36,"=d20261120"),"")</f>
      </c>
      <c r="AU38" s="8">
        <f>IF((0=1),SUMIFS('Daily evaluations'!$E$2:$E$36,'Daily evaluations'!$B$2:$B$36,"=naive_lowvol",'Daily evaluations'!$C$2:$C$36,"=d20261123"),"")</f>
      </c>
      <c r="AV38" s="8">
        <f>IF((0=1),SUMIFS('Daily evaluations'!$E$2:$E$36,'Daily evaluations'!$B$2:$B$36,"=naive_lowvol",'Daily evaluations'!$C$2:$C$36,"=d20261124"),"")</f>
      </c>
      <c r="AW38" s="8">
        <f>IF((0=1),SUMIFS('Daily evaluations'!$E$2:$E$36,'Daily evaluations'!$B$2:$B$36,"=naive_lowvol",'Daily evaluations'!$C$2:$C$36,"=d20261125"),"")</f>
      </c>
      <c r="AX38" s="8">
        <f>IF((0=1),SUMIFS('Daily evaluations'!$E$2:$E$36,'Daily evaluations'!$B$2:$B$36,"=naive_lowvol",'Daily evaluations'!$C$2:$C$36,"=d20261127"),"")</f>
      </c>
      <c r="AY38" s="8">
        <f>IF((0=1),SUMIFS('Daily evaluations'!$E$2:$E$36,'Daily evaluations'!$B$2:$B$36,"=naive_lowvol",'Daily evaluations'!$C$2:$C$36,"=d20261130"),"")</f>
      </c>
      <c r="AZ38" s="8">
        <f>IF((0=1),SUMIFS('Daily evaluations'!$E$2:$E$36,'Daily evaluations'!$B$2:$B$36,"=naive_lowvol",'Daily evaluations'!$C$2:$C$36,"=d20261201"),"")</f>
      </c>
      <c r="BA38" s="8">
        <f>IF((0=1),SUMIFS('Daily evaluations'!$E$2:$E$36,'Daily evaluations'!$B$2:$B$36,"=naive_lowvol",'Daily evaluations'!$C$2:$C$36,"=d20261202"),"")</f>
      </c>
      <c r="BB38" s="8">
        <f>IF((0=1),SUMIFS('Daily evaluations'!$E$2:$E$36,'Daily evaluations'!$B$2:$B$36,"=naive_lowvol",'Daily evaluations'!$C$2:$C$36,"=d20261203"),"")</f>
      </c>
      <c r="BC38" s="8">
        <f>IF((0=1),SUMIFS('Daily evaluations'!$E$2:$E$36,'Daily evaluations'!$B$2:$B$36,"=naive_lowvol",'Daily evaluations'!$C$2:$C$36,"=d20261204"),"")</f>
      </c>
      <c r="BD38" s="8">
        <f>IF((0=1),SUMIFS('Daily evaluations'!$E$2:$E$36,'Daily evaluations'!$B$2:$B$36,"=naive_lowvol",'Daily evaluations'!$C$2:$C$36,"=d20261207"),"")</f>
      </c>
      <c r="BE38" s="8">
        <f>IF((0=1),SUMIFS('Daily evaluations'!$E$2:$E$36,'Daily evaluations'!$B$2:$B$36,"=naive_lowvol",'Daily evaluations'!$C$2:$C$36,"=d20261208"),"")</f>
      </c>
      <c r="BF38" s="8">
        <f>IF((0=1),SUMIFS('Daily evaluations'!$E$2:$E$36,'Daily evaluations'!$B$2:$B$36,"=naive_lowvol",'Daily evaluations'!$C$2:$C$36,"=d20261209"),"")</f>
      </c>
      <c r="BG38" s="8">
        <f>IF((0=1),SUMIFS('Daily evaluations'!$E$2:$E$36,'Daily evaluations'!$B$2:$B$36,"=naive_lowvol",'Daily evaluations'!$C$2:$C$36,"=d20261210"),"")</f>
      </c>
      <c r="BH38" s="8">
        <f>IF((0=1),SUMIFS('Daily evaluations'!$E$2:$E$36,'Daily evaluations'!$B$2:$B$36,"=naive_lowvol",'Daily evaluations'!$C$2:$C$36,"=d20261211"),"")</f>
      </c>
      <c r="BI38" s="8">
        <f>IF((0=1),SUMIFS('Daily evaluations'!$E$2:$E$36,'Daily evaluations'!$B$2:$B$36,"=naive_lowvol",'Daily evaluations'!$C$2:$C$36,"=d20261214"),"")</f>
      </c>
      <c r="BJ38" s="8">
        <f>IF((0=1),SUMIFS('Daily evaluations'!$E$2:$E$36,'Daily evaluations'!$B$2:$B$36,"=naive_lowvol",'Daily evaluations'!$C$2:$C$36,"=d20261215"),"")</f>
      </c>
      <c r="BK38" s="8">
        <f>IF((0=1),SUMIFS('Daily evaluations'!$E$2:$E$36,'Daily evaluations'!$B$2:$B$36,"=naive_lowvol",'Daily evaluations'!$C$2:$C$36,"=d20261216"),"")</f>
      </c>
      <c r="BL38" s="8">
        <f>IF((0=1),SUMIFS('Daily evaluations'!$E$2:$E$36,'Daily evaluations'!$B$2:$B$36,"=naive_lowvol",'Daily evaluations'!$C$2:$C$36,"=d20261217"),"")</f>
      </c>
      <c r="BM38" s="8">
        <f>IF((0=1),SUMIFS('Daily evaluations'!$E$2:$E$36,'Daily evaluations'!$B$2:$B$36,"=naive_lowvol",'Daily evaluations'!$C$2:$C$36,"=d20261218"),"")</f>
      </c>
      <c r="BN38" s="8">
        <f>IF((0=1),SUMIFS('Daily evaluations'!$E$2:$E$36,'Daily evaluations'!$B$2:$B$36,"=naive_lowvol",'Daily evaluations'!$C$2:$C$36,"=d20261221"),"")</f>
      </c>
      <c r="BO38" s="8">
        <f>IF((0=1),SUMIFS('Daily evaluations'!$E$2:$E$36,'Daily evaluations'!$B$2:$B$36,"=naive_lowvol",'Daily evaluations'!$C$2:$C$36,"=d20261222"),"")</f>
      </c>
      <c r="BP38" s="8">
        <f>IF((0=1),SUMIFS('Daily evaluations'!$E$2:$E$36,'Daily evaluations'!$B$2:$B$36,"=naive_lowvol",'Daily evaluations'!$C$2:$C$36,"=d20261223"),"")</f>
      </c>
      <c r="BQ38" s="8">
        <f>IF((0=1),SUMIFS('Daily evaluations'!$E$2:$E$36,'Daily evaluations'!$B$2:$B$36,"=naive_lowvol",'Daily evaluations'!$C$2:$C$36,"=d20261224"),"")</f>
      </c>
      <c r="BR38" s="8">
        <f>IF((0=1),SUMIFS('Daily evaluations'!$E$2:$E$36,'Daily evaluations'!$B$2:$B$36,"=naive_lowvol",'Daily evaluations'!$C$2:$C$36,"=d20261228"),"")</f>
      </c>
      <c r="BS38" s="8">
        <f>IF((0=1),SUMIFS('Daily evaluations'!$E$2:$E$36,'Daily evaluations'!$B$2:$B$36,"=naive_lowvol",'Daily evaluations'!$C$2:$C$36,"=d20261229"),"")</f>
      </c>
      <c r="BT38" s="8">
        <f>IF((0=1),SUMIFS('Daily evaluations'!$E$2:$E$36,'Daily evaluations'!$B$2:$B$36,"=naive_lowvol",'Daily evaluations'!$C$2:$C$36,"=d20261230"),"")</f>
      </c>
      <c r="BU38" s="8">
        <f>IF((0=1),SUMIFS('Daily evaluations'!$E$2:$E$36,'Daily evaluations'!$B$2:$B$36,"=naive_lowvol",'Daily evaluations'!$C$2:$C$36,"=d20261231"),"")</f>
      </c>
      <c r="BV38" s="8">
        <f>IF((0=1),SUMIFS('Daily evaluations'!$E$2:$E$36,'Daily evaluations'!$B$2:$B$36,"=naive_lowvol",'Daily evaluations'!$C$2:$C$36,"=d20270104"),"")</f>
      </c>
      <c r="BW38" s="8">
        <f>IF((0=1),SUMIFS('Daily evaluations'!$E$2:$E$36,'Daily evaluations'!$B$2:$B$36,"=naive_lowvol",'Daily evaluations'!$C$2:$C$36,"=d20270105"),"")</f>
      </c>
      <c r="BX38" s="8">
        <f>IF((0=1),SUMIFS('Daily evaluations'!$E$2:$E$36,'Daily evaluations'!$B$2:$B$36,"=naive_lowvol",'Daily evaluations'!$C$2:$C$36,"=d20270106"),"")</f>
      </c>
      <c r="BY38" s="8">
        <f>IF((0=1),SUMIFS('Daily evaluations'!$E$2:$E$36,'Daily evaluations'!$B$2:$B$36,"=naive_lowvol",'Daily evaluations'!$C$2:$C$36,"=d20270107"),"")</f>
      </c>
      <c r="BZ38" s="8">
        <f>IF((0=1),SUMIFS('Daily evaluations'!$E$2:$E$36,'Daily evaluations'!$B$2:$B$36,"=naive_lowvol",'Daily evaluations'!$C$2:$C$36,"=d20270108"),"")</f>
      </c>
      <c r="CA38" s="8">
        <f>IF((0=1),SUMIFS('Daily evaluations'!$E$2:$E$36,'Daily evaluations'!$B$2:$B$36,"=naive_lowvol",'Daily evaluations'!$C$2:$C$36,"=d20270111"),"")</f>
      </c>
      <c r="CB38" s="8">
        <f>IF((0=1),SUMIFS('Daily evaluations'!$E$2:$E$36,'Daily evaluations'!$B$2:$B$36,"=naive_lowvol",'Daily evaluations'!$C$2:$C$36,"=d20270112"),"")</f>
      </c>
      <c r="CC38" s="8">
        <f>IF((0=1),SUMIFS('Daily evaluations'!$E$2:$E$36,'Daily evaluations'!$B$2:$B$36,"=naive_lowvol",'Daily evaluations'!$C$2:$C$36,"=d20270113"),"")</f>
      </c>
      <c r="CD38" s="8">
        <f>IF((0=1),SUMIFS('Daily evaluations'!$E$2:$E$36,'Daily evaluations'!$B$2:$B$36,"=naive_lowvol",'Daily evaluations'!$C$2:$C$36,"=d20270114"),"")</f>
      </c>
      <c r="CE38" s="8">
        <f>IF((0=1),SUMIFS('Daily evaluations'!$E$2:$E$36,'Daily evaluations'!$B$2:$B$36,"=naive_lowvol",'Daily evaluations'!$C$2:$C$36,"=d20270115"),"")</f>
      </c>
      <c r="CF38" s="8">
        <f>IF((0=1),SUMIFS('Daily evaluations'!$E$2:$E$36,'Daily evaluations'!$B$2:$B$36,"=naive_lowvol",'Daily evaluations'!$C$2:$C$36,"=d20270119"),"")</f>
      </c>
      <c r="CG38" s="8">
        <f>IF((0=1),SUMIFS('Daily evaluations'!$E$2:$E$36,'Daily evaluations'!$B$2:$B$36,"=naive_lowvol",'Daily evaluations'!$C$2:$C$36,"=d20270120"),"")</f>
      </c>
      <c r="CH38" s="8">
        <f>IF((0=1),SUMIFS('Daily evaluations'!$E$2:$E$36,'Daily evaluations'!$B$2:$B$36,"=naive_lowvol",'Daily evaluations'!$C$2:$C$36,"=d20270121"),"")</f>
      </c>
      <c r="CI38" s="8">
        <f>IF((0=1),SUMIFS('Daily evaluations'!$E$2:$E$36,'Daily evaluations'!$B$2:$B$36,"=naive_lowvol",'Daily evaluations'!$C$2:$C$36,"=d20270122"),"")</f>
      </c>
      <c r="CJ38" s="8">
        <f>IF((0=1),SUMIFS('Daily evaluations'!$E$2:$E$36,'Daily evaluations'!$B$2:$B$36,"=naive_lowvol",'Daily evaluations'!$C$2:$C$36,"=d20270125"),"")</f>
      </c>
      <c r="CK38" s="8">
        <f>IF((0=1),SUMIFS('Daily evaluations'!$E$2:$E$36,'Daily evaluations'!$B$2:$B$36,"=naive_lowvol",'Daily evaluations'!$C$2:$C$36,"=d20270126"),"")</f>
      </c>
      <c r="CL38" s="8">
        <f>IF((0=1),SUMIFS('Daily evaluations'!$E$2:$E$36,'Daily evaluations'!$B$2:$B$36,"=naive_lowvol",'Daily evaluations'!$C$2:$C$36,"=d20270127"),"")</f>
      </c>
      <c r="CM38" s="8">
        <f>IF((0=1),SUMIFS('Daily evaluations'!$E$2:$E$36,'Daily evaluations'!$B$2:$B$36,"=naive_lowvol",'Daily evaluations'!$C$2:$C$36,"=d20270128"),"")</f>
      </c>
      <c r="CN38" s="8">
        <f>IF((0=1),SUMIFS('Daily evaluations'!$E$2:$E$36,'Daily evaluations'!$B$2:$B$36,"=naive_lowvol",'Daily evaluations'!$C$2:$C$36,"=d20270129"),"")</f>
      </c>
      <c r="CO38" s="8">
        <f>IF((0=1),SUMIFS('Daily evaluations'!$E$2:$E$36,'Daily evaluations'!$B$2:$B$36,"=naive_lowvol",'Daily evaluations'!$C$2:$C$36,"=d20270201"),"")</f>
      </c>
      <c r="CP38" s="8">
        <f>IF((0=1),SUMIFS('Daily evaluations'!$E$2:$E$36,'Daily evaluations'!$B$2:$B$36,"=naive_lowvol",'Daily evaluations'!$C$2:$C$36,"=d20270202"),"")</f>
      </c>
      <c r="CQ38" s="8">
        <f>IF((0=1),SUMIFS('Daily evaluations'!$E$2:$E$36,'Daily evaluations'!$B$2:$B$36,"=naive_lowvol",'Daily evaluations'!$C$2:$C$36,"=d20270203"),"")</f>
      </c>
      <c r="CR38" s="8">
        <f>IF((0=1),SUMIFS('Daily evaluations'!$E$2:$E$36,'Daily evaluations'!$B$2:$B$36,"=naive_lowvol",'Daily evaluations'!$C$2:$C$36,"=d20270204"),"")</f>
      </c>
      <c r="CS38" s="8">
        <f>IF((0=1),SUMIFS('Daily evaluations'!$E$2:$E$36,'Daily evaluations'!$B$2:$B$36,"=naive_lowvol",'Daily evaluations'!$C$2:$C$36,"=d20270205"),"")</f>
      </c>
      <c r="CT38" s="8">
        <f>IF((0=1),SUMIFS('Daily evaluations'!$E$2:$E$36,'Daily evaluations'!$B$2:$B$36,"=naive_lowvol",'Daily evaluations'!$C$2:$C$36,"=d20270208"),"")</f>
      </c>
      <c r="CU38" s="8">
        <f>IF((0=1),SUMIFS('Daily evaluations'!$E$2:$E$36,'Daily evaluations'!$B$2:$B$36,"=naive_lowvol",'Daily evaluations'!$C$2:$C$36,"=d20270209"),"")</f>
      </c>
      <c r="CV38" s="8">
        <f>IF((0=1),SUMIFS('Daily evaluations'!$E$2:$E$36,'Daily evaluations'!$B$2:$B$36,"=naive_lowvol",'Daily evaluations'!$C$2:$C$36,"=d20270210"),"")</f>
      </c>
      <c r="CW38" s="8">
        <f>IF((0=1),SUMIFS('Daily evaluations'!$E$2:$E$36,'Daily evaluations'!$B$2:$B$36,"=naive_lowvol",'Daily evaluations'!$C$2:$C$36,"=d20270211"),"")</f>
      </c>
      <c r="CX38" s="8">
        <f>IF((0=1),SUMIFS('Daily evaluations'!$E$2:$E$36,'Daily evaluations'!$B$2:$B$36,"=naive_lowvol",'Daily evaluations'!$C$2:$C$36,"=d20270212"),"")</f>
      </c>
    </row>
    <row r="39">
      <c r="A39" s="0" t="inlineStr">
        <is>
          <t xml:space="preserve">Overnight excess vs universe, bps</t>
        </is>
      </c>
      <c r="B39" s="0" t="inlineStr">
        <is>
          <t xml:space="preserve">largest 100 by market cap</t>
        </is>
      </c>
      <c r="C39" s="8">
        <f>IF((1=1),SUMIFS('Daily evaluations'!$E$2:$E$36,'Daily evaluations'!$B$2:$B$36,"=naive_mcap",'Daily evaluations'!$C$2:$C$36,"=d20260922"),"")</f>
        <v>14.964</v>
      </c>
      <c r="D39" s="8">
        <f>IF((0=1),SUMIFS('Daily evaluations'!$E$2:$E$36,'Daily evaluations'!$B$2:$B$36,"=naive_mcap",'Daily evaluations'!$C$2:$C$36,"=d20260923"),"")</f>
      </c>
      <c r="E39" s="8">
        <f>IF((0=1),SUMIFS('Daily evaluations'!$E$2:$E$36,'Daily evaluations'!$B$2:$B$36,"=naive_mcap",'Daily evaluations'!$C$2:$C$36,"=d20260924"),"")</f>
      </c>
      <c r="F39" s="8">
        <f>IF((0=1),SUMIFS('Daily evaluations'!$E$2:$E$36,'Daily evaluations'!$B$2:$B$36,"=naive_mcap",'Daily evaluations'!$C$2:$C$36,"=d20260925"),"")</f>
      </c>
      <c r="G39" s="8">
        <f>IF((0=1),SUMIFS('Daily evaluations'!$E$2:$E$36,'Daily evaluations'!$B$2:$B$36,"=naive_mcap",'Daily evaluations'!$C$2:$C$36,"=d20260928"),"")</f>
      </c>
      <c r="H39" s="8">
        <f>IF((0=1),SUMIFS('Daily evaluations'!$E$2:$E$36,'Daily evaluations'!$B$2:$B$36,"=naive_mcap",'Daily evaluations'!$C$2:$C$36,"=d20260929"),"")</f>
      </c>
      <c r="I39" s="8">
        <f>IF((0=1),SUMIFS('Daily evaluations'!$E$2:$E$36,'Daily evaluations'!$B$2:$B$36,"=naive_mcap",'Daily evaluations'!$C$2:$C$36,"=d20260930"),"")</f>
      </c>
      <c r="J39" s="8">
        <f>IF((0=1),SUMIFS('Daily evaluations'!$E$2:$E$36,'Daily evaluations'!$B$2:$B$36,"=naive_mcap",'Daily evaluations'!$C$2:$C$36,"=d20261001"),"")</f>
      </c>
      <c r="K39" s="8">
        <f>IF((0=1),SUMIFS('Daily evaluations'!$E$2:$E$36,'Daily evaluations'!$B$2:$B$36,"=naive_mcap",'Daily evaluations'!$C$2:$C$36,"=d20261002"),"")</f>
      </c>
      <c r="L39" s="8">
        <f>IF((0=1),SUMIFS('Daily evaluations'!$E$2:$E$36,'Daily evaluations'!$B$2:$B$36,"=naive_mcap",'Daily evaluations'!$C$2:$C$36,"=d20261005"),"")</f>
      </c>
      <c r="M39" s="8">
        <f>IF((0=1),SUMIFS('Daily evaluations'!$E$2:$E$36,'Daily evaluations'!$B$2:$B$36,"=naive_mcap",'Daily evaluations'!$C$2:$C$36,"=d20261006"),"")</f>
      </c>
      <c r="N39" s="8">
        <f>IF((0=1),SUMIFS('Daily evaluations'!$E$2:$E$36,'Daily evaluations'!$B$2:$B$36,"=naive_mcap",'Daily evaluations'!$C$2:$C$36,"=d20261007"),"")</f>
      </c>
      <c r="O39" s="8">
        <f>IF((0=1),SUMIFS('Daily evaluations'!$E$2:$E$36,'Daily evaluations'!$B$2:$B$36,"=naive_mcap",'Daily evaluations'!$C$2:$C$36,"=d20261008"),"")</f>
      </c>
      <c r="P39" s="8">
        <f>IF((0=1),SUMIFS('Daily evaluations'!$E$2:$E$36,'Daily evaluations'!$B$2:$B$36,"=naive_mcap",'Daily evaluations'!$C$2:$C$36,"=d20261009"),"")</f>
      </c>
      <c r="Q39" s="8">
        <f>IF((0=1),SUMIFS('Daily evaluations'!$E$2:$E$36,'Daily evaluations'!$B$2:$B$36,"=naive_mcap",'Daily evaluations'!$C$2:$C$36,"=d20261012"),"")</f>
      </c>
      <c r="R39" s="8">
        <f>IF((0=1),SUMIFS('Daily evaluations'!$E$2:$E$36,'Daily evaluations'!$B$2:$B$36,"=naive_mcap",'Daily evaluations'!$C$2:$C$36,"=d20261013"),"")</f>
      </c>
      <c r="S39" s="8">
        <f>IF((0=1),SUMIFS('Daily evaluations'!$E$2:$E$36,'Daily evaluations'!$B$2:$B$36,"=naive_mcap",'Daily evaluations'!$C$2:$C$36,"=d20261014"),"")</f>
      </c>
      <c r="T39" s="8">
        <f>IF((0=1),SUMIFS('Daily evaluations'!$E$2:$E$36,'Daily evaluations'!$B$2:$B$36,"=naive_mcap",'Daily evaluations'!$C$2:$C$36,"=d20261015"),"")</f>
      </c>
      <c r="U39" s="8">
        <f>IF((0=1),SUMIFS('Daily evaluations'!$E$2:$E$36,'Daily evaluations'!$B$2:$B$36,"=naive_mcap",'Daily evaluations'!$C$2:$C$36,"=d20261016"),"")</f>
      </c>
      <c r="V39" s="8">
        <f>IF((0=1),SUMIFS('Daily evaluations'!$E$2:$E$36,'Daily evaluations'!$B$2:$B$36,"=naive_mcap",'Daily evaluations'!$C$2:$C$36,"=d20261019"),"")</f>
      </c>
      <c r="W39" s="8">
        <f>IF((0=1),SUMIFS('Daily evaluations'!$E$2:$E$36,'Daily evaluations'!$B$2:$B$36,"=naive_mcap",'Daily evaluations'!$C$2:$C$36,"=d20261020"),"")</f>
      </c>
      <c r="X39" s="8">
        <f>IF((0=1),SUMIFS('Daily evaluations'!$E$2:$E$36,'Daily evaluations'!$B$2:$B$36,"=naive_mcap",'Daily evaluations'!$C$2:$C$36,"=d20261021"),"")</f>
      </c>
      <c r="Y39" s="8">
        <f>IF((0=1),SUMIFS('Daily evaluations'!$E$2:$E$36,'Daily evaluations'!$B$2:$B$36,"=naive_mcap",'Daily evaluations'!$C$2:$C$36,"=d20261022"),"")</f>
      </c>
      <c r="Z39" s="8">
        <f>IF((0=1),SUMIFS('Daily evaluations'!$E$2:$E$36,'Daily evaluations'!$B$2:$B$36,"=naive_mcap",'Daily evaluations'!$C$2:$C$36,"=d20261023"),"")</f>
      </c>
      <c r="AA39" s="8">
        <f>IF((0=1),SUMIFS('Daily evaluations'!$E$2:$E$36,'Daily evaluations'!$B$2:$B$36,"=naive_mcap",'Daily evaluations'!$C$2:$C$36,"=d20261026"),"")</f>
      </c>
      <c r="AB39" s="8">
        <f>IF((0=1),SUMIFS('Daily evaluations'!$E$2:$E$36,'Daily evaluations'!$B$2:$B$36,"=naive_mcap",'Daily evaluations'!$C$2:$C$36,"=d20261027"),"")</f>
      </c>
      <c r="AC39" s="8">
        <f>IF((0=1),SUMIFS('Daily evaluations'!$E$2:$E$36,'Daily evaluations'!$B$2:$B$36,"=naive_mcap",'Daily evaluations'!$C$2:$C$36,"=d20261028"),"")</f>
      </c>
      <c r="AD39" s="8">
        <f>IF((0=1),SUMIFS('Daily evaluations'!$E$2:$E$36,'Daily evaluations'!$B$2:$B$36,"=naive_mcap",'Daily evaluations'!$C$2:$C$36,"=d20261029"),"")</f>
      </c>
      <c r="AE39" s="8">
        <f>IF((0=1),SUMIFS('Daily evaluations'!$E$2:$E$36,'Daily evaluations'!$B$2:$B$36,"=naive_mcap",'Daily evaluations'!$C$2:$C$36,"=d20261030"),"")</f>
      </c>
      <c r="AF39" s="8">
        <f>IF((0=1),SUMIFS('Daily evaluations'!$E$2:$E$36,'Daily evaluations'!$B$2:$B$36,"=naive_mcap",'Daily evaluations'!$C$2:$C$36,"=d20261102"),"")</f>
      </c>
      <c r="AG39" s="8">
        <f>IF((0=1),SUMIFS('Daily evaluations'!$E$2:$E$36,'Daily evaluations'!$B$2:$B$36,"=naive_mcap",'Daily evaluations'!$C$2:$C$36,"=d20261103"),"")</f>
      </c>
      <c r="AH39" s="8">
        <f>IF((0=1),SUMIFS('Daily evaluations'!$E$2:$E$36,'Daily evaluations'!$B$2:$B$36,"=naive_mcap",'Daily evaluations'!$C$2:$C$36,"=d20261104"),"")</f>
      </c>
      <c r="AI39" s="8">
        <f>IF((0=1),SUMIFS('Daily evaluations'!$E$2:$E$36,'Daily evaluations'!$B$2:$B$36,"=naive_mcap",'Daily evaluations'!$C$2:$C$36,"=d20261105"),"")</f>
      </c>
      <c r="AJ39" s="8">
        <f>IF((0=1),SUMIFS('Daily evaluations'!$E$2:$E$36,'Daily evaluations'!$B$2:$B$36,"=naive_mcap",'Daily evaluations'!$C$2:$C$36,"=d20261106"),"")</f>
      </c>
      <c r="AK39" s="8">
        <f>IF((0=1),SUMIFS('Daily evaluations'!$E$2:$E$36,'Daily evaluations'!$B$2:$B$36,"=naive_mcap",'Daily evaluations'!$C$2:$C$36,"=d20261109"),"")</f>
      </c>
      <c r="AL39" s="8">
        <f>IF((0=1),SUMIFS('Daily evaluations'!$E$2:$E$36,'Daily evaluations'!$B$2:$B$36,"=naive_mcap",'Daily evaluations'!$C$2:$C$36,"=d20261110"),"")</f>
      </c>
      <c r="AM39" s="8">
        <f>IF((0=1),SUMIFS('Daily evaluations'!$E$2:$E$36,'Daily evaluations'!$B$2:$B$36,"=naive_mcap",'Daily evaluations'!$C$2:$C$36,"=d20261111"),"")</f>
      </c>
      <c r="AN39" s="8">
        <f>IF((0=1),SUMIFS('Daily evaluations'!$E$2:$E$36,'Daily evaluations'!$B$2:$B$36,"=naive_mcap",'Daily evaluations'!$C$2:$C$36,"=d20261112"),"")</f>
      </c>
      <c r="AO39" s="8">
        <f>IF((0=1),SUMIFS('Daily evaluations'!$E$2:$E$36,'Daily evaluations'!$B$2:$B$36,"=naive_mcap",'Daily evaluations'!$C$2:$C$36,"=d20261113"),"")</f>
      </c>
      <c r="AP39" s="8">
        <f>IF((0=1),SUMIFS('Daily evaluations'!$E$2:$E$36,'Daily evaluations'!$B$2:$B$36,"=naive_mcap",'Daily evaluations'!$C$2:$C$36,"=d20261116"),"")</f>
      </c>
      <c r="AQ39" s="8">
        <f>IF((0=1),SUMIFS('Daily evaluations'!$E$2:$E$36,'Daily evaluations'!$B$2:$B$36,"=naive_mcap",'Daily evaluations'!$C$2:$C$36,"=d20261117"),"")</f>
      </c>
      <c r="AR39" s="8">
        <f>IF((0=1),SUMIFS('Daily evaluations'!$E$2:$E$36,'Daily evaluations'!$B$2:$B$36,"=naive_mcap",'Daily evaluations'!$C$2:$C$36,"=d20261118"),"")</f>
      </c>
      <c r="AS39" s="8">
        <f>IF((0=1),SUMIFS('Daily evaluations'!$E$2:$E$36,'Daily evaluations'!$B$2:$B$36,"=naive_mcap",'Daily evaluations'!$C$2:$C$36,"=d20261119"),"")</f>
      </c>
      <c r="AT39" s="8">
        <f>IF((0=1),SUMIFS('Daily evaluations'!$E$2:$E$36,'Daily evaluations'!$B$2:$B$36,"=naive_mcap",'Daily evaluations'!$C$2:$C$36,"=d20261120"),"")</f>
      </c>
      <c r="AU39" s="8">
        <f>IF((0=1),SUMIFS('Daily evaluations'!$E$2:$E$36,'Daily evaluations'!$B$2:$B$36,"=naive_mcap",'Daily evaluations'!$C$2:$C$36,"=d20261123"),"")</f>
      </c>
      <c r="AV39" s="8">
        <f>IF((0=1),SUMIFS('Daily evaluations'!$E$2:$E$36,'Daily evaluations'!$B$2:$B$36,"=naive_mcap",'Daily evaluations'!$C$2:$C$36,"=d20261124"),"")</f>
      </c>
      <c r="AW39" s="8">
        <f>IF((0=1),SUMIFS('Daily evaluations'!$E$2:$E$36,'Daily evaluations'!$B$2:$B$36,"=naive_mcap",'Daily evaluations'!$C$2:$C$36,"=d20261125"),"")</f>
      </c>
      <c r="AX39" s="8">
        <f>IF((0=1),SUMIFS('Daily evaluations'!$E$2:$E$36,'Daily evaluations'!$B$2:$B$36,"=naive_mcap",'Daily evaluations'!$C$2:$C$36,"=d20261127"),"")</f>
      </c>
      <c r="AY39" s="8">
        <f>IF((0=1),SUMIFS('Daily evaluations'!$E$2:$E$36,'Daily evaluations'!$B$2:$B$36,"=naive_mcap",'Daily evaluations'!$C$2:$C$36,"=d20261130"),"")</f>
      </c>
      <c r="AZ39" s="8">
        <f>IF((0=1),SUMIFS('Daily evaluations'!$E$2:$E$36,'Daily evaluations'!$B$2:$B$36,"=naive_mcap",'Daily evaluations'!$C$2:$C$36,"=d20261201"),"")</f>
      </c>
      <c r="BA39" s="8">
        <f>IF((0=1),SUMIFS('Daily evaluations'!$E$2:$E$36,'Daily evaluations'!$B$2:$B$36,"=naive_mcap",'Daily evaluations'!$C$2:$C$36,"=d20261202"),"")</f>
      </c>
      <c r="BB39" s="8">
        <f>IF((0=1),SUMIFS('Daily evaluations'!$E$2:$E$36,'Daily evaluations'!$B$2:$B$36,"=naive_mcap",'Daily evaluations'!$C$2:$C$36,"=d20261203"),"")</f>
      </c>
      <c r="BC39" s="8">
        <f>IF((0=1),SUMIFS('Daily evaluations'!$E$2:$E$36,'Daily evaluations'!$B$2:$B$36,"=naive_mcap",'Daily evaluations'!$C$2:$C$36,"=d20261204"),"")</f>
      </c>
      <c r="BD39" s="8">
        <f>IF((0=1),SUMIFS('Daily evaluations'!$E$2:$E$36,'Daily evaluations'!$B$2:$B$36,"=naive_mcap",'Daily evaluations'!$C$2:$C$36,"=d20261207"),"")</f>
      </c>
      <c r="BE39" s="8">
        <f>IF((0=1),SUMIFS('Daily evaluations'!$E$2:$E$36,'Daily evaluations'!$B$2:$B$36,"=naive_mcap",'Daily evaluations'!$C$2:$C$36,"=d20261208"),"")</f>
      </c>
      <c r="BF39" s="8">
        <f>IF((0=1),SUMIFS('Daily evaluations'!$E$2:$E$36,'Daily evaluations'!$B$2:$B$36,"=naive_mcap",'Daily evaluations'!$C$2:$C$36,"=d20261209"),"")</f>
      </c>
      <c r="BG39" s="8">
        <f>IF((0=1),SUMIFS('Daily evaluations'!$E$2:$E$36,'Daily evaluations'!$B$2:$B$36,"=naive_mcap",'Daily evaluations'!$C$2:$C$36,"=d20261210"),"")</f>
      </c>
      <c r="BH39" s="8">
        <f>IF((0=1),SUMIFS('Daily evaluations'!$E$2:$E$36,'Daily evaluations'!$B$2:$B$36,"=naive_mcap",'Daily evaluations'!$C$2:$C$36,"=d20261211"),"")</f>
      </c>
      <c r="BI39" s="8">
        <f>IF((0=1),SUMIFS('Daily evaluations'!$E$2:$E$36,'Daily evaluations'!$B$2:$B$36,"=naive_mcap",'Daily evaluations'!$C$2:$C$36,"=d20261214"),"")</f>
      </c>
      <c r="BJ39" s="8">
        <f>IF((0=1),SUMIFS('Daily evaluations'!$E$2:$E$36,'Daily evaluations'!$B$2:$B$36,"=naive_mcap",'Daily evaluations'!$C$2:$C$36,"=d20261215"),"")</f>
      </c>
      <c r="BK39" s="8">
        <f>IF((0=1),SUMIFS('Daily evaluations'!$E$2:$E$36,'Daily evaluations'!$B$2:$B$36,"=naive_mcap",'Daily evaluations'!$C$2:$C$36,"=d20261216"),"")</f>
      </c>
      <c r="BL39" s="8">
        <f>IF((0=1),SUMIFS('Daily evaluations'!$E$2:$E$36,'Daily evaluations'!$B$2:$B$36,"=naive_mcap",'Daily evaluations'!$C$2:$C$36,"=d20261217"),"")</f>
      </c>
      <c r="BM39" s="8">
        <f>IF((0=1),SUMIFS('Daily evaluations'!$E$2:$E$36,'Daily evaluations'!$B$2:$B$36,"=naive_mcap",'Daily evaluations'!$C$2:$C$36,"=d20261218"),"")</f>
      </c>
      <c r="BN39" s="8">
        <f>IF((0=1),SUMIFS('Daily evaluations'!$E$2:$E$36,'Daily evaluations'!$B$2:$B$36,"=naive_mcap",'Daily evaluations'!$C$2:$C$36,"=d20261221"),"")</f>
      </c>
      <c r="BO39" s="8">
        <f>IF((0=1),SUMIFS('Daily evaluations'!$E$2:$E$36,'Daily evaluations'!$B$2:$B$36,"=naive_mcap",'Daily evaluations'!$C$2:$C$36,"=d20261222"),"")</f>
      </c>
      <c r="BP39" s="8">
        <f>IF((0=1),SUMIFS('Daily evaluations'!$E$2:$E$36,'Daily evaluations'!$B$2:$B$36,"=naive_mcap",'Daily evaluations'!$C$2:$C$36,"=d20261223"),"")</f>
      </c>
      <c r="BQ39" s="8">
        <f>IF((0=1),SUMIFS('Daily evaluations'!$E$2:$E$36,'Daily evaluations'!$B$2:$B$36,"=naive_mcap",'Daily evaluations'!$C$2:$C$36,"=d20261224"),"")</f>
      </c>
      <c r="BR39" s="8">
        <f>IF((0=1),SUMIFS('Daily evaluations'!$E$2:$E$36,'Daily evaluations'!$B$2:$B$36,"=naive_mcap",'Daily evaluations'!$C$2:$C$36,"=d20261228"),"")</f>
      </c>
      <c r="BS39" s="8">
        <f>IF((0=1),SUMIFS('Daily evaluations'!$E$2:$E$36,'Daily evaluations'!$B$2:$B$36,"=naive_mcap",'Daily evaluations'!$C$2:$C$36,"=d20261229"),"")</f>
      </c>
      <c r="BT39" s="8">
        <f>IF((0=1),SUMIFS('Daily evaluations'!$E$2:$E$36,'Daily evaluations'!$B$2:$B$36,"=naive_mcap",'Daily evaluations'!$C$2:$C$36,"=d20261230"),"")</f>
      </c>
      <c r="BU39" s="8">
        <f>IF((0=1),SUMIFS('Daily evaluations'!$E$2:$E$36,'Daily evaluations'!$B$2:$B$36,"=naive_mcap",'Daily evaluations'!$C$2:$C$36,"=d20261231"),"")</f>
      </c>
      <c r="BV39" s="8">
        <f>IF((0=1),SUMIFS('Daily evaluations'!$E$2:$E$36,'Daily evaluations'!$B$2:$B$36,"=naive_mcap",'Daily evaluations'!$C$2:$C$36,"=d20270104"),"")</f>
      </c>
      <c r="BW39" s="8">
        <f>IF((0=1),SUMIFS('Daily evaluations'!$E$2:$E$36,'Daily evaluations'!$B$2:$B$36,"=naive_mcap",'Daily evaluations'!$C$2:$C$36,"=d20270105"),"")</f>
      </c>
      <c r="BX39" s="8">
        <f>IF((0=1),SUMIFS('Daily evaluations'!$E$2:$E$36,'Daily evaluations'!$B$2:$B$36,"=naive_mcap",'Daily evaluations'!$C$2:$C$36,"=d20270106"),"")</f>
      </c>
      <c r="BY39" s="8">
        <f>IF((0=1),SUMIFS('Daily evaluations'!$E$2:$E$36,'Daily evaluations'!$B$2:$B$36,"=naive_mcap",'Daily evaluations'!$C$2:$C$36,"=d20270107"),"")</f>
      </c>
      <c r="BZ39" s="8">
        <f>IF((0=1),SUMIFS('Daily evaluations'!$E$2:$E$36,'Daily evaluations'!$B$2:$B$36,"=naive_mcap",'Daily evaluations'!$C$2:$C$36,"=d20270108"),"")</f>
      </c>
      <c r="CA39" s="8">
        <f>IF((0=1),SUMIFS('Daily evaluations'!$E$2:$E$36,'Daily evaluations'!$B$2:$B$36,"=naive_mcap",'Daily evaluations'!$C$2:$C$36,"=d20270111"),"")</f>
      </c>
      <c r="CB39" s="8">
        <f>IF((0=1),SUMIFS('Daily evaluations'!$E$2:$E$36,'Daily evaluations'!$B$2:$B$36,"=naive_mcap",'Daily evaluations'!$C$2:$C$36,"=d20270112"),"")</f>
      </c>
      <c r="CC39" s="8">
        <f>IF((0=1),SUMIFS('Daily evaluations'!$E$2:$E$36,'Daily evaluations'!$B$2:$B$36,"=naive_mcap",'Daily evaluations'!$C$2:$C$36,"=d20270113"),"")</f>
      </c>
      <c r="CD39" s="8">
        <f>IF((0=1),SUMIFS('Daily evaluations'!$E$2:$E$36,'Daily evaluations'!$B$2:$B$36,"=naive_mcap",'Daily evaluations'!$C$2:$C$36,"=d20270114"),"")</f>
      </c>
      <c r="CE39" s="8">
        <f>IF((0=1),SUMIFS('Daily evaluations'!$E$2:$E$36,'Daily evaluations'!$B$2:$B$36,"=naive_mcap",'Daily evaluations'!$C$2:$C$36,"=d20270115"),"")</f>
      </c>
      <c r="CF39" s="8">
        <f>IF((0=1),SUMIFS('Daily evaluations'!$E$2:$E$36,'Daily evaluations'!$B$2:$B$36,"=naive_mcap",'Daily evaluations'!$C$2:$C$36,"=d20270119"),"")</f>
      </c>
      <c r="CG39" s="8">
        <f>IF((0=1),SUMIFS('Daily evaluations'!$E$2:$E$36,'Daily evaluations'!$B$2:$B$36,"=naive_mcap",'Daily evaluations'!$C$2:$C$36,"=d20270120"),"")</f>
      </c>
      <c r="CH39" s="8">
        <f>IF((0=1),SUMIFS('Daily evaluations'!$E$2:$E$36,'Daily evaluations'!$B$2:$B$36,"=naive_mcap",'Daily evaluations'!$C$2:$C$36,"=d20270121"),"")</f>
      </c>
      <c r="CI39" s="8">
        <f>IF((0=1),SUMIFS('Daily evaluations'!$E$2:$E$36,'Daily evaluations'!$B$2:$B$36,"=naive_mcap",'Daily evaluations'!$C$2:$C$36,"=d20270122"),"")</f>
      </c>
      <c r="CJ39" s="8">
        <f>IF((0=1),SUMIFS('Daily evaluations'!$E$2:$E$36,'Daily evaluations'!$B$2:$B$36,"=naive_mcap",'Daily evaluations'!$C$2:$C$36,"=d20270125"),"")</f>
      </c>
      <c r="CK39" s="8">
        <f>IF((0=1),SUMIFS('Daily evaluations'!$E$2:$E$36,'Daily evaluations'!$B$2:$B$36,"=naive_mcap",'Daily evaluations'!$C$2:$C$36,"=d20270126"),"")</f>
      </c>
      <c r="CL39" s="8">
        <f>IF((0=1),SUMIFS('Daily evaluations'!$E$2:$E$36,'Daily evaluations'!$B$2:$B$36,"=naive_mcap",'Daily evaluations'!$C$2:$C$36,"=d20270127"),"")</f>
      </c>
      <c r="CM39" s="8">
        <f>IF((0=1),SUMIFS('Daily evaluations'!$E$2:$E$36,'Daily evaluations'!$B$2:$B$36,"=naive_mcap",'Daily evaluations'!$C$2:$C$36,"=d20270128"),"")</f>
      </c>
      <c r="CN39" s="8">
        <f>IF((0=1),SUMIFS('Daily evaluations'!$E$2:$E$36,'Daily evaluations'!$B$2:$B$36,"=naive_mcap",'Daily evaluations'!$C$2:$C$36,"=d20270129"),"")</f>
      </c>
      <c r="CO39" s="8">
        <f>IF((0=1),SUMIFS('Daily evaluations'!$E$2:$E$36,'Daily evaluations'!$B$2:$B$36,"=naive_mcap",'Daily evaluations'!$C$2:$C$36,"=d20270201"),"")</f>
      </c>
      <c r="CP39" s="8">
        <f>IF((0=1),SUMIFS('Daily evaluations'!$E$2:$E$36,'Daily evaluations'!$B$2:$B$36,"=naive_mcap",'Daily evaluations'!$C$2:$C$36,"=d20270202"),"")</f>
      </c>
      <c r="CQ39" s="8">
        <f>IF((0=1),SUMIFS('Daily evaluations'!$E$2:$E$36,'Daily evaluations'!$B$2:$B$36,"=naive_mcap",'Daily evaluations'!$C$2:$C$36,"=d20270203"),"")</f>
      </c>
      <c r="CR39" s="8">
        <f>IF((0=1),SUMIFS('Daily evaluations'!$E$2:$E$36,'Daily evaluations'!$B$2:$B$36,"=naive_mcap",'Daily evaluations'!$C$2:$C$36,"=d20270204"),"")</f>
      </c>
      <c r="CS39" s="8">
        <f>IF((0=1),SUMIFS('Daily evaluations'!$E$2:$E$36,'Daily evaluations'!$B$2:$B$36,"=naive_mcap",'Daily evaluations'!$C$2:$C$36,"=d20270205"),"")</f>
      </c>
      <c r="CT39" s="8">
        <f>IF((0=1),SUMIFS('Daily evaluations'!$E$2:$E$36,'Daily evaluations'!$B$2:$B$36,"=naive_mcap",'Daily evaluations'!$C$2:$C$36,"=d20270208"),"")</f>
      </c>
      <c r="CU39" s="8">
        <f>IF((0=1),SUMIFS('Daily evaluations'!$E$2:$E$36,'Daily evaluations'!$B$2:$B$36,"=naive_mcap",'Daily evaluations'!$C$2:$C$36,"=d20270209"),"")</f>
      </c>
      <c r="CV39" s="8">
        <f>IF((0=1),SUMIFS('Daily evaluations'!$E$2:$E$36,'Daily evaluations'!$B$2:$B$36,"=naive_mcap",'Daily evaluations'!$C$2:$C$36,"=d20270210"),"")</f>
      </c>
      <c r="CW39" s="8">
        <f>IF((0=1),SUMIFS('Daily evaluations'!$E$2:$E$36,'Daily evaluations'!$B$2:$B$36,"=naive_mcap",'Daily evaluations'!$C$2:$C$36,"=d20270211"),"")</f>
      </c>
      <c r="CX39" s="8">
        <f>IF((0=1),SUMIFS('Daily evaluations'!$E$2:$E$36,'Daily evaluations'!$B$2:$B$36,"=naive_mcap",'Daily evaluations'!$C$2:$C$36,"=d20270212"),"")</f>
      </c>
    </row>
    <row r="40">
      <c r="A40" s="0" t="inlineStr">
        <is>
          <t xml:space="preserve">Overnight excess vs universe, bps</t>
        </is>
      </c>
      <c r="B40" s="0" t="inlineStr">
        <is>
          <t xml:space="preserve">top 100 by 12-1 month return</t>
        </is>
      </c>
      <c r="C40" s="8">
        <f>IF((1=1),SUMIFS('Daily evaluations'!$E$2:$E$36,'Daily evaluations'!$B$2:$B$36,"=naive_mom",'Daily evaluations'!$C$2:$C$36,"=d20260922"),"")</f>
        <v>-2.603</v>
      </c>
      <c r="D40" s="8">
        <f>IF((0=1),SUMIFS('Daily evaluations'!$E$2:$E$36,'Daily evaluations'!$B$2:$B$36,"=naive_mom",'Daily evaluations'!$C$2:$C$36,"=d20260923"),"")</f>
      </c>
      <c r="E40" s="8">
        <f>IF((0=1),SUMIFS('Daily evaluations'!$E$2:$E$36,'Daily evaluations'!$B$2:$B$36,"=naive_mom",'Daily evaluations'!$C$2:$C$36,"=d20260924"),"")</f>
      </c>
      <c r="F40" s="8">
        <f>IF((0=1),SUMIFS('Daily evaluations'!$E$2:$E$36,'Daily evaluations'!$B$2:$B$36,"=naive_mom",'Daily evaluations'!$C$2:$C$36,"=d20260925"),"")</f>
      </c>
      <c r="G40" s="8">
        <f>IF((0=1),SUMIFS('Daily evaluations'!$E$2:$E$36,'Daily evaluations'!$B$2:$B$36,"=naive_mom",'Daily evaluations'!$C$2:$C$36,"=d20260928"),"")</f>
      </c>
      <c r="H40" s="8">
        <f>IF((0=1),SUMIFS('Daily evaluations'!$E$2:$E$36,'Daily evaluations'!$B$2:$B$36,"=naive_mom",'Daily evaluations'!$C$2:$C$36,"=d20260929"),"")</f>
      </c>
      <c r="I40" s="8">
        <f>IF((0=1),SUMIFS('Daily evaluations'!$E$2:$E$36,'Daily evaluations'!$B$2:$B$36,"=naive_mom",'Daily evaluations'!$C$2:$C$36,"=d20260930"),"")</f>
      </c>
      <c r="J40" s="8">
        <f>IF((0=1),SUMIFS('Daily evaluations'!$E$2:$E$36,'Daily evaluations'!$B$2:$B$36,"=naive_mom",'Daily evaluations'!$C$2:$C$36,"=d20261001"),"")</f>
      </c>
      <c r="K40" s="8">
        <f>IF((0=1),SUMIFS('Daily evaluations'!$E$2:$E$36,'Daily evaluations'!$B$2:$B$36,"=naive_mom",'Daily evaluations'!$C$2:$C$36,"=d20261002"),"")</f>
      </c>
      <c r="L40" s="8">
        <f>IF((0=1),SUMIFS('Daily evaluations'!$E$2:$E$36,'Daily evaluations'!$B$2:$B$36,"=naive_mom",'Daily evaluations'!$C$2:$C$36,"=d20261005"),"")</f>
      </c>
      <c r="M40" s="8">
        <f>IF((0=1),SUMIFS('Daily evaluations'!$E$2:$E$36,'Daily evaluations'!$B$2:$B$36,"=naive_mom",'Daily evaluations'!$C$2:$C$36,"=d20261006"),"")</f>
      </c>
      <c r="N40" s="8">
        <f>IF((0=1),SUMIFS('Daily evaluations'!$E$2:$E$36,'Daily evaluations'!$B$2:$B$36,"=naive_mom",'Daily evaluations'!$C$2:$C$36,"=d20261007"),"")</f>
      </c>
      <c r="O40" s="8">
        <f>IF((0=1),SUMIFS('Daily evaluations'!$E$2:$E$36,'Daily evaluations'!$B$2:$B$36,"=naive_mom",'Daily evaluations'!$C$2:$C$36,"=d20261008"),"")</f>
      </c>
      <c r="P40" s="8">
        <f>IF((0=1),SUMIFS('Daily evaluations'!$E$2:$E$36,'Daily evaluations'!$B$2:$B$36,"=naive_mom",'Daily evaluations'!$C$2:$C$36,"=d20261009"),"")</f>
      </c>
      <c r="Q40" s="8">
        <f>IF((0=1),SUMIFS('Daily evaluations'!$E$2:$E$36,'Daily evaluations'!$B$2:$B$36,"=naive_mom",'Daily evaluations'!$C$2:$C$36,"=d20261012"),"")</f>
      </c>
      <c r="R40" s="8">
        <f>IF((0=1),SUMIFS('Daily evaluations'!$E$2:$E$36,'Daily evaluations'!$B$2:$B$36,"=naive_mom",'Daily evaluations'!$C$2:$C$36,"=d20261013"),"")</f>
      </c>
      <c r="S40" s="8">
        <f>IF((0=1),SUMIFS('Daily evaluations'!$E$2:$E$36,'Daily evaluations'!$B$2:$B$36,"=naive_mom",'Daily evaluations'!$C$2:$C$36,"=d20261014"),"")</f>
      </c>
      <c r="T40" s="8">
        <f>IF((0=1),SUMIFS('Daily evaluations'!$E$2:$E$36,'Daily evaluations'!$B$2:$B$36,"=naive_mom",'Daily evaluations'!$C$2:$C$36,"=d20261015"),"")</f>
      </c>
      <c r="U40" s="8">
        <f>IF((0=1),SUMIFS('Daily evaluations'!$E$2:$E$36,'Daily evaluations'!$B$2:$B$36,"=naive_mom",'Daily evaluations'!$C$2:$C$36,"=d20261016"),"")</f>
      </c>
      <c r="V40" s="8">
        <f>IF((0=1),SUMIFS('Daily evaluations'!$E$2:$E$36,'Daily evaluations'!$B$2:$B$36,"=naive_mom",'Daily evaluations'!$C$2:$C$36,"=d20261019"),"")</f>
      </c>
      <c r="W40" s="8">
        <f>IF((0=1),SUMIFS('Daily evaluations'!$E$2:$E$36,'Daily evaluations'!$B$2:$B$36,"=naive_mom",'Daily evaluations'!$C$2:$C$36,"=d20261020"),"")</f>
      </c>
      <c r="X40" s="8">
        <f>IF((0=1),SUMIFS('Daily evaluations'!$E$2:$E$36,'Daily evaluations'!$B$2:$B$36,"=naive_mom",'Daily evaluations'!$C$2:$C$36,"=d20261021"),"")</f>
      </c>
      <c r="Y40" s="8">
        <f>IF((0=1),SUMIFS('Daily evaluations'!$E$2:$E$36,'Daily evaluations'!$B$2:$B$36,"=naive_mom",'Daily evaluations'!$C$2:$C$36,"=d20261022"),"")</f>
      </c>
      <c r="Z40" s="8">
        <f>IF((0=1),SUMIFS('Daily evaluations'!$E$2:$E$36,'Daily evaluations'!$B$2:$B$36,"=naive_mom",'Daily evaluations'!$C$2:$C$36,"=d20261023"),"")</f>
      </c>
      <c r="AA40" s="8">
        <f>IF((0=1),SUMIFS('Daily evaluations'!$E$2:$E$36,'Daily evaluations'!$B$2:$B$36,"=naive_mom",'Daily evaluations'!$C$2:$C$36,"=d20261026"),"")</f>
      </c>
      <c r="AB40" s="8">
        <f>IF((0=1),SUMIFS('Daily evaluations'!$E$2:$E$36,'Daily evaluations'!$B$2:$B$36,"=naive_mom",'Daily evaluations'!$C$2:$C$36,"=d20261027"),"")</f>
      </c>
      <c r="AC40" s="8">
        <f>IF((0=1),SUMIFS('Daily evaluations'!$E$2:$E$36,'Daily evaluations'!$B$2:$B$36,"=naive_mom",'Daily evaluations'!$C$2:$C$36,"=d20261028"),"")</f>
      </c>
      <c r="AD40" s="8">
        <f>IF((0=1),SUMIFS('Daily evaluations'!$E$2:$E$36,'Daily evaluations'!$B$2:$B$36,"=naive_mom",'Daily evaluations'!$C$2:$C$36,"=d20261029"),"")</f>
      </c>
      <c r="AE40" s="8">
        <f>IF((0=1),SUMIFS('Daily evaluations'!$E$2:$E$36,'Daily evaluations'!$B$2:$B$36,"=naive_mom",'Daily evaluations'!$C$2:$C$36,"=d20261030"),"")</f>
      </c>
      <c r="AF40" s="8">
        <f>IF((0=1),SUMIFS('Daily evaluations'!$E$2:$E$36,'Daily evaluations'!$B$2:$B$36,"=naive_mom",'Daily evaluations'!$C$2:$C$36,"=d20261102"),"")</f>
      </c>
      <c r="AG40" s="8">
        <f>IF((0=1),SUMIFS('Daily evaluations'!$E$2:$E$36,'Daily evaluations'!$B$2:$B$36,"=naive_mom",'Daily evaluations'!$C$2:$C$36,"=d20261103"),"")</f>
      </c>
      <c r="AH40" s="8">
        <f>IF((0=1),SUMIFS('Daily evaluations'!$E$2:$E$36,'Daily evaluations'!$B$2:$B$36,"=naive_mom",'Daily evaluations'!$C$2:$C$36,"=d20261104"),"")</f>
      </c>
      <c r="AI40" s="8">
        <f>IF((0=1),SUMIFS('Daily evaluations'!$E$2:$E$36,'Daily evaluations'!$B$2:$B$36,"=naive_mom",'Daily evaluations'!$C$2:$C$36,"=d20261105"),"")</f>
      </c>
      <c r="AJ40" s="8">
        <f>IF((0=1),SUMIFS('Daily evaluations'!$E$2:$E$36,'Daily evaluations'!$B$2:$B$36,"=naive_mom",'Daily evaluations'!$C$2:$C$36,"=d20261106"),"")</f>
      </c>
      <c r="AK40" s="8">
        <f>IF((0=1),SUMIFS('Daily evaluations'!$E$2:$E$36,'Daily evaluations'!$B$2:$B$36,"=naive_mom",'Daily evaluations'!$C$2:$C$36,"=d20261109"),"")</f>
      </c>
      <c r="AL40" s="8">
        <f>IF((0=1),SUMIFS('Daily evaluations'!$E$2:$E$36,'Daily evaluations'!$B$2:$B$36,"=naive_mom",'Daily evaluations'!$C$2:$C$36,"=d20261110"),"")</f>
      </c>
      <c r="AM40" s="8">
        <f>IF((0=1),SUMIFS('Daily evaluations'!$E$2:$E$36,'Daily evaluations'!$B$2:$B$36,"=naive_mom",'Daily evaluations'!$C$2:$C$36,"=d20261111"),"")</f>
      </c>
      <c r="AN40" s="8">
        <f>IF((0=1),SUMIFS('Daily evaluations'!$E$2:$E$36,'Daily evaluations'!$B$2:$B$36,"=naive_mom",'Daily evaluations'!$C$2:$C$36,"=d20261112"),"")</f>
      </c>
      <c r="AO40" s="8">
        <f>IF((0=1),SUMIFS('Daily evaluations'!$E$2:$E$36,'Daily evaluations'!$B$2:$B$36,"=naive_mom",'Daily evaluations'!$C$2:$C$36,"=d20261113"),"")</f>
      </c>
      <c r="AP40" s="8">
        <f>IF((0=1),SUMIFS('Daily evaluations'!$E$2:$E$36,'Daily evaluations'!$B$2:$B$36,"=naive_mom",'Daily evaluations'!$C$2:$C$36,"=d20261116"),"")</f>
      </c>
      <c r="AQ40" s="8">
        <f>IF((0=1),SUMIFS('Daily evaluations'!$E$2:$E$36,'Daily evaluations'!$B$2:$B$36,"=naive_mom",'Daily evaluations'!$C$2:$C$36,"=d20261117"),"")</f>
      </c>
      <c r="AR40" s="8">
        <f>IF((0=1),SUMIFS('Daily evaluations'!$E$2:$E$36,'Daily evaluations'!$B$2:$B$36,"=naive_mom",'Daily evaluations'!$C$2:$C$36,"=d20261118"),"")</f>
      </c>
      <c r="AS40" s="8">
        <f>IF((0=1),SUMIFS('Daily evaluations'!$E$2:$E$36,'Daily evaluations'!$B$2:$B$36,"=naive_mom",'Daily evaluations'!$C$2:$C$36,"=d20261119"),"")</f>
      </c>
      <c r="AT40" s="8">
        <f>IF((0=1),SUMIFS('Daily evaluations'!$E$2:$E$36,'Daily evaluations'!$B$2:$B$36,"=naive_mom",'Daily evaluations'!$C$2:$C$36,"=d20261120"),"")</f>
      </c>
      <c r="AU40" s="8">
        <f>IF((0=1),SUMIFS('Daily evaluations'!$E$2:$E$36,'Daily evaluations'!$B$2:$B$36,"=naive_mom",'Daily evaluations'!$C$2:$C$36,"=d20261123"),"")</f>
      </c>
      <c r="AV40" s="8">
        <f>IF((0=1),SUMIFS('Daily evaluations'!$E$2:$E$36,'Daily evaluations'!$B$2:$B$36,"=naive_mom",'Daily evaluations'!$C$2:$C$36,"=d20261124"),"")</f>
      </c>
      <c r="AW40" s="8">
        <f>IF((0=1),SUMIFS('Daily evaluations'!$E$2:$E$36,'Daily evaluations'!$B$2:$B$36,"=naive_mom",'Daily evaluations'!$C$2:$C$36,"=d20261125"),"")</f>
      </c>
      <c r="AX40" s="8">
        <f>IF((0=1),SUMIFS('Daily evaluations'!$E$2:$E$36,'Daily evaluations'!$B$2:$B$36,"=naive_mom",'Daily evaluations'!$C$2:$C$36,"=d20261127"),"")</f>
      </c>
      <c r="AY40" s="8">
        <f>IF((0=1),SUMIFS('Daily evaluations'!$E$2:$E$36,'Daily evaluations'!$B$2:$B$36,"=naive_mom",'Daily evaluations'!$C$2:$C$36,"=d20261130"),"")</f>
      </c>
      <c r="AZ40" s="8">
        <f>IF((0=1),SUMIFS('Daily evaluations'!$E$2:$E$36,'Daily evaluations'!$B$2:$B$36,"=naive_mom",'Daily evaluations'!$C$2:$C$36,"=d20261201"),"")</f>
      </c>
      <c r="BA40" s="8">
        <f>IF((0=1),SUMIFS('Daily evaluations'!$E$2:$E$36,'Daily evaluations'!$B$2:$B$36,"=naive_mom",'Daily evaluations'!$C$2:$C$36,"=d20261202"),"")</f>
      </c>
      <c r="BB40" s="8">
        <f>IF((0=1),SUMIFS('Daily evaluations'!$E$2:$E$36,'Daily evaluations'!$B$2:$B$36,"=naive_mom",'Daily evaluations'!$C$2:$C$36,"=d20261203"),"")</f>
      </c>
      <c r="BC40" s="8">
        <f>IF((0=1),SUMIFS('Daily evaluations'!$E$2:$E$36,'Daily evaluations'!$B$2:$B$36,"=naive_mom",'Daily evaluations'!$C$2:$C$36,"=d20261204"),"")</f>
      </c>
      <c r="BD40" s="8">
        <f>IF((0=1),SUMIFS('Daily evaluations'!$E$2:$E$36,'Daily evaluations'!$B$2:$B$36,"=naive_mom",'Daily evaluations'!$C$2:$C$36,"=d20261207"),"")</f>
      </c>
      <c r="BE40" s="8">
        <f>IF((0=1),SUMIFS('Daily evaluations'!$E$2:$E$36,'Daily evaluations'!$B$2:$B$36,"=naive_mom",'Daily evaluations'!$C$2:$C$36,"=d20261208"),"")</f>
      </c>
      <c r="BF40" s="8">
        <f>IF((0=1),SUMIFS('Daily evaluations'!$E$2:$E$36,'Daily evaluations'!$B$2:$B$36,"=naive_mom",'Daily evaluations'!$C$2:$C$36,"=d20261209"),"")</f>
      </c>
      <c r="BG40" s="8">
        <f>IF((0=1),SUMIFS('Daily evaluations'!$E$2:$E$36,'Daily evaluations'!$B$2:$B$36,"=naive_mom",'Daily evaluations'!$C$2:$C$36,"=d20261210"),"")</f>
      </c>
      <c r="BH40" s="8">
        <f>IF((0=1),SUMIFS('Daily evaluations'!$E$2:$E$36,'Daily evaluations'!$B$2:$B$36,"=naive_mom",'Daily evaluations'!$C$2:$C$36,"=d20261211"),"")</f>
      </c>
      <c r="BI40" s="8">
        <f>IF((0=1),SUMIFS('Daily evaluations'!$E$2:$E$36,'Daily evaluations'!$B$2:$B$36,"=naive_mom",'Daily evaluations'!$C$2:$C$36,"=d20261214"),"")</f>
      </c>
      <c r="BJ40" s="8">
        <f>IF((0=1),SUMIFS('Daily evaluations'!$E$2:$E$36,'Daily evaluations'!$B$2:$B$36,"=naive_mom",'Daily evaluations'!$C$2:$C$36,"=d20261215"),"")</f>
      </c>
      <c r="BK40" s="8">
        <f>IF((0=1),SUMIFS('Daily evaluations'!$E$2:$E$36,'Daily evaluations'!$B$2:$B$36,"=naive_mom",'Daily evaluations'!$C$2:$C$36,"=d20261216"),"")</f>
      </c>
      <c r="BL40" s="8">
        <f>IF((0=1),SUMIFS('Daily evaluations'!$E$2:$E$36,'Daily evaluations'!$B$2:$B$36,"=naive_mom",'Daily evaluations'!$C$2:$C$36,"=d20261217"),"")</f>
      </c>
      <c r="BM40" s="8">
        <f>IF((0=1),SUMIFS('Daily evaluations'!$E$2:$E$36,'Daily evaluations'!$B$2:$B$36,"=naive_mom",'Daily evaluations'!$C$2:$C$36,"=d20261218"),"")</f>
      </c>
      <c r="BN40" s="8">
        <f>IF((0=1),SUMIFS('Daily evaluations'!$E$2:$E$36,'Daily evaluations'!$B$2:$B$36,"=naive_mom",'Daily evaluations'!$C$2:$C$36,"=d20261221"),"")</f>
      </c>
      <c r="BO40" s="8">
        <f>IF((0=1),SUMIFS('Daily evaluations'!$E$2:$E$36,'Daily evaluations'!$B$2:$B$36,"=naive_mom",'Daily evaluations'!$C$2:$C$36,"=d20261222"),"")</f>
      </c>
      <c r="BP40" s="8">
        <f>IF((0=1),SUMIFS('Daily evaluations'!$E$2:$E$36,'Daily evaluations'!$B$2:$B$36,"=naive_mom",'Daily evaluations'!$C$2:$C$36,"=d20261223"),"")</f>
      </c>
      <c r="BQ40" s="8">
        <f>IF((0=1),SUMIFS('Daily evaluations'!$E$2:$E$36,'Daily evaluations'!$B$2:$B$36,"=naive_mom",'Daily evaluations'!$C$2:$C$36,"=d20261224"),"")</f>
      </c>
      <c r="BR40" s="8">
        <f>IF((0=1),SUMIFS('Daily evaluations'!$E$2:$E$36,'Daily evaluations'!$B$2:$B$36,"=naive_mom",'Daily evaluations'!$C$2:$C$36,"=d20261228"),"")</f>
      </c>
      <c r="BS40" s="8">
        <f>IF((0=1),SUMIFS('Daily evaluations'!$E$2:$E$36,'Daily evaluations'!$B$2:$B$36,"=naive_mom",'Daily evaluations'!$C$2:$C$36,"=d20261229"),"")</f>
      </c>
      <c r="BT40" s="8">
        <f>IF((0=1),SUMIFS('Daily evaluations'!$E$2:$E$36,'Daily evaluations'!$B$2:$B$36,"=naive_mom",'Daily evaluations'!$C$2:$C$36,"=d20261230"),"")</f>
      </c>
      <c r="BU40" s="8">
        <f>IF((0=1),SUMIFS('Daily evaluations'!$E$2:$E$36,'Daily evaluations'!$B$2:$B$36,"=naive_mom",'Daily evaluations'!$C$2:$C$36,"=d20261231"),"")</f>
      </c>
      <c r="BV40" s="8">
        <f>IF((0=1),SUMIFS('Daily evaluations'!$E$2:$E$36,'Daily evaluations'!$B$2:$B$36,"=naive_mom",'Daily evaluations'!$C$2:$C$36,"=d20270104"),"")</f>
      </c>
      <c r="BW40" s="8">
        <f>IF((0=1),SUMIFS('Daily evaluations'!$E$2:$E$36,'Daily evaluations'!$B$2:$B$36,"=naive_mom",'Daily evaluations'!$C$2:$C$36,"=d20270105"),"")</f>
      </c>
      <c r="BX40" s="8">
        <f>IF((0=1),SUMIFS('Daily evaluations'!$E$2:$E$36,'Daily evaluations'!$B$2:$B$36,"=naive_mom",'Daily evaluations'!$C$2:$C$36,"=d20270106"),"")</f>
      </c>
      <c r="BY40" s="8">
        <f>IF((0=1),SUMIFS('Daily evaluations'!$E$2:$E$36,'Daily evaluations'!$B$2:$B$36,"=naive_mom",'Daily evaluations'!$C$2:$C$36,"=d20270107"),"")</f>
      </c>
      <c r="BZ40" s="8">
        <f>IF((0=1),SUMIFS('Daily evaluations'!$E$2:$E$36,'Daily evaluations'!$B$2:$B$36,"=naive_mom",'Daily evaluations'!$C$2:$C$36,"=d20270108"),"")</f>
      </c>
      <c r="CA40" s="8">
        <f>IF((0=1),SUMIFS('Daily evaluations'!$E$2:$E$36,'Daily evaluations'!$B$2:$B$36,"=naive_mom",'Daily evaluations'!$C$2:$C$36,"=d20270111"),"")</f>
      </c>
      <c r="CB40" s="8">
        <f>IF((0=1),SUMIFS('Daily evaluations'!$E$2:$E$36,'Daily evaluations'!$B$2:$B$36,"=naive_mom",'Daily evaluations'!$C$2:$C$36,"=d20270112"),"")</f>
      </c>
      <c r="CC40" s="8">
        <f>IF((0=1),SUMIFS('Daily evaluations'!$E$2:$E$36,'Daily evaluations'!$B$2:$B$36,"=naive_mom",'Daily evaluations'!$C$2:$C$36,"=d20270113"),"")</f>
      </c>
      <c r="CD40" s="8">
        <f>IF((0=1),SUMIFS('Daily evaluations'!$E$2:$E$36,'Daily evaluations'!$B$2:$B$36,"=naive_mom",'Daily evaluations'!$C$2:$C$36,"=d20270114"),"")</f>
      </c>
      <c r="CE40" s="8">
        <f>IF((0=1),SUMIFS('Daily evaluations'!$E$2:$E$36,'Daily evaluations'!$B$2:$B$36,"=naive_mom",'Daily evaluations'!$C$2:$C$36,"=d20270115"),"")</f>
      </c>
      <c r="CF40" s="8">
        <f>IF((0=1),SUMIFS('Daily evaluations'!$E$2:$E$36,'Daily evaluations'!$B$2:$B$36,"=naive_mom",'Daily evaluations'!$C$2:$C$36,"=d20270119"),"")</f>
      </c>
      <c r="CG40" s="8">
        <f>IF((0=1),SUMIFS('Daily evaluations'!$E$2:$E$36,'Daily evaluations'!$B$2:$B$36,"=naive_mom",'Daily evaluations'!$C$2:$C$36,"=d20270120"),"")</f>
      </c>
      <c r="CH40" s="8">
        <f>IF((0=1),SUMIFS('Daily evaluations'!$E$2:$E$36,'Daily evaluations'!$B$2:$B$36,"=naive_mom",'Daily evaluations'!$C$2:$C$36,"=d20270121"),"")</f>
      </c>
      <c r="CI40" s="8">
        <f>IF((0=1),SUMIFS('Daily evaluations'!$E$2:$E$36,'Daily evaluations'!$B$2:$B$36,"=naive_mom",'Daily evaluations'!$C$2:$C$36,"=d20270122"),"")</f>
      </c>
      <c r="CJ40" s="8">
        <f>IF((0=1),SUMIFS('Daily evaluations'!$E$2:$E$36,'Daily evaluations'!$B$2:$B$36,"=naive_mom",'Daily evaluations'!$C$2:$C$36,"=d20270125"),"")</f>
      </c>
      <c r="CK40" s="8">
        <f>IF((0=1),SUMIFS('Daily evaluations'!$E$2:$E$36,'Daily evaluations'!$B$2:$B$36,"=naive_mom",'Daily evaluations'!$C$2:$C$36,"=d20270126"),"")</f>
      </c>
      <c r="CL40" s="8">
        <f>IF((0=1),SUMIFS('Daily evaluations'!$E$2:$E$36,'Daily evaluations'!$B$2:$B$36,"=naive_mom",'Daily evaluations'!$C$2:$C$36,"=d20270127"),"")</f>
      </c>
      <c r="CM40" s="8">
        <f>IF((0=1),SUMIFS('Daily evaluations'!$E$2:$E$36,'Daily evaluations'!$B$2:$B$36,"=naive_mom",'Daily evaluations'!$C$2:$C$36,"=d20270128"),"")</f>
      </c>
      <c r="CN40" s="8">
        <f>IF((0=1),SUMIFS('Daily evaluations'!$E$2:$E$36,'Daily evaluations'!$B$2:$B$36,"=naive_mom",'Daily evaluations'!$C$2:$C$36,"=d20270129"),"")</f>
      </c>
      <c r="CO40" s="8">
        <f>IF((0=1),SUMIFS('Daily evaluations'!$E$2:$E$36,'Daily evaluations'!$B$2:$B$36,"=naive_mom",'Daily evaluations'!$C$2:$C$36,"=d20270201"),"")</f>
      </c>
      <c r="CP40" s="8">
        <f>IF((0=1),SUMIFS('Daily evaluations'!$E$2:$E$36,'Daily evaluations'!$B$2:$B$36,"=naive_mom",'Daily evaluations'!$C$2:$C$36,"=d20270202"),"")</f>
      </c>
      <c r="CQ40" s="8">
        <f>IF((0=1),SUMIFS('Daily evaluations'!$E$2:$E$36,'Daily evaluations'!$B$2:$B$36,"=naive_mom",'Daily evaluations'!$C$2:$C$36,"=d20270203"),"")</f>
      </c>
      <c r="CR40" s="8">
        <f>IF((0=1),SUMIFS('Daily evaluations'!$E$2:$E$36,'Daily evaluations'!$B$2:$B$36,"=naive_mom",'Daily evaluations'!$C$2:$C$36,"=d20270204"),"")</f>
      </c>
      <c r="CS40" s="8">
        <f>IF((0=1),SUMIFS('Daily evaluations'!$E$2:$E$36,'Daily evaluations'!$B$2:$B$36,"=naive_mom",'Daily evaluations'!$C$2:$C$36,"=d20270205"),"")</f>
      </c>
      <c r="CT40" s="8">
        <f>IF((0=1),SUMIFS('Daily evaluations'!$E$2:$E$36,'Daily evaluations'!$B$2:$B$36,"=naive_mom",'Daily evaluations'!$C$2:$C$36,"=d20270208"),"")</f>
      </c>
      <c r="CU40" s="8">
        <f>IF((0=1),SUMIFS('Daily evaluations'!$E$2:$E$36,'Daily evaluations'!$B$2:$B$36,"=naive_mom",'Daily evaluations'!$C$2:$C$36,"=d20270209"),"")</f>
      </c>
      <c r="CV40" s="8">
        <f>IF((0=1),SUMIFS('Daily evaluations'!$E$2:$E$36,'Daily evaluations'!$B$2:$B$36,"=naive_mom",'Daily evaluations'!$C$2:$C$36,"=d20270210"),"")</f>
      </c>
      <c r="CW40" s="8">
        <f>IF((0=1),SUMIFS('Daily evaluations'!$E$2:$E$36,'Daily evaluations'!$B$2:$B$36,"=naive_mom",'Daily evaluations'!$C$2:$C$36,"=d20270211"),"")</f>
      </c>
      <c r="CX40" s="8">
        <f>IF((0=1),SUMIFS('Daily evaluations'!$E$2:$E$36,'Daily evaluations'!$B$2:$B$36,"=naive_mom",'Daily evaluations'!$C$2:$C$36,"=d20270212"),"")</f>
      </c>
    </row>
    <row r="41">
      <c r="A41" s="0" t="inlineStr">
        <is>
          <t xml:space="preserve">Overnight excess vs universe, bps</t>
        </is>
      </c>
      <c r="B41" s="0" t="inlineStr">
        <is>
          <t xml:space="preserve">best 100 by yesterday's close-to-close return</t>
        </is>
      </c>
      <c r="C41" s="8">
        <f>IF((1=1),SUMIFS('Daily evaluations'!$E$2:$E$36,'Daily evaluations'!$B$2:$B$36,"=naive_winner1d",'Daily evaluations'!$C$2:$C$36,"=d20260922"),"")</f>
        <v>4.33</v>
      </c>
      <c r="D41" s="8">
        <f>IF((0=1),SUMIFS('Daily evaluations'!$E$2:$E$36,'Daily evaluations'!$B$2:$B$36,"=naive_winner1d",'Daily evaluations'!$C$2:$C$36,"=d20260923"),"")</f>
      </c>
      <c r="E41" s="8">
        <f>IF((0=1),SUMIFS('Daily evaluations'!$E$2:$E$36,'Daily evaluations'!$B$2:$B$36,"=naive_winner1d",'Daily evaluations'!$C$2:$C$36,"=d20260924"),"")</f>
      </c>
      <c r="F41" s="8">
        <f>IF((0=1),SUMIFS('Daily evaluations'!$E$2:$E$36,'Daily evaluations'!$B$2:$B$36,"=naive_winner1d",'Daily evaluations'!$C$2:$C$36,"=d20260925"),"")</f>
      </c>
      <c r="G41" s="8">
        <f>IF((0=1),SUMIFS('Daily evaluations'!$E$2:$E$36,'Daily evaluations'!$B$2:$B$36,"=naive_winner1d",'Daily evaluations'!$C$2:$C$36,"=d20260928"),"")</f>
      </c>
      <c r="H41" s="8">
        <f>IF((0=1),SUMIFS('Daily evaluations'!$E$2:$E$36,'Daily evaluations'!$B$2:$B$36,"=naive_winner1d",'Daily evaluations'!$C$2:$C$36,"=d20260929"),"")</f>
      </c>
      <c r="I41" s="8">
        <f>IF((0=1),SUMIFS('Daily evaluations'!$E$2:$E$36,'Daily evaluations'!$B$2:$B$36,"=naive_winner1d",'Daily evaluations'!$C$2:$C$36,"=d20260930"),"")</f>
      </c>
      <c r="J41" s="8">
        <f>IF((0=1),SUMIFS('Daily evaluations'!$E$2:$E$36,'Daily evaluations'!$B$2:$B$36,"=naive_winner1d",'Daily evaluations'!$C$2:$C$36,"=d20261001"),"")</f>
      </c>
      <c r="K41" s="8">
        <f>IF((0=1),SUMIFS('Daily evaluations'!$E$2:$E$36,'Daily evaluations'!$B$2:$B$36,"=naive_winner1d",'Daily evaluations'!$C$2:$C$36,"=d20261002"),"")</f>
      </c>
      <c r="L41" s="8">
        <f>IF((0=1),SUMIFS('Daily evaluations'!$E$2:$E$36,'Daily evaluations'!$B$2:$B$36,"=naive_winner1d",'Daily evaluations'!$C$2:$C$36,"=d20261005"),"")</f>
      </c>
      <c r="M41" s="8">
        <f>IF((0=1),SUMIFS('Daily evaluations'!$E$2:$E$36,'Daily evaluations'!$B$2:$B$36,"=naive_winner1d",'Daily evaluations'!$C$2:$C$36,"=d20261006"),"")</f>
      </c>
      <c r="N41" s="8">
        <f>IF((0=1),SUMIFS('Daily evaluations'!$E$2:$E$36,'Daily evaluations'!$B$2:$B$36,"=naive_winner1d",'Daily evaluations'!$C$2:$C$36,"=d20261007"),"")</f>
      </c>
      <c r="O41" s="8">
        <f>IF((0=1),SUMIFS('Daily evaluations'!$E$2:$E$36,'Daily evaluations'!$B$2:$B$36,"=naive_winner1d",'Daily evaluations'!$C$2:$C$36,"=d20261008"),"")</f>
      </c>
      <c r="P41" s="8">
        <f>IF((0=1),SUMIFS('Daily evaluations'!$E$2:$E$36,'Daily evaluations'!$B$2:$B$36,"=naive_winner1d",'Daily evaluations'!$C$2:$C$36,"=d20261009"),"")</f>
      </c>
      <c r="Q41" s="8">
        <f>IF((0=1),SUMIFS('Daily evaluations'!$E$2:$E$36,'Daily evaluations'!$B$2:$B$36,"=naive_winner1d",'Daily evaluations'!$C$2:$C$36,"=d20261012"),"")</f>
      </c>
      <c r="R41" s="8">
        <f>IF((0=1),SUMIFS('Daily evaluations'!$E$2:$E$36,'Daily evaluations'!$B$2:$B$36,"=naive_winner1d",'Daily evaluations'!$C$2:$C$36,"=d20261013"),"")</f>
      </c>
      <c r="S41" s="8">
        <f>IF((0=1),SUMIFS('Daily evaluations'!$E$2:$E$36,'Daily evaluations'!$B$2:$B$36,"=naive_winner1d",'Daily evaluations'!$C$2:$C$36,"=d20261014"),"")</f>
      </c>
      <c r="T41" s="8">
        <f>IF((0=1),SUMIFS('Daily evaluations'!$E$2:$E$36,'Daily evaluations'!$B$2:$B$36,"=naive_winner1d",'Daily evaluations'!$C$2:$C$36,"=d20261015"),"")</f>
      </c>
      <c r="U41" s="8">
        <f>IF((0=1),SUMIFS('Daily evaluations'!$E$2:$E$36,'Daily evaluations'!$B$2:$B$36,"=naive_winner1d",'Daily evaluations'!$C$2:$C$36,"=d20261016"),"")</f>
      </c>
      <c r="V41" s="8">
        <f>IF((0=1),SUMIFS('Daily evaluations'!$E$2:$E$36,'Daily evaluations'!$B$2:$B$36,"=naive_winner1d",'Daily evaluations'!$C$2:$C$36,"=d20261019"),"")</f>
      </c>
      <c r="W41" s="8">
        <f>IF((0=1),SUMIFS('Daily evaluations'!$E$2:$E$36,'Daily evaluations'!$B$2:$B$36,"=naive_winner1d",'Daily evaluations'!$C$2:$C$36,"=d20261020"),"")</f>
      </c>
      <c r="X41" s="8">
        <f>IF((0=1),SUMIFS('Daily evaluations'!$E$2:$E$36,'Daily evaluations'!$B$2:$B$36,"=naive_winner1d",'Daily evaluations'!$C$2:$C$36,"=d20261021"),"")</f>
      </c>
      <c r="Y41" s="8">
        <f>IF((0=1),SUMIFS('Daily evaluations'!$E$2:$E$36,'Daily evaluations'!$B$2:$B$36,"=naive_winner1d",'Daily evaluations'!$C$2:$C$36,"=d20261022"),"")</f>
      </c>
      <c r="Z41" s="8">
        <f>IF((0=1),SUMIFS('Daily evaluations'!$E$2:$E$36,'Daily evaluations'!$B$2:$B$36,"=naive_winner1d",'Daily evaluations'!$C$2:$C$36,"=d20261023"),"")</f>
      </c>
      <c r="AA41" s="8">
        <f>IF((0=1),SUMIFS('Daily evaluations'!$E$2:$E$36,'Daily evaluations'!$B$2:$B$36,"=naive_winner1d",'Daily evaluations'!$C$2:$C$36,"=d20261026"),"")</f>
      </c>
      <c r="AB41" s="8">
        <f>IF((0=1),SUMIFS('Daily evaluations'!$E$2:$E$36,'Daily evaluations'!$B$2:$B$36,"=naive_winner1d",'Daily evaluations'!$C$2:$C$36,"=d20261027"),"")</f>
      </c>
      <c r="AC41" s="8">
        <f>IF((0=1),SUMIFS('Daily evaluations'!$E$2:$E$36,'Daily evaluations'!$B$2:$B$36,"=naive_winner1d",'Daily evaluations'!$C$2:$C$36,"=d20261028"),"")</f>
      </c>
      <c r="AD41" s="8">
        <f>IF((0=1),SUMIFS('Daily evaluations'!$E$2:$E$36,'Daily evaluations'!$B$2:$B$36,"=naive_winner1d",'Daily evaluations'!$C$2:$C$36,"=d20261029"),"")</f>
      </c>
      <c r="AE41" s="8">
        <f>IF((0=1),SUMIFS('Daily evaluations'!$E$2:$E$36,'Daily evaluations'!$B$2:$B$36,"=naive_winner1d",'Daily evaluations'!$C$2:$C$36,"=d20261030"),"")</f>
      </c>
      <c r="AF41" s="8">
        <f>IF((0=1),SUMIFS('Daily evaluations'!$E$2:$E$36,'Daily evaluations'!$B$2:$B$36,"=naive_winner1d",'Daily evaluations'!$C$2:$C$36,"=d20261102"),"")</f>
      </c>
      <c r="AG41" s="8">
        <f>IF((0=1),SUMIFS('Daily evaluations'!$E$2:$E$36,'Daily evaluations'!$B$2:$B$36,"=naive_winner1d",'Daily evaluations'!$C$2:$C$36,"=d20261103"),"")</f>
      </c>
      <c r="AH41" s="8">
        <f>IF((0=1),SUMIFS('Daily evaluations'!$E$2:$E$36,'Daily evaluations'!$B$2:$B$36,"=naive_winner1d",'Daily evaluations'!$C$2:$C$36,"=d20261104"),"")</f>
      </c>
      <c r="AI41" s="8">
        <f>IF((0=1),SUMIFS('Daily evaluations'!$E$2:$E$36,'Daily evaluations'!$B$2:$B$36,"=naive_winner1d",'Daily evaluations'!$C$2:$C$36,"=d20261105"),"")</f>
      </c>
      <c r="AJ41" s="8">
        <f>IF((0=1),SUMIFS('Daily evaluations'!$E$2:$E$36,'Daily evaluations'!$B$2:$B$36,"=naive_winner1d",'Daily evaluations'!$C$2:$C$36,"=d20261106"),"")</f>
      </c>
      <c r="AK41" s="8">
        <f>IF((0=1),SUMIFS('Daily evaluations'!$E$2:$E$36,'Daily evaluations'!$B$2:$B$36,"=naive_winner1d",'Daily evaluations'!$C$2:$C$36,"=d20261109"),"")</f>
      </c>
      <c r="AL41" s="8">
        <f>IF((0=1),SUMIFS('Daily evaluations'!$E$2:$E$36,'Daily evaluations'!$B$2:$B$36,"=naive_winner1d",'Daily evaluations'!$C$2:$C$36,"=d20261110"),"")</f>
      </c>
      <c r="AM41" s="8">
        <f>IF((0=1),SUMIFS('Daily evaluations'!$E$2:$E$36,'Daily evaluations'!$B$2:$B$36,"=naive_winner1d",'Daily evaluations'!$C$2:$C$36,"=d20261111"),"")</f>
      </c>
      <c r="AN41" s="8">
        <f>IF((0=1),SUMIFS('Daily evaluations'!$E$2:$E$36,'Daily evaluations'!$B$2:$B$36,"=naive_winner1d",'Daily evaluations'!$C$2:$C$36,"=d20261112"),"")</f>
      </c>
      <c r="AO41" s="8">
        <f>IF((0=1),SUMIFS('Daily evaluations'!$E$2:$E$36,'Daily evaluations'!$B$2:$B$36,"=naive_winner1d",'Daily evaluations'!$C$2:$C$36,"=d20261113"),"")</f>
      </c>
      <c r="AP41" s="8">
        <f>IF((0=1),SUMIFS('Daily evaluations'!$E$2:$E$36,'Daily evaluations'!$B$2:$B$36,"=naive_winner1d",'Daily evaluations'!$C$2:$C$36,"=d20261116"),"")</f>
      </c>
      <c r="AQ41" s="8">
        <f>IF((0=1),SUMIFS('Daily evaluations'!$E$2:$E$36,'Daily evaluations'!$B$2:$B$36,"=naive_winner1d",'Daily evaluations'!$C$2:$C$36,"=d20261117"),"")</f>
      </c>
      <c r="AR41" s="8">
        <f>IF((0=1),SUMIFS('Daily evaluations'!$E$2:$E$36,'Daily evaluations'!$B$2:$B$36,"=naive_winner1d",'Daily evaluations'!$C$2:$C$36,"=d20261118"),"")</f>
      </c>
      <c r="AS41" s="8">
        <f>IF((0=1),SUMIFS('Daily evaluations'!$E$2:$E$36,'Daily evaluations'!$B$2:$B$36,"=naive_winner1d",'Daily evaluations'!$C$2:$C$36,"=d20261119"),"")</f>
      </c>
      <c r="AT41" s="8">
        <f>IF((0=1),SUMIFS('Daily evaluations'!$E$2:$E$36,'Daily evaluations'!$B$2:$B$36,"=naive_winner1d",'Daily evaluations'!$C$2:$C$36,"=d20261120"),"")</f>
      </c>
      <c r="AU41" s="8">
        <f>IF((0=1),SUMIFS('Daily evaluations'!$E$2:$E$36,'Daily evaluations'!$B$2:$B$36,"=naive_winner1d",'Daily evaluations'!$C$2:$C$36,"=d20261123"),"")</f>
      </c>
      <c r="AV41" s="8">
        <f>IF((0=1),SUMIFS('Daily evaluations'!$E$2:$E$36,'Daily evaluations'!$B$2:$B$36,"=naive_winner1d",'Daily evaluations'!$C$2:$C$36,"=d20261124"),"")</f>
      </c>
      <c r="AW41" s="8">
        <f>IF((0=1),SUMIFS('Daily evaluations'!$E$2:$E$36,'Daily evaluations'!$B$2:$B$36,"=naive_winner1d",'Daily evaluations'!$C$2:$C$36,"=d20261125"),"")</f>
      </c>
      <c r="AX41" s="8">
        <f>IF((0=1),SUMIFS('Daily evaluations'!$E$2:$E$36,'Daily evaluations'!$B$2:$B$36,"=naive_winner1d",'Daily evaluations'!$C$2:$C$36,"=d20261127"),"")</f>
      </c>
      <c r="AY41" s="8">
        <f>IF((0=1),SUMIFS('Daily evaluations'!$E$2:$E$36,'Daily evaluations'!$B$2:$B$36,"=naive_winner1d",'Daily evaluations'!$C$2:$C$36,"=d20261130"),"")</f>
      </c>
      <c r="AZ41" s="8">
        <f>IF((0=1),SUMIFS('Daily evaluations'!$E$2:$E$36,'Daily evaluations'!$B$2:$B$36,"=naive_winner1d",'Daily evaluations'!$C$2:$C$36,"=d20261201"),"")</f>
      </c>
      <c r="BA41" s="8">
        <f>IF((0=1),SUMIFS('Daily evaluations'!$E$2:$E$36,'Daily evaluations'!$B$2:$B$36,"=naive_winner1d",'Daily evaluations'!$C$2:$C$36,"=d20261202"),"")</f>
      </c>
      <c r="BB41" s="8">
        <f>IF((0=1),SUMIFS('Daily evaluations'!$E$2:$E$36,'Daily evaluations'!$B$2:$B$36,"=naive_winner1d",'Daily evaluations'!$C$2:$C$36,"=d20261203"),"")</f>
      </c>
      <c r="BC41" s="8">
        <f>IF((0=1),SUMIFS('Daily evaluations'!$E$2:$E$36,'Daily evaluations'!$B$2:$B$36,"=naive_winner1d",'Daily evaluations'!$C$2:$C$36,"=d20261204"),"")</f>
      </c>
      <c r="BD41" s="8">
        <f>IF((0=1),SUMIFS('Daily evaluations'!$E$2:$E$36,'Daily evaluations'!$B$2:$B$36,"=naive_winner1d",'Daily evaluations'!$C$2:$C$36,"=d20261207"),"")</f>
      </c>
      <c r="BE41" s="8">
        <f>IF((0=1),SUMIFS('Daily evaluations'!$E$2:$E$36,'Daily evaluations'!$B$2:$B$36,"=naive_winner1d",'Daily evaluations'!$C$2:$C$36,"=d20261208"),"")</f>
      </c>
      <c r="BF41" s="8">
        <f>IF((0=1),SUMIFS('Daily evaluations'!$E$2:$E$36,'Daily evaluations'!$B$2:$B$36,"=naive_winner1d",'Daily evaluations'!$C$2:$C$36,"=d20261209"),"")</f>
      </c>
      <c r="BG41" s="8">
        <f>IF((0=1),SUMIFS('Daily evaluations'!$E$2:$E$36,'Daily evaluations'!$B$2:$B$36,"=naive_winner1d",'Daily evaluations'!$C$2:$C$36,"=d20261210"),"")</f>
      </c>
      <c r="BH41" s="8">
        <f>IF((0=1),SUMIFS('Daily evaluations'!$E$2:$E$36,'Daily evaluations'!$B$2:$B$36,"=naive_winner1d",'Daily evaluations'!$C$2:$C$36,"=d20261211"),"")</f>
      </c>
      <c r="BI41" s="8">
        <f>IF((0=1),SUMIFS('Daily evaluations'!$E$2:$E$36,'Daily evaluations'!$B$2:$B$36,"=naive_winner1d",'Daily evaluations'!$C$2:$C$36,"=d20261214"),"")</f>
      </c>
      <c r="BJ41" s="8">
        <f>IF((0=1),SUMIFS('Daily evaluations'!$E$2:$E$36,'Daily evaluations'!$B$2:$B$36,"=naive_winner1d",'Daily evaluations'!$C$2:$C$36,"=d20261215"),"")</f>
      </c>
      <c r="BK41" s="8">
        <f>IF((0=1),SUMIFS('Daily evaluations'!$E$2:$E$36,'Daily evaluations'!$B$2:$B$36,"=naive_winner1d",'Daily evaluations'!$C$2:$C$36,"=d20261216"),"")</f>
      </c>
      <c r="BL41" s="8">
        <f>IF((0=1),SUMIFS('Daily evaluations'!$E$2:$E$36,'Daily evaluations'!$B$2:$B$36,"=naive_winner1d",'Daily evaluations'!$C$2:$C$36,"=d20261217"),"")</f>
      </c>
      <c r="BM41" s="8">
        <f>IF((0=1),SUMIFS('Daily evaluations'!$E$2:$E$36,'Daily evaluations'!$B$2:$B$36,"=naive_winner1d",'Daily evaluations'!$C$2:$C$36,"=d20261218"),"")</f>
      </c>
      <c r="BN41" s="8">
        <f>IF((0=1),SUMIFS('Daily evaluations'!$E$2:$E$36,'Daily evaluations'!$B$2:$B$36,"=naive_winner1d",'Daily evaluations'!$C$2:$C$36,"=d20261221"),"")</f>
      </c>
      <c r="BO41" s="8">
        <f>IF((0=1),SUMIFS('Daily evaluations'!$E$2:$E$36,'Daily evaluations'!$B$2:$B$36,"=naive_winner1d",'Daily evaluations'!$C$2:$C$36,"=d20261222"),"")</f>
      </c>
      <c r="BP41" s="8">
        <f>IF((0=1),SUMIFS('Daily evaluations'!$E$2:$E$36,'Daily evaluations'!$B$2:$B$36,"=naive_winner1d",'Daily evaluations'!$C$2:$C$36,"=d20261223"),"")</f>
      </c>
      <c r="BQ41" s="8">
        <f>IF((0=1),SUMIFS('Daily evaluations'!$E$2:$E$36,'Daily evaluations'!$B$2:$B$36,"=naive_winner1d",'Daily evaluations'!$C$2:$C$36,"=d20261224"),"")</f>
      </c>
      <c r="BR41" s="8">
        <f>IF((0=1),SUMIFS('Daily evaluations'!$E$2:$E$36,'Daily evaluations'!$B$2:$B$36,"=naive_winner1d",'Daily evaluations'!$C$2:$C$36,"=d20261228"),"")</f>
      </c>
      <c r="BS41" s="8">
        <f>IF((0=1),SUMIFS('Daily evaluations'!$E$2:$E$36,'Daily evaluations'!$B$2:$B$36,"=naive_winner1d",'Daily evaluations'!$C$2:$C$36,"=d20261229"),"")</f>
      </c>
      <c r="BT41" s="8">
        <f>IF((0=1),SUMIFS('Daily evaluations'!$E$2:$E$36,'Daily evaluations'!$B$2:$B$36,"=naive_winner1d",'Daily evaluations'!$C$2:$C$36,"=d20261230"),"")</f>
      </c>
      <c r="BU41" s="8">
        <f>IF((0=1),SUMIFS('Daily evaluations'!$E$2:$E$36,'Daily evaluations'!$B$2:$B$36,"=naive_winner1d",'Daily evaluations'!$C$2:$C$36,"=d20261231"),"")</f>
      </c>
      <c r="BV41" s="8">
        <f>IF((0=1),SUMIFS('Daily evaluations'!$E$2:$E$36,'Daily evaluations'!$B$2:$B$36,"=naive_winner1d",'Daily evaluations'!$C$2:$C$36,"=d20270104"),"")</f>
      </c>
      <c r="BW41" s="8">
        <f>IF((0=1),SUMIFS('Daily evaluations'!$E$2:$E$36,'Daily evaluations'!$B$2:$B$36,"=naive_winner1d",'Daily evaluations'!$C$2:$C$36,"=d20270105"),"")</f>
      </c>
      <c r="BX41" s="8">
        <f>IF((0=1),SUMIFS('Daily evaluations'!$E$2:$E$36,'Daily evaluations'!$B$2:$B$36,"=naive_winner1d",'Daily evaluations'!$C$2:$C$36,"=d20270106"),"")</f>
      </c>
      <c r="BY41" s="8">
        <f>IF((0=1),SUMIFS('Daily evaluations'!$E$2:$E$36,'Daily evaluations'!$B$2:$B$36,"=naive_winner1d",'Daily evaluations'!$C$2:$C$36,"=d20270107"),"")</f>
      </c>
      <c r="BZ41" s="8">
        <f>IF((0=1),SUMIFS('Daily evaluations'!$E$2:$E$36,'Daily evaluations'!$B$2:$B$36,"=naive_winner1d",'Daily evaluations'!$C$2:$C$36,"=d20270108"),"")</f>
      </c>
      <c r="CA41" s="8">
        <f>IF((0=1),SUMIFS('Daily evaluations'!$E$2:$E$36,'Daily evaluations'!$B$2:$B$36,"=naive_winner1d",'Daily evaluations'!$C$2:$C$36,"=d20270111"),"")</f>
      </c>
      <c r="CB41" s="8">
        <f>IF((0=1),SUMIFS('Daily evaluations'!$E$2:$E$36,'Daily evaluations'!$B$2:$B$36,"=naive_winner1d",'Daily evaluations'!$C$2:$C$36,"=d20270112"),"")</f>
      </c>
      <c r="CC41" s="8">
        <f>IF((0=1),SUMIFS('Daily evaluations'!$E$2:$E$36,'Daily evaluations'!$B$2:$B$36,"=naive_winner1d",'Daily evaluations'!$C$2:$C$36,"=d20270113"),"")</f>
      </c>
      <c r="CD41" s="8">
        <f>IF((0=1),SUMIFS('Daily evaluations'!$E$2:$E$36,'Daily evaluations'!$B$2:$B$36,"=naive_winner1d",'Daily evaluations'!$C$2:$C$36,"=d20270114"),"")</f>
      </c>
      <c r="CE41" s="8">
        <f>IF((0=1),SUMIFS('Daily evaluations'!$E$2:$E$36,'Daily evaluations'!$B$2:$B$36,"=naive_winner1d",'Daily evaluations'!$C$2:$C$36,"=d20270115"),"")</f>
      </c>
      <c r="CF41" s="8">
        <f>IF((0=1),SUMIFS('Daily evaluations'!$E$2:$E$36,'Daily evaluations'!$B$2:$B$36,"=naive_winner1d",'Daily evaluations'!$C$2:$C$36,"=d20270119"),"")</f>
      </c>
      <c r="CG41" s="8">
        <f>IF((0=1),SUMIFS('Daily evaluations'!$E$2:$E$36,'Daily evaluations'!$B$2:$B$36,"=naive_winner1d",'Daily evaluations'!$C$2:$C$36,"=d20270120"),"")</f>
      </c>
      <c r="CH41" s="8">
        <f>IF((0=1),SUMIFS('Daily evaluations'!$E$2:$E$36,'Daily evaluations'!$B$2:$B$36,"=naive_winner1d",'Daily evaluations'!$C$2:$C$36,"=d20270121"),"")</f>
      </c>
      <c r="CI41" s="8">
        <f>IF((0=1),SUMIFS('Daily evaluations'!$E$2:$E$36,'Daily evaluations'!$B$2:$B$36,"=naive_winner1d",'Daily evaluations'!$C$2:$C$36,"=d20270122"),"")</f>
      </c>
      <c r="CJ41" s="8">
        <f>IF((0=1),SUMIFS('Daily evaluations'!$E$2:$E$36,'Daily evaluations'!$B$2:$B$36,"=naive_winner1d",'Daily evaluations'!$C$2:$C$36,"=d20270125"),"")</f>
      </c>
      <c r="CK41" s="8">
        <f>IF((0=1),SUMIFS('Daily evaluations'!$E$2:$E$36,'Daily evaluations'!$B$2:$B$36,"=naive_winner1d",'Daily evaluations'!$C$2:$C$36,"=d20270126"),"")</f>
      </c>
      <c r="CL41" s="8">
        <f>IF((0=1),SUMIFS('Daily evaluations'!$E$2:$E$36,'Daily evaluations'!$B$2:$B$36,"=naive_winner1d",'Daily evaluations'!$C$2:$C$36,"=d20270127"),"")</f>
      </c>
      <c r="CM41" s="8">
        <f>IF((0=1),SUMIFS('Daily evaluations'!$E$2:$E$36,'Daily evaluations'!$B$2:$B$36,"=naive_winner1d",'Daily evaluations'!$C$2:$C$36,"=d20270128"),"")</f>
      </c>
      <c r="CN41" s="8">
        <f>IF((0=1),SUMIFS('Daily evaluations'!$E$2:$E$36,'Daily evaluations'!$B$2:$B$36,"=naive_winner1d",'Daily evaluations'!$C$2:$C$36,"=d20270129"),"")</f>
      </c>
      <c r="CO41" s="8">
        <f>IF((0=1),SUMIFS('Daily evaluations'!$E$2:$E$36,'Daily evaluations'!$B$2:$B$36,"=naive_winner1d",'Daily evaluations'!$C$2:$C$36,"=d20270201"),"")</f>
      </c>
      <c r="CP41" s="8">
        <f>IF((0=1),SUMIFS('Daily evaluations'!$E$2:$E$36,'Daily evaluations'!$B$2:$B$36,"=naive_winner1d",'Daily evaluations'!$C$2:$C$36,"=d20270202"),"")</f>
      </c>
      <c r="CQ41" s="8">
        <f>IF((0=1),SUMIFS('Daily evaluations'!$E$2:$E$36,'Daily evaluations'!$B$2:$B$36,"=naive_winner1d",'Daily evaluations'!$C$2:$C$36,"=d20270203"),"")</f>
      </c>
      <c r="CR41" s="8">
        <f>IF((0=1),SUMIFS('Daily evaluations'!$E$2:$E$36,'Daily evaluations'!$B$2:$B$36,"=naive_winner1d",'Daily evaluations'!$C$2:$C$36,"=d20270204"),"")</f>
      </c>
      <c r="CS41" s="8">
        <f>IF((0=1),SUMIFS('Daily evaluations'!$E$2:$E$36,'Daily evaluations'!$B$2:$B$36,"=naive_winner1d",'Daily evaluations'!$C$2:$C$36,"=d20270205"),"")</f>
      </c>
      <c r="CT41" s="8">
        <f>IF((0=1),SUMIFS('Daily evaluations'!$E$2:$E$36,'Daily evaluations'!$B$2:$B$36,"=naive_winner1d",'Daily evaluations'!$C$2:$C$36,"=d20270208"),"")</f>
      </c>
      <c r="CU41" s="8">
        <f>IF((0=1),SUMIFS('Daily evaluations'!$E$2:$E$36,'Daily evaluations'!$B$2:$B$36,"=naive_winner1d",'Daily evaluations'!$C$2:$C$36,"=d20270209"),"")</f>
      </c>
      <c r="CV41" s="8">
        <f>IF((0=1),SUMIFS('Daily evaluations'!$E$2:$E$36,'Daily evaluations'!$B$2:$B$36,"=naive_winner1d",'Daily evaluations'!$C$2:$C$36,"=d20270210"),"")</f>
      </c>
      <c r="CW41" s="8">
        <f>IF((0=1),SUMIFS('Daily evaluations'!$E$2:$E$36,'Daily evaluations'!$B$2:$B$36,"=naive_winner1d",'Daily evaluations'!$C$2:$C$36,"=d20270211"),"")</f>
      </c>
      <c r="CX41" s="8">
        <f>IF((0=1),SUMIFS('Daily evaluations'!$E$2:$E$36,'Daily evaluations'!$B$2:$B$36,"=naive_winner1d",'Daily evaluations'!$C$2:$C$36,"=d20270212"),"")</f>
      </c>
    </row>
    <row r="42">
      <c r="A42" s="0" t="inlineStr">
        <is>
          <t xml:space="preserve">Overnight excess vs universe, bps</t>
        </is>
      </c>
      <c r="B42" s="0" t="inlineStr">
        <is>
          <t xml:space="preserve">Retail Attention Overnight</t>
        </is>
      </c>
      <c r="C42" s="8">
        <f>IF((1=1),SUMIFS('Daily evaluations'!$E$2:$E$36,'Daily evaluations'!$B$2:$B$36,"=p01_attention",'Daily evaluations'!$C$2:$C$36,"=d20260922"),"")</f>
        <v>-17.227</v>
      </c>
      <c r="D42" s="8">
        <f>IF((0=1),SUMIFS('Daily evaluations'!$E$2:$E$36,'Daily evaluations'!$B$2:$B$36,"=p01_attention",'Daily evaluations'!$C$2:$C$36,"=d20260923"),"")</f>
      </c>
      <c r="E42" s="8">
        <f>IF((0=1),SUMIFS('Daily evaluations'!$E$2:$E$36,'Daily evaluations'!$B$2:$B$36,"=p01_attention",'Daily evaluations'!$C$2:$C$36,"=d20260924"),"")</f>
      </c>
      <c r="F42" s="8">
        <f>IF((0=1),SUMIFS('Daily evaluations'!$E$2:$E$36,'Daily evaluations'!$B$2:$B$36,"=p01_attention",'Daily evaluations'!$C$2:$C$36,"=d20260925"),"")</f>
      </c>
      <c r="G42" s="8">
        <f>IF((0=1),SUMIFS('Daily evaluations'!$E$2:$E$36,'Daily evaluations'!$B$2:$B$36,"=p01_attention",'Daily evaluations'!$C$2:$C$36,"=d20260928"),"")</f>
      </c>
      <c r="H42" s="8">
        <f>IF((0=1),SUMIFS('Daily evaluations'!$E$2:$E$36,'Daily evaluations'!$B$2:$B$36,"=p01_attention",'Daily evaluations'!$C$2:$C$36,"=d20260929"),"")</f>
      </c>
      <c r="I42" s="8">
        <f>IF((0=1),SUMIFS('Daily evaluations'!$E$2:$E$36,'Daily evaluations'!$B$2:$B$36,"=p01_attention",'Daily evaluations'!$C$2:$C$36,"=d20260930"),"")</f>
      </c>
      <c r="J42" s="8">
        <f>IF((0=1),SUMIFS('Daily evaluations'!$E$2:$E$36,'Daily evaluations'!$B$2:$B$36,"=p01_attention",'Daily evaluations'!$C$2:$C$36,"=d20261001"),"")</f>
      </c>
      <c r="K42" s="8">
        <f>IF((0=1),SUMIFS('Daily evaluations'!$E$2:$E$36,'Daily evaluations'!$B$2:$B$36,"=p01_attention",'Daily evaluations'!$C$2:$C$36,"=d20261002"),"")</f>
      </c>
      <c r="L42" s="8">
        <f>IF((0=1),SUMIFS('Daily evaluations'!$E$2:$E$36,'Daily evaluations'!$B$2:$B$36,"=p01_attention",'Daily evaluations'!$C$2:$C$36,"=d20261005"),"")</f>
      </c>
      <c r="M42" s="8">
        <f>IF((0=1),SUMIFS('Daily evaluations'!$E$2:$E$36,'Daily evaluations'!$B$2:$B$36,"=p01_attention",'Daily evaluations'!$C$2:$C$36,"=d20261006"),"")</f>
      </c>
      <c r="N42" s="8">
        <f>IF((0=1),SUMIFS('Daily evaluations'!$E$2:$E$36,'Daily evaluations'!$B$2:$B$36,"=p01_attention",'Daily evaluations'!$C$2:$C$36,"=d20261007"),"")</f>
      </c>
      <c r="O42" s="8">
        <f>IF((0=1),SUMIFS('Daily evaluations'!$E$2:$E$36,'Daily evaluations'!$B$2:$B$36,"=p01_attention",'Daily evaluations'!$C$2:$C$36,"=d20261008"),"")</f>
      </c>
      <c r="P42" s="8">
        <f>IF((0=1),SUMIFS('Daily evaluations'!$E$2:$E$36,'Daily evaluations'!$B$2:$B$36,"=p01_attention",'Daily evaluations'!$C$2:$C$36,"=d20261009"),"")</f>
      </c>
      <c r="Q42" s="8">
        <f>IF((0=1),SUMIFS('Daily evaluations'!$E$2:$E$36,'Daily evaluations'!$B$2:$B$36,"=p01_attention",'Daily evaluations'!$C$2:$C$36,"=d20261012"),"")</f>
      </c>
      <c r="R42" s="8">
        <f>IF((0=1),SUMIFS('Daily evaluations'!$E$2:$E$36,'Daily evaluations'!$B$2:$B$36,"=p01_attention",'Daily evaluations'!$C$2:$C$36,"=d20261013"),"")</f>
      </c>
      <c r="S42" s="8">
        <f>IF((0=1),SUMIFS('Daily evaluations'!$E$2:$E$36,'Daily evaluations'!$B$2:$B$36,"=p01_attention",'Daily evaluations'!$C$2:$C$36,"=d20261014"),"")</f>
      </c>
      <c r="T42" s="8">
        <f>IF((0=1),SUMIFS('Daily evaluations'!$E$2:$E$36,'Daily evaluations'!$B$2:$B$36,"=p01_attention",'Daily evaluations'!$C$2:$C$36,"=d20261015"),"")</f>
      </c>
      <c r="U42" s="8">
        <f>IF((0=1),SUMIFS('Daily evaluations'!$E$2:$E$36,'Daily evaluations'!$B$2:$B$36,"=p01_attention",'Daily evaluations'!$C$2:$C$36,"=d20261016"),"")</f>
      </c>
      <c r="V42" s="8">
        <f>IF((0=1),SUMIFS('Daily evaluations'!$E$2:$E$36,'Daily evaluations'!$B$2:$B$36,"=p01_attention",'Daily evaluations'!$C$2:$C$36,"=d20261019"),"")</f>
      </c>
      <c r="W42" s="8">
        <f>IF((0=1),SUMIFS('Daily evaluations'!$E$2:$E$36,'Daily evaluations'!$B$2:$B$36,"=p01_attention",'Daily evaluations'!$C$2:$C$36,"=d20261020"),"")</f>
      </c>
      <c r="X42" s="8">
        <f>IF((0=1),SUMIFS('Daily evaluations'!$E$2:$E$36,'Daily evaluations'!$B$2:$B$36,"=p01_attention",'Daily evaluations'!$C$2:$C$36,"=d20261021"),"")</f>
      </c>
      <c r="Y42" s="8">
        <f>IF((0=1),SUMIFS('Daily evaluations'!$E$2:$E$36,'Daily evaluations'!$B$2:$B$36,"=p01_attention",'Daily evaluations'!$C$2:$C$36,"=d20261022"),"")</f>
      </c>
      <c r="Z42" s="8">
        <f>IF((0=1),SUMIFS('Daily evaluations'!$E$2:$E$36,'Daily evaluations'!$B$2:$B$36,"=p01_attention",'Daily evaluations'!$C$2:$C$36,"=d20261023"),"")</f>
      </c>
      <c r="AA42" s="8">
        <f>IF((0=1),SUMIFS('Daily evaluations'!$E$2:$E$36,'Daily evaluations'!$B$2:$B$36,"=p01_attention",'Daily evaluations'!$C$2:$C$36,"=d20261026"),"")</f>
      </c>
      <c r="AB42" s="8">
        <f>IF((0=1),SUMIFS('Daily evaluations'!$E$2:$E$36,'Daily evaluations'!$B$2:$B$36,"=p01_attention",'Daily evaluations'!$C$2:$C$36,"=d20261027"),"")</f>
      </c>
      <c r="AC42" s="8">
        <f>IF((0=1),SUMIFS('Daily evaluations'!$E$2:$E$36,'Daily evaluations'!$B$2:$B$36,"=p01_attention",'Daily evaluations'!$C$2:$C$36,"=d20261028"),"")</f>
      </c>
      <c r="AD42" s="8">
        <f>IF((0=1),SUMIFS('Daily evaluations'!$E$2:$E$36,'Daily evaluations'!$B$2:$B$36,"=p01_attention",'Daily evaluations'!$C$2:$C$36,"=d20261029"),"")</f>
      </c>
      <c r="AE42" s="8">
        <f>IF((0=1),SUMIFS('Daily evaluations'!$E$2:$E$36,'Daily evaluations'!$B$2:$B$36,"=p01_attention",'Daily evaluations'!$C$2:$C$36,"=d20261030"),"")</f>
      </c>
      <c r="AF42" s="8">
        <f>IF((0=1),SUMIFS('Daily evaluations'!$E$2:$E$36,'Daily evaluations'!$B$2:$B$36,"=p01_attention",'Daily evaluations'!$C$2:$C$36,"=d20261102"),"")</f>
      </c>
      <c r="AG42" s="8">
        <f>IF((0=1),SUMIFS('Daily evaluations'!$E$2:$E$36,'Daily evaluations'!$B$2:$B$36,"=p01_attention",'Daily evaluations'!$C$2:$C$36,"=d20261103"),"")</f>
      </c>
      <c r="AH42" s="8">
        <f>IF((0=1),SUMIFS('Daily evaluations'!$E$2:$E$36,'Daily evaluations'!$B$2:$B$36,"=p01_attention",'Daily evaluations'!$C$2:$C$36,"=d20261104"),"")</f>
      </c>
      <c r="AI42" s="8">
        <f>IF((0=1),SUMIFS('Daily evaluations'!$E$2:$E$36,'Daily evaluations'!$B$2:$B$36,"=p01_attention",'Daily evaluations'!$C$2:$C$36,"=d20261105"),"")</f>
      </c>
      <c r="AJ42" s="8">
        <f>IF((0=1),SUMIFS('Daily evaluations'!$E$2:$E$36,'Daily evaluations'!$B$2:$B$36,"=p01_attention",'Daily evaluations'!$C$2:$C$36,"=d20261106"),"")</f>
      </c>
      <c r="AK42" s="8">
        <f>IF((0=1),SUMIFS('Daily evaluations'!$E$2:$E$36,'Daily evaluations'!$B$2:$B$36,"=p01_attention",'Daily evaluations'!$C$2:$C$36,"=d20261109"),"")</f>
      </c>
      <c r="AL42" s="8">
        <f>IF((0=1),SUMIFS('Daily evaluations'!$E$2:$E$36,'Daily evaluations'!$B$2:$B$36,"=p01_attention",'Daily evaluations'!$C$2:$C$36,"=d20261110"),"")</f>
      </c>
      <c r="AM42" s="8">
        <f>IF((0=1),SUMIFS('Daily evaluations'!$E$2:$E$36,'Daily evaluations'!$B$2:$B$36,"=p01_attention",'Daily evaluations'!$C$2:$C$36,"=d20261111"),"")</f>
      </c>
      <c r="AN42" s="8">
        <f>IF((0=1),SUMIFS('Daily evaluations'!$E$2:$E$36,'Daily evaluations'!$B$2:$B$36,"=p01_attention",'Daily evaluations'!$C$2:$C$36,"=d20261112"),"")</f>
      </c>
      <c r="AO42" s="8">
        <f>IF((0=1),SUMIFS('Daily evaluations'!$E$2:$E$36,'Daily evaluations'!$B$2:$B$36,"=p01_attention",'Daily evaluations'!$C$2:$C$36,"=d20261113"),"")</f>
      </c>
      <c r="AP42" s="8">
        <f>IF((0=1),SUMIFS('Daily evaluations'!$E$2:$E$36,'Daily evaluations'!$B$2:$B$36,"=p01_attention",'Daily evaluations'!$C$2:$C$36,"=d20261116"),"")</f>
      </c>
      <c r="AQ42" s="8">
        <f>IF((0=1),SUMIFS('Daily evaluations'!$E$2:$E$36,'Daily evaluations'!$B$2:$B$36,"=p01_attention",'Daily evaluations'!$C$2:$C$36,"=d20261117"),"")</f>
      </c>
      <c r="AR42" s="8">
        <f>IF((0=1),SUMIFS('Daily evaluations'!$E$2:$E$36,'Daily evaluations'!$B$2:$B$36,"=p01_attention",'Daily evaluations'!$C$2:$C$36,"=d20261118"),"")</f>
      </c>
      <c r="AS42" s="8">
        <f>IF((0=1),SUMIFS('Daily evaluations'!$E$2:$E$36,'Daily evaluations'!$B$2:$B$36,"=p01_attention",'Daily evaluations'!$C$2:$C$36,"=d20261119"),"")</f>
      </c>
      <c r="AT42" s="8">
        <f>IF((0=1),SUMIFS('Daily evaluations'!$E$2:$E$36,'Daily evaluations'!$B$2:$B$36,"=p01_attention",'Daily evaluations'!$C$2:$C$36,"=d20261120"),"")</f>
      </c>
      <c r="AU42" s="8">
        <f>IF((0=1),SUMIFS('Daily evaluations'!$E$2:$E$36,'Daily evaluations'!$B$2:$B$36,"=p01_attention",'Daily evaluations'!$C$2:$C$36,"=d20261123"),"")</f>
      </c>
      <c r="AV42" s="8">
        <f>IF((0=1),SUMIFS('Daily evaluations'!$E$2:$E$36,'Daily evaluations'!$B$2:$B$36,"=p01_attention",'Daily evaluations'!$C$2:$C$36,"=d20261124"),"")</f>
      </c>
      <c r="AW42" s="8">
        <f>IF((0=1),SUMIFS('Daily evaluations'!$E$2:$E$36,'Daily evaluations'!$B$2:$B$36,"=p01_attention",'Daily evaluations'!$C$2:$C$36,"=d20261125"),"")</f>
      </c>
      <c r="AX42" s="8">
        <f>IF((0=1),SUMIFS('Daily evaluations'!$E$2:$E$36,'Daily evaluations'!$B$2:$B$36,"=p01_attention",'Daily evaluations'!$C$2:$C$36,"=d20261127"),"")</f>
      </c>
      <c r="AY42" s="8">
        <f>IF((0=1),SUMIFS('Daily evaluations'!$E$2:$E$36,'Daily evaluations'!$B$2:$B$36,"=p01_attention",'Daily evaluations'!$C$2:$C$36,"=d20261130"),"")</f>
      </c>
      <c r="AZ42" s="8">
        <f>IF((0=1),SUMIFS('Daily evaluations'!$E$2:$E$36,'Daily evaluations'!$B$2:$B$36,"=p01_attention",'Daily evaluations'!$C$2:$C$36,"=d20261201"),"")</f>
      </c>
      <c r="BA42" s="8">
        <f>IF((0=1),SUMIFS('Daily evaluations'!$E$2:$E$36,'Daily evaluations'!$B$2:$B$36,"=p01_attention",'Daily evaluations'!$C$2:$C$36,"=d20261202"),"")</f>
      </c>
      <c r="BB42" s="8">
        <f>IF((0=1),SUMIFS('Daily evaluations'!$E$2:$E$36,'Daily evaluations'!$B$2:$B$36,"=p01_attention",'Daily evaluations'!$C$2:$C$36,"=d20261203"),"")</f>
      </c>
      <c r="BC42" s="8">
        <f>IF((0=1),SUMIFS('Daily evaluations'!$E$2:$E$36,'Daily evaluations'!$B$2:$B$36,"=p01_attention",'Daily evaluations'!$C$2:$C$36,"=d20261204"),"")</f>
      </c>
      <c r="BD42" s="8">
        <f>IF((0=1),SUMIFS('Daily evaluations'!$E$2:$E$36,'Daily evaluations'!$B$2:$B$36,"=p01_attention",'Daily evaluations'!$C$2:$C$36,"=d20261207"),"")</f>
      </c>
      <c r="BE42" s="8">
        <f>IF((0=1),SUMIFS('Daily evaluations'!$E$2:$E$36,'Daily evaluations'!$B$2:$B$36,"=p01_attention",'Daily evaluations'!$C$2:$C$36,"=d20261208"),"")</f>
      </c>
      <c r="BF42" s="8">
        <f>IF((0=1),SUMIFS('Daily evaluations'!$E$2:$E$36,'Daily evaluations'!$B$2:$B$36,"=p01_attention",'Daily evaluations'!$C$2:$C$36,"=d20261209"),"")</f>
      </c>
      <c r="BG42" s="8">
        <f>IF((0=1),SUMIFS('Daily evaluations'!$E$2:$E$36,'Daily evaluations'!$B$2:$B$36,"=p01_attention",'Daily evaluations'!$C$2:$C$36,"=d20261210"),"")</f>
      </c>
      <c r="BH42" s="8">
        <f>IF((0=1),SUMIFS('Daily evaluations'!$E$2:$E$36,'Daily evaluations'!$B$2:$B$36,"=p01_attention",'Daily evaluations'!$C$2:$C$36,"=d20261211"),"")</f>
      </c>
      <c r="BI42" s="8">
        <f>IF((0=1),SUMIFS('Daily evaluations'!$E$2:$E$36,'Daily evaluations'!$B$2:$B$36,"=p01_attention",'Daily evaluations'!$C$2:$C$36,"=d20261214"),"")</f>
      </c>
      <c r="BJ42" s="8">
        <f>IF((0=1),SUMIFS('Daily evaluations'!$E$2:$E$36,'Daily evaluations'!$B$2:$B$36,"=p01_attention",'Daily evaluations'!$C$2:$C$36,"=d20261215"),"")</f>
      </c>
      <c r="BK42" s="8">
        <f>IF((0=1),SUMIFS('Daily evaluations'!$E$2:$E$36,'Daily evaluations'!$B$2:$B$36,"=p01_attention",'Daily evaluations'!$C$2:$C$36,"=d20261216"),"")</f>
      </c>
      <c r="BL42" s="8">
        <f>IF((0=1),SUMIFS('Daily evaluations'!$E$2:$E$36,'Daily evaluations'!$B$2:$B$36,"=p01_attention",'Daily evaluations'!$C$2:$C$36,"=d20261217"),"")</f>
      </c>
      <c r="BM42" s="8">
        <f>IF((0=1),SUMIFS('Daily evaluations'!$E$2:$E$36,'Daily evaluations'!$B$2:$B$36,"=p01_attention",'Daily evaluations'!$C$2:$C$36,"=d20261218"),"")</f>
      </c>
      <c r="BN42" s="8">
        <f>IF((0=1),SUMIFS('Daily evaluations'!$E$2:$E$36,'Daily evaluations'!$B$2:$B$36,"=p01_attention",'Daily evaluations'!$C$2:$C$36,"=d20261221"),"")</f>
      </c>
      <c r="BO42" s="8">
        <f>IF((0=1),SUMIFS('Daily evaluations'!$E$2:$E$36,'Daily evaluations'!$B$2:$B$36,"=p01_attention",'Daily evaluations'!$C$2:$C$36,"=d20261222"),"")</f>
      </c>
      <c r="BP42" s="8">
        <f>IF((0=1),SUMIFS('Daily evaluations'!$E$2:$E$36,'Daily evaluations'!$B$2:$B$36,"=p01_attention",'Daily evaluations'!$C$2:$C$36,"=d20261223"),"")</f>
      </c>
      <c r="BQ42" s="8">
        <f>IF((0=1),SUMIFS('Daily evaluations'!$E$2:$E$36,'Daily evaluations'!$B$2:$B$36,"=p01_attention",'Daily evaluations'!$C$2:$C$36,"=d20261224"),"")</f>
      </c>
      <c r="BR42" s="8">
        <f>IF((0=1),SUMIFS('Daily evaluations'!$E$2:$E$36,'Daily evaluations'!$B$2:$B$36,"=p01_attention",'Daily evaluations'!$C$2:$C$36,"=d20261228"),"")</f>
      </c>
      <c r="BS42" s="8">
        <f>IF((0=1),SUMIFS('Daily evaluations'!$E$2:$E$36,'Daily evaluations'!$B$2:$B$36,"=p01_attention",'Daily evaluations'!$C$2:$C$36,"=d20261229"),"")</f>
      </c>
      <c r="BT42" s="8">
        <f>IF((0=1),SUMIFS('Daily evaluations'!$E$2:$E$36,'Daily evaluations'!$B$2:$B$36,"=p01_attention",'Daily evaluations'!$C$2:$C$36,"=d20261230"),"")</f>
      </c>
      <c r="BU42" s="8">
        <f>IF((0=1),SUMIFS('Daily evaluations'!$E$2:$E$36,'Daily evaluations'!$B$2:$B$36,"=p01_attention",'Daily evaluations'!$C$2:$C$36,"=d20261231"),"")</f>
      </c>
      <c r="BV42" s="8">
        <f>IF((0=1),SUMIFS('Daily evaluations'!$E$2:$E$36,'Daily evaluations'!$B$2:$B$36,"=p01_attention",'Daily evaluations'!$C$2:$C$36,"=d20270104"),"")</f>
      </c>
      <c r="BW42" s="8">
        <f>IF((0=1),SUMIFS('Daily evaluations'!$E$2:$E$36,'Daily evaluations'!$B$2:$B$36,"=p01_attention",'Daily evaluations'!$C$2:$C$36,"=d20270105"),"")</f>
      </c>
      <c r="BX42" s="8">
        <f>IF((0=1),SUMIFS('Daily evaluations'!$E$2:$E$36,'Daily evaluations'!$B$2:$B$36,"=p01_attention",'Daily evaluations'!$C$2:$C$36,"=d20270106"),"")</f>
      </c>
      <c r="BY42" s="8">
        <f>IF((0=1),SUMIFS('Daily evaluations'!$E$2:$E$36,'Daily evaluations'!$B$2:$B$36,"=p01_attention",'Daily evaluations'!$C$2:$C$36,"=d20270107"),"")</f>
      </c>
      <c r="BZ42" s="8">
        <f>IF((0=1),SUMIFS('Daily evaluations'!$E$2:$E$36,'Daily evaluations'!$B$2:$B$36,"=p01_attention",'Daily evaluations'!$C$2:$C$36,"=d20270108"),"")</f>
      </c>
      <c r="CA42" s="8">
        <f>IF((0=1),SUMIFS('Daily evaluations'!$E$2:$E$36,'Daily evaluations'!$B$2:$B$36,"=p01_attention",'Daily evaluations'!$C$2:$C$36,"=d20270111"),"")</f>
      </c>
      <c r="CB42" s="8">
        <f>IF((0=1),SUMIFS('Daily evaluations'!$E$2:$E$36,'Daily evaluations'!$B$2:$B$36,"=p01_attention",'Daily evaluations'!$C$2:$C$36,"=d20270112"),"")</f>
      </c>
      <c r="CC42" s="8">
        <f>IF((0=1),SUMIFS('Daily evaluations'!$E$2:$E$36,'Daily evaluations'!$B$2:$B$36,"=p01_attention",'Daily evaluations'!$C$2:$C$36,"=d20270113"),"")</f>
      </c>
      <c r="CD42" s="8">
        <f>IF((0=1),SUMIFS('Daily evaluations'!$E$2:$E$36,'Daily evaluations'!$B$2:$B$36,"=p01_attention",'Daily evaluations'!$C$2:$C$36,"=d20270114"),"")</f>
      </c>
      <c r="CE42" s="8">
        <f>IF((0=1),SUMIFS('Daily evaluations'!$E$2:$E$36,'Daily evaluations'!$B$2:$B$36,"=p01_attention",'Daily evaluations'!$C$2:$C$36,"=d20270115"),"")</f>
      </c>
      <c r="CF42" s="8">
        <f>IF((0=1),SUMIFS('Daily evaluations'!$E$2:$E$36,'Daily evaluations'!$B$2:$B$36,"=p01_attention",'Daily evaluations'!$C$2:$C$36,"=d20270119"),"")</f>
      </c>
      <c r="CG42" s="8">
        <f>IF((0=1),SUMIFS('Daily evaluations'!$E$2:$E$36,'Daily evaluations'!$B$2:$B$36,"=p01_attention",'Daily evaluations'!$C$2:$C$36,"=d20270120"),"")</f>
      </c>
      <c r="CH42" s="8">
        <f>IF((0=1),SUMIFS('Daily evaluations'!$E$2:$E$36,'Daily evaluations'!$B$2:$B$36,"=p01_attention",'Daily evaluations'!$C$2:$C$36,"=d20270121"),"")</f>
      </c>
      <c r="CI42" s="8">
        <f>IF((0=1),SUMIFS('Daily evaluations'!$E$2:$E$36,'Daily evaluations'!$B$2:$B$36,"=p01_attention",'Daily evaluations'!$C$2:$C$36,"=d20270122"),"")</f>
      </c>
      <c r="CJ42" s="8">
        <f>IF((0=1),SUMIFS('Daily evaluations'!$E$2:$E$36,'Daily evaluations'!$B$2:$B$36,"=p01_attention",'Daily evaluations'!$C$2:$C$36,"=d20270125"),"")</f>
      </c>
      <c r="CK42" s="8">
        <f>IF((0=1),SUMIFS('Daily evaluations'!$E$2:$E$36,'Daily evaluations'!$B$2:$B$36,"=p01_attention",'Daily evaluations'!$C$2:$C$36,"=d20270126"),"")</f>
      </c>
      <c r="CL42" s="8">
        <f>IF((0=1),SUMIFS('Daily evaluations'!$E$2:$E$36,'Daily evaluations'!$B$2:$B$36,"=p01_attention",'Daily evaluations'!$C$2:$C$36,"=d20270127"),"")</f>
      </c>
      <c r="CM42" s="8">
        <f>IF((0=1),SUMIFS('Daily evaluations'!$E$2:$E$36,'Daily evaluations'!$B$2:$B$36,"=p01_attention",'Daily evaluations'!$C$2:$C$36,"=d20270128"),"")</f>
      </c>
      <c r="CN42" s="8">
        <f>IF((0=1),SUMIFS('Daily evaluations'!$E$2:$E$36,'Daily evaluations'!$B$2:$B$36,"=p01_attention",'Daily evaluations'!$C$2:$C$36,"=d20270129"),"")</f>
      </c>
      <c r="CO42" s="8">
        <f>IF((0=1),SUMIFS('Daily evaluations'!$E$2:$E$36,'Daily evaluations'!$B$2:$B$36,"=p01_attention",'Daily evaluations'!$C$2:$C$36,"=d20270201"),"")</f>
      </c>
      <c r="CP42" s="8">
        <f>IF((0=1),SUMIFS('Daily evaluations'!$E$2:$E$36,'Daily evaluations'!$B$2:$B$36,"=p01_attention",'Daily evaluations'!$C$2:$C$36,"=d20270202"),"")</f>
      </c>
      <c r="CQ42" s="8">
        <f>IF((0=1),SUMIFS('Daily evaluations'!$E$2:$E$36,'Daily evaluations'!$B$2:$B$36,"=p01_attention",'Daily evaluations'!$C$2:$C$36,"=d20270203"),"")</f>
      </c>
      <c r="CR42" s="8">
        <f>IF((0=1),SUMIFS('Daily evaluations'!$E$2:$E$36,'Daily evaluations'!$B$2:$B$36,"=p01_attention",'Daily evaluations'!$C$2:$C$36,"=d20270204"),"")</f>
      </c>
      <c r="CS42" s="8">
        <f>IF((0=1),SUMIFS('Daily evaluations'!$E$2:$E$36,'Daily evaluations'!$B$2:$B$36,"=p01_attention",'Daily evaluations'!$C$2:$C$36,"=d20270205"),"")</f>
      </c>
      <c r="CT42" s="8">
        <f>IF((0=1),SUMIFS('Daily evaluations'!$E$2:$E$36,'Daily evaluations'!$B$2:$B$36,"=p01_attention",'Daily evaluations'!$C$2:$C$36,"=d20270208"),"")</f>
      </c>
      <c r="CU42" s="8">
        <f>IF((0=1),SUMIFS('Daily evaluations'!$E$2:$E$36,'Daily evaluations'!$B$2:$B$36,"=p01_attention",'Daily evaluations'!$C$2:$C$36,"=d20270209"),"")</f>
      </c>
      <c r="CV42" s="8">
        <f>IF((0=1),SUMIFS('Daily evaluations'!$E$2:$E$36,'Daily evaluations'!$B$2:$B$36,"=p01_attention",'Daily evaluations'!$C$2:$C$36,"=d20270210"),"")</f>
      </c>
      <c r="CW42" s="8">
        <f>IF((0=1),SUMIFS('Daily evaluations'!$E$2:$E$36,'Daily evaluations'!$B$2:$B$36,"=p01_attention",'Daily evaluations'!$C$2:$C$36,"=d20270211"),"")</f>
      </c>
      <c r="CX42" s="8">
        <f>IF((0=1),SUMIFS('Daily evaluations'!$E$2:$E$36,'Daily evaluations'!$B$2:$B$36,"=p01_attention",'Daily evaluations'!$C$2:$C$36,"=d20270212"),"")</f>
      </c>
    </row>
    <row r="43">
      <c r="A43" s="0" t="inlineStr">
        <is>
          <t xml:space="preserve">Overnight excess vs universe, bps</t>
        </is>
      </c>
      <c r="B43" s="0" t="inlineStr">
        <is>
          <t xml:space="preserve">Post-Earnings Drift, Overnight Leg</t>
        </is>
      </c>
      <c r="C43" s="8">
        <f>IF((1=1),SUMIFS('Daily evaluations'!$E$2:$E$36,'Daily evaluations'!$B$2:$B$36,"=p02_earnings_drift",'Daily evaluations'!$C$2:$C$36,"=d20260922"),"")</f>
        <v>15.229</v>
      </c>
      <c r="D43" s="8">
        <f>IF((0=1),SUMIFS('Daily evaluations'!$E$2:$E$36,'Daily evaluations'!$B$2:$B$36,"=p02_earnings_drift",'Daily evaluations'!$C$2:$C$36,"=d20260923"),"")</f>
      </c>
      <c r="E43" s="8">
        <f>IF((0=1),SUMIFS('Daily evaluations'!$E$2:$E$36,'Daily evaluations'!$B$2:$B$36,"=p02_earnings_drift",'Daily evaluations'!$C$2:$C$36,"=d20260924"),"")</f>
      </c>
      <c r="F43" s="8">
        <f>IF((0=1),SUMIFS('Daily evaluations'!$E$2:$E$36,'Daily evaluations'!$B$2:$B$36,"=p02_earnings_drift",'Daily evaluations'!$C$2:$C$36,"=d20260925"),"")</f>
      </c>
      <c r="G43" s="8">
        <f>IF((0=1),SUMIFS('Daily evaluations'!$E$2:$E$36,'Daily evaluations'!$B$2:$B$36,"=p02_earnings_drift",'Daily evaluations'!$C$2:$C$36,"=d20260928"),"")</f>
      </c>
      <c r="H43" s="8">
        <f>IF((0=1),SUMIFS('Daily evaluations'!$E$2:$E$36,'Daily evaluations'!$B$2:$B$36,"=p02_earnings_drift",'Daily evaluations'!$C$2:$C$36,"=d20260929"),"")</f>
      </c>
      <c r="I43" s="8">
        <f>IF((0=1),SUMIFS('Daily evaluations'!$E$2:$E$36,'Daily evaluations'!$B$2:$B$36,"=p02_earnings_drift",'Daily evaluations'!$C$2:$C$36,"=d20260930"),"")</f>
      </c>
      <c r="J43" s="8">
        <f>IF((0=1),SUMIFS('Daily evaluations'!$E$2:$E$36,'Daily evaluations'!$B$2:$B$36,"=p02_earnings_drift",'Daily evaluations'!$C$2:$C$36,"=d20261001"),"")</f>
      </c>
      <c r="K43" s="8">
        <f>IF((0=1),SUMIFS('Daily evaluations'!$E$2:$E$36,'Daily evaluations'!$B$2:$B$36,"=p02_earnings_drift",'Daily evaluations'!$C$2:$C$36,"=d20261002"),"")</f>
      </c>
      <c r="L43" s="8">
        <f>IF((0=1),SUMIFS('Daily evaluations'!$E$2:$E$36,'Daily evaluations'!$B$2:$B$36,"=p02_earnings_drift",'Daily evaluations'!$C$2:$C$36,"=d20261005"),"")</f>
      </c>
      <c r="M43" s="8">
        <f>IF((0=1),SUMIFS('Daily evaluations'!$E$2:$E$36,'Daily evaluations'!$B$2:$B$36,"=p02_earnings_drift",'Daily evaluations'!$C$2:$C$36,"=d20261006"),"")</f>
      </c>
      <c r="N43" s="8">
        <f>IF((0=1),SUMIFS('Daily evaluations'!$E$2:$E$36,'Daily evaluations'!$B$2:$B$36,"=p02_earnings_drift",'Daily evaluations'!$C$2:$C$36,"=d20261007"),"")</f>
      </c>
      <c r="O43" s="8">
        <f>IF((0=1),SUMIFS('Daily evaluations'!$E$2:$E$36,'Daily evaluations'!$B$2:$B$36,"=p02_earnings_drift",'Daily evaluations'!$C$2:$C$36,"=d20261008"),"")</f>
      </c>
      <c r="P43" s="8">
        <f>IF((0=1),SUMIFS('Daily evaluations'!$E$2:$E$36,'Daily evaluations'!$B$2:$B$36,"=p02_earnings_drift",'Daily evaluations'!$C$2:$C$36,"=d20261009"),"")</f>
      </c>
      <c r="Q43" s="8">
        <f>IF((0=1),SUMIFS('Daily evaluations'!$E$2:$E$36,'Daily evaluations'!$B$2:$B$36,"=p02_earnings_drift",'Daily evaluations'!$C$2:$C$36,"=d20261012"),"")</f>
      </c>
      <c r="R43" s="8">
        <f>IF((0=1),SUMIFS('Daily evaluations'!$E$2:$E$36,'Daily evaluations'!$B$2:$B$36,"=p02_earnings_drift",'Daily evaluations'!$C$2:$C$36,"=d20261013"),"")</f>
      </c>
      <c r="S43" s="8">
        <f>IF((0=1),SUMIFS('Daily evaluations'!$E$2:$E$36,'Daily evaluations'!$B$2:$B$36,"=p02_earnings_drift",'Daily evaluations'!$C$2:$C$36,"=d20261014"),"")</f>
      </c>
      <c r="T43" s="8">
        <f>IF((0=1),SUMIFS('Daily evaluations'!$E$2:$E$36,'Daily evaluations'!$B$2:$B$36,"=p02_earnings_drift",'Daily evaluations'!$C$2:$C$36,"=d20261015"),"")</f>
      </c>
      <c r="U43" s="8">
        <f>IF((0=1),SUMIFS('Daily evaluations'!$E$2:$E$36,'Daily evaluations'!$B$2:$B$36,"=p02_earnings_drift",'Daily evaluations'!$C$2:$C$36,"=d20261016"),"")</f>
      </c>
      <c r="V43" s="8">
        <f>IF((0=1),SUMIFS('Daily evaluations'!$E$2:$E$36,'Daily evaluations'!$B$2:$B$36,"=p02_earnings_drift",'Daily evaluations'!$C$2:$C$36,"=d20261019"),"")</f>
      </c>
      <c r="W43" s="8">
        <f>IF((0=1),SUMIFS('Daily evaluations'!$E$2:$E$36,'Daily evaluations'!$B$2:$B$36,"=p02_earnings_drift",'Daily evaluations'!$C$2:$C$36,"=d20261020"),"")</f>
      </c>
      <c r="X43" s="8">
        <f>IF((0=1),SUMIFS('Daily evaluations'!$E$2:$E$36,'Daily evaluations'!$B$2:$B$36,"=p02_earnings_drift",'Daily evaluations'!$C$2:$C$36,"=d20261021"),"")</f>
      </c>
      <c r="Y43" s="8">
        <f>IF((0=1),SUMIFS('Daily evaluations'!$E$2:$E$36,'Daily evaluations'!$B$2:$B$36,"=p02_earnings_drift",'Daily evaluations'!$C$2:$C$36,"=d20261022"),"")</f>
      </c>
      <c r="Z43" s="8">
        <f>IF((0=1),SUMIFS('Daily evaluations'!$E$2:$E$36,'Daily evaluations'!$B$2:$B$36,"=p02_earnings_drift",'Daily evaluations'!$C$2:$C$36,"=d20261023"),"")</f>
      </c>
      <c r="AA43" s="8">
        <f>IF((0=1),SUMIFS('Daily evaluations'!$E$2:$E$36,'Daily evaluations'!$B$2:$B$36,"=p02_earnings_drift",'Daily evaluations'!$C$2:$C$36,"=d20261026"),"")</f>
      </c>
      <c r="AB43" s="8">
        <f>IF((0=1),SUMIFS('Daily evaluations'!$E$2:$E$36,'Daily evaluations'!$B$2:$B$36,"=p02_earnings_drift",'Daily evaluations'!$C$2:$C$36,"=d20261027"),"")</f>
      </c>
      <c r="AC43" s="8">
        <f>IF((0=1),SUMIFS('Daily evaluations'!$E$2:$E$36,'Daily evaluations'!$B$2:$B$36,"=p02_earnings_drift",'Daily evaluations'!$C$2:$C$36,"=d20261028"),"")</f>
      </c>
      <c r="AD43" s="8">
        <f>IF((0=1),SUMIFS('Daily evaluations'!$E$2:$E$36,'Daily evaluations'!$B$2:$B$36,"=p02_earnings_drift",'Daily evaluations'!$C$2:$C$36,"=d20261029"),"")</f>
      </c>
      <c r="AE43" s="8">
        <f>IF((0=1),SUMIFS('Daily evaluations'!$E$2:$E$36,'Daily evaluations'!$B$2:$B$36,"=p02_earnings_drift",'Daily evaluations'!$C$2:$C$36,"=d20261030"),"")</f>
      </c>
      <c r="AF43" s="8">
        <f>IF((0=1),SUMIFS('Daily evaluations'!$E$2:$E$36,'Daily evaluations'!$B$2:$B$36,"=p02_earnings_drift",'Daily evaluations'!$C$2:$C$36,"=d20261102"),"")</f>
      </c>
      <c r="AG43" s="8">
        <f>IF((0=1),SUMIFS('Daily evaluations'!$E$2:$E$36,'Daily evaluations'!$B$2:$B$36,"=p02_earnings_drift",'Daily evaluations'!$C$2:$C$36,"=d20261103"),"")</f>
      </c>
      <c r="AH43" s="8">
        <f>IF((0=1),SUMIFS('Daily evaluations'!$E$2:$E$36,'Daily evaluations'!$B$2:$B$36,"=p02_earnings_drift",'Daily evaluations'!$C$2:$C$36,"=d20261104"),"")</f>
      </c>
      <c r="AI43" s="8">
        <f>IF((0=1),SUMIFS('Daily evaluations'!$E$2:$E$36,'Daily evaluations'!$B$2:$B$36,"=p02_earnings_drift",'Daily evaluations'!$C$2:$C$36,"=d20261105"),"")</f>
      </c>
      <c r="AJ43" s="8">
        <f>IF((0=1),SUMIFS('Daily evaluations'!$E$2:$E$36,'Daily evaluations'!$B$2:$B$36,"=p02_earnings_drift",'Daily evaluations'!$C$2:$C$36,"=d20261106"),"")</f>
      </c>
      <c r="AK43" s="8">
        <f>IF((0=1),SUMIFS('Daily evaluations'!$E$2:$E$36,'Daily evaluations'!$B$2:$B$36,"=p02_earnings_drift",'Daily evaluations'!$C$2:$C$36,"=d20261109"),"")</f>
      </c>
      <c r="AL43" s="8">
        <f>IF((0=1),SUMIFS('Daily evaluations'!$E$2:$E$36,'Daily evaluations'!$B$2:$B$36,"=p02_earnings_drift",'Daily evaluations'!$C$2:$C$36,"=d20261110"),"")</f>
      </c>
      <c r="AM43" s="8">
        <f>IF((0=1),SUMIFS('Daily evaluations'!$E$2:$E$36,'Daily evaluations'!$B$2:$B$36,"=p02_earnings_drift",'Daily evaluations'!$C$2:$C$36,"=d20261111"),"")</f>
      </c>
      <c r="AN43" s="8">
        <f>IF((0=1),SUMIFS('Daily evaluations'!$E$2:$E$36,'Daily evaluations'!$B$2:$B$36,"=p02_earnings_drift",'Daily evaluations'!$C$2:$C$36,"=d20261112"),"")</f>
      </c>
      <c r="AO43" s="8">
        <f>IF((0=1),SUMIFS('Daily evaluations'!$E$2:$E$36,'Daily evaluations'!$B$2:$B$36,"=p02_earnings_drift",'Daily evaluations'!$C$2:$C$36,"=d20261113"),"")</f>
      </c>
      <c r="AP43" s="8">
        <f>IF((0=1),SUMIFS('Daily evaluations'!$E$2:$E$36,'Daily evaluations'!$B$2:$B$36,"=p02_earnings_drift",'Daily evaluations'!$C$2:$C$36,"=d20261116"),"")</f>
      </c>
      <c r="AQ43" s="8">
        <f>IF((0=1),SUMIFS('Daily evaluations'!$E$2:$E$36,'Daily evaluations'!$B$2:$B$36,"=p02_earnings_drift",'Daily evaluations'!$C$2:$C$36,"=d20261117"),"")</f>
      </c>
      <c r="AR43" s="8">
        <f>IF((0=1),SUMIFS('Daily evaluations'!$E$2:$E$36,'Daily evaluations'!$B$2:$B$36,"=p02_earnings_drift",'Daily evaluations'!$C$2:$C$36,"=d20261118"),"")</f>
      </c>
      <c r="AS43" s="8">
        <f>IF((0=1),SUMIFS('Daily evaluations'!$E$2:$E$36,'Daily evaluations'!$B$2:$B$36,"=p02_earnings_drift",'Daily evaluations'!$C$2:$C$36,"=d20261119"),"")</f>
      </c>
      <c r="AT43" s="8">
        <f>IF((0=1),SUMIFS('Daily evaluations'!$E$2:$E$36,'Daily evaluations'!$B$2:$B$36,"=p02_earnings_drift",'Daily evaluations'!$C$2:$C$36,"=d20261120"),"")</f>
      </c>
      <c r="AU43" s="8">
        <f>IF((0=1),SUMIFS('Daily evaluations'!$E$2:$E$36,'Daily evaluations'!$B$2:$B$36,"=p02_earnings_drift",'Daily evaluations'!$C$2:$C$36,"=d20261123"),"")</f>
      </c>
      <c r="AV43" s="8">
        <f>IF((0=1),SUMIFS('Daily evaluations'!$E$2:$E$36,'Daily evaluations'!$B$2:$B$36,"=p02_earnings_drift",'Daily evaluations'!$C$2:$C$36,"=d20261124"),"")</f>
      </c>
      <c r="AW43" s="8">
        <f>IF((0=1),SUMIFS('Daily evaluations'!$E$2:$E$36,'Daily evaluations'!$B$2:$B$36,"=p02_earnings_drift",'Daily evaluations'!$C$2:$C$36,"=d20261125"),"")</f>
      </c>
      <c r="AX43" s="8">
        <f>IF((0=1),SUMIFS('Daily evaluations'!$E$2:$E$36,'Daily evaluations'!$B$2:$B$36,"=p02_earnings_drift",'Daily evaluations'!$C$2:$C$36,"=d20261127"),"")</f>
      </c>
      <c r="AY43" s="8">
        <f>IF((0=1),SUMIFS('Daily evaluations'!$E$2:$E$36,'Daily evaluations'!$B$2:$B$36,"=p02_earnings_drift",'Daily evaluations'!$C$2:$C$36,"=d20261130"),"")</f>
      </c>
      <c r="AZ43" s="8">
        <f>IF((0=1),SUMIFS('Daily evaluations'!$E$2:$E$36,'Daily evaluations'!$B$2:$B$36,"=p02_earnings_drift",'Daily evaluations'!$C$2:$C$36,"=d20261201"),"")</f>
      </c>
      <c r="BA43" s="8">
        <f>IF((0=1),SUMIFS('Daily evaluations'!$E$2:$E$36,'Daily evaluations'!$B$2:$B$36,"=p02_earnings_drift",'Daily evaluations'!$C$2:$C$36,"=d20261202"),"")</f>
      </c>
      <c r="BB43" s="8">
        <f>IF((0=1),SUMIFS('Daily evaluations'!$E$2:$E$36,'Daily evaluations'!$B$2:$B$36,"=p02_earnings_drift",'Daily evaluations'!$C$2:$C$36,"=d20261203"),"")</f>
      </c>
      <c r="BC43" s="8">
        <f>IF((0=1),SUMIFS('Daily evaluations'!$E$2:$E$36,'Daily evaluations'!$B$2:$B$36,"=p02_earnings_drift",'Daily evaluations'!$C$2:$C$36,"=d20261204"),"")</f>
      </c>
      <c r="BD43" s="8">
        <f>IF((0=1),SUMIFS('Daily evaluations'!$E$2:$E$36,'Daily evaluations'!$B$2:$B$36,"=p02_earnings_drift",'Daily evaluations'!$C$2:$C$36,"=d20261207"),"")</f>
      </c>
      <c r="BE43" s="8">
        <f>IF((0=1),SUMIFS('Daily evaluations'!$E$2:$E$36,'Daily evaluations'!$B$2:$B$36,"=p02_earnings_drift",'Daily evaluations'!$C$2:$C$36,"=d20261208"),"")</f>
      </c>
      <c r="BF43" s="8">
        <f>IF((0=1),SUMIFS('Daily evaluations'!$E$2:$E$36,'Daily evaluations'!$B$2:$B$36,"=p02_earnings_drift",'Daily evaluations'!$C$2:$C$36,"=d20261209"),"")</f>
      </c>
      <c r="BG43" s="8">
        <f>IF((0=1),SUMIFS('Daily evaluations'!$E$2:$E$36,'Daily evaluations'!$B$2:$B$36,"=p02_earnings_drift",'Daily evaluations'!$C$2:$C$36,"=d20261210"),"")</f>
      </c>
      <c r="BH43" s="8">
        <f>IF((0=1),SUMIFS('Daily evaluations'!$E$2:$E$36,'Daily evaluations'!$B$2:$B$36,"=p02_earnings_drift",'Daily evaluations'!$C$2:$C$36,"=d20261211"),"")</f>
      </c>
      <c r="BI43" s="8">
        <f>IF((0=1),SUMIFS('Daily evaluations'!$E$2:$E$36,'Daily evaluations'!$B$2:$B$36,"=p02_earnings_drift",'Daily evaluations'!$C$2:$C$36,"=d20261214"),"")</f>
      </c>
      <c r="BJ43" s="8">
        <f>IF((0=1),SUMIFS('Daily evaluations'!$E$2:$E$36,'Daily evaluations'!$B$2:$B$36,"=p02_earnings_drift",'Daily evaluations'!$C$2:$C$36,"=d20261215"),"")</f>
      </c>
      <c r="BK43" s="8">
        <f>IF((0=1),SUMIFS('Daily evaluations'!$E$2:$E$36,'Daily evaluations'!$B$2:$B$36,"=p02_earnings_drift",'Daily evaluations'!$C$2:$C$36,"=d20261216"),"")</f>
      </c>
      <c r="BL43" s="8">
        <f>IF((0=1),SUMIFS('Daily evaluations'!$E$2:$E$36,'Daily evaluations'!$B$2:$B$36,"=p02_earnings_drift",'Daily evaluations'!$C$2:$C$36,"=d20261217"),"")</f>
      </c>
      <c r="BM43" s="8">
        <f>IF((0=1),SUMIFS('Daily evaluations'!$E$2:$E$36,'Daily evaluations'!$B$2:$B$36,"=p02_earnings_drift",'Daily evaluations'!$C$2:$C$36,"=d20261218"),"")</f>
      </c>
      <c r="BN43" s="8">
        <f>IF((0=1),SUMIFS('Daily evaluations'!$E$2:$E$36,'Daily evaluations'!$B$2:$B$36,"=p02_earnings_drift",'Daily evaluations'!$C$2:$C$36,"=d20261221"),"")</f>
      </c>
      <c r="BO43" s="8">
        <f>IF((0=1),SUMIFS('Daily evaluations'!$E$2:$E$36,'Daily evaluations'!$B$2:$B$36,"=p02_earnings_drift",'Daily evaluations'!$C$2:$C$36,"=d20261222"),"")</f>
      </c>
      <c r="BP43" s="8">
        <f>IF((0=1),SUMIFS('Daily evaluations'!$E$2:$E$36,'Daily evaluations'!$B$2:$B$36,"=p02_earnings_drift",'Daily evaluations'!$C$2:$C$36,"=d20261223"),"")</f>
      </c>
      <c r="BQ43" s="8">
        <f>IF((0=1),SUMIFS('Daily evaluations'!$E$2:$E$36,'Daily evaluations'!$B$2:$B$36,"=p02_earnings_drift",'Daily evaluations'!$C$2:$C$36,"=d20261224"),"")</f>
      </c>
      <c r="BR43" s="8">
        <f>IF((0=1),SUMIFS('Daily evaluations'!$E$2:$E$36,'Daily evaluations'!$B$2:$B$36,"=p02_earnings_drift",'Daily evaluations'!$C$2:$C$36,"=d20261228"),"")</f>
      </c>
      <c r="BS43" s="8">
        <f>IF((0=1),SUMIFS('Daily evaluations'!$E$2:$E$36,'Daily evaluations'!$B$2:$B$36,"=p02_earnings_drift",'Daily evaluations'!$C$2:$C$36,"=d20261229"),"")</f>
      </c>
      <c r="BT43" s="8">
        <f>IF((0=1),SUMIFS('Daily evaluations'!$E$2:$E$36,'Daily evaluations'!$B$2:$B$36,"=p02_earnings_drift",'Daily evaluations'!$C$2:$C$36,"=d20261230"),"")</f>
      </c>
      <c r="BU43" s="8">
        <f>IF((0=1),SUMIFS('Daily evaluations'!$E$2:$E$36,'Daily evaluations'!$B$2:$B$36,"=p02_earnings_drift",'Daily evaluations'!$C$2:$C$36,"=d20261231"),"")</f>
      </c>
      <c r="BV43" s="8">
        <f>IF((0=1),SUMIFS('Daily evaluations'!$E$2:$E$36,'Daily evaluations'!$B$2:$B$36,"=p02_earnings_drift",'Daily evaluations'!$C$2:$C$36,"=d20270104"),"")</f>
      </c>
      <c r="BW43" s="8">
        <f>IF((0=1),SUMIFS('Daily evaluations'!$E$2:$E$36,'Daily evaluations'!$B$2:$B$36,"=p02_earnings_drift",'Daily evaluations'!$C$2:$C$36,"=d20270105"),"")</f>
      </c>
      <c r="BX43" s="8">
        <f>IF((0=1),SUMIFS('Daily evaluations'!$E$2:$E$36,'Daily evaluations'!$B$2:$B$36,"=p02_earnings_drift",'Daily evaluations'!$C$2:$C$36,"=d20270106"),"")</f>
      </c>
      <c r="BY43" s="8">
        <f>IF((0=1),SUMIFS('Daily evaluations'!$E$2:$E$36,'Daily evaluations'!$B$2:$B$36,"=p02_earnings_drift",'Daily evaluations'!$C$2:$C$36,"=d20270107"),"")</f>
      </c>
      <c r="BZ43" s="8">
        <f>IF((0=1),SUMIFS('Daily evaluations'!$E$2:$E$36,'Daily evaluations'!$B$2:$B$36,"=p02_earnings_drift",'Daily evaluations'!$C$2:$C$36,"=d20270108"),"")</f>
      </c>
      <c r="CA43" s="8">
        <f>IF((0=1),SUMIFS('Daily evaluations'!$E$2:$E$36,'Daily evaluations'!$B$2:$B$36,"=p02_earnings_drift",'Daily evaluations'!$C$2:$C$36,"=d20270111"),"")</f>
      </c>
      <c r="CB43" s="8">
        <f>IF((0=1),SUMIFS('Daily evaluations'!$E$2:$E$36,'Daily evaluations'!$B$2:$B$36,"=p02_earnings_drift",'Daily evaluations'!$C$2:$C$36,"=d20270112"),"")</f>
      </c>
      <c r="CC43" s="8">
        <f>IF((0=1),SUMIFS('Daily evaluations'!$E$2:$E$36,'Daily evaluations'!$B$2:$B$36,"=p02_earnings_drift",'Daily evaluations'!$C$2:$C$36,"=d20270113"),"")</f>
      </c>
      <c r="CD43" s="8">
        <f>IF((0=1),SUMIFS('Daily evaluations'!$E$2:$E$36,'Daily evaluations'!$B$2:$B$36,"=p02_earnings_drift",'Daily evaluations'!$C$2:$C$36,"=d20270114"),"")</f>
      </c>
      <c r="CE43" s="8">
        <f>IF((0=1),SUMIFS('Daily evaluations'!$E$2:$E$36,'Daily evaluations'!$B$2:$B$36,"=p02_earnings_drift",'Daily evaluations'!$C$2:$C$36,"=d20270115"),"")</f>
      </c>
      <c r="CF43" s="8">
        <f>IF((0=1),SUMIFS('Daily evaluations'!$E$2:$E$36,'Daily evaluations'!$B$2:$B$36,"=p02_earnings_drift",'Daily evaluations'!$C$2:$C$36,"=d20270119"),"")</f>
      </c>
      <c r="CG43" s="8">
        <f>IF((0=1),SUMIFS('Daily evaluations'!$E$2:$E$36,'Daily evaluations'!$B$2:$B$36,"=p02_earnings_drift",'Daily evaluations'!$C$2:$C$36,"=d20270120"),"")</f>
      </c>
      <c r="CH43" s="8">
        <f>IF((0=1),SUMIFS('Daily evaluations'!$E$2:$E$36,'Daily evaluations'!$B$2:$B$36,"=p02_earnings_drift",'Daily evaluations'!$C$2:$C$36,"=d20270121"),"")</f>
      </c>
      <c r="CI43" s="8">
        <f>IF((0=1),SUMIFS('Daily evaluations'!$E$2:$E$36,'Daily evaluations'!$B$2:$B$36,"=p02_earnings_drift",'Daily evaluations'!$C$2:$C$36,"=d20270122"),"")</f>
      </c>
      <c r="CJ43" s="8">
        <f>IF((0=1),SUMIFS('Daily evaluations'!$E$2:$E$36,'Daily evaluations'!$B$2:$B$36,"=p02_earnings_drift",'Daily evaluations'!$C$2:$C$36,"=d20270125"),"")</f>
      </c>
      <c r="CK43" s="8">
        <f>IF((0=1),SUMIFS('Daily evaluations'!$E$2:$E$36,'Daily evaluations'!$B$2:$B$36,"=p02_earnings_drift",'Daily evaluations'!$C$2:$C$36,"=d20270126"),"")</f>
      </c>
      <c r="CL43" s="8">
        <f>IF((0=1),SUMIFS('Daily evaluations'!$E$2:$E$36,'Daily evaluations'!$B$2:$B$36,"=p02_earnings_drift",'Daily evaluations'!$C$2:$C$36,"=d20270127"),"")</f>
      </c>
      <c r="CM43" s="8">
        <f>IF((0=1),SUMIFS('Daily evaluations'!$E$2:$E$36,'Daily evaluations'!$B$2:$B$36,"=p02_earnings_drift",'Daily evaluations'!$C$2:$C$36,"=d20270128"),"")</f>
      </c>
      <c r="CN43" s="8">
        <f>IF((0=1),SUMIFS('Daily evaluations'!$E$2:$E$36,'Daily evaluations'!$B$2:$B$36,"=p02_earnings_drift",'Daily evaluations'!$C$2:$C$36,"=d20270129"),"")</f>
      </c>
      <c r="CO43" s="8">
        <f>IF((0=1),SUMIFS('Daily evaluations'!$E$2:$E$36,'Daily evaluations'!$B$2:$B$36,"=p02_earnings_drift",'Daily evaluations'!$C$2:$C$36,"=d20270201"),"")</f>
      </c>
      <c r="CP43" s="8">
        <f>IF((0=1),SUMIFS('Daily evaluations'!$E$2:$E$36,'Daily evaluations'!$B$2:$B$36,"=p02_earnings_drift",'Daily evaluations'!$C$2:$C$36,"=d20270202"),"")</f>
      </c>
      <c r="CQ43" s="8">
        <f>IF((0=1),SUMIFS('Daily evaluations'!$E$2:$E$36,'Daily evaluations'!$B$2:$B$36,"=p02_earnings_drift",'Daily evaluations'!$C$2:$C$36,"=d20270203"),"")</f>
      </c>
      <c r="CR43" s="8">
        <f>IF((0=1),SUMIFS('Daily evaluations'!$E$2:$E$36,'Daily evaluations'!$B$2:$B$36,"=p02_earnings_drift",'Daily evaluations'!$C$2:$C$36,"=d20270204"),"")</f>
      </c>
      <c r="CS43" s="8">
        <f>IF((0=1),SUMIFS('Daily evaluations'!$E$2:$E$36,'Daily evaluations'!$B$2:$B$36,"=p02_earnings_drift",'Daily evaluations'!$C$2:$C$36,"=d20270205"),"")</f>
      </c>
      <c r="CT43" s="8">
        <f>IF((0=1),SUMIFS('Daily evaluations'!$E$2:$E$36,'Daily evaluations'!$B$2:$B$36,"=p02_earnings_drift",'Daily evaluations'!$C$2:$C$36,"=d20270208"),"")</f>
      </c>
      <c r="CU43" s="8">
        <f>IF((0=1),SUMIFS('Daily evaluations'!$E$2:$E$36,'Daily evaluations'!$B$2:$B$36,"=p02_earnings_drift",'Daily evaluations'!$C$2:$C$36,"=d20270209"),"")</f>
      </c>
      <c r="CV43" s="8">
        <f>IF((0=1),SUMIFS('Daily evaluations'!$E$2:$E$36,'Daily evaluations'!$B$2:$B$36,"=p02_earnings_drift",'Daily evaluations'!$C$2:$C$36,"=d20270210"),"")</f>
      </c>
      <c r="CW43" s="8">
        <f>IF((0=1),SUMIFS('Daily evaluations'!$E$2:$E$36,'Daily evaluations'!$B$2:$B$36,"=p02_earnings_drift",'Daily evaluations'!$C$2:$C$36,"=d20270211"),"")</f>
      </c>
      <c r="CX43" s="8">
        <f>IF((0=1),SUMIFS('Daily evaluations'!$E$2:$E$36,'Daily evaluations'!$B$2:$B$36,"=p02_earnings_drift",'Daily evaluations'!$C$2:$C$36,"=d20270212"),"")</f>
      </c>
    </row>
    <row r="44">
      <c r="A44" s="0" t="inlineStr">
        <is>
          <t xml:space="preserve">Overnight excess vs universe, bps</t>
        </is>
      </c>
      <c r="B44" s="0" t="inlineStr">
        <is>
          <t xml:space="preserve">Intraday-to-Overnight Reversal</t>
        </is>
      </c>
      <c r="C44" s="8">
        <f>IF((1=1),SUMIFS('Daily evaluations'!$E$2:$E$36,'Daily evaluations'!$B$2:$B$36,"=p03_intraday_reversal",'Daily evaluations'!$C$2:$C$36,"=d20260922"),"")</f>
        <v>2.547</v>
      </c>
      <c r="D44" s="8">
        <f>IF((0=1),SUMIFS('Daily evaluations'!$E$2:$E$36,'Daily evaluations'!$B$2:$B$36,"=p03_intraday_reversal",'Daily evaluations'!$C$2:$C$36,"=d20260923"),"")</f>
      </c>
      <c r="E44" s="8">
        <f>IF((0=1),SUMIFS('Daily evaluations'!$E$2:$E$36,'Daily evaluations'!$B$2:$B$36,"=p03_intraday_reversal",'Daily evaluations'!$C$2:$C$36,"=d20260924"),"")</f>
      </c>
      <c r="F44" s="8">
        <f>IF((0=1),SUMIFS('Daily evaluations'!$E$2:$E$36,'Daily evaluations'!$B$2:$B$36,"=p03_intraday_reversal",'Daily evaluations'!$C$2:$C$36,"=d20260925"),"")</f>
      </c>
      <c r="G44" s="8">
        <f>IF((0=1),SUMIFS('Daily evaluations'!$E$2:$E$36,'Daily evaluations'!$B$2:$B$36,"=p03_intraday_reversal",'Daily evaluations'!$C$2:$C$36,"=d20260928"),"")</f>
      </c>
      <c r="H44" s="8">
        <f>IF((0=1),SUMIFS('Daily evaluations'!$E$2:$E$36,'Daily evaluations'!$B$2:$B$36,"=p03_intraday_reversal",'Daily evaluations'!$C$2:$C$36,"=d20260929"),"")</f>
      </c>
      <c r="I44" s="8">
        <f>IF((0=1),SUMIFS('Daily evaluations'!$E$2:$E$36,'Daily evaluations'!$B$2:$B$36,"=p03_intraday_reversal",'Daily evaluations'!$C$2:$C$36,"=d20260930"),"")</f>
      </c>
      <c r="J44" s="8">
        <f>IF((0=1),SUMIFS('Daily evaluations'!$E$2:$E$36,'Daily evaluations'!$B$2:$B$36,"=p03_intraday_reversal",'Daily evaluations'!$C$2:$C$36,"=d20261001"),"")</f>
      </c>
      <c r="K44" s="8">
        <f>IF((0=1),SUMIFS('Daily evaluations'!$E$2:$E$36,'Daily evaluations'!$B$2:$B$36,"=p03_intraday_reversal",'Daily evaluations'!$C$2:$C$36,"=d20261002"),"")</f>
      </c>
      <c r="L44" s="8">
        <f>IF((0=1),SUMIFS('Daily evaluations'!$E$2:$E$36,'Daily evaluations'!$B$2:$B$36,"=p03_intraday_reversal",'Daily evaluations'!$C$2:$C$36,"=d20261005"),"")</f>
      </c>
      <c r="M44" s="8">
        <f>IF((0=1),SUMIFS('Daily evaluations'!$E$2:$E$36,'Daily evaluations'!$B$2:$B$36,"=p03_intraday_reversal",'Daily evaluations'!$C$2:$C$36,"=d20261006"),"")</f>
      </c>
      <c r="N44" s="8">
        <f>IF((0=1),SUMIFS('Daily evaluations'!$E$2:$E$36,'Daily evaluations'!$B$2:$B$36,"=p03_intraday_reversal",'Daily evaluations'!$C$2:$C$36,"=d20261007"),"")</f>
      </c>
      <c r="O44" s="8">
        <f>IF((0=1),SUMIFS('Daily evaluations'!$E$2:$E$36,'Daily evaluations'!$B$2:$B$36,"=p03_intraday_reversal",'Daily evaluations'!$C$2:$C$36,"=d20261008"),"")</f>
      </c>
      <c r="P44" s="8">
        <f>IF((0=1),SUMIFS('Daily evaluations'!$E$2:$E$36,'Daily evaluations'!$B$2:$B$36,"=p03_intraday_reversal",'Daily evaluations'!$C$2:$C$36,"=d20261009"),"")</f>
      </c>
      <c r="Q44" s="8">
        <f>IF((0=1),SUMIFS('Daily evaluations'!$E$2:$E$36,'Daily evaluations'!$B$2:$B$36,"=p03_intraday_reversal",'Daily evaluations'!$C$2:$C$36,"=d20261012"),"")</f>
      </c>
      <c r="R44" s="8">
        <f>IF((0=1),SUMIFS('Daily evaluations'!$E$2:$E$36,'Daily evaluations'!$B$2:$B$36,"=p03_intraday_reversal",'Daily evaluations'!$C$2:$C$36,"=d20261013"),"")</f>
      </c>
      <c r="S44" s="8">
        <f>IF((0=1),SUMIFS('Daily evaluations'!$E$2:$E$36,'Daily evaluations'!$B$2:$B$36,"=p03_intraday_reversal",'Daily evaluations'!$C$2:$C$36,"=d20261014"),"")</f>
      </c>
      <c r="T44" s="8">
        <f>IF((0=1),SUMIFS('Daily evaluations'!$E$2:$E$36,'Daily evaluations'!$B$2:$B$36,"=p03_intraday_reversal",'Daily evaluations'!$C$2:$C$36,"=d20261015"),"")</f>
      </c>
      <c r="U44" s="8">
        <f>IF((0=1),SUMIFS('Daily evaluations'!$E$2:$E$36,'Daily evaluations'!$B$2:$B$36,"=p03_intraday_reversal",'Daily evaluations'!$C$2:$C$36,"=d20261016"),"")</f>
      </c>
      <c r="V44" s="8">
        <f>IF((0=1),SUMIFS('Daily evaluations'!$E$2:$E$36,'Daily evaluations'!$B$2:$B$36,"=p03_intraday_reversal",'Daily evaluations'!$C$2:$C$36,"=d20261019"),"")</f>
      </c>
      <c r="W44" s="8">
        <f>IF((0=1),SUMIFS('Daily evaluations'!$E$2:$E$36,'Daily evaluations'!$B$2:$B$36,"=p03_intraday_reversal",'Daily evaluations'!$C$2:$C$36,"=d20261020"),"")</f>
      </c>
      <c r="X44" s="8">
        <f>IF((0=1),SUMIFS('Daily evaluations'!$E$2:$E$36,'Daily evaluations'!$B$2:$B$36,"=p03_intraday_reversal",'Daily evaluations'!$C$2:$C$36,"=d20261021"),"")</f>
      </c>
      <c r="Y44" s="8">
        <f>IF((0=1),SUMIFS('Daily evaluations'!$E$2:$E$36,'Daily evaluations'!$B$2:$B$36,"=p03_intraday_reversal",'Daily evaluations'!$C$2:$C$36,"=d20261022"),"")</f>
      </c>
      <c r="Z44" s="8">
        <f>IF((0=1),SUMIFS('Daily evaluations'!$E$2:$E$36,'Daily evaluations'!$B$2:$B$36,"=p03_intraday_reversal",'Daily evaluations'!$C$2:$C$36,"=d20261023"),"")</f>
      </c>
      <c r="AA44" s="8">
        <f>IF((0=1),SUMIFS('Daily evaluations'!$E$2:$E$36,'Daily evaluations'!$B$2:$B$36,"=p03_intraday_reversal",'Daily evaluations'!$C$2:$C$36,"=d20261026"),"")</f>
      </c>
      <c r="AB44" s="8">
        <f>IF((0=1),SUMIFS('Daily evaluations'!$E$2:$E$36,'Daily evaluations'!$B$2:$B$36,"=p03_intraday_reversal",'Daily evaluations'!$C$2:$C$36,"=d20261027"),"")</f>
      </c>
      <c r="AC44" s="8">
        <f>IF((0=1),SUMIFS('Daily evaluations'!$E$2:$E$36,'Daily evaluations'!$B$2:$B$36,"=p03_intraday_reversal",'Daily evaluations'!$C$2:$C$36,"=d20261028"),"")</f>
      </c>
      <c r="AD44" s="8">
        <f>IF((0=1),SUMIFS('Daily evaluations'!$E$2:$E$36,'Daily evaluations'!$B$2:$B$36,"=p03_intraday_reversal",'Daily evaluations'!$C$2:$C$36,"=d20261029"),"")</f>
      </c>
      <c r="AE44" s="8">
        <f>IF((0=1),SUMIFS('Daily evaluations'!$E$2:$E$36,'Daily evaluations'!$B$2:$B$36,"=p03_intraday_reversal",'Daily evaluations'!$C$2:$C$36,"=d20261030"),"")</f>
      </c>
      <c r="AF44" s="8">
        <f>IF((0=1),SUMIFS('Daily evaluations'!$E$2:$E$36,'Daily evaluations'!$B$2:$B$36,"=p03_intraday_reversal",'Daily evaluations'!$C$2:$C$36,"=d20261102"),"")</f>
      </c>
      <c r="AG44" s="8">
        <f>IF((0=1),SUMIFS('Daily evaluations'!$E$2:$E$36,'Daily evaluations'!$B$2:$B$36,"=p03_intraday_reversal",'Daily evaluations'!$C$2:$C$36,"=d20261103"),"")</f>
      </c>
      <c r="AH44" s="8">
        <f>IF((0=1),SUMIFS('Daily evaluations'!$E$2:$E$36,'Daily evaluations'!$B$2:$B$36,"=p03_intraday_reversal",'Daily evaluations'!$C$2:$C$36,"=d20261104"),"")</f>
      </c>
      <c r="AI44" s="8">
        <f>IF((0=1),SUMIFS('Daily evaluations'!$E$2:$E$36,'Daily evaluations'!$B$2:$B$36,"=p03_intraday_reversal",'Daily evaluations'!$C$2:$C$36,"=d20261105"),"")</f>
      </c>
      <c r="AJ44" s="8">
        <f>IF((0=1),SUMIFS('Daily evaluations'!$E$2:$E$36,'Daily evaluations'!$B$2:$B$36,"=p03_intraday_reversal",'Daily evaluations'!$C$2:$C$36,"=d20261106"),"")</f>
      </c>
      <c r="AK44" s="8">
        <f>IF((0=1),SUMIFS('Daily evaluations'!$E$2:$E$36,'Daily evaluations'!$B$2:$B$36,"=p03_intraday_reversal",'Daily evaluations'!$C$2:$C$36,"=d20261109"),"")</f>
      </c>
      <c r="AL44" s="8">
        <f>IF((0=1),SUMIFS('Daily evaluations'!$E$2:$E$36,'Daily evaluations'!$B$2:$B$36,"=p03_intraday_reversal",'Daily evaluations'!$C$2:$C$36,"=d20261110"),"")</f>
      </c>
      <c r="AM44" s="8">
        <f>IF((0=1),SUMIFS('Daily evaluations'!$E$2:$E$36,'Daily evaluations'!$B$2:$B$36,"=p03_intraday_reversal",'Daily evaluations'!$C$2:$C$36,"=d20261111"),"")</f>
      </c>
      <c r="AN44" s="8">
        <f>IF((0=1),SUMIFS('Daily evaluations'!$E$2:$E$36,'Daily evaluations'!$B$2:$B$36,"=p03_intraday_reversal",'Daily evaluations'!$C$2:$C$36,"=d20261112"),"")</f>
      </c>
      <c r="AO44" s="8">
        <f>IF((0=1),SUMIFS('Daily evaluations'!$E$2:$E$36,'Daily evaluations'!$B$2:$B$36,"=p03_intraday_reversal",'Daily evaluations'!$C$2:$C$36,"=d20261113"),"")</f>
      </c>
      <c r="AP44" s="8">
        <f>IF((0=1),SUMIFS('Daily evaluations'!$E$2:$E$36,'Daily evaluations'!$B$2:$B$36,"=p03_intraday_reversal",'Daily evaluations'!$C$2:$C$36,"=d20261116"),"")</f>
      </c>
      <c r="AQ44" s="8">
        <f>IF((0=1),SUMIFS('Daily evaluations'!$E$2:$E$36,'Daily evaluations'!$B$2:$B$36,"=p03_intraday_reversal",'Daily evaluations'!$C$2:$C$36,"=d20261117"),"")</f>
      </c>
      <c r="AR44" s="8">
        <f>IF((0=1),SUMIFS('Daily evaluations'!$E$2:$E$36,'Daily evaluations'!$B$2:$B$36,"=p03_intraday_reversal",'Daily evaluations'!$C$2:$C$36,"=d20261118"),"")</f>
      </c>
      <c r="AS44" s="8">
        <f>IF((0=1),SUMIFS('Daily evaluations'!$E$2:$E$36,'Daily evaluations'!$B$2:$B$36,"=p03_intraday_reversal",'Daily evaluations'!$C$2:$C$36,"=d20261119"),"")</f>
      </c>
      <c r="AT44" s="8">
        <f>IF((0=1),SUMIFS('Daily evaluations'!$E$2:$E$36,'Daily evaluations'!$B$2:$B$36,"=p03_intraday_reversal",'Daily evaluations'!$C$2:$C$36,"=d20261120"),"")</f>
      </c>
      <c r="AU44" s="8">
        <f>IF((0=1),SUMIFS('Daily evaluations'!$E$2:$E$36,'Daily evaluations'!$B$2:$B$36,"=p03_intraday_reversal",'Daily evaluations'!$C$2:$C$36,"=d20261123"),"")</f>
      </c>
      <c r="AV44" s="8">
        <f>IF((0=1),SUMIFS('Daily evaluations'!$E$2:$E$36,'Daily evaluations'!$B$2:$B$36,"=p03_intraday_reversal",'Daily evaluations'!$C$2:$C$36,"=d20261124"),"")</f>
      </c>
      <c r="AW44" s="8">
        <f>IF((0=1),SUMIFS('Daily evaluations'!$E$2:$E$36,'Daily evaluations'!$B$2:$B$36,"=p03_intraday_reversal",'Daily evaluations'!$C$2:$C$36,"=d20261125"),"")</f>
      </c>
      <c r="AX44" s="8">
        <f>IF((0=1),SUMIFS('Daily evaluations'!$E$2:$E$36,'Daily evaluations'!$B$2:$B$36,"=p03_intraday_reversal",'Daily evaluations'!$C$2:$C$36,"=d20261127"),"")</f>
      </c>
      <c r="AY44" s="8">
        <f>IF((0=1),SUMIFS('Daily evaluations'!$E$2:$E$36,'Daily evaluations'!$B$2:$B$36,"=p03_intraday_reversal",'Daily evaluations'!$C$2:$C$36,"=d20261130"),"")</f>
      </c>
      <c r="AZ44" s="8">
        <f>IF((0=1),SUMIFS('Daily evaluations'!$E$2:$E$36,'Daily evaluations'!$B$2:$B$36,"=p03_intraday_reversal",'Daily evaluations'!$C$2:$C$36,"=d20261201"),"")</f>
      </c>
      <c r="BA44" s="8">
        <f>IF((0=1),SUMIFS('Daily evaluations'!$E$2:$E$36,'Daily evaluations'!$B$2:$B$36,"=p03_intraday_reversal",'Daily evaluations'!$C$2:$C$36,"=d20261202"),"")</f>
      </c>
      <c r="BB44" s="8">
        <f>IF((0=1),SUMIFS('Daily evaluations'!$E$2:$E$36,'Daily evaluations'!$B$2:$B$36,"=p03_intraday_reversal",'Daily evaluations'!$C$2:$C$36,"=d20261203"),"")</f>
      </c>
      <c r="BC44" s="8">
        <f>IF((0=1),SUMIFS('Daily evaluations'!$E$2:$E$36,'Daily evaluations'!$B$2:$B$36,"=p03_intraday_reversal",'Daily evaluations'!$C$2:$C$36,"=d20261204"),"")</f>
      </c>
      <c r="BD44" s="8">
        <f>IF((0=1),SUMIFS('Daily evaluations'!$E$2:$E$36,'Daily evaluations'!$B$2:$B$36,"=p03_intraday_reversal",'Daily evaluations'!$C$2:$C$36,"=d20261207"),"")</f>
      </c>
      <c r="BE44" s="8">
        <f>IF((0=1),SUMIFS('Daily evaluations'!$E$2:$E$36,'Daily evaluations'!$B$2:$B$36,"=p03_intraday_reversal",'Daily evaluations'!$C$2:$C$36,"=d20261208"),"")</f>
      </c>
      <c r="BF44" s="8">
        <f>IF((0=1),SUMIFS('Daily evaluations'!$E$2:$E$36,'Daily evaluations'!$B$2:$B$36,"=p03_intraday_reversal",'Daily evaluations'!$C$2:$C$36,"=d20261209"),"")</f>
      </c>
      <c r="BG44" s="8">
        <f>IF((0=1),SUMIFS('Daily evaluations'!$E$2:$E$36,'Daily evaluations'!$B$2:$B$36,"=p03_intraday_reversal",'Daily evaluations'!$C$2:$C$36,"=d20261210"),"")</f>
      </c>
      <c r="BH44" s="8">
        <f>IF((0=1),SUMIFS('Daily evaluations'!$E$2:$E$36,'Daily evaluations'!$B$2:$B$36,"=p03_intraday_reversal",'Daily evaluations'!$C$2:$C$36,"=d20261211"),"")</f>
      </c>
      <c r="BI44" s="8">
        <f>IF((0=1),SUMIFS('Daily evaluations'!$E$2:$E$36,'Daily evaluations'!$B$2:$B$36,"=p03_intraday_reversal",'Daily evaluations'!$C$2:$C$36,"=d20261214"),"")</f>
      </c>
      <c r="BJ44" s="8">
        <f>IF((0=1),SUMIFS('Daily evaluations'!$E$2:$E$36,'Daily evaluations'!$B$2:$B$36,"=p03_intraday_reversal",'Daily evaluations'!$C$2:$C$36,"=d20261215"),"")</f>
      </c>
      <c r="BK44" s="8">
        <f>IF((0=1),SUMIFS('Daily evaluations'!$E$2:$E$36,'Daily evaluations'!$B$2:$B$36,"=p03_intraday_reversal",'Daily evaluations'!$C$2:$C$36,"=d20261216"),"")</f>
      </c>
      <c r="BL44" s="8">
        <f>IF((0=1),SUMIFS('Daily evaluations'!$E$2:$E$36,'Daily evaluations'!$B$2:$B$36,"=p03_intraday_reversal",'Daily evaluations'!$C$2:$C$36,"=d20261217"),"")</f>
      </c>
      <c r="BM44" s="8">
        <f>IF((0=1),SUMIFS('Daily evaluations'!$E$2:$E$36,'Daily evaluations'!$B$2:$B$36,"=p03_intraday_reversal",'Daily evaluations'!$C$2:$C$36,"=d20261218"),"")</f>
      </c>
      <c r="BN44" s="8">
        <f>IF((0=1),SUMIFS('Daily evaluations'!$E$2:$E$36,'Daily evaluations'!$B$2:$B$36,"=p03_intraday_reversal",'Daily evaluations'!$C$2:$C$36,"=d20261221"),"")</f>
      </c>
      <c r="BO44" s="8">
        <f>IF((0=1),SUMIFS('Daily evaluations'!$E$2:$E$36,'Daily evaluations'!$B$2:$B$36,"=p03_intraday_reversal",'Daily evaluations'!$C$2:$C$36,"=d20261222"),"")</f>
      </c>
      <c r="BP44" s="8">
        <f>IF((0=1),SUMIFS('Daily evaluations'!$E$2:$E$36,'Daily evaluations'!$B$2:$B$36,"=p03_intraday_reversal",'Daily evaluations'!$C$2:$C$36,"=d20261223"),"")</f>
      </c>
      <c r="BQ44" s="8">
        <f>IF((0=1),SUMIFS('Daily evaluations'!$E$2:$E$36,'Daily evaluations'!$B$2:$B$36,"=p03_intraday_reversal",'Daily evaluations'!$C$2:$C$36,"=d20261224"),"")</f>
      </c>
      <c r="BR44" s="8">
        <f>IF((0=1),SUMIFS('Daily evaluations'!$E$2:$E$36,'Daily evaluations'!$B$2:$B$36,"=p03_intraday_reversal",'Daily evaluations'!$C$2:$C$36,"=d20261228"),"")</f>
      </c>
      <c r="BS44" s="8">
        <f>IF((0=1),SUMIFS('Daily evaluations'!$E$2:$E$36,'Daily evaluations'!$B$2:$B$36,"=p03_intraday_reversal",'Daily evaluations'!$C$2:$C$36,"=d20261229"),"")</f>
      </c>
      <c r="BT44" s="8">
        <f>IF((0=1),SUMIFS('Daily evaluations'!$E$2:$E$36,'Daily evaluations'!$B$2:$B$36,"=p03_intraday_reversal",'Daily evaluations'!$C$2:$C$36,"=d20261230"),"")</f>
      </c>
      <c r="BU44" s="8">
        <f>IF((0=1),SUMIFS('Daily evaluations'!$E$2:$E$36,'Daily evaluations'!$B$2:$B$36,"=p03_intraday_reversal",'Daily evaluations'!$C$2:$C$36,"=d20261231"),"")</f>
      </c>
      <c r="BV44" s="8">
        <f>IF((0=1),SUMIFS('Daily evaluations'!$E$2:$E$36,'Daily evaluations'!$B$2:$B$36,"=p03_intraday_reversal",'Daily evaluations'!$C$2:$C$36,"=d20270104"),"")</f>
      </c>
      <c r="BW44" s="8">
        <f>IF((0=1),SUMIFS('Daily evaluations'!$E$2:$E$36,'Daily evaluations'!$B$2:$B$36,"=p03_intraday_reversal",'Daily evaluations'!$C$2:$C$36,"=d20270105"),"")</f>
      </c>
      <c r="BX44" s="8">
        <f>IF((0=1),SUMIFS('Daily evaluations'!$E$2:$E$36,'Daily evaluations'!$B$2:$B$36,"=p03_intraday_reversal",'Daily evaluations'!$C$2:$C$36,"=d20270106"),"")</f>
      </c>
      <c r="BY44" s="8">
        <f>IF((0=1),SUMIFS('Daily evaluations'!$E$2:$E$36,'Daily evaluations'!$B$2:$B$36,"=p03_intraday_reversal",'Daily evaluations'!$C$2:$C$36,"=d20270107"),"")</f>
      </c>
      <c r="BZ44" s="8">
        <f>IF((0=1),SUMIFS('Daily evaluations'!$E$2:$E$36,'Daily evaluations'!$B$2:$B$36,"=p03_intraday_reversal",'Daily evaluations'!$C$2:$C$36,"=d20270108"),"")</f>
      </c>
      <c r="CA44" s="8">
        <f>IF((0=1),SUMIFS('Daily evaluations'!$E$2:$E$36,'Daily evaluations'!$B$2:$B$36,"=p03_intraday_reversal",'Daily evaluations'!$C$2:$C$36,"=d20270111"),"")</f>
      </c>
      <c r="CB44" s="8">
        <f>IF((0=1),SUMIFS('Daily evaluations'!$E$2:$E$36,'Daily evaluations'!$B$2:$B$36,"=p03_intraday_reversal",'Daily evaluations'!$C$2:$C$36,"=d20270112"),"")</f>
      </c>
      <c r="CC44" s="8">
        <f>IF((0=1),SUMIFS('Daily evaluations'!$E$2:$E$36,'Daily evaluations'!$B$2:$B$36,"=p03_intraday_reversal",'Daily evaluations'!$C$2:$C$36,"=d20270113"),"")</f>
      </c>
      <c r="CD44" s="8">
        <f>IF((0=1),SUMIFS('Daily evaluations'!$E$2:$E$36,'Daily evaluations'!$B$2:$B$36,"=p03_intraday_reversal",'Daily evaluations'!$C$2:$C$36,"=d20270114"),"")</f>
      </c>
      <c r="CE44" s="8">
        <f>IF((0=1),SUMIFS('Daily evaluations'!$E$2:$E$36,'Daily evaluations'!$B$2:$B$36,"=p03_intraday_reversal",'Daily evaluations'!$C$2:$C$36,"=d20270115"),"")</f>
      </c>
      <c r="CF44" s="8">
        <f>IF((0=1),SUMIFS('Daily evaluations'!$E$2:$E$36,'Daily evaluations'!$B$2:$B$36,"=p03_intraday_reversal",'Daily evaluations'!$C$2:$C$36,"=d20270119"),"")</f>
      </c>
      <c r="CG44" s="8">
        <f>IF((0=1),SUMIFS('Daily evaluations'!$E$2:$E$36,'Daily evaluations'!$B$2:$B$36,"=p03_intraday_reversal",'Daily evaluations'!$C$2:$C$36,"=d20270120"),"")</f>
      </c>
      <c r="CH44" s="8">
        <f>IF((0=1),SUMIFS('Daily evaluations'!$E$2:$E$36,'Daily evaluations'!$B$2:$B$36,"=p03_intraday_reversal",'Daily evaluations'!$C$2:$C$36,"=d20270121"),"")</f>
      </c>
      <c r="CI44" s="8">
        <f>IF((0=1),SUMIFS('Daily evaluations'!$E$2:$E$36,'Daily evaluations'!$B$2:$B$36,"=p03_intraday_reversal",'Daily evaluations'!$C$2:$C$36,"=d20270122"),"")</f>
      </c>
      <c r="CJ44" s="8">
        <f>IF((0=1),SUMIFS('Daily evaluations'!$E$2:$E$36,'Daily evaluations'!$B$2:$B$36,"=p03_intraday_reversal",'Daily evaluations'!$C$2:$C$36,"=d20270125"),"")</f>
      </c>
      <c r="CK44" s="8">
        <f>IF((0=1),SUMIFS('Daily evaluations'!$E$2:$E$36,'Daily evaluations'!$B$2:$B$36,"=p03_intraday_reversal",'Daily evaluations'!$C$2:$C$36,"=d20270126"),"")</f>
      </c>
      <c r="CL44" s="8">
        <f>IF((0=1),SUMIFS('Daily evaluations'!$E$2:$E$36,'Daily evaluations'!$B$2:$B$36,"=p03_intraday_reversal",'Daily evaluations'!$C$2:$C$36,"=d20270127"),"")</f>
      </c>
      <c r="CM44" s="8">
        <f>IF((0=1),SUMIFS('Daily evaluations'!$E$2:$E$36,'Daily evaluations'!$B$2:$B$36,"=p03_intraday_reversal",'Daily evaluations'!$C$2:$C$36,"=d20270128"),"")</f>
      </c>
      <c r="CN44" s="8">
        <f>IF((0=1),SUMIFS('Daily evaluations'!$E$2:$E$36,'Daily evaluations'!$B$2:$B$36,"=p03_intraday_reversal",'Daily evaluations'!$C$2:$C$36,"=d20270129"),"")</f>
      </c>
      <c r="CO44" s="8">
        <f>IF((0=1),SUMIFS('Daily evaluations'!$E$2:$E$36,'Daily evaluations'!$B$2:$B$36,"=p03_intraday_reversal",'Daily evaluations'!$C$2:$C$36,"=d20270201"),"")</f>
      </c>
      <c r="CP44" s="8">
        <f>IF((0=1),SUMIFS('Daily evaluations'!$E$2:$E$36,'Daily evaluations'!$B$2:$B$36,"=p03_intraday_reversal",'Daily evaluations'!$C$2:$C$36,"=d20270202"),"")</f>
      </c>
      <c r="CQ44" s="8">
        <f>IF((0=1),SUMIFS('Daily evaluations'!$E$2:$E$36,'Daily evaluations'!$B$2:$B$36,"=p03_intraday_reversal",'Daily evaluations'!$C$2:$C$36,"=d20270203"),"")</f>
      </c>
      <c r="CR44" s="8">
        <f>IF((0=1),SUMIFS('Daily evaluations'!$E$2:$E$36,'Daily evaluations'!$B$2:$B$36,"=p03_intraday_reversal",'Daily evaluations'!$C$2:$C$36,"=d20270204"),"")</f>
      </c>
      <c r="CS44" s="8">
        <f>IF((0=1),SUMIFS('Daily evaluations'!$E$2:$E$36,'Daily evaluations'!$B$2:$B$36,"=p03_intraday_reversal",'Daily evaluations'!$C$2:$C$36,"=d20270205"),"")</f>
      </c>
      <c r="CT44" s="8">
        <f>IF((0=1),SUMIFS('Daily evaluations'!$E$2:$E$36,'Daily evaluations'!$B$2:$B$36,"=p03_intraday_reversal",'Daily evaluations'!$C$2:$C$36,"=d20270208"),"")</f>
      </c>
      <c r="CU44" s="8">
        <f>IF((0=1),SUMIFS('Daily evaluations'!$E$2:$E$36,'Daily evaluations'!$B$2:$B$36,"=p03_intraday_reversal",'Daily evaluations'!$C$2:$C$36,"=d20270209"),"")</f>
      </c>
      <c r="CV44" s="8">
        <f>IF((0=1),SUMIFS('Daily evaluations'!$E$2:$E$36,'Daily evaluations'!$B$2:$B$36,"=p03_intraday_reversal",'Daily evaluations'!$C$2:$C$36,"=d20270210"),"")</f>
      </c>
      <c r="CW44" s="8">
        <f>IF((0=1),SUMIFS('Daily evaluations'!$E$2:$E$36,'Daily evaluations'!$B$2:$B$36,"=p03_intraday_reversal",'Daily evaluations'!$C$2:$C$36,"=d20270211"),"")</f>
      </c>
      <c r="CX44" s="8">
        <f>IF((0=1),SUMIFS('Daily evaluations'!$E$2:$E$36,'Daily evaluations'!$B$2:$B$36,"=p03_intraday_reversal",'Daily evaluations'!$C$2:$C$36,"=d20270212"),"")</f>
      </c>
    </row>
    <row r="45">
      <c r="A45" s="0" t="inlineStr">
        <is>
          <t xml:space="preserve">Overnight excess vs universe, bps</t>
        </is>
      </c>
      <c r="B45" s="0" t="inlineStr">
        <is>
          <t xml:space="preserve">Analyst Revision Momentum</t>
        </is>
      </c>
      <c r="C45" s="8">
        <f>IF((1=1),SUMIFS('Daily evaluations'!$E$2:$E$36,'Daily evaluations'!$B$2:$B$36,"=p04_analyst_revisions",'Daily evaluations'!$C$2:$C$36,"=d20260922"),"")</f>
        <v>-6.285</v>
      </c>
      <c r="D45" s="8">
        <f>IF((0=1),SUMIFS('Daily evaluations'!$E$2:$E$36,'Daily evaluations'!$B$2:$B$36,"=p04_analyst_revisions",'Daily evaluations'!$C$2:$C$36,"=d20260923"),"")</f>
      </c>
      <c r="E45" s="8">
        <f>IF((0=1),SUMIFS('Daily evaluations'!$E$2:$E$36,'Daily evaluations'!$B$2:$B$36,"=p04_analyst_revisions",'Daily evaluations'!$C$2:$C$36,"=d20260924"),"")</f>
      </c>
      <c r="F45" s="8">
        <f>IF((0=1),SUMIFS('Daily evaluations'!$E$2:$E$36,'Daily evaluations'!$B$2:$B$36,"=p04_analyst_revisions",'Daily evaluations'!$C$2:$C$36,"=d20260925"),"")</f>
      </c>
      <c r="G45" s="8">
        <f>IF((0=1),SUMIFS('Daily evaluations'!$E$2:$E$36,'Daily evaluations'!$B$2:$B$36,"=p04_analyst_revisions",'Daily evaluations'!$C$2:$C$36,"=d20260928"),"")</f>
      </c>
      <c r="H45" s="8">
        <f>IF((0=1),SUMIFS('Daily evaluations'!$E$2:$E$36,'Daily evaluations'!$B$2:$B$36,"=p04_analyst_revisions",'Daily evaluations'!$C$2:$C$36,"=d20260929"),"")</f>
      </c>
      <c r="I45" s="8">
        <f>IF((0=1),SUMIFS('Daily evaluations'!$E$2:$E$36,'Daily evaluations'!$B$2:$B$36,"=p04_analyst_revisions",'Daily evaluations'!$C$2:$C$36,"=d20260930"),"")</f>
      </c>
      <c r="J45" s="8">
        <f>IF((0=1),SUMIFS('Daily evaluations'!$E$2:$E$36,'Daily evaluations'!$B$2:$B$36,"=p04_analyst_revisions",'Daily evaluations'!$C$2:$C$36,"=d20261001"),"")</f>
      </c>
      <c r="K45" s="8">
        <f>IF((0=1),SUMIFS('Daily evaluations'!$E$2:$E$36,'Daily evaluations'!$B$2:$B$36,"=p04_analyst_revisions",'Daily evaluations'!$C$2:$C$36,"=d20261002"),"")</f>
      </c>
      <c r="L45" s="8">
        <f>IF((0=1),SUMIFS('Daily evaluations'!$E$2:$E$36,'Daily evaluations'!$B$2:$B$36,"=p04_analyst_revisions",'Daily evaluations'!$C$2:$C$36,"=d20261005"),"")</f>
      </c>
      <c r="M45" s="8">
        <f>IF((0=1),SUMIFS('Daily evaluations'!$E$2:$E$36,'Daily evaluations'!$B$2:$B$36,"=p04_analyst_revisions",'Daily evaluations'!$C$2:$C$36,"=d20261006"),"")</f>
      </c>
      <c r="N45" s="8">
        <f>IF((0=1),SUMIFS('Daily evaluations'!$E$2:$E$36,'Daily evaluations'!$B$2:$B$36,"=p04_analyst_revisions",'Daily evaluations'!$C$2:$C$36,"=d20261007"),"")</f>
      </c>
      <c r="O45" s="8">
        <f>IF((0=1),SUMIFS('Daily evaluations'!$E$2:$E$36,'Daily evaluations'!$B$2:$B$36,"=p04_analyst_revisions",'Daily evaluations'!$C$2:$C$36,"=d20261008"),"")</f>
      </c>
      <c r="P45" s="8">
        <f>IF((0=1),SUMIFS('Daily evaluations'!$E$2:$E$36,'Daily evaluations'!$B$2:$B$36,"=p04_analyst_revisions",'Daily evaluations'!$C$2:$C$36,"=d20261009"),"")</f>
      </c>
      <c r="Q45" s="8">
        <f>IF((0=1),SUMIFS('Daily evaluations'!$E$2:$E$36,'Daily evaluations'!$B$2:$B$36,"=p04_analyst_revisions",'Daily evaluations'!$C$2:$C$36,"=d20261012"),"")</f>
      </c>
      <c r="R45" s="8">
        <f>IF((0=1),SUMIFS('Daily evaluations'!$E$2:$E$36,'Daily evaluations'!$B$2:$B$36,"=p04_analyst_revisions",'Daily evaluations'!$C$2:$C$36,"=d20261013"),"")</f>
      </c>
      <c r="S45" s="8">
        <f>IF((0=1),SUMIFS('Daily evaluations'!$E$2:$E$36,'Daily evaluations'!$B$2:$B$36,"=p04_analyst_revisions",'Daily evaluations'!$C$2:$C$36,"=d20261014"),"")</f>
      </c>
      <c r="T45" s="8">
        <f>IF((0=1),SUMIFS('Daily evaluations'!$E$2:$E$36,'Daily evaluations'!$B$2:$B$36,"=p04_analyst_revisions",'Daily evaluations'!$C$2:$C$36,"=d20261015"),"")</f>
      </c>
      <c r="U45" s="8">
        <f>IF((0=1),SUMIFS('Daily evaluations'!$E$2:$E$36,'Daily evaluations'!$B$2:$B$36,"=p04_analyst_revisions",'Daily evaluations'!$C$2:$C$36,"=d20261016"),"")</f>
      </c>
      <c r="V45" s="8">
        <f>IF((0=1),SUMIFS('Daily evaluations'!$E$2:$E$36,'Daily evaluations'!$B$2:$B$36,"=p04_analyst_revisions",'Daily evaluations'!$C$2:$C$36,"=d20261019"),"")</f>
      </c>
      <c r="W45" s="8">
        <f>IF((0=1),SUMIFS('Daily evaluations'!$E$2:$E$36,'Daily evaluations'!$B$2:$B$36,"=p04_analyst_revisions",'Daily evaluations'!$C$2:$C$36,"=d20261020"),"")</f>
      </c>
      <c r="X45" s="8">
        <f>IF((0=1),SUMIFS('Daily evaluations'!$E$2:$E$36,'Daily evaluations'!$B$2:$B$36,"=p04_analyst_revisions",'Daily evaluations'!$C$2:$C$36,"=d20261021"),"")</f>
      </c>
      <c r="Y45" s="8">
        <f>IF((0=1),SUMIFS('Daily evaluations'!$E$2:$E$36,'Daily evaluations'!$B$2:$B$36,"=p04_analyst_revisions",'Daily evaluations'!$C$2:$C$36,"=d20261022"),"")</f>
      </c>
      <c r="Z45" s="8">
        <f>IF((0=1),SUMIFS('Daily evaluations'!$E$2:$E$36,'Daily evaluations'!$B$2:$B$36,"=p04_analyst_revisions",'Daily evaluations'!$C$2:$C$36,"=d20261023"),"")</f>
      </c>
      <c r="AA45" s="8">
        <f>IF((0=1),SUMIFS('Daily evaluations'!$E$2:$E$36,'Daily evaluations'!$B$2:$B$36,"=p04_analyst_revisions",'Daily evaluations'!$C$2:$C$36,"=d20261026"),"")</f>
      </c>
      <c r="AB45" s="8">
        <f>IF((0=1),SUMIFS('Daily evaluations'!$E$2:$E$36,'Daily evaluations'!$B$2:$B$36,"=p04_analyst_revisions",'Daily evaluations'!$C$2:$C$36,"=d20261027"),"")</f>
      </c>
      <c r="AC45" s="8">
        <f>IF((0=1),SUMIFS('Daily evaluations'!$E$2:$E$36,'Daily evaluations'!$B$2:$B$36,"=p04_analyst_revisions",'Daily evaluations'!$C$2:$C$36,"=d20261028"),"")</f>
      </c>
      <c r="AD45" s="8">
        <f>IF((0=1),SUMIFS('Daily evaluations'!$E$2:$E$36,'Daily evaluations'!$B$2:$B$36,"=p04_analyst_revisions",'Daily evaluations'!$C$2:$C$36,"=d20261029"),"")</f>
      </c>
      <c r="AE45" s="8">
        <f>IF((0=1),SUMIFS('Daily evaluations'!$E$2:$E$36,'Daily evaluations'!$B$2:$B$36,"=p04_analyst_revisions",'Daily evaluations'!$C$2:$C$36,"=d20261030"),"")</f>
      </c>
      <c r="AF45" s="8">
        <f>IF((0=1),SUMIFS('Daily evaluations'!$E$2:$E$36,'Daily evaluations'!$B$2:$B$36,"=p04_analyst_revisions",'Daily evaluations'!$C$2:$C$36,"=d20261102"),"")</f>
      </c>
      <c r="AG45" s="8">
        <f>IF((0=1),SUMIFS('Daily evaluations'!$E$2:$E$36,'Daily evaluations'!$B$2:$B$36,"=p04_analyst_revisions",'Daily evaluations'!$C$2:$C$36,"=d20261103"),"")</f>
      </c>
      <c r="AH45" s="8">
        <f>IF((0=1),SUMIFS('Daily evaluations'!$E$2:$E$36,'Daily evaluations'!$B$2:$B$36,"=p04_analyst_revisions",'Daily evaluations'!$C$2:$C$36,"=d20261104"),"")</f>
      </c>
      <c r="AI45" s="8">
        <f>IF((0=1),SUMIFS('Daily evaluations'!$E$2:$E$36,'Daily evaluations'!$B$2:$B$36,"=p04_analyst_revisions",'Daily evaluations'!$C$2:$C$36,"=d20261105"),"")</f>
      </c>
      <c r="AJ45" s="8">
        <f>IF((0=1),SUMIFS('Daily evaluations'!$E$2:$E$36,'Daily evaluations'!$B$2:$B$36,"=p04_analyst_revisions",'Daily evaluations'!$C$2:$C$36,"=d20261106"),"")</f>
      </c>
      <c r="AK45" s="8">
        <f>IF((0=1),SUMIFS('Daily evaluations'!$E$2:$E$36,'Daily evaluations'!$B$2:$B$36,"=p04_analyst_revisions",'Daily evaluations'!$C$2:$C$36,"=d20261109"),"")</f>
      </c>
      <c r="AL45" s="8">
        <f>IF((0=1),SUMIFS('Daily evaluations'!$E$2:$E$36,'Daily evaluations'!$B$2:$B$36,"=p04_analyst_revisions",'Daily evaluations'!$C$2:$C$36,"=d20261110"),"")</f>
      </c>
      <c r="AM45" s="8">
        <f>IF((0=1),SUMIFS('Daily evaluations'!$E$2:$E$36,'Daily evaluations'!$B$2:$B$36,"=p04_analyst_revisions",'Daily evaluations'!$C$2:$C$36,"=d20261111"),"")</f>
      </c>
      <c r="AN45" s="8">
        <f>IF((0=1),SUMIFS('Daily evaluations'!$E$2:$E$36,'Daily evaluations'!$B$2:$B$36,"=p04_analyst_revisions",'Daily evaluations'!$C$2:$C$36,"=d20261112"),"")</f>
      </c>
      <c r="AO45" s="8">
        <f>IF((0=1),SUMIFS('Daily evaluations'!$E$2:$E$36,'Daily evaluations'!$B$2:$B$36,"=p04_analyst_revisions",'Daily evaluations'!$C$2:$C$36,"=d20261113"),"")</f>
      </c>
      <c r="AP45" s="8">
        <f>IF((0=1),SUMIFS('Daily evaluations'!$E$2:$E$36,'Daily evaluations'!$B$2:$B$36,"=p04_analyst_revisions",'Daily evaluations'!$C$2:$C$36,"=d20261116"),"")</f>
      </c>
      <c r="AQ45" s="8">
        <f>IF((0=1),SUMIFS('Daily evaluations'!$E$2:$E$36,'Daily evaluations'!$B$2:$B$36,"=p04_analyst_revisions",'Daily evaluations'!$C$2:$C$36,"=d20261117"),"")</f>
      </c>
      <c r="AR45" s="8">
        <f>IF((0=1),SUMIFS('Daily evaluations'!$E$2:$E$36,'Daily evaluations'!$B$2:$B$36,"=p04_analyst_revisions",'Daily evaluations'!$C$2:$C$36,"=d20261118"),"")</f>
      </c>
      <c r="AS45" s="8">
        <f>IF((0=1),SUMIFS('Daily evaluations'!$E$2:$E$36,'Daily evaluations'!$B$2:$B$36,"=p04_analyst_revisions",'Daily evaluations'!$C$2:$C$36,"=d20261119"),"")</f>
      </c>
      <c r="AT45" s="8">
        <f>IF((0=1),SUMIFS('Daily evaluations'!$E$2:$E$36,'Daily evaluations'!$B$2:$B$36,"=p04_analyst_revisions",'Daily evaluations'!$C$2:$C$36,"=d20261120"),"")</f>
      </c>
      <c r="AU45" s="8">
        <f>IF((0=1),SUMIFS('Daily evaluations'!$E$2:$E$36,'Daily evaluations'!$B$2:$B$36,"=p04_analyst_revisions",'Daily evaluations'!$C$2:$C$36,"=d20261123"),"")</f>
      </c>
      <c r="AV45" s="8">
        <f>IF((0=1),SUMIFS('Daily evaluations'!$E$2:$E$36,'Daily evaluations'!$B$2:$B$36,"=p04_analyst_revisions",'Daily evaluations'!$C$2:$C$36,"=d20261124"),"")</f>
      </c>
      <c r="AW45" s="8">
        <f>IF((0=1),SUMIFS('Daily evaluations'!$E$2:$E$36,'Daily evaluations'!$B$2:$B$36,"=p04_analyst_revisions",'Daily evaluations'!$C$2:$C$36,"=d20261125"),"")</f>
      </c>
      <c r="AX45" s="8">
        <f>IF((0=1),SUMIFS('Daily evaluations'!$E$2:$E$36,'Daily evaluations'!$B$2:$B$36,"=p04_analyst_revisions",'Daily evaluations'!$C$2:$C$36,"=d20261127"),"")</f>
      </c>
      <c r="AY45" s="8">
        <f>IF((0=1),SUMIFS('Daily evaluations'!$E$2:$E$36,'Daily evaluations'!$B$2:$B$36,"=p04_analyst_revisions",'Daily evaluations'!$C$2:$C$36,"=d20261130"),"")</f>
      </c>
      <c r="AZ45" s="8">
        <f>IF((0=1),SUMIFS('Daily evaluations'!$E$2:$E$36,'Daily evaluations'!$B$2:$B$36,"=p04_analyst_revisions",'Daily evaluations'!$C$2:$C$36,"=d20261201"),"")</f>
      </c>
      <c r="BA45" s="8">
        <f>IF((0=1),SUMIFS('Daily evaluations'!$E$2:$E$36,'Daily evaluations'!$B$2:$B$36,"=p04_analyst_revisions",'Daily evaluations'!$C$2:$C$36,"=d20261202"),"")</f>
      </c>
      <c r="BB45" s="8">
        <f>IF((0=1),SUMIFS('Daily evaluations'!$E$2:$E$36,'Daily evaluations'!$B$2:$B$36,"=p04_analyst_revisions",'Daily evaluations'!$C$2:$C$36,"=d20261203"),"")</f>
      </c>
      <c r="BC45" s="8">
        <f>IF((0=1),SUMIFS('Daily evaluations'!$E$2:$E$36,'Daily evaluations'!$B$2:$B$36,"=p04_analyst_revisions",'Daily evaluations'!$C$2:$C$36,"=d20261204"),"")</f>
      </c>
      <c r="BD45" s="8">
        <f>IF((0=1),SUMIFS('Daily evaluations'!$E$2:$E$36,'Daily evaluations'!$B$2:$B$36,"=p04_analyst_revisions",'Daily evaluations'!$C$2:$C$36,"=d20261207"),"")</f>
      </c>
      <c r="BE45" s="8">
        <f>IF((0=1),SUMIFS('Daily evaluations'!$E$2:$E$36,'Daily evaluations'!$B$2:$B$36,"=p04_analyst_revisions",'Daily evaluations'!$C$2:$C$36,"=d20261208"),"")</f>
      </c>
      <c r="BF45" s="8">
        <f>IF((0=1),SUMIFS('Daily evaluations'!$E$2:$E$36,'Daily evaluations'!$B$2:$B$36,"=p04_analyst_revisions",'Daily evaluations'!$C$2:$C$36,"=d20261209"),"")</f>
      </c>
      <c r="BG45" s="8">
        <f>IF((0=1),SUMIFS('Daily evaluations'!$E$2:$E$36,'Daily evaluations'!$B$2:$B$36,"=p04_analyst_revisions",'Daily evaluations'!$C$2:$C$36,"=d20261210"),"")</f>
      </c>
      <c r="BH45" s="8">
        <f>IF((0=1),SUMIFS('Daily evaluations'!$E$2:$E$36,'Daily evaluations'!$B$2:$B$36,"=p04_analyst_revisions",'Daily evaluations'!$C$2:$C$36,"=d20261211"),"")</f>
      </c>
      <c r="BI45" s="8">
        <f>IF((0=1),SUMIFS('Daily evaluations'!$E$2:$E$36,'Daily evaluations'!$B$2:$B$36,"=p04_analyst_revisions",'Daily evaluations'!$C$2:$C$36,"=d20261214"),"")</f>
      </c>
      <c r="BJ45" s="8">
        <f>IF((0=1),SUMIFS('Daily evaluations'!$E$2:$E$36,'Daily evaluations'!$B$2:$B$36,"=p04_analyst_revisions",'Daily evaluations'!$C$2:$C$36,"=d20261215"),"")</f>
      </c>
      <c r="BK45" s="8">
        <f>IF((0=1),SUMIFS('Daily evaluations'!$E$2:$E$36,'Daily evaluations'!$B$2:$B$36,"=p04_analyst_revisions",'Daily evaluations'!$C$2:$C$36,"=d20261216"),"")</f>
      </c>
      <c r="BL45" s="8">
        <f>IF((0=1),SUMIFS('Daily evaluations'!$E$2:$E$36,'Daily evaluations'!$B$2:$B$36,"=p04_analyst_revisions",'Daily evaluations'!$C$2:$C$36,"=d20261217"),"")</f>
      </c>
      <c r="BM45" s="8">
        <f>IF((0=1),SUMIFS('Daily evaluations'!$E$2:$E$36,'Daily evaluations'!$B$2:$B$36,"=p04_analyst_revisions",'Daily evaluations'!$C$2:$C$36,"=d20261218"),"")</f>
      </c>
      <c r="BN45" s="8">
        <f>IF((0=1),SUMIFS('Daily evaluations'!$E$2:$E$36,'Daily evaluations'!$B$2:$B$36,"=p04_analyst_revisions",'Daily evaluations'!$C$2:$C$36,"=d20261221"),"")</f>
      </c>
      <c r="BO45" s="8">
        <f>IF((0=1),SUMIFS('Daily evaluations'!$E$2:$E$36,'Daily evaluations'!$B$2:$B$36,"=p04_analyst_revisions",'Daily evaluations'!$C$2:$C$36,"=d20261222"),"")</f>
      </c>
      <c r="BP45" s="8">
        <f>IF((0=1),SUMIFS('Daily evaluations'!$E$2:$E$36,'Daily evaluations'!$B$2:$B$36,"=p04_analyst_revisions",'Daily evaluations'!$C$2:$C$36,"=d20261223"),"")</f>
      </c>
      <c r="BQ45" s="8">
        <f>IF((0=1),SUMIFS('Daily evaluations'!$E$2:$E$36,'Daily evaluations'!$B$2:$B$36,"=p04_analyst_revisions",'Daily evaluations'!$C$2:$C$36,"=d20261224"),"")</f>
      </c>
      <c r="BR45" s="8">
        <f>IF((0=1),SUMIFS('Daily evaluations'!$E$2:$E$36,'Daily evaluations'!$B$2:$B$36,"=p04_analyst_revisions",'Daily evaluations'!$C$2:$C$36,"=d20261228"),"")</f>
      </c>
      <c r="BS45" s="8">
        <f>IF((0=1),SUMIFS('Daily evaluations'!$E$2:$E$36,'Daily evaluations'!$B$2:$B$36,"=p04_analyst_revisions",'Daily evaluations'!$C$2:$C$36,"=d20261229"),"")</f>
      </c>
      <c r="BT45" s="8">
        <f>IF((0=1),SUMIFS('Daily evaluations'!$E$2:$E$36,'Daily evaluations'!$B$2:$B$36,"=p04_analyst_revisions",'Daily evaluations'!$C$2:$C$36,"=d20261230"),"")</f>
      </c>
      <c r="BU45" s="8">
        <f>IF((0=1),SUMIFS('Daily evaluations'!$E$2:$E$36,'Daily evaluations'!$B$2:$B$36,"=p04_analyst_revisions",'Daily evaluations'!$C$2:$C$36,"=d20261231"),"")</f>
      </c>
      <c r="BV45" s="8">
        <f>IF((0=1),SUMIFS('Daily evaluations'!$E$2:$E$36,'Daily evaluations'!$B$2:$B$36,"=p04_analyst_revisions",'Daily evaluations'!$C$2:$C$36,"=d20270104"),"")</f>
      </c>
      <c r="BW45" s="8">
        <f>IF((0=1),SUMIFS('Daily evaluations'!$E$2:$E$36,'Daily evaluations'!$B$2:$B$36,"=p04_analyst_revisions",'Daily evaluations'!$C$2:$C$36,"=d20270105"),"")</f>
      </c>
      <c r="BX45" s="8">
        <f>IF((0=1),SUMIFS('Daily evaluations'!$E$2:$E$36,'Daily evaluations'!$B$2:$B$36,"=p04_analyst_revisions",'Daily evaluations'!$C$2:$C$36,"=d20270106"),"")</f>
      </c>
      <c r="BY45" s="8">
        <f>IF((0=1),SUMIFS('Daily evaluations'!$E$2:$E$36,'Daily evaluations'!$B$2:$B$36,"=p04_analyst_revisions",'Daily evaluations'!$C$2:$C$36,"=d20270107"),"")</f>
      </c>
      <c r="BZ45" s="8">
        <f>IF((0=1),SUMIFS('Daily evaluations'!$E$2:$E$36,'Daily evaluations'!$B$2:$B$36,"=p04_analyst_revisions",'Daily evaluations'!$C$2:$C$36,"=d20270108"),"")</f>
      </c>
      <c r="CA45" s="8">
        <f>IF((0=1),SUMIFS('Daily evaluations'!$E$2:$E$36,'Daily evaluations'!$B$2:$B$36,"=p04_analyst_revisions",'Daily evaluations'!$C$2:$C$36,"=d20270111"),"")</f>
      </c>
      <c r="CB45" s="8">
        <f>IF((0=1),SUMIFS('Daily evaluations'!$E$2:$E$36,'Daily evaluations'!$B$2:$B$36,"=p04_analyst_revisions",'Daily evaluations'!$C$2:$C$36,"=d20270112"),"")</f>
      </c>
      <c r="CC45" s="8">
        <f>IF((0=1),SUMIFS('Daily evaluations'!$E$2:$E$36,'Daily evaluations'!$B$2:$B$36,"=p04_analyst_revisions",'Daily evaluations'!$C$2:$C$36,"=d20270113"),"")</f>
      </c>
      <c r="CD45" s="8">
        <f>IF((0=1),SUMIFS('Daily evaluations'!$E$2:$E$36,'Daily evaluations'!$B$2:$B$36,"=p04_analyst_revisions",'Daily evaluations'!$C$2:$C$36,"=d20270114"),"")</f>
      </c>
      <c r="CE45" s="8">
        <f>IF((0=1),SUMIFS('Daily evaluations'!$E$2:$E$36,'Daily evaluations'!$B$2:$B$36,"=p04_analyst_revisions",'Daily evaluations'!$C$2:$C$36,"=d20270115"),"")</f>
      </c>
      <c r="CF45" s="8">
        <f>IF((0=1),SUMIFS('Daily evaluations'!$E$2:$E$36,'Daily evaluations'!$B$2:$B$36,"=p04_analyst_revisions",'Daily evaluations'!$C$2:$C$36,"=d20270119"),"")</f>
      </c>
      <c r="CG45" s="8">
        <f>IF((0=1),SUMIFS('Daily evaluations'!$E$2:$E$36,'Daily evaluations'!$B$2:$B$36,"=p04_analyst_revisions",'Daily evaluations'!$C$2:$C$36,"=d20270120"),"")</f>
      </c>
      <c r="CH45" s="8">
        <f>IF((0=1),SUMIFS('Daily evaluations'!$E$2:$E$36,'Daily evaluations'!$B$2:$B$36,"=p04_analyst_revisions",'Daily evaluations'!$C$2:$C$36,"=d20270121"),"")</f>
      </c>
      <c r="CI45" s="8">
        <f>IF((0=1),SUMIFS('Daily evaluations'!$E$2:$E$36,'Daily evaluations'!$B$2:$B$36,"=p04_analyst_revisions",'Daily evaluations'!$C$2:$C$36,"=d20270122"),"")</f>
      </c>
      <c r="CJ45" s="8">
        <f>IF((0=1),SUMIFS('Daily evaluations'!$E$2:$E$36,'Daily evaluations'!$B$2:$B$36,"=p04_analyst_revisions",'Daily evaluations'!$C$2:$C$36,"=d20270125"),"")</f>
      </c>
      <c r="CK45" s="8">
        <f>IF((0=1),SUMIFS('Daily evaluations'!$E$2:$E$36,'Daily evaluations'!$B$2:$B$36,"=p04_analyst_revisions",'Daily evaluations'!$C$2:$C$36,"=d20270126"),"")</f>
      </c>
      <c r="CL45" s="8">
        <f>IF((0=1),SUMIFS('Daily evaluations'!$E$2:$E$36,'Daily evaluations'!$B$2:$B$36,"=p04_analyst_revisions",'Daily evaluations'!$C$2:$C$36,"=d20270127"),"")</f>
      </c>
      <c r="CM45" s="8">
        <f>IF((0=1),SUMIFS('Daily evaluations'!$E$2:$E$36,'Daily evaluations'!$B$2:$B$36,"=p04_analyst_revisions",'Daily evaluations'!$C$2:$C$36,"=d20270128"),"")</f>
      </c>
      <c r="CN45" s="8">
        <f>IF((0=1),SUMIFS('Daily evaluations'!$E$2:$E$36,'Daily evaluations'!$B$2:$B$36,"=p04_analyst_revisions",'Daily evaluations'!$C$2:$C$36,"=d20270129"),"")</f>
      </c>
      <c r="CO45" s="8">
        <f>IF((0=1),SUMIFS('Daily evaluations'!$E$2:$E$36,'Daily evaluations'!$B$2:$B$36,"=p04_analyst_revisions",'Daily evaluations'!$C$2:$C$36,"=d20270201"),"")</f>
      </c>
      <c r="CP45" s="8">
        <f>IF((0=1),SUMIFS('Daily evaluations'!$E$2:$E$36,'Daily evaluations'!$B$2:$B$36,"=p04_analyst_revisions",'Daily evaluations'!$C$2:$C$36,"=d20270202"),"")</f>
      </c>
      <c r="CQ45" s="8">
        <f>IF((0=1),SUMIFS('Daily evaluations'!$E$2:$E$36,'Daily evaluations'!$B$2:$B$36,"=p04_analyst_revisions",'Daily evaluations'!$C$2:$C$36,"=d20270203"),"")</f>
      </c>
      <c r="CR45" s="8">
        <f>IF((0=1),SUMIFS('Daily evaluations'!$E$2:$E$36,'Daily evaluations'!$B$2:$B$36,"=p04_analyst_revisions",'Daily evaluations'!$C$2:$C$36,"=d20270204"),"")</f>
      </c>
      <c r="CS45" s="8">
        <f>IF((0=1),SUMIFS('Daily evaluations'!$E$2:$E$36,'Daily evaluations'!$B$2:$B$36,"=p04_analyst_revisions",'Daily evaluations'!$C$2:$C$36,"=d20270205"),"")</f>
      </c>
      <c r="CT45" s="8">
        <f>IF((0=1),SUMIFS('Daily evaluations'!$E$2:$E$36,'Daily evaluations'!$B$2:$B$36,"=p04_analyst_revisions",'Daily evaluations'!$C$2:$C$36,"=d20270208"),"")</f>
      </c>
      <c r="CU45" s="8">
        <f>IF((0=1),SUMIFS('Daily evaluations'!$E$2:$E$36,'Daily evaluations'!$B$2:$B$36,"=p04_analyst_revisions",'Daily evaluations'!$C$2:$C$36,"=d20270209"),"")</f>
      </c>
      <c r="CV45" s="8">
        <f>IF((0=1),SUMIFS('Daily evaluations'!$E$2:$E$36,'Daily evaluations'!$B$2:$B$36,"=p04_analyst_revisions",'Daily evaluations'!$C$2:$C$36,"=d20270210"),"")</f>
      </c>
      <c r="CW45" s="8">
        <f>IF((0=1),SUMIFS('Daily evaluations'!$E$2:$E$36,'Daily evaluations'!$B$2:$B$36,"=p04_analyst_revisions",'Daily evaluations'!$C$2:$C$36,"=d20270211"),"")</f>
      </c>
      <c r="CX45" s="8">
        <f>IF((0=1),SUMIFS('Daily evaluations'!$E$2:$E$36,'Daily evaluations'!$B$2:$B$36,"=p04_analyst_revisions",'Daily evaluations'!$C$2:$C$36,"=d20270212"),"")</f>
      </c>
    </row>
    <row r="46">
      <c r="A46" s="0" t="inlineStr">
        <is>
          <t xml:space="preserve">Overnight excess vs universe, bps</t>
        </is>
      </c>
      <c r="B46" s="0" t="inlineStr">
        <is>
          <t xml:space="preserve">Clustered Insider Buying</t>
        </is>
      </c>
      <c r="C46" s="8">
        <f>IF((1=1),SUMIFS('Daily evaluations'!$E$2:$E$36,'Daily evaluations'!$B$2:$B$36,"=p05_insider_clusters",'Daily evaluations'!$C$2:$C$36,"=d20260922"),"")</f>
        <v>14.195</v>
      </c>
      <c r="D46" s="8">
        <f>IF((0=1),SUMIFS('Daily evaluations'!$E$2:$E$36,'Daily evaluations'!$B$2:$B$36,"=p05_insider_clusters",'Daily evaluations'!$C$2:$C$36,"=d20260923"),"")</f>
      </c>
      <c r="E46" s="8">
        <f>IF((0=1),SUMIFS('Daily evaluations'!$E$2:$E$36,'Daily evaluations'!$B$2:$B$36,"=p05_insider_clusters",'Daily evaluations'!$C$2:$C$36,"=d20260924"),"")</f>
      </c>
      <c r="F46" s="8">
        <f>IF((0=1),SUMIFS('Daily evaluations'!$E$2:$E$36,'Daily evaluations'!$B$2:$B$36,"=p05_insider_clusters",'Daily evaluations'!$C$2:$C$36,"=d20260925"),"")</f>
      </c>
      <c r="G46" s="8">
        <f>IF((0=1),SUMIFS('Daily evaluations'!$E$2:$E$36,'Daily evaluations'!$B$2:$B$36,"=p05_insider_clusters",'Daily evaluations'!$C$2:$C$36,"=d20260928"),"")</f>
      </c>
      <c r="H46" s="8">
        <f>IF((0=1),SUMIFS('Daily evaluations'!$E$2:$E$36,'Daily evaluations'!$B$2:$B$36,"=p05_insider_clusters",'Daily evaluations'!$C$2:$C$36,"=d20260929"),"")</f>
      </c>
      <c r="I46" s="8">
        <f>IF((0=1),SUMIFS('Daily evaluations'!$E$2:$E$36,'Daily evaluations'!$B$2:$B$36,"=p05_insider_clusters",'Daily evaluations'!$C$2:$C$36,"=d20260930"),"")</f>
      </c>
      <c r="J46" s="8">
        <f>IF((0=1),SUMIFS('Daily evaluations'!$E$2:$E$36,'Daily evaluations'!$B$2:$B$36,"=p05_insider_clusters",'Daily evaluations'!$C$2:$C$36,"=d20261001"),"")</f>
      </c>
      <c r="K46" s="8">
        <f>IF((0=1),SUMIFS('Daily evaluations'!$E$2:$E$36,'Daily evaluations'!$B$2:$B$36,"=p05_insider_clusters",'Daily evaluations'!$C$2:$C$36,"=d20261002"),"")</f>
      </c>
      <c r="L46" s="8">
        <f>IF((0=1),SUMIFS('Daily evaluations'!$E$2:$E$36,'Daily evaluations'!$B$2:$B$36,"=p05_insider_clusters",'Daily evaluations'!$C$2:$C$36,"=d20261005"),"")</f>
      </c>
      <c r="M46" s="8">
        <f>IF((0=1),SUMIFS('Daily evaluations'!$E$2:$E$36,'Daily evaluations'!$B$2:$B$36,"=p05_insider_clusters",'Daily evaluations'!$C$2:$C$36,"=d20261006"),"")</f>
      </c>
      <c r="N46" s="8">
        <f>IF((0=1),SUMIFS('Daily evaluations'!$E$2:$E$36,'Daily evaluations'!$B$2:$B$36,"=p05_insider_clusters",'Daily evaluations'!$C$2:$C$36,"=d20261007"),"")</f>
      </c>
      <c r="O46" s="8">
        <f>IF((0=1),SUMIFS('Daily evaluations'!$E$2:$E$36,'Daily evaluations'!$B$2:$B$36,"=p05_insider_clusters",'Daily evaluations'!$C$2:$C$36,"=d20261008"),"")</f>
      </c>
      <c r="P46" s="8">
        <f>IF((0=1),SUMIFS('Daily evaluations'!$E$2:$E$36,'Daily evaluations'!$B$2:$B$36,"=p05_insider_clusters",'Daily evaluations'!$C$2:$C$36,"=d20261009"),"")</f>
      </c>
      <c r="Q46" s="8">
        <f>IF((0=1),SUMIFS('Daily evaluations'!$E$2:$E$36,'Daily evaluations'!$B$2:$B$36,"=p05_insider_clusters",'Daily evaluations'!$C$2:$C$36,"=d20261012"),"")</f>
      </c>
      <c r="R46" s="8">
        <f>IF((0=1),SUMIFS('Daily evaluations'!$E$2:$E$36,'Daily evaluations'!$B$2:$B$36,"=p05_insider_clusters",'Daily evaluations'!$C$2:$C$36,"=d20261013"),"")</f>
      </c>
      <c r="S46" s="8">
        <f>IF((0=1),SUMIFS('Daily evaluations'!$E$2:$E$36,'Daily evaluations'!$B$2:$B$36,"=p05_insider_clusters",'Daily evaluations'!$C$2:$C$36,"=d20261014"),"")</f>
      </c>
      <c r="T46" s="8">
        <f>IF((0=1),SUMIFS('Daily evaluations'!$E$2:$E$36,'Daily evaluations'!$B$2:$B$36,"=p05_insider_clusters",'Daily evaluations'!$C$2:$C$36,"=d20261015"),"")</f>
      </c>
      <c r="U46" s="8">
        <f>IF((0=1),SUMIFS('Daily evaluations'!$E$2:$E$36,'Daily evaluations'!$B$2:$B$36,"=p05_insider_clusters",'Daily evaluations'!$C$2:$C$36,"=d20261016"),"")</f>
      </c>
      <c r="V46" s="8">
        <f>IF((0=1),SUMIFS('Daily evaluations'!$E$2:$E$36,'Daily evaluations'!$B$2:$B$36,"=p05_insider_clusters",'Daily evaluations'!$C$2:$C$36,"=d20261019"),"")</f>
      </c>
      <c r="W46" s="8">
        <f>IF((0=1),SUMIFS('Daily evaluations'!$E$2:$E$36,'Daily evaluations'!$B$2:$B$36,"=p05_insider_clusters",'Daily evaluations'!$C$2:$C$36,"=d20261020"),"")</f>
      </c>
      <c r="X46" s="8">
        <f>IF((0=1),SUMIFS('Daily evaluations'!$E$2:$E$36,'Daily evaluations'!$B$2:$B$36,"=p05_insider_clusters",'Daily evaluations'!$C$2:$C$36,"=d20261021"),"")</f>
      </c>
      <c r="Y46" s="8">
        <f>IF((0=1),SUMIFS('Daily evaluations'!$E$2:$E$36,'Daily evaluations'!$B$2:$B$36,"=p05_insider_clusters",'Daily evaluations'!$C$2:$C$36,"=d20261022"),"")</f>
      </c>
      <c r="Z46" s="8">
        <f>IF((0=1),SUMIFS('Daily evaluations'!$E$2:$E$36,'Daily evaluations'!$B$2:$B$36,"=p05_insider_clusters",'Daily evaluations'!$C$2:$C$36,"=d20261023"),"")</f>
      </c>
      <c r="AA46" s="8">
        <f>IF((0=1),SUMIFS('Daily evaluations'!$E$2:$E$36,'Daily evaluations'!$B$2:$B$36,"=p05_insider_clusters",'Daily evaluations'!$C$2:$C$36,"=d20261026"),"")</f>
      </c>
      <c r="AB46" s="8">
        <f>IF((0=1),SUMIFS('Daily evaluations'!$E$2:$E$36,'Daily evaluations'!$B$2:$B$36,"=p05_insider_clusters",'Daily evaluations'!$C$2:$C$36,"=d20261027"),"")</f>
      </c>
      <c r="AC46" s="8">
        <f>IF((0=1),SUMIFS('Daily evaluations'!$E$2:$E$36,'Daily evaluations'!$B$2:$B$36,"=p05_insider_clusters",'Daily evaluations'!$C$2:$C$36,"=d20261028"),"")</f>
      </c>
      <c r="AD46" s="8">
        <f>IF((0=1),SUMIFS('Daily evaluations'!$E$2:$E$36,'Daily evaluations'!$B$2:$B$36,"=p05_insider_clusters",'Daily evaluations'!$C$2:$C$36,"=d20261029"),"")</f>
      </c>
      <c r="AE46" s="8">
        <f>IF((0=1),SUMIFS('Daily evaluations'!$E$2:$E$36,'Daily evaluations'!$B$2:$B$36,"=p05_insider_clusters",'Daily evaluations'!$C$2:$C$36,"=d20261030"),"")</f>
      </c>
      <c r="AF46" s="8">
        <f>IF((0=1),SUMIFS('Daily evaluations'!$E$2:$E$36,'Daily evaluations'!$B$2:$B$36,"=p05_insider_clusters",'Daily evaluations'!$C$2:$C$36,"=d20261102"),"")</f>
      </c>
      <c r="AG46" s="8">
        <f>IF((0=1),SUMIFS('Daily evaluations'!$E$2:$E$36,'Daily evaluations'!$B$2:$B$36,"=p05_insider_clusters",'Daily evaluations'!$C$2:$C$36,"=d20261103"),"")</f>
      </c>
      <c r="AH46" s="8">
        <f>IF((0=1),SUMIFS('Daily evaluations'!$E$2:$E$36,'Daily evaluations'!$B$2:$B$36,"=p05_insider_clusters",'Daily evaluations'!$C$2:$C$36,"=d20261104"),"")</f>
      </c>
      <c r="AI46" s="8">
        <f>IF((0=1),SUMIFS('Daily evaluations'!$E$2:$E$36,'Daily evaluations'!$B$2:$B$36,"=p05_insider_clusters",'Daily evaluations'!$C$2:$C$36,"=d20261105"),"")</f>
      </c>
      <c r="AJ46" s="8">
        <f>IF((0=1),SUMIFS('Daily evaluations'!$E$2:$E$36,'Daily evaluations'!$B$2:$B$36,"=p05_insider_clusters",'Daily evaluations'!$C$2:$C$36,"=d20261106"),"")</f>
      </c>
      <c r="AK46" s="8">
        <f>IF((0=1),SUMIFS('Daily evaluations'!$E$2:$E$36,'Daily evaluations'!$B$2:$B$36,"=p05_insider_clusters",'Daily evaluations'!$C$2:$C$36,"=d20261109"),"")</f>
      </c>
      <c r="AL46" s="8">
        <f>IF((0=1),SUMIFS('Daily evaluations'!$E$2:$E$36,'Daily evaluations'!$B$2:$B$36,"=p05_insider_clusters",'Daily evaluations'!$C$2:$C$36,"=d20261110"),"")</f>
      </c>
      <c r="AM46" s="8">
        <f>IF((0=1),SUMIFS('Daily evaluations'!$E$2:$E$36,'Daily evaluations'!$B$2:$B$36,"=p05_insider_clusters",'Daily evaluations'!$C$2:$C$36,"=d20261111"),"")</f>
      </c>
      <c r="AN46" s="8">
        <f>IF((0=1),SUMIFS('Daily evaluations'!$E$2:$E$36,'Daily evaluations'!$B$2:$B$36,"=p05_insider_clusters",'Daily evaluations'!$C$2:$C$36,"=d20261112"),"")</f>
      </c>
      <c r="AO46" s="8">
        <f>IF((0=1),SUMIFS('Daily evaluations'!$E$2:$E$36,'Daily evaluations'!$B$2:$B$36,"=p05_insider_clusters",'Daily evaluations'!$C$2:$C$36,"=d20261113"),"")</f>
      </c>
      <c r="AP46" s="8">
        <f>IF((0=1),SUMIFS('Daily evaluations'!$E$2:$E$36,'Daily evaluations'!$B$2:$B$36,"=p05_insider_clusters",'Daily evaluations'!$C$2:$C$36,"=d20261116"),"")</f>
      </c>
      <c r="AQ46" s="8">
        <f>IF((0=1),SUMIFS('Daily evaluations'!$E$2:$E$36,'Daily evaluations'!$B$2:$B$36,"=p05_insider_clusters",'Daily evaluations'!$C$2:$C$36,"=d20261117"),"")</f>
      </c>
      <c r="AR46" s="8">
        <f>IF((0=1),SUMIFS('Daily evaluations'!$E$2:$E$36,'Daily evaluations'!$B$2:$B$36,"=p05_insider_clusters",'Daily evaluations'!$C$2:$C$36,"=d20261118"),"")</f>
      </c>
      <c r="AS46" s="8">
        <f>IF((0=1),SUMIFS('Daily evaluations'!$E$2:$E$36,'Daily evaluations'!$B$2:$B$36,"=p05_insider_clusters",'Daily evaluations'!$C$2:$C$36,"=d20261119"),"")</f>
      </c>
      <c r="AT46" s="8">
        <f>IF((0=1),SUMIFS('Daily evaluations'!$E$2:$E$36,'Daily evaluations'!$B$2:$B$36,"=p05_insider_clusters",'Daily evaluations'!$C$2:$C$36,"=d20261120"),"")</f>
      </c>
      <c r="AU46" s="8">
        <f>IF((0=1),SUMIFS('Daily evaluations'!$E$2:$E$36,'Daily evaluations'!$B$2:$B$36,"=p05_insider_clusters",'Daily evaluations'!$C$2:$C$36,"=d20261123"),"")</f>
      </c>
      <c r="AV46" s="8">
        <f>IF((0=1),SUMIFS('Daily evaluations'!$E$2:$E$36,'Daily evaluations'!$B$2:$B$36,"=p05_insider_clusters",'Daily evaluations'!$C$2:$C$36,"=d20261124"),"")</f>
      </c>
      <c r="AW46" s="8">
        <f>IF((0=1),SUMIFS('Daily evaluations'!$E$2:$E$36,'Daily evaluations'!$B$2:$B$36,"=p05_insider_clusters",'Daily evaluations'!$C$2:$C$36,"=d20261125"),"")</f>
      </c>
      <c r="AX46" s="8">
        <f>IF((0=1),SUMIFS('Daily evaluations'!$E$2:$E$36,'Daily evaluations'!$B$2:$B$36,"=p05_insider_clusters",'Daily evaluations'!$C$2:$C$36,"=d20261127"),"")</f>
      </c>
      <c r="AY46" s="8">
        <f>IF((0=1),SUMIFS('Daily evaluations'!$E$2:$E$36,'Daily evaluations'!$B$2:$B$36,"=p05_insider_clusters",'Daily evaluations'!$C$2:$C$36,"=d20261130"),"")</f>
      </c>
      <c r="AZ46" s="8">
        <f>IF((0=1),SUMIFS('Daily evaluations'!$E$2:$E$36,'Daily evaluations'!$B$2:$B$36,"=p05_insider_clusters",'Daily evaluations'!$C$2:$C$36,"=d20261201"),"")</f>
      </c>
      <c r="BA46" s="8">
        <f>IF((0=1),SUMIFS('Daily evaluations'!$E$2:$E$36,'Daily evaluations'!$B$2:$B$36,"=p05_insider_clusters",'Daily evaluations'!$C$2:$C$36,"=d20261202"),"")</f>
      </c>
      <c r="BB46" s="8">
        <f>IF((0=1),SUMIFS('Daily evaluations'!$E$2:$E$36,'Daily evaluations'!$B$2:$B$36,"=p05_insider_clusters",'Daily evaluations'!$C$2:$C$36,"=d20261203"),"")</f>
      </c>
      <c r="BC46" s="8">
        <f>IF((0=1),SUMIFS('Daily evaluations'!$E$2:$E$36,'Daily evaluations'!$B$2:$B$36,"=p05_insider_clusters",'Daily evaluations'!$C$2:$C$36,"=d20261204"),"")</f>
      </c>
      <c r="BD46" s="8">
        <f>IF((0=1),SUMIFS('Daily evaluations'!$E$2:$E$36,'Daily evaluations'!$B$2:$B$36,"=p05_insider_clusters",'Daily evaluations'!$C$2:$C$36,"=d20261207"),"")</f>
      </c>
      <c r="BE46" s="8">
        <f>IF((0=1),SUMIFS('Daily evaluations'!$E$2:$E$36,'Daily evaluations'!$B$2:$B$36,"=p05_insider_clusters",'Daily evaluations'!$C$2:$C$36,"=d20261208"),"")</f>
      </c>
      <c r="BF46" s="8">
        <f>IF((0=1),SUMIFS('Daily evaluations'!$E$2:$E$36,'Daily evaluations'!$B$2:$B$36,"=p05_insider_clusters",'Daily evaluations'!$C$2:$C$36,"=d20261209"),"")</f>
      </c>
      <c r="BG46" s="8">
        <f>IF((0=1),SUMIFS('Daily evaluations'!$E$2:$E$36,'Daily evaluations'!$B$2:$B$36,"=p05_insider_clusters",'Daily evaluations'!$C$2:$C$36,"=d20261210"),"")</f>
      </c>
      <c r="BH46" s="8">
        <f>IF((0=1),SUMIFS('Daily evaluations'!$E$2:$E$36,'Daily evaluations'!$B$2:$B$36,"=p05_insider_clusters",'Daily evaluations'!$C$2:$C$36,"=d20261211"),"")</f>
      </c>
      <c r="BI46" s="8">
        <f>IF((0=1),SUMIFS('Daily evaluations'!$E$2:$E$36,'Daily evaluations'!$B$2:$B$36,"=p05_insider_clusters",'Daily evaluations'!$C$2:$C$36,"=d20261214"),"")</f>
      </c>
      <c r="BJ46" s="8">
        <f>IF((0=1),SUMIFS('Daily evaluations'!$E$2:$E$36,'Daily evaluations'!$B$2:$B$36,"=p05_insider_clusters",'Daily evaluations'!$C$2:$C$36,"=d20261215"),"")</f>
      </c>
      <c r="BK46" s="8">
        <f>IF((0=1),SUMIFS('Daily evaluations'!$E$2:$E$36,'Daily evaluations'!$B$2:$B$36,"=p05_insider_clusters",'Daily evaluations'!$C$2:$C$36,"=d20261216"),"")</f>
      </c>
      <c r="BL46" s="8">
        <f>IF((0=1),SUMIFS('Daily evaluations'!$E$2:$E$36,'Daily evaluations'!$B$2:$B$36,"=p05_insider_clusters",'Daily evaluations'!$C$2:$C$36,"=d20261217"),"")</f>
      </c>
      <c r="BM46" s="8">
        <f>IF((0=1),SUMIFS('Daily evaluations'!$E$2:$E$36,'Daily evaluations'!$B$2:$B$36,"=p05_insider_clusters",'Daily evaluations'!$C$2:$C$36,"=d20261218"),"")</f>
      </c>
      <c r="BN46" s="8">
        <f>IF((0=1),SUMIFS('Daily evaluations'!$E$2:$E$36,'Daily evaluations'!$B$2:$B$36,"=p05_insider_clusters",'Daily evaluations'!$C$2:$C$36,"=d20261221"),"")</f>
      </c>
      <c r="BO46" s="8">
        <f>IF((0=1),SUMIFS('Daily evaluations'!$E$2:$E$36,'Daily evaluations'!$B$2:$B$36,"=p05_insider_clusters",'Daily evaluations'!$C$2:$C$36,"=d20261222"),"")</f>
      </c>
      <c r="BP46" s="8">
        <f>IF((0=1),SUMIFS('Daily evaluations'!$E$2:$E$36,'Daily evaluations'!$B$2:$B$36,"=p05_insider_clusters",'Daily evaluations'!$C$2:$C$36,"=d20261223"),"")</f>
      </c>
      <c r="BQ46" s="8">
        <f>IF((0=1),SUMIFS('Daily evaluations'!$E$2:$E$36,'Daily evaluations'!$B$2:$B$36,"=p05_insider_clusters",'Daily evaluations'!$C$2:$C$36,"=d20261224"),"")</f>
      </c>
      <c r="BR46" s="8">
        <f>IF((0=1),SUMIFS('Daily evaluations'!$E$2:$E$36,'Daily evaluations'!$B$2:$B$36,"=p05_insider_clusters",'Daily evaluations'!$C$2:$C$36,"=d20261228"),"")</f>
      </c>
      <c r="BS46" s="8">
        <f>IF((0=1),SUMIFS('Daily evaluations'!$E$2:$E$36,'Daily evaluations'!$B$2:$B$36,"=p05_insider_clusters",'Daily evaluations'!$C$2:$C$36,"=d20261229"),"")</f>
      </c>
      <c r="BT46" s="8">
        <f>IF((0=1),SUMIFS('Daily evaluations'!$E$2:$E$36,'Daily evaluations'!$B$2:$B$36,"=p05_insider_clusters",'Daily evaluations'!$C$2:$C$36,"=d20261230"),"")</f>
      </c>
      <c r="BU46" s="8">
        <f>IF((0=1),SUMIFS('Daily evaluations'!$E$2:$E$36,'Daily evaluations'!$B$2:$B$36,"=p05_insider_clusters",'Daily evaluations'!$C$2:$C$36,"=d20261231"),"")</f>
      </c>
      <c r="BV46" s="8">
        <f>IF((0=1),SUMIFS('Daily evaluations'!$E$2:$E$36,'Daily evaluations'!$B$2:$B$36,"=p05_insider_clusters",'Daily evaluations'!$C$2:$C$36,"=d20270104"),"")</f>
      </c>
      <c r="BW46" s="8">
        <f>IF((0=1),SUMIFS('Daily evaluations'!$E$2:$E$36,'Daily evaluations'!$B$2:$B$36,"=p05_insider_clusters",'Daily evaluations'!$C$2:$C$36,"=d20270105"),"")</f>
      </c>
      <c r="BX46" s="8">
        <f>IF((0=1),SUMIFS('Daily evaluations'!$E$2:$E$36,'Daily evaluations'!$B$2:$B$36,"=p05_insider_clusters",'Daily evaluations'!$C$2:$C$36,"=d20270106"),"")</f>
      </c>
      <c r="BY46" s="8">
        <f>IF((0=1),SUMIFS('Daily evaluations'!$E$2:$E$36,'Daily evaluations'!$B$2:$B$36,"=p05_insider_clusters",'Daily evaluations'!$C$2:$C$36,"=d20270107"),"")</f>
      </c>
      <c r="BZ46" s="8">
        <f>IF((0=1),SUMIFS('Daily evaluations'!$E$2:$E$36,'Daily evaluations'!$B$2:$B$36,"=p05_insider_clusters",'Daily evaluations'!$C$2:$C$36,"=d20270108"),"")</f>
      </c>
      <c r="CA46" s="8">
        <f>IF((0=1),SUMIFS('Daily evaluations'!$E$2:$E$36,'Daily evaluations'!$B$2:$B$36,"=p05_insider_clusters",'Daily evaluations'!$C$2:$C$36,"=d20270111"),"")</f>
      </c>
      <c r="CB46" s="8">
        <f>IF((0=1),SUMIFS('Daily evaluations'!$E$2:$E$36,'Daily evaluations'!$B$2:$B$36,"=p05_insider_clusters",'Daily evaluations'!$C$2:$C$36,"=d20270112"),"")</f>
      </c>
      <c r="CC46" s="8">
        <f>IF((0=1),SUMIFS('Daily evaluations'!$E$2:$E$36,'Daily evaluations'!$B$2:$B$36,"=p05_insider_clusters",'Daily evaluations'!$C$2:$C$36,"=d20270113"),"")</f>
      </c>
      <c r="CD46" s="8">
        <f>IF((0=1),SUMIFS('Daily evaluations'!$E$2:$E$36,'Daily evaluations'!$B$2:$B$36,"=p05_insider_clusters",'Daily evaluations'!$C$2:$C$36,"=d20270114"),"")</f>
      </c>
      <c r="CE46" s="8">
        <f>IF((0=1),SUMIFS('Daily evaluations'!$E$2:$E$36,'Daily evaluations'!$B$2:$B$36,"=p05_insider_clusters",'Daily evaluations'!$C$2:$C$36,"=d20270115"),"")</f>
      </c>
      <c r="CF46" s="8">
        <f>IF((0=1),SUMIFS('Daily evaluations'!$E$2:$E$36,'Daily evaluations'!$B$2:$B$36,"=p05_insider_clusters",'Daily evaluations'!$C$2:$C$36,"=d20270119"),"")</f>
      </c>
      <c r="CG46" s="8">
        <f>IF((0=1),SUMIFS('Daily evaluations'!$E$2:$E$36,'Daily evaluations'!$B$2:$B$36,"=p05_insider_clusters",'Daily evaluations'!$C$2:$C$36,"=d20270120"),"")</f>
      </c>
      <c r="CH46" s="8">
        <f>IF((0=1),SUMIFS('Daily evaluations'!$E$2:$E$36,'Daily evaluations'!$B$2:$B$36,"=p05_insider_clusters",'Daily evaluations'!$C$2:$C$36,"=d20270121"),"")</f>
      </c>
      <c r="CI46" s="8">
        <f>IF((0=1),SUMIFS('Daily evaluations'!$E$2:$E$36,'Daily evaluations'!$B$2:$B$36,"=p05_insider_clusters",'Daily evaluations'!$C$2:$C$36,"=d20270122"),"")</f>
      </c>
      <c r="CJ46" s="8">
        <f>IF((0=1),SUMIFS('Daily evaluations'!$E$2:$E$36,'Daily evaluations'!$B$2:$B$36,"=p05_insider_clusters",'Daily evaluations'!$C$2:$C$36,"=d20270125"),"")</f>
      </c>
      <c r="CK46" s="8">
        <f>IF((0=1),SUMIFS('Daily evaluations'!$E$2:$E$36,'Daily evaluations'!$B$2:$B$36,"=p05_insider_clusters",'Daily evaluations'!$C$2:$C$36,"=d20270126"),"")</f>
      </c>
      <c r="CL46" s="8">
        <f>IF((0=1),SUMIFS('Daily evaluations'!$E$2:$E$36,'Daily evaluations'!$B$2:$B$36,"=p05_insider_clusters",'Daily evaluations'!$C$2:$C$36,"=d20270127"),"")</f>
      </c>
      <c r="CM46" s="8">
        <f>IF((0=1),SUMIFS('Daily evaluations'!$E$2:$E$36,'Daily evaluations'!$B$2:$B$36,"=p05_insider_clusters",'Daily evaluations'!$C$2:$C$36,"=d20270128"),"")</f>
      </c>
      <c r="CN46" s="8">
        <f>IF((0=1),SUMIFS('Daily evaluations'!$E$2:$E$36,'Daily evaluations'!$B$2:$B$36,"=p05_insider_clusters",'Daily evaluations'!$C$2:$C$36,"=d20270129"),"")</f>
      </c>
      <c r="CO46" s="8">
        <f>IF((0=1),SUMIFS('Daily evaluations'!$E$2:$E$36,'Daily evaluations'!$B$2:$B$36,"=p05_insider_clusters",'Daily evaluations'!$C$2:$C$36,"=d20270201"),"")</f>
      </c>
      <c r="CP46" s="8">
        <f>IF((0=1),SUMIFS('Daily evaluations'!$E$2:$E$36,'Daily evaluations'!$B$2:$B$36,"=p05_insider_clusters",'Daily evaluations'!$C$2:$C$36,"=d20270202"),"")</f>
      </c>
      <c r="CQ46" s="8">
        <f>IF((0=1),SUMIFS('Daily evaluations'!$E$2:$E$36,'Daily evaluations'!$B$2:$B$36,"=p05_insider_clusters",'Daily evaluations'!$C$2:$C$36,"=d20270203"),"")</f>
      </c>
      <c r="CR46" s="8">
        <f>IF((0=1),SUMIFS('Daily evaluations'!$E$2:$E$36,'Daily evaluations'!$B$2:$B$36,"=p05_insider_clusters",'Daily evaluations'!$C$2:$C$36,"=d20270204"),"")</f>
      </c>
      <c r="CS46" s="8">
        <f>IF((0=1),SUMIFS('Daily evaluations'!$E$2:$E$36,'Daily evaluations'!$B$2:$B$36,"=p05_insider_clusters",'Daily evaluations'!$C$2:$C$36,"=d20270205"),"")</f>
      </c>
      <c r="CT46" s="8">
        <f>IF((0=1),SUMIFS('Daily evaluations'!$E$2:$E$36,'Daily evaluations'!$B$2:$B$36,"=p05_insider_clusters",'Daily evaluations'!$C$2:$C$36,"=d20270208"),"")</f>
      </c>
      <c r="CU46" s="8">
        <f>IF((0=1),SUMIFS('Daily evaluations'!$E$2:$E$36,'Daily evaluations'!$B$2:$B$36,"=p05_insider_clusters",'Daily evaluations'!$C$2:$C$36,"=d20270209"),"")</f>
      </c>
      <c r="CV46" s="8">
        <f>IF((0=1),SUMIFS('Daily evaluations'!$E$2:$E$36,'Daily evaluations'!$B$2:$B$36,"=p05_insider_clusters",'Daily evaluations'!$C$2:$C$36,"=d20270210"),"")</f>
      </c>
      <c r="CW46" s="8">
        <f>IF((0=1),SUMIFS('Daily evaluations'!$E$2:$E$36,'Daily evaluations'!$B$2:$B$36,"=p05_insider_clusters",'Daily evaluations'!$C$2:$C$36,"=d20270211"),"")</f>
      </c>
      <c r="CX46" s="8">
        <f>IF((0=1),SUMIFS('Daily evaluations'!$E$2:$E$36,'Daily evaluations'!$B$2:$B$36,"=p05_insider_clusters",'Daily evaluations'!$C$2:$C$36,"=d20270212"),"")</f>
      </c>
    </row>
    <row r="47">
      <c r="A47" s="0" t="inlineStr">
        <is>
          <t xml:space="preserve">Overnight excess vs universe, bps</t>
        </is>
      </c>
      <c r="B47" s="0" t="inlineStr">
        <is>
          <t xml:space="preserve">Same-Month Seasonality</t>
        </is>
      </c>
      <c r="C47" s="8">
        <f>IF((1=1),SUMIFS('Daily evaluations'!$E$2:$E$36,'Daily evaluations'!$B$2:$B$36,"=p06_seasonality",'Daily evaluations'!$C$2:$C$36,"=d20260922"),"")</f>
        <v>-8.298</v>
      </c>
      <c r="D47" s="8">
        <f>IF((0=1),SUMIFS('Daily evaluations'!$E$2:$E$36,'Daily evaluations'!$B$2:$B$36,"=p06_seasonality",'Daily evaluations'!$C$2:$C$36,"=d20260923"),"")</f>
      </c>
      <c r="E47" s="8">
        <f>IF((0=1),SUMIFS('Daily evaluations'!$E$2:$E$36,'Daily evaluations'!$B$2:$B$36,"=p06_seasonality",'Daily evaluations'!$C$2:$C$36,"=d20260924"),"")</f>
      </c>
      <c r="F47" s="8">
        <f>IF((0=1),SUMIFS('Daily evaluations'!$E$2:$E$36,'Daily evaluations'!$B$2:$B$36,"=p06_seasonality",'Daily evaluations'!$C$2:$C$36,"=d20260925"),"")</f>
      </c>
      <c r="G47" s="8">
        <f>IF((0=1),SUMIFS('Daily evaluations'!$E$2:$E$36,'Daily evaluations'!$B$2:$B$36,"=p06_seasonality",'Daily evaluations'!$C$2:$C$36,"=d20260928"),"")</f>
      </c>
      <c r="H47" s="8">
        <f>IF((0=1),SUMIFS('Daily evaluations'!$E$2:$E$36,'Daily evaluations'!$B$2:$B$36,"=p06_seasonality",'Daily evaluations'!$C$2:$C$36,"=d20260929"),"")</f>
      </c>
      <c r="I47" s="8">
        <f>IF((0=1),SUMIFS('Daily evaluations'!$E$2:$E$36,'Daily evaluations'!$B$2:$B$36,"=p06_seasonality",'Daily evaluations'!$C$2:$C$36,"=d20260930"),"")</f>
      </c>
      <c r="J47" s="8">
        <f>IF((0=1),SUMIFS('Daily evaluations'!$E$2:$E$36,'Daily evaluations'!$B$2:$B$36,"=p06_seasonality",'Daily evaluations'!$C$2:$C$36,"=d20261001"),"")</f>
      </c>
      <c r="K47" s="8">
        <f>IF((0=1),SUMIFS('Daily evaluations'!$E$2:$E$36,'Daily evaluations'!$B$2:$B$36,"=p06_seasonality",'Daily evaluations'!$C$2:$C$36,"=d20261002"),"")</f>
      </c>
      <c r="L47" s="8">
        <f>IF((0=1),SUMIFS('Daily evaluations'!$E$2:$E$36,'Daily evaluations'!$B$2:$B$36,"=p06_seasonality",'Daily evaluations'!$C$2:$C$36,"=d20261005"),"")</f>
      </c>
      <c r="M47" s="8">
        <f>IF((0=1),SUMIFS('Daily evaluations'!$E$2:$E$36,'Daily evaluations'!$B$2:$B$36,"=p06_seasonality",'Daily evaluations'!$C$2:$C$36,"=d20261006"),"")</f>
      </c>
      <c r="N47" s="8">
        <f>IF((0=1),SUMIFS('Daily evaluations'!$E$2:$E$36,'Daily evaluations'!$B$2:$B$36,"=p06_seasonality",'Daily evaluations'!$C$2:$C$36,"=d20261007"),"")</f>
      </c>
      <c r="O47" s="8">
        <f>IF((0=1),SUMIFS('Daily evaluations'!$E$2:$E$36,'Daily evaluations'!$B$2:$B$36,"=p06_seasonality",'Daily evaluations'!$C$2:$C$36,"=d20261008"),"")</f>
      </c>
      <c r="P47" s="8">
        <f>IF((0=1),SUMIFS('Daily evaluations'!$E$2:$E$36,'Daily evaluations'!$B$2:$B$36,"=p06_seasonality",'Daily evaluations'!$C$2:$C$36,"=d20261009"),"")</f>
      </c>
      <c r="Q47" s="8">
        <f>IF((0=1),SUMIFS('Daily evaluations'!$E$2:$E$36,'Daily evaluations'!$B$2:$B$36,"=p06_seasonality",'Daily evaluations'!$C$2:$C$36,"=d20261012"),"")</f>
      </c>
      <c r="R47" s="8">
        <f>IF((0=1),SUMIFS('Daily evaluations'!$E$2:$E$36,'Daily evaluations'!$B$2:$B$36,"=p06_seasonality",'Daily evaluations'!$C$2:$C$36,"=d20261013"),"")</f>
      </c>
      <c r="S47" s="8">
        <f>IF((0=1),SUMIFS('Daily evaluations'!$E$2:$E$36,'Daily evaluations'!$B$2:$B$36,"=p06_seasonality",'Daily evaluations'!$C$2:$C$36,"=d20261014"),"")</f>
      </c>
      <c r="T47" s="8">
        <f>IF((0=1),SUMIFS('Daily evaluations'!$E$2:$E$36,'Daily evaluations'!$B$2:$B$36,"=p06_seasonality",'Daily evaluations'!$C$2:$C$36,"=d20261015"),"")</f>
      </c>
      <c r="U47" s="8">
        <f>IF((0=1),SUMIFS('Daily evaluations'!$E$2:$E$36,'Daily evaluations'!$B$2:$B$36,"=p06_seasonality",'Daily evaluations'!$C$2:$C$36,"=d20261016"),"")</f>
      </c>
      <c r="V47" s="8">
        <f>IF((0=1),SUMIFS('Daily evaluations'!$E$2:$E$36,'Daily evaluations'!$B$2:$B$36,"=p06_seasonality",'Daily evaluations'!$C$2:$C$36,"=d20261019"),"")</f>
      </c>
      <c r="W47" s="8">
        <f>IF((0=1),SUMIFS('Daily evaluations'!$E$2:$E$36,'Daily evaluations'!$B$2:$B$36,"=p06_seasonality",'Daily evaluations'!$C$2:$C$36,"=d20261020"),"")</f>
      </c>
      <c r="X47" s="8">
        <f>IF((0=1),SUMIFS('Daily evaluations'!$E$2:$E$36,'Daily evaluations'!$B$2:$B$36,"=p06_seasonality",'Daily evaluations'!$C$2:$C$36,"=d20261021"),"")</f>
      </c>
      <c r="Y47" s="8">
        <f>IF((0=1),SUMIFS('Daily evaluations'!$E$2:$E$36,'Daily evaluations'!$B$2:$B$36,"=p06_seasonality",'Daily evaluations'!$C$2:$C$36,"=d20261022"),"")</f>
      </c>
      <c r="Z47" s="8">
        <f>IF((0=1),SUMIFS('Daily evaluations'!$E$2:$E$36,'Daily evaluations'!$B$2:$B$36,"=p06_seasonality",'Daily evaluations'!$C$2:$C$36,"=d20261023"),"")</f>
      </c>
      <c r="AA47" s="8">
        <f>IF((0=1),SUMIFS('Daily evaluations'!$E$2:$E$36,'Daily evaluations'!$B$2:$B$36,"=p06_seasonality",'Daily evaluations'!$C$2:$C$36,"=d20261026"),"")</f>
      </c>
      <c r="AB47" s="8">
        <f>IF((0=1),SUMIFS('Daily evaluations'!$E$2:$E$36,'Daily evaluations'!$B$2:$B$36,"=p06_seasonality",'Daily evaluations'!$C$2:$C$36,"=d20261027"),"")</f>
      </c>
      <c r="AC47" s="8">
        <f>IF((0=1),SUMIFS('Daily evaluations'!$E$2:$E$36,'Daily evaluations'!$B$2:$B$36,"=p06_seasonality",'Daily evaluations'!$C$2:$C$36,"=d20261028"),"")</f>
      </c>
      <c r="AD47" s="8">
        <f>IF((0=1),SUMIFS('Daily evaluations'!$E$2:$E$36,'Daily evaluations'!$B$2:$B$36,"=p06_seasonality",'Daily evaluations'!$C$2:$C$36,"=d20261029"),"")</f>
      </c>
      <c r="AE47" s="8">
        <f>IF((0=1),SUMIFS('Daily evaluations'!$E$2:$E$36,'Daily evaluations'!$B$2:$B$36,"=p06_seasonality",'Daily evaluations'!$C$2:$C$36,"=d20261030"),"")</f>
      </c>
      <c r="AF47" s="8">
        <f>IF((0=1),SUMIFS('Daily evaluations'!$E$2:$E$36,'Daily evaluations'!$B$2:$B$36,"=p06_seasonality",'Daily evaluations'!$C$2:$C$36,"=d20261102"),"")</f>
      </c>
      <c r="AG47" s="8">
        <f>IF((0=1),SUMIFS('Daily evaluations'!$E$2:$E$36,'Daily evaluations'!$B$2:$B$36,"=p06_seasonality",'Daily evaluations'!$C$2:$C$36,"=d20261103"),"")</f>
      </c>
      <c r="AH47" s="8">
        <f>IF((0=1),SUMIFS('Daily evaluations'!$E$2:$E$36,'Daily evaluations'!$B$2:$B$36,"=p06_seasonality",'Daily evaluations'!$C$2:$C$36,"=d20261104"),"")</f>
      </c>
      <c r="AI47" s="8">
        <f>IF((0=1),SUMIFS('Daily evaluations'!$E$2:$E$36,'Daily evaluations'!$B$2:$B$36,"=p06_seasonality",'Daily evaluations'!$C$2:$C$36,"=d20261105"),"")</f>
      </c>
      <c r="AJ47" s="8">
        <f>IF((0=1),SUMIFS('Daily evaluations'!$E$2:$E$36,'Daily evaluations'!$B$2:$B$36,"=p06_seasonality",'Daily evaluations'!$C$2:$C$36,"=d20261106"),"")</f>
      </c>
      <c r="AK47" s="8">
        <f>IF((0=1),SUMIFS('Daily evaluations'!$E$2:$E$36,'Daily evaluations'!$B$2:$B$36,"=p06_seasonality",'Daily evaluations'!$C$2:$C$36,"=d20261109"),"")</f>
      </c>
      <c r="AL47" s="8">
        <f>IF((0=1),SUMIFS('Daily evaluations'!$E$2:$E$36,'Daily evaluations'!$B$2:$B$36,"=p06_seasonality",'Daily evaluations'!$C$2:$C$36,"=d20261110"),"")</f>
      </c>
      <c r="AM47" s="8">
        <f>IF((0=1),SUMIFS('Daily evaluations'!$E$2:$E$36,'Daily evaluations'!$B$2:$B$36,"=p06_seasonality",'Daily evaluations'!$C$2:$C$36,"=d20261111"),"")</f>
      </c>
      <c r="AN47" s="8">
        <f>IF((0=1),SUMIFS('Daily evaluations'!$E$2:$E$36,'Daily evaluations'!$B$2:$B$36,"=p06_seasonality",'Daily evaluations'!$C$2:$C$36,"=d20261112"),"")</f>
      </c>
      <c r="AO47" s="8">
        <f>IF((0=1),SUMIFS('Daily evaluations'!$E$2:$E$36,'Daily evaluations'!$B$2:$B$36,"=p06_seasonality",'Daily evaluations'!$C$2:$C$36,"=d20261113"),"")</f>
      </c>
      <c r="AP47" s="8">
        <f>IF((0=1),SUMIFS('Daily evaluations'!$E$2:$E$36,'Daily evaluations'!$B$2:$B$36,"=p06_seasonality",'Daily evaluations'!$C$2:$C$36,"=d20261116"),"")</f>
      </c>
      <c r="AQ47" s="8">
        <f>IF((0=1),SUMIFS('Daily evaluations'!$E$2:$E$36,'Daily evaluations'!$B$2:$B$36,"=p06_seasonality",'Daily evaluations'!$C$2:$C$36,"=d20261117"),"")</f>
      </c>
      <c r="AR47" s="8">
        <f>IF((0=1),SUMIFS('Daily evaluations'!$E$2:$E$36,'Daily evaluations'!$B$2:$B$36,"=p06_seasonality",'Daily evaluations'!$C$2:$C$36,"=d20261118"),"")</f>
      </c>
      <c r="AS47" s="8">
        <f>IF((0=1),SUMIFS('Daily evaluations'!$E$2:$E$36,'Daily evaluations'!$B$2:$B$36,"=p06_seasonality",'Daily evaluations'!$C$2:$C$36,"=d20261119"),"")</f>
      </c>
      <c r="AT47" s="8">
        <f>IF((0=1),SUMIFS('Daily evaluations'!$E$2:$E$36,'Daily evaluations'!$B$2:$B$36,"=p06_seasonality",'Daily evaluations'!$C$2:$C$36,"=d20261120"),"")</f>
      </c>
      <c r="AU47" s="8">
        <f>IF((0=1),SUMIFS('Daily evaluations'!$E$2:$E$36,'Daily evaluations'!$B$2:$B$36,"=p06_seasonality",'Daily evaluations'!$C$2:$C$36,"=d20261123"),"")</f>
      </c>
      <c r="AV47" s="8">
        <f>IF((0=1),SUMIFS('Daily evaluations'!$E$2:$E$36,'Daily evaluations'!$B$2:$B$36,"=p06_seasonality",'Daily evaluations'!$C$2:$C$36,"=d20261124"),"")</f>
      </c>
      <c r="AW47" s="8">
        <f>IF((0=1),SUMIFS('Daily evaluations'!$E$2:$E$36,'Daily evaluations'!$B$2:$B$36,"=p06_seasonality",'Daily evaluations'!$C$2:$C$36,"=d20261125"),"")</f>
      </c>
      <c r="AX47" s="8">
        <f>IF((0=1),SUMIFS('Daily evaluations'!$E$2:$E$36,'Daily evaluations'!$B$2:$B$36,"=p06_seasonality",'Daily evaluations'!$C$2:$C$36,"=d20261127"),"")</f>
      </c>
      <c r="AY47" s="8">
        <f>IF((0=1),SUMIFS('Daily evaluations'!$E$2:$E$36,'Daily evaluations'!$B$2:$B$36,"=p06_seasonality",'Daily evaluations'!$C$2:$C$36,"=d20261130"),"")</f>
      </c>
      <c r="AZ47" s="8">
        <f>IF((0=1),SUMIFS('Daily evaluations'!$E$2:$E$36,'Daily evaluations'!$B$2:$B$36,"=p06_seasonality",'Daily evaluations'!$C$2:$C$36,"=d20261201"),"")</f>
      </c>
      <c r="BA47" s="8">
        <f>IF((0=1),SUMIFS('Daily evaluations'!$E$2:$E$36,'Daily evaluations'!$B$2:$B$36,"=p06_seasonality",'Daily evaluations'!$C$2:$C$36,"=d20261202"),"")</f>
      </c>
      <c r="BB47" s="8">
        <f>IF((0=1),SUMIFS('Daily evaluations'!$E$2:$E$36,'Daily evaluations'!$B$2:$B$36,"=p06_seasonality",'Daily evaluations'!$C$2:$C$36,"=d20261203"),"")</f>
      </c>
      <c r="BC47" s="8">
        <f>IF((0=1),SUMIFS('Daily evaluations'!$E$2:$E$36,'Daily evaluations'!$B$2:$B$36,"=p06_seasonality",'Daily evaluations'!$C$2:$C$36,"=d20261204"),"")</f>
      </c>
      <c r="BD47" s="8">
        <f>IF((0=1),SUMIFS('Daily evaluations'!$E$2:$E$36,'Daily evaluations'!$B$2:$B$36,"=p06_seasonality",'Daily evaluations'!$C$2:$C$36,"=d20261207"),"")</f>
      </c>
      <c r="BE47" s="8">
        <f>IF((0=1),SUMIFS('Daily evaluations'!$E$2:$E$36,'Daily evaluations'!$B$2:$B$36,"=p06_seasonality",'Daily evaluations'!$C$2:$C$36,"=d20261208"),"")</f>
      </c>
      <c r="BF47" s="8">
        <f>IF((0=1),SUMIFS('Daily evaluations'!$E$2:$E$36,'Daily evaluations'!$B$2:$B$36,"=p06_seasonality",'Daily evaluations'!$C$2:$C$36,"=d20261209"),"")</f>
      </c>
      <c r="BG47" s="8">
        <f>IF((0=1),SUMIFS('Daily evaluations'!$E$2:$E$36,'Daily evaluations'!$B$2:$B$36,"=p06_seasonality",'Daily evaluations'!$C$2:$C$36,"=d20261210"),"")</f>
      </c>
      <c r="BH47" s="8">
        <f>IF((0=1),SUMIFS('Daily evaluations'!$E$2:$E$36,'Daily evaluations'!$B$2:$B$36,"=p06_seasonality",'Daily evaluations'!$C$2:$C$36,"=d20261211"),"")</f>
      </c>
      <c r="BI47" s="8">
        <f>IF((0=1),SUMIFS('Daily evaluations'!$E$2:$E$36,'Daily evaluations'!$B$2:$B$36,"=p06_seasonality",'Daily evaluations'!$C$2:$C$36,"=d20261214"),"")</f>
      </c>
      <c r="BJ47" s="8">
        <f>IF((0=1),SUMIFS('Daily evaluations'!$E$2:$E$36,'Daily evaluations'!$B$2:$B$36,"=p06_seasonality",'Daily evaluations'!$C$2:$C$36,"=d20261215"),"")</f>
      </c>
      <c r="BK47" s="8">
        <f>IF((0=1),SUMIFS('Daily evaluations'!$E$2:$E$36,'Daily evaluations'!$B$2:$B$36,"=p06_seasonality",'Daily evaluations'!$C$2:$C$36,"=d20261216"),"")</f>
      </c>
      <c r="BL47" s="8">
        <f>IF((0=1),SUMIFS('Daily evaluations'!$E$2:$E$36,'Daily evaluations'!$B$2:$B$36,"=p06_seasonality",'Daily evaluations'!$C$2:$C$36,"=d20261217"),"")</f>
      </c>
      <c r="BM47" s="8">
        <f>IF((0=1),SUMIFS('Daily evaluations'!$E$2:$E$36,'Daily evaluations'!$B$2:$B$36,"=p06_seasonality",'Daily evaluations'!$C$2:$C$36,"=d20261218"),"")</f>
      </c>
      <c r="BN47" s="8">
        <f>IF((0=1),SUMIFS('Daily evaluations'!$E$2:$E$36,'Daily evaluations'!$B$2:$B$36,"=p06_seasonality",'Daily evaluations'!$C$2:$C$36,"=d20261221"),"")</f>
      </c>
      <c r="BO47" s="8">
        <f>IF((0=1),SUMIFS('Daily evaluations'!$E$2:$E$36,'Daily evaluations'!$B$2:$B$36,"=p06_seasonality",'Daily evaluations'!$C$2:$C$36,"=d20261222"),"")</f>
      </c>
      <c r="BP47" s="8">
        <f>IF((0=1),SUMIFS('Daily evaluations'!$E$2:$E$36,'Daily evaluations'!$B$2:$B$36,"=p06_seasonality",'Daily evaluations'!$C$2:$C$36,"=d20261223"),"")</f>
      </c>
      <c r="BQ47" s="8">
        <f>IF((0=1),SUMIFS('Daily evaluations'!$E$2:$E$36,'Daily evaluations'!$B$2:$B$36,"=p06_seasonality",'Daily evaluations'!$C$2:$C$36,"=d20261224"),"")</f>
      </c>
      <c r="BR47" s="8">
        <f>IF((0=1),SUMIFS('Daily evaluations'!$E$2:$E$36,'Daily evaluations'!$B$2:$B$36,"=p06_seasonality",'Daily evaluations'!$C$2:$C$36,"=d20261228"),"")</f>
      </c>
      <c r="BS47" s="8">
        <f>IF((0=1),SUMIFS('Daily evaluations'!$E$2:$E$36,'Daily evaluations'!$B$2:$B$36,"=p06_seasonality",'Daily evaluations'!$C$2:$C$36,"=d20261229"),"")</f>
      </c>
      <c r="BT47" s="8">
        <f>IF((0=1),SUMIFS('Daily evaluations'!$E$2:$E$36,'Daily evaluations'!$B$2:$B$36,"=p06_seasonality",'Daily evaluations'!$C$2:$C$36,"=d20261230"),"")</f>
      </c>
      <c r="BU47" s="8">
        <f>IF((0=1),SUMIFS('Daily evaluations'!$E$2:$E$36,'Daily evaluations'!$B$2:$B$36,"=p06_seasonality",'Daily evaluations'!$C$2:$C$36,"=d20261231"),"")</f>
      </c>
      <c r="BV47" s="8">
        <f>IF((0=1),SUMIFS('Daily evaluations'!$E$2:$E$36,'Daily evaluations'!$B$2:$B$36,"=p06_seasonality",'Daily evaluations'!$C$2:$C$36,"=d20270104"),"")</f>
      </c>
      <c r="BW47" s="8">
        <f>IF((0=1),SUMIFS('Daily evaluations'!$E$2:$E$36,'Daily evaluations'!$B$2:$B$36,"=p06_seasonality",'Daily evaluations'!$C$2:$C$36,"=d20270105"),"")</f>
      </c>
      <c r="BX47" s="8">
        <f>IF((0=1),SUMIFS('Daily evaluations'!$E$2:$E$36,'Daily evaluations'!$B$2:$B$36,"=p06_seasonality",'Daily evaluations'!$C$2:$C$36,"=d20270106"),"")</f>
      </c>
      <c r="BY47" s="8">
        <f>IF((0=1),SUMIFS('Daily evaluations'!$E$2:$E$36,'Daily evaluations'!$B$2:$B$36,"=p06_seasonality",'Daily evaluations'!$C$2:$C$36,"=d20270107"),"")</f>
      </c>
      <c r="BZ47" s="8">
        <f>IF((0=1),SUMIFS('Daily evaluations'!$E$2:$E$36,'Daily evaluations'!$B$2:$B$36,"=p06_seasonality",'Daily evaluations'!$C$2:$C$36,"=d20270108"),"")</f>
      </c>
      <c r="CA47" s="8">
        <f>IF((0=1),SUMIFS('Daily evaluations'!$E$2:$E$36,'Daily evaluations'!$B$2:$B$36,"=p06_seasonality",'Daily evaluations'!$C$2:$C$36,"=d20270111"),"")</f>
      </c>
      <c r="CB47" s="8">
        <f>IF((0=1),SUMIFS('Daily evaluations'!$E$2:$E$36,'Daily evaluations'!$B$2:$B$36,"=p06_seasonality",'Daily evaluations'!$C$2:$C$36,"=d20270112"),"")</f>
      </c>
      <c r="CC47" s="8">
        <f>IF((0=1),SUMIFS('Daily evaluations'!$E$2:$E$36,'Daily evaluations'!$B$2:$B$36,"=p06_seasonality",'Daily evaluations'!$C$2:$C$36,"=d20270113"),"")</f>
      </c>
      <c r="CD47" s="8">
        <f>IF((0=1),SUMIFS('Daily evaluations'!$E$2:$E$36,'Daily evaluations'!$B$2:$B$36,"=p06_seasonality",'Daily evaluations'!$C$2:$C$36,"=d20270114"),"")</f>
      </c>
      <c r="CE47" s="8">
        <f>IF((0=1),SUMIFS('Daily evaluations'!$E$2:$E$36,'Daily evaluations'!$B$2:$B$36,"=p06_seasonality",'Daily evaluations'!$C$2:$C$36,"=d20270115"),"")</f>
      </c>
      <c r="CF47" s="8">
        <f>IF((0=1),SUMIFS('Daily evaluations'!$E$2:$E$36,'Daily evaluations'!$B$2:$B$36,"=p06_seasonality",'Daily evaluations'!$C$2:$C$36,"=d20270119"),"")</f>
      </c>
      <c r="CG47" s="8">
        <f>IF((0=1),SUMIFS('Daily evaluations'!$E$2:$E$36,'Daily evaluations'!$B$2:$B$36,"=p06_seasonality",'Daily evaluations'!$C$2:$C$36,"=d20270120"),"")</f>
      </c>
      <c r="CH47" s="8">
        <f>IF((0=1),SUMIFS('Daily evaluations'!$E$2:$E$36,'Daily evaluations'!$B$2:$B$36,"=p06_seasonality",'Daily evaluations'!$C$2:$C$36,"=d20270121"),"")</f>
      </c>
      <c r="CI47" s="8">
        <f>IF((0=1),SUMIFS('Daily evaluations'!$E$2:$E$36,'Daily evaluations'!$B$2:$B$36,"=p06_seasonality",'Daily evaluations'!$C$2:$C$36,"=d20270122"),"")</f>
      </c>
      <c r="CJ47" s="8">
        <f>IF((0=1),SUMIFS('Daily evaluations'!$E$2:$E$36,'Daily evaluations'!$B$2:$B$36,"=p06_seasonality",'Daily evaluations'!$C$2:$C$36,"=d20270125"),"")</f>
      </c>
      <c r="CK47" s="8">
        <f>IF((0=1),SUMIFS('Daily evaluations'!$E$2:$E$36,'Daily evaluations'!$B$2:$B$36,"=p06_seasonality",'Daily evaluations'!$C$2:$C$36,"=d20270126"),"")</f>
      </c>
      <c r="CL47" s="8">
        <f>IF((0=1),SUMIFS('Daily evaluations'!$E$2:$E$36,'Daily evaluations'!$B$2:$B$36,"=p06_seasonality",'Daily evaluations'!$C$2:$C$36,"=d20270127"),"")</f>
      </c>
      <c r="CM47" s="8">
        <f>IF((0=1),SUMIFS('Daily evaluations'!$E$2:$E$36,'Daily evaluations'!$B$2:$B$36,"=p06_seasonality",'Daily evaluations'!$C$2:$C$36,"=d20270128"),"")</f>
      </c>
      <c r="CN47" s="8">
        <f>IF((0=1),SUMIFS('Daily evaluations'!$E$2:$E$36,'Daily evaluations'!$B$2:$B$36,"=p06_seasonality",'Daily evaluations'!$C$2:$C$36,"=d20270129"),"")</f>
      </c>
      <c r="CO47" s="8">
        <f>IF((0=1),SUMIFS('Daily evaluations'!$E$2:$E$36,'Daily evaluations'!$B$2:$B$36,"=p06_seasonality",'Daily evaluations'!$C$2:$C$36,"=d20270201"),"")</f>
      </c>
      <c r="CP47" s="8">
        <f>IF((0=1),SUMIFS('Daily evaluations'!$E$2:$E$36,'Daily evaluations'!$B$2:$B$36,"=p06_seasonality",'Daily evaluations'!$C$2:$C$36,"=d20270202"),"")</f>
      </c>
      <c r="CQ47" s="8">
        <f>IF((0=1),SUMIFS('Daily evaluations'!$E$2:$E$36,'Daily evaluations'!$B$2:$B$36,"=p06_seasonality",'Daily evaluations'!$C$2:$C$36,"=d20270203"),"")</f>
      </c>
      <c r="CR47" s="8">
        <f>IF((0=1),SUMIFS('Daily evaluations'!$E$2:$E$36,'Daily evaluations'!$B$2:$B$36,"=p06_seasonality",'Daily evaluations'!$C$2:$C$36,"=d20270204"),"")</f>
      </c>
      <c r="CS47" s="8">
        <f>IF((0=1),SUMIFS('Daily evaluations'!$E$2:$E$36,'Daily evaluations'!$B$2:$B$36,"=p06_seasonality",'Daily evaluations'!$C$2:$C$36,"=d20270205"),"")</f>
      </c>
      <c r="CT47" s="8">
        <f>IF((0=1),SUMIFS('Daily evaluations'!$E$2:$E$36,'Daily evaluations'!$B$2:$B$36,"=p06_seasonality",'Daily evaluations'!$C$2:$C$36,"=d20270208"),"")</f>
      </c>
      <c r="CU47" s="8">
        <f>IF((0=1),SUMIFS('Daily evaluations'!$E$2:$E$36,'Daily evaluations'!$B$2:$B$36,"=p06_seasonality",'Daily evaluations'!$C$2:$C$36,"=d20270209"),"")</f>
      </c>
      <c r="CV47" s="8">
        <f>IF((0=1),SUMIFS('Daily evaluations'!$E$2:$E$36,'Daily evaluations'!$B$2:$B$36,"=p06_seasonality",'Daily evaluations'!$C$2:$C$36,"=d20270210"),"")</f>
      </c>
      <c r="CW47" s="8">
        <f>IF((0=1),SUMIFS('Daily evaluations'!$E$2:$E$36,'Daily evaluations'!$B$2:$B$36,"=p06_seasonality",'Daily evaluations'!$C$2:$C$36,"=d20270211"),"")</f>
      </c>
      <c r="CX47" s="8">
        <f>IF((0=1),SUMIFS('Daily evaluations'!$E$2:$E$36,'Daily evaluations'!$B$2:$B$36,"=p06_seasonality",'Daily evaluations'!$C$2:$C$36,"=d20270212"),"")</f>
      </c>
    </row>
    <row r="48">
      <c r="A48" s="0" t="inlineStr">
        <is>
          <t xml:space="preserve">Overnight excess vs universe, bps</t>
        </is>
      </c>
      <c r="B48" s="0" t="inlineStr">
        <is>
          <t xml:space="preserve">Quality at a Reasonable Price</t>
        </is>
      </c>
      <c r="C48" s="8">
        <f>IF((1=1),SUMIFS('Daily evaluations'!$E$2:$E$36,'Daily evaluations'!$B$2:$B$36,"=p07_quality_value",'Daily evaluations'!$C$2:$C$36,"=d20260922"),"")</f>
        <v>10.19</v>
      </c>
      <c r="D48" s="8">
        <f>IF((0=1),SUMIFS('Daily evaluations'!$E$2:$E$36,'Daily evaluations'!$B$2:$B$36,"=p07_quality_value",'Daily evaluations'!$C$2:$C$36,"=d20260923"),"")</f>
      </c>
      <c r="E48" s="8">
        <f>IF((0=1),SUMIFS('Daily evaluations'!$E$2:$E$36,'Daily evaluations'!$B$2:$B$36,"=p07_quality_value",'Daily evaluations'!$C$2:$C$36,"=d20260924"),"")</f>
      </c>
      <c r="F48" s="8">
        <f>IF((0=1),SUMIFS('Daily evaluations'!$E$2:$E$36,'Daily evaluations'!$B$2:$B$36,"=p07_quality_value",'Daily evaluations'!$C$2:$C$36,"=d20260925"),"")</f>
      </c>
      <c r="G48" s="8">
        <f>IF((0=1),SUMIFS('Daily evaluations'!$E$2:$E$36,'Daily evaluations'!$B$2:$B$36,"=p07_quality_value",'Daily evaluations'!$C$2:$C$36,"=d20260928"),"")</f>
      </c>
      <c r="H48" s="8">
        <f>IF((0=1),SUMIFS('Daily evaluations'!$E$2:$E$36,'Daily evaluations'!$B$2:$B$36,"=p07_quality_value",'Daily evaluations'!$C$2:$C$36,"=d20260929"),"")</f>
      </c>
      <c r="I48" s="8">
        <f>IF((0=1),SUMIFS('Daily evaluations'!$E$2:$E$36,'Daily evaluations'!$B$2:$B$36,"=p07_quality_value",'Daily evaluations'!$C$2:$C$36,"=d20260930"),"")</f>
      </c>
      <c r="J48" s="8">
        <f>IF((0=1),SUMIFS('Daily evaluations'!$E$2:$E$36,'Daily evaluations'!$B$2:$B$36,"=p07_quality_value",'Daily evaluations'!$C$2:$C$36,"=d20261001"),"")</f>
      </c>
      <c r="K48" s="8">
        <f>IF((0=1),SUMIFS('Daily evaluations'!$E$2:$E$36,'Daily evaluations'!$B$2:$B$36,"=p07_quality_value",'Daily evaluations'!$C$2:$C$36,"=d20261002"),"")</f>
      </c>
      <c r="L48" s="8">
        <f>IF((0=1),SUMIFS('Daily evaluations'!$E$2:$E$36,'Daily evaluations'!$B$2:$B$36,"=p07_quality_value",'Daily evaluations'!$C$2:$C$36,"=d20261005"),"")</f>
      </c>
      <c r="M48" s="8">
        <f>IF((0=1),SUMIFS('Daily evaluations'!$E$2:$E$36,'Daily evaluations'!$B$2:$B$36,"=p07_quality_value",'Daily evaluations'!$C$2:$C$36,"=d20261006"),"")</f>
      </c>
      <c r="N48" s="8">
        <f>IF((0=1),SUMIFS('Daily evaluations'!$E$2:$E$36,'Daily evaluations'!$B$2:$B$36,"=p07_quality_value",'Daily evaluations'!$C$2:$C$36,"=d20261007"),"")</f>
      </c>
      <c r="O48" s="8">
        <f>IF((0=1),SUMIFS('Daily evaluations'!$E$2:$E$36,'Daily evaluations'!$B$2:$B$36,"=p07_quality_value",'Daily evaluations'!$C$2:$C$36,"=d20261008"),"")</f>
      </c>
      <c r="P48" s="8">
        <f>IF((0=1),SUMIFS('Daily evaluations'!$E$2:$E$36,'Daily evaluations'!$B$2:$B$36,"=p07_quality_value",'Daily evaluations'!$C$2:$C$36,"=d20261009"),"")</f>
      </c>
      <c r="Q48" s="8">
        <f>IF((0=1),SUMIFS('Daily evaluations'!$E$2:$E$36,'Daily evaluations'!$B$2:$B$36,"=p07_quality_value",'Daily evaluations'!$C$2:$C$36,"=d20261012"),"")</f>
      </c>
      <c r="R48" s="8">
        <f>IF((0=1),SUMIFS('Daily evaluations'!$E$2:$E$36,'Daily evaluations'!$B$2:$B$36,"=p07_quality_value",'Daily evaluations'!$C$2:$C$36,"=d20261013"),"")</f>
      </c>
      <c r="S48" s="8">
        <f>IF((0=1),SUMIFS('Daily evaluations'!$E$2:$E$36,'Daily evaluations'!$B$2:$B$36,"=p07_quality_value",'Daily evaluations'!$C$2:$C$36,"=d20261014"),"")</f>
      </c>
      <c r="T48" s="8">
        <f>IF((0=1),SUMIFS('Daily evaluations'!$E$2:$E$36,'Daily evaluations'!$B$2:$B$36,"=p07_quality_value",'Daily evaluations'!$C$2:$C$36,"=d20261015"),"")</f>
      </c>
      <c r="U48" s="8">
        <f>IF((0=1),SUMIFS('Daily evaluations'!$E$2:$E$36,'Daily evaluations'!$B$2:$B$36,"=p07_quality_value",'Daily evaluations'!$C$2:$C$36,"=d20261016"),"")</f>
      </c>
      <c r="V48" s="8">
        <f>IF((0=1),SUMIFS('Daily evaluations'!$E$2:$E$36,'Daily evaluations'!$B$2:$B$36,"=p07_quality_value",'Daily evaluations'!$C$2:$C$36,"=d20261019"),"")</f>
      </c>
      <c r="W48" s="8">
        <f>IF((0=1),SUMIFS('Daily evaluations'!$E$2:$E$36,'Daily evaluations'!$B$2:$B$36,"=p07_quality_value",'Daily evaluations'!$C$2:$C$36,"=d20261020"),"")</f>
      </c>
      <c r="X48" s="8">
        <f>IF((0=1),SUMIFS('Daily evaluations'!$E$2:$E$36,'Daily evaluations'!$B$2:$B$36,"=p07_quality_value",'Daily evaluations'!$C$2:$C$36,"=d20261021"),"")</f>
      </c>
      <c r="Y48" s="8">
        <f>IF((0=1),SUMIFS('Daily evaluations'!$E$2:$E$36,'Daily evaluations'!$B$2:$B$36,"=p07_quality_value",'Daily evaluations'!$C$2:$C$36,"=d20261022"),"")</f>
      </c>
      <c r="Z48" s="8">
        <f>IF((0=1),SUMIFS('Daily evaluations'!$E$2:$E$36,'Daily evaluations'!$B$2:$B$36,"=p07_quality_value",'Daily evaluations'!$C$2:$C$36,"=d20261023"),"")</f>
      </c>
      <c r="AA48" s="8">
        <f>IF((0=1),SUMIFS('Daily evaluations'!$E$2:$E$36,'Daily evaluations'!$B$2:$B$36,"=p07_quality_value",'Daily evaluations'!$C$2:$C$36,"=d20261026"),"")</f>
      </c>
      <c r="AB48" s="8">
        <f>IF((0=1),SUMIFS('Daily evaluations'!$E$2:$E$36,'Daily evaluations'!$B$2:$B$36,"=p07_quality_value",'Daily evaluations'!$C$2:$C$36,"=d20261027"),"")</f>
      </c>
      <c r="AC48" s="8">
        <f>IF((0=1),SUMIFS('Daily evaluations'!$E$2:$E$36,'Daily evaluations'!$B$2:$B$36,"=p07_quality_value",'Daily evaluations'!$C$2:$C$36,"=d20261028"),"")</f>
      </c>
      <c r="AD48" s="8">
        <f>IF((0=1),SUMIFS('Daily evaluations'!$E$2:$E$36,'Daily evaluations'!$B$2:$B$36,"=p07_quality_value",'Daily evaluations'!$C$2:$C$36,"=d20261029"),"")</f>
      </c>
      <c r="AE48" s="8">
        <f>IF((0=1),SUMIFS('Daily evaluations'!$E$2:$E$36,'Daily evaluations'!$B$2:$B$36,"=p07_quality_value",'Daily evaluations'!$C$2:$C$36,"=d20261030"),"")</f>
      </c>
      <c r="AF48" s="8">
        <f>IF((0=1),SUMIFS('Daily evaluations'!$E$2:$E$36,'Daily evaluations'!$B$2:$B$36,"=p07_quality_value",'Daily evaluations'!$C$2:$C$36,"=d20261102"),"")</f>
      </c>
      <c r="AG48" s="8">
        <f>IF((0=1),SUMIFS('Daily evaluations'!$E$2:$E$36,'Daily evaluations'!$B$2:$B$36,"=p07_quality_value",'Daily evaluations'!$C$2:$C$36,"=d20261103"),"")</f>
      </c>
      <c r="AH48" s="8">
        <f>IF((0=1),SUMIFS('Daily evaluations'!$E$2:$E$36,'Daily evaluations'!$B$2:$B$36,"=p07_quality_value",'Daily evaluations'!$C$2:$C$36,"=d20261104"),"")</f>
      </c>
      <c r="AI48" s="8">
        <f>IF((0=1),SUMIFS('Daily evaluations'!$E$2:$E$36,'Daily evaluations'!$B$2:$B$36,"=p07_quality_value",'Daily evaluations'!$C$2:$C$36,"=d20261105"),"")</f>
      </c>
      <c r="AJ48" s="8">
        <f>IF((0=1),SUMIFS('Daily evaluations'!$E$2:$E$36,'Daily evaluations'!$B$2:$B$36,"=p07_quality_value",'Daily evaluations'!$C$2:$C$36,"=d20261106"),"")</f>
      </c>
      <c r="AK48" s="8">
        <f>IF((0=1),SUMIFS('Daily evaluations'!$E$2:$E$36,'Daily evaluations'!$B$2:$B$36,"=p07_quality_value",'Daily evaluations'!$C$2:$C$36,"=d20261109"),"")</f>
      </c>
      <c r="AL48" s="8">
        <f>IF((0=1),SUMIFS('Daily evaluations'!$E$2:$E$36,'Daily evaluations'!$B$2:$B$36,"=p07_quality_value",'Daily evaluations'!$C$2:$C$36,"=d20261110"),"")</f>
      </c>
      <c r="AM48" s="8">
        <f>IF((0=1),SUMIFS('Daily evaluations'!$E$2:$E$36,'Daily evaluations'!$B$2:$B$36,"=p07_quality_value",'Daily evaluations'!$C$2:$C$36,"=d20261111"),"")</f>
      </c>
      <c r="AN48" s="8">
        <f>IF((0=1),SUMIFS('Daily evaluations'!$E$2:$E$36,'Daily evaluations'!$B$2:$B$36,"=p07_quality_value",'Daily evaluations'!$C$2:$C$36,"=d20261112"),"")</f>
      </c>
      <c r="AO48" s="8">
        <f>IF((0=1),SUMIFS('Daily evaluations'!$E$2:$E$36,'Daily evaluations'!$B$2:$B$36,"=p07_quality_value",'Daily evaluations'!$C$2:$C$36,"=d20261113"),"")</f>
      </c>
      <c r="AP48" s="8">
        <f>IF((0=1),SUMIFS('Daily evaluations'!$E$2:$E$36,'Daily evaluations'!$B$2:$B$36,"=p07_quality_value",'Daily evaluations'!$C$2:$C$36,"=d20261116"),"")</f>
      </c>
      <c r="AQ48" s="8">
        <f>IF((0=1),SUMIFS('Daily evaluations'!$E$2:$E$36,'Daily evaluations'!$B$2:$B$36,"=p07_quality_value",'Daily evaluations'!$C$2:$C$36,"=d20261117"),"")</f>
      </c>
      <c r="AR48" s="8">
        <f>IF((0=1),SUMIFS('Daily evaluations'!$E$2:$E$36,'Daily evaluations'!$B$2:$B$36,"=p07_quality_value",'Daily evaluations'!$C$2:$C$36,"=d20261118"),"")</f>
      </c>
      <c r="AS48" s="8">
        <f>IF((0=1),SUMIFS('Daily evaluations'!$E$2:$E$36,'Daily evaluations'!$B$2:$B$36,"=p07_quality_value",'Daily evaluations'!$C$2:$C$36,"=d20261119"),"")</f>
      </c>
      <c r="AT48" s="8">
        <f>IF((0=1),SUMIFS('Daily evaluations'!$E$2:$E$36,'Daily evaluations'!$B$2:$B$36,"=p07_quality_value",'Daily evaluations'!$C$2:$C$36,"=d20261120"),"")</f>
      </c>
      <c r="AU48" s="8">
        <f>IF((0=1),SUMIFS('Daily evaluations'!$E$2:$E$36,'Daily evaluations'!$B$2:$B$36,"=p07_quality_value",'Daily evaluations'!$C$2:$C$36,"=d20261123"),"")</f>
      </c>
      <c r="AV48" s="8">
        <f>IF((0=1),SUMIFS('Daily evaluations'!$E$2:$E$36,'Daily evaluations'!$B$2:$B$36,"=p07_quality_value",'Daily evaluations'!$C$2:$C$36,"=d20261124"),"")</f>
      </c>
      <c r="AW48" s="8">
        <f>IF((0=1),SUMIFS('Daily evaluations'!$E$2:$E$36,'Daily evaluations'!$B$2:$B$36,"=p07_quality_value",'Daily evaluations'!$C$2:$C$36,"=d20261125"),"")</f>
      </c>
      <c r="AX48" s="8">
        <f>IF((0=1),SUMIFS('Daily evaluations'!$E$2:$E$36,'Daily evaluations'!$B$2:$B$36,"=p07_quality_value",'Daily evaluations'!$C$2:$C$36,"=d20261127"),"")</f>
      </c>
      <c r="AY48" s="8">
        <f>IF((0=1),SUMIFS('Daily evaluations'!$E$2:$E$36,'Daily evaluations'!$B$2:$B$36,"=p07_quality_value",'Daily evaluations'!$C$2:$C$36,"=d20261130"),"")</f>
      </c>
      <c r="AZ48" s="8">
        <f>IF((0=1),SUMIFS('Daily evaluations'!$E$2:$E$36,'Daily evaluations'!$B$2:$B$36,"=p07_quality_value",'Daily evaluations'!$C$2:$C$36,"=d20261201"),"")</f>
      </c>
      <c r="BA48" s="8">
        <f>IF((0=1),SUMIFS('Daily evaluations'!$E$2:$E$36,'Daily evaluations'!$B$2:$B$36,"=p07_quality_value",'Daily evaluations'!$C$2:$C$36,"=d20261202"),"")</f>
      </c>
      <c r="BB48" s="8">
        <f>IF((0=1),SUMIFS('Daily evaluations'!$E$2:$E$36,'Daily evaluations'!$B$2:$B$36,"=p07_quality_value",'Daily evaluations'!$C$2:$C$36,"=d20261203"),"")</f>
      </c>
      <c r="BC48" s="8">
        <f>IF((0=1),SUMIFS('Daily evaluations'!$E$2:$E$36,'Daily evaluations'!$B$2:$B$36,"=p07_quality_value",'Daily evaluations'!$C$2:$C$36,"=d20261204"),"")</f>
      </c>
      <c r="BD48" s="8">
        <f>IF((0=1),SUMIFS('Daily evaluations'!$E$2:$E$36,'Daily evaluations'!$B$2:$B$36,"=p07_quality_value",'Daily evaluations'!$C$2:$C$36,"=d20261207"),"")</f>
      </c>
      <c r="BE48" s="8">
        <f>IF((0=1),SUMIFS('Daily evaluations'!$E$2:$E$36,'Daily evaluations'!$B$2:$B$36,"=p07_quality_value",'Daily evaluations'!$C$2:$C$36,"=d20261208"),"")</f>
      </c>
      <c r="BF48" s="8">
        <f>IF((0=1),SUMIFS('Daily evaluations'!$E$2:$E$36,'Daily evaluations'!$B$2:$B$36,"=p07_quality_value",'Daily evaluations'!$C$2:$C$36,"=d20261209"),"")</f>
      </c>
      <c r="BG48" s="8">
        <f>IF((0=1),SUMIFS('Daily evaluations'!$E$2:$E$36,'Daily evaluations'!$B$2:$B$36,"=p07_quality_value",'Daily evaluations'!$C$2:$C$36,"=d20261210"),"")</f>
      </c>
      <c r="BH48" s="8">
        <f>IF((0=1),SUMIFS('Daily evaluations'!$E$2:$E$36,'Daily evaluations'!$B$2:$B$36,"=p07_quality_value",'Daily evaluations'!$C$2:$C$36,"=d20261211"),"")</f>
      </c>
      <c r="BI48" s="8">
        <f>IF((0=1),SUMIFS('Daily evaluations'!$E$2:$E$36,'Daily evaluations'!$B$2:$B$36,"=p07_quality_value",'Daily evaluations'!$C$2:$C$36,"=d20261214"),"")</f>
      </c>
      <c r="BJ48" s="8">
        <f>IF((0=1),SUMIFS('Daily evaluations'!$E$2:$E$36,'Daily evaluations'!$B$2:$B$36,"=p07_quality_value",'Daily evaluations'!$C$2:$C$36,"=d20261215"),"")</f>
      </c>
      <c r="BK48" s="8">
        <f>IF((0=1),SUMIFS('Daily evaluations'!$E$2:$E$36,'Daily evaluations'!$B$2:$B$36,"=p07_quality_value",'Daily evaluations'!$C$2:$C$36,"=d20261216"),"")</f>
      </c>
      <c r="BL48" s="8">
        <f>IF((0=1),SUMIFS('Daily evaluations'!$E$2:$E$36,'Daily evaluations'!$B$2:$B$36,"=p07_quality_value",'Daily evaluations'!$C$2:$C$36,"=d20261217"),"")</f>
      </c>
      <c r="BM48" s="8">
        <f>IF((0=1),SUMIFS('Daily evaluations'!$E$2:$E$36,'Daily evaluations'!$B$2:$B$36,"=p07_quality_value",'Daily evaluations'!$C$2:$C$36,"=d20261218"),"")</f>
      </c>
      <c r="BN48" s="8">
        <f>IF((0=1),SUMIFS('Daily evaluations'!$E$2:$E$36,'Daily evaluations'!$B$2:$B$36,"=p07_quality_value",'Daily evaluations'!$C$2:$C$36,"=d20261221"),"")</f>
      </c>
      <c r="BO48" s="8">
        <f>IF((0=1),SUMIFS('Daily evaluations'!$E$2:$E$36,'Daily evaluations'!$B$2:$B$36,"=p07_quality_value",'Daily evaluations'!$C$2:$C$36,"=d20261222"),"")</f>
      </c>
      <c r="BP48" s="8">
        <f>IF((0=1),SUMIFS('Daily evaluations'!$E$2:$E$36,'Daily evaluations'!$B$2:$B$36,"=p07_quality_value",'Daily evaluations'!$C$2:$C$36,"=d20261223"),"")</f>
      </c>
      <c r="BQ48" s="8">
        <f>IF((0=1),SUMIFS('Daily evaluations'!$E$2:$E$36,'Daily evaluations'!$B$2:$B$36,"=p07_quality_value",'Daily evaluations'!$C$2:$C$36,"=d20261224"),"")</f>
      </c>
      <c r="BR48" s="8">
        <f>IF((0=1),SUMIFS('Daily evaluations'!$E$2:$E$36,'Daily evaluations'!$B$2:$B$36,"=p07_quality_value",'Daily evaluations'!$C$2:$C$36,"=d20261228"),"")</f>
      </c>
      <c r="BS48" s="8">
        <f>IF((0=1),SUMIFS('Daily evaluations'!$E$2:$E$36,'Daily evaluations'!$B$2:$B$36,"=p07_quality_value",'Daily evaluations'!$C$2:$C$36,"=d20261229"),"")</f>
      </c>
      <c r="BT48" s="8">
        <f>IF((0=1),SUMIFS('Daily evaluations'!$E$2:$E$36,'Daily evaluations'!$B$2:$B$36,"=p07_quality_value",'Daily evaluations'!$C$2:$C$36,"=d20261230"),"")</f>
      </c>
      <c r="BU48" s="8">
        <f>IF((0=1),SUMIFS('Daily evaluations'!$E$2:$E$36,'Daily evaluations'!$B$2:$B$36,"=p07_quality_value",'Daily evaluations'!$C$2:$C$36,"=d20261231"),"")</f>
      </c>
      <c r="BV48" s="8">
        <f>IF((0=1),SUMIFS('Daily evaluations'!$E$2:$E$36,'Daily evaluations'!$B$2:$B$36,"=p07_quality_value",'Daily evaluations'!$C$2:$C$36,"=d20270104"),"")</f>
      </c>
      <c r="BW48" s="8">
        <f>IF((0=1),SUMIFS('Daily evaluations'!$E$2:$E$36,'Daily evaluations'!$B$2:$B$36,"=p07_quality_value",'Daily evaluations'!$C$2:$C$36,"=d20270105"),"")</f>
      </c>
      <c r="BX48" s="8">
        <f>IF((0=1),SUMIFS('Daily evaluations'!$E$2:$E$36,'Daily evaluations'!$B$2:$B$36,"=p07_quality_value",'Daily evaluations'!$C$2:$C$36,"=d20270106"),"")</f>
      </c>
      <c r="BY48" s="8">
        <f>IF((0=1),SUMIFS('Daily evaluations'!$E$2:$E$36,'Daily evaluations'!$B$2:$B$36,"=p07_quality_value",'Daily evaluations'!$C$2:$C$36,"=d20270107"),"")</f>
      </c>
      <c r="BZ48" s="8">
        <f>IF((0=1),SUMIFS('Daily evaluations'!$E$2:$E$36,'Daily evaluations'!$B$2:$B$36,"=p07_quality_value",'Daily evaluations'!$C$2:$C$36,"=d20270108"),"")</f>
      </c>
      <c r="CA48" s="8">
        <f>IF((0=1),SUMIFS('Daily evaluations'!$E$2:$E$36,'Daily evaluations'!$B$2:$B$36,"=p07_quality_value",'Daily evaluations'!$C$2:$C$36,"=d20270111"),"")</f>
      </c>
      <c r="CB48" s="8">
        <f>IF((0=1),SUMIFS('Daily evaluations'!$E$2:$E$36,'Daily evaluations'!$B$2:$B$36,"=p07_quality_value",'Daily evaluations'!$C$2:$C$36,"=d20270112"),"")</f>
      </c>
      <c r="CC48" s="8">
        <f>IF((0=1),SUMIFS('Daily evaluations'!$E$2:$E$36,'Daily evaluations'!$B$2:$B$36,"=p07_quality_value",'Daily evaluations'!$C$2:$C$36,"=d20270113"),"")</f>
      </c>
      <c r="CD48" s="8">
        <f>IF((0=1),SUMIFS('Daily evaluations'!$E$2:$E$36,'Daily evaluations'!$B$2:$B$36,"=p07_quality_value",'Daily evaluations'!$C$2:$C$36,"=d20270114"),"")</f>
      </c>
      <c r="CE48" s="8">
        <f>IF((0=1),SUMIFS('Daily evaluations'!$E$2:$E$36,'Daily evaluations'!$B$2:$B$36,"=p07_quality_value",'Daily evaluations'!$C$2:$C$36,"=d20270115"),"")</f>
      </c>
      <c r="CF48" s="8">
        <f>IF((0=1),SUMIFS('Daily evaluations'!$E$2:$E$36,'Daily evaluations'!$B$2:$B$36,"=p07_quality_value",'Daily evaluations'!$C$2:$C$36,"=d20270119"),"")</f>
      </c>
      <c r="CG48" s="8">
        <f>IF((0=1),SUMIFS('Daily evaluations'!$E$2:$E$36,'Daily evaluations'!$B$2:$B$36,"=p07_quality_value",'Daily evaluations'!$C$2:$C$36,"=d20270120"),"")</f>
      </c>
      <c r="CH48" s="8">
        <f>IF((0=1),SUMIFS('Daily evaluations'!$E$2:$E$36,'Daily evaluations'!$B$2:$B$36,"=p07_quality_value",'Daily evaluations'!$C$2:$C$36,"=d20270121"),"")</f>
      </c>
      <c r="CI48" s="8">
        <f>IF((0=1),SUMIFS('Daily evaluations'!$E$2:$E$36,'Daily evaluations'!$B$2:$B$36,"=p07_quality_value",'Daily evaluations'!$C$2:$C$36,"=d20270122"),"")</f>
      </c>
      <c r="CJ48" s="8">
        <f>IF((0=1),SUMIFS('Daily evaluations'!$E$2:$E$36,'Daily evaluations'!$B$2:$B$36,"=p07_quality_value",'Daily evaluations'!$C$2:$C$36,"=d20270125"),"")</f>
      </c>
      <c r="CK48" s="8">
        <f>IF((0=1),SUMIFS('Daily evaluations'!$E$2:$E$36,'Daily evaluations'!$B$2:$B$36,"=p07_quality_value",'Daily evaluations'!$C$2:$C$36,"=d20270126"),"")</f>
      </c>
      <c r="CL48" s="8">
        <f>IF((0=1),SUMIFS('Daily evaluations'!$E$2:$E$36,'Daily evaluations'!$B$2:$B$36,"=p07_quality_value",'Daily evaluations'!$C$2:$C$36,"=d20270127"),"")</f>
      </c>
      <c r="CM48" s="8">
        <f>IF((0=1),SUMIFS('Daily evaluations'!$E$2:$E$36,'Daily evaluations'!$B$2:$B$36,"=p07_quality_value",'Daily evaluations'!$C$2:$C$36,"=d20270128"),"")</f>
      </c>
      <c r="CN48" s="8">
        <f>IF((0=1),SUMIFS('Daily evaluations'!$E$2:$E$36,'Daily evaluations'!$B$2:$B$36,"=p07_quality_value",'Daily evaluations'!$C$2:$C$36,"=d20270129"),"")</f>
      </c>
      <c r="CO48" s="8">
        <f>IF((0=1),SUMIFS('Daily evaluations'!$E$2:$E$36,'Daily evaluations'!$B$2:$B$36,"=p07_quality_value",'Daily evaluations'!$C$2:$C$36,"=d20270201"),"")</f>
      </c>
      <c r="CP48" s="8">
        <f>IF((0=1),SUMIFS('Daily evaluations'!$E$2:$E$36,'Daily evaluations'!$B$2:$B$36,"=p07_quality_value",'Daily evaluations'!$C$2:$C$36,"=d20270202"),"")</f>
      </c>
      <c r="CQ48" s="8">
        <f>IF((0=1),SUMIFS('Daily evaluations'!$E$2:$E$36,'Daily evaluations'!$B$2:$B$36,"=p07_quality_value",'Daily evaluations'!$C$2:$C$36,"=d20270203"),"")</f>
      </c>
      <c r="CR48" s="8">
        <f>IF((0=1),SUMIFS('Daily evaluations'!$E$2:$E$36,'Daily evaluations'!$B$2:$B$36,"=p07_quality_value",'Daily evaluations'!$C$2:$C$36,"=d20270204"),"")</f>
      </c>
      <c r="CS48" s="8">
        <f>IF((0=1),SUMIFS('Daily evaluations'!$E$2:$E$36,'Daily evaluations'!$B$2:$B$36,"=p07_quality_value",'Daily evaluations'!$C$2:$C$36,"=d20270205"),"")</f>
      </c>
      <c r="CT48" s="8">
        <f>IF((0=1),SUMIFS('Daily evaluations'!$E$2:$E$36,'Daily evaluations'!$B$2:$B$36,"=p07_quality_value",'Daily evaluations'!$C$2:$C$36,"=d20270208"),"")</f>
      </c>
      <c r="CU48" s="8">
        <f>IF((0=1),SUMIFS('Daily evaluations'!$E$2:$E$36,'Daily evaluations'!$B$2:$B$36,"=p07_quality_value",'Daily evaluations'!$C$2:$C$36,"=d20270209"),"")</f>
      </c>
      <c r="CV48" s="8">
        <f>IF((0=1),SUMIFS('Daily evaluations'!$E$2:$E$36,'Daily evaluations'!$B$2:$B$36,"=p07_quality_value",'Daily evaluations'!$C$2:$C$36,"=d20270210"),"")</f>
      </c>
      <c r="CW48" s="8">
        <f>IF((0=1),SUMIFS('Daily evaluations'!$E$2:$E$36,'Daily evaluations'!$B$2:$B$36,"=p07_quality_value",'Daily evaluations'!$C$2:$C$36,"=d20270211"),"")</f>
      </c>
      <c r="CX48" s="8">
        <f>IF((0=1),SUMIFS('Daily evaluations'!$E$2:$E$36,'Daily evaluations'!$B$2:$B$36,"=p07_quality_value",'Daily evaluations'!$C$2:$C$36,"=d20270212"),"")</f>
      </c>
    </row>
    <row r="49">
      <c r="A49" s="0" t="inlineStr">
        <is>
          <t xml:space="preserve">Overnight excess vs universe, bps</t>
        </is>
      </c>
      <c r="B49" s="0" t="inlineStr">
        <is>
          <t xml:space="preserve">Residual Momentum</t>
        </is>
      </c>
      <c r="C49" s="8">
        <f>IF((1=1),SUMIFS('Daily evaluations'!$E$2:$E$36,'Daily evaluations'!$B$2:$B$36,"=p08_residual_momentum",'Daily evaluations'!$C$2:$C$36,"=d20260922"),"")</f>
        <v>14.833</v>
      </c>
      <c r="D49" s="8">
        <f>IF((0=1),SUMIFS('Daily evaluations'!$E$2:$E$36,'Daily evaluations'!$B$2:$B$36,"=p08_residual_momentum",'Daily evaluations'!$C$2:$C$36,"=d20260923"),"")</f>
      </c>
      <c r="E49" s="8">
        <f>IF((0=1),SUMIFS('Daily evaluations'!$E$2:$E$36,'Daily evaluations'!$B$2:$B$36,"=p08_residual_momentum",'Daily evaluations'!$C$2:$C$36,"=d20260924"),"")</f>
      </c>
      <c r="F49" s="8">
        <f>IF((0=1),SUMIFS('Daily evaluations'!$E$2:$E$36,'Daily evaluations'!$B$2:$B$36,"=p08_residual_momentum",'Daily evaluations'!$C$2:$C$36,"=d20260925"),"")</f>
      </c>
      <c r="G49" s="8">
        <f>IF((0=1),SUMIFS('Daily evaluations'!$E$2:$E$36,'Daily evaluations'!$B$2:$B$36,"=p08_residual_momentum",'Daily evaluations'!$C$2:$C$36,"=d20260928"),"")</f>
      </c>
      <c r="H49" s="8">
        <f>IF((0=1),SUMIFS('Daily evaluations'!$E$2:$E$36,'Daily evaluations'!$B$2:$B$36,"=p08_residual_momentum",'Daily evaluations'!$C$2:$C$36,"=d20260929"),"")</f>
      </c>
      <c r="I49" s="8">
        <f>IF((0=1),SUMIFS('Daily evaluations'!$E$2:$E$36,'Daily evaluations'!$B$2:$B$36,"=p08_residual_momentum",'Daily evaluations'!$C$2:$C$36,"=d20260930"),"")</f>
      </c>
      <c r="J49" s="8">
        <f>IF((0=1),SUMIFS('Daily evaluations'!$E$2:$E$36,'Daily evaluations'!$B$2:$B$36,"=p08_residual_momentum",'Daily evaluations'!$C$2:$C$36,"=d20261001"),"")</f>
      </c>
      <c r="K49" s="8">
        <f>IF((0=1),SUMIFS('Daily evaluations'!$E$2:$E$36,'Daily evaluations'!$B$2:$B$36,"=p08_residual_momentum",'Daily evaluations'!$C$2:$C$36,"=d20261002"),"")</f>
      </c>
      <c r="L49" s="8">
        <f>IF((0=1),SUMIFS('Daily evaluations'!$E$2:$E$36,'Daily evaluations'!$B$2:$B$36,"=p08_residual_momentum",'Daily evaluations'!$C$2:$C$36,"=d20261005"),"")</f>
      </c>
      <c r="M49" s="8">
        <f>IF((0=1),SUMIFS('Daily evaluations'!$E$2:$E$36,'Daily evaluations'!$B$2:$B$36,"=p08_residual_momentum",'Daily evaluations'!$C$2:$C$36,"=d20261006"),"")</f>
      </c>
      <c r="N49" s="8">
        <f>IF((0=1),SUMIFS('Daily evaluations'!$E$2:$E$36,'Daily evaluations'!$B$2:$B$36,"=p08_residual_momentum",'Daily evaluations'!$C$2:$C$36,"=d20261007"),"")</f>
      </c>
      <c r="O49" s="8">
        <f>IF((0=1),SUMIFS('Daily evaluations'!$E$2:$E$36,'Daily evaluations'!$B$2:$B$36,"=p08_residual_momentum",'Daily evaluations'!$C$2:$C$36,"=d20261008"),"")</f>
      </c>
      <c r="P49" s="8">
        <f>IF((0=1),SUMIFS('Daily evaluations'!$E$2:$E$36,'Daily evaluations'!$B$2:$B$36,"=p08_residual_momentum",'Daily evaluations'!$C$2:$C$36,"=d20261009"),"")</f>
      </c>
      <c r="Q49" s="8">
        <f>IF((0=1),SUMIFS('Daily evaluations'!$E$2:$E$36,'Daily evaluations'!$B$2:$B$36,"=p08_residual_momentum",'Daily evaluations'!$C$2:$C$36,"=d20261012"),"")</f>
      </c>
      <c r="R49" s="8">
        <f>IF((0=1),SUMIFS('Daily evaluations'!$E$2:$E$36,'Daily evaluations'!$B$2:$B$36,"=p08_residual_momentum",'Daily evaluations'!$C$2:$C$36,"=d20261013"),"")</f>
      </c>
      <c r="S49" s="8">
        <f>IF((0=1),SUMIFS('Daily evaluations'!$E$2:$E$36,'Daily evaluations'!$B$2:$B$36,"=p08_residual_momentum",'Daily evaluations'!$C$2:$C$36,"=d20261014"),"")</f>
      </c>
      <c r="T49" s="8">
        <f>IF((0=1),SUMIFS('Daily evaluations'!$E$2:$E$36,'Daily evaluations'!$B$2:$B$36,"=p08_residual_momentum",'Daily evaluations'!$C$2:$C$36,"=d20261015"),"")</f>
      </c>
      <c r="U49" s="8">
        <f>IF((0=1),SUMIFS('Daily evaluations'!$E$2:$E$36,'Daily evaluations'!$B$2:$B$36,"=p08_residual_momentum",'Daily evaluations'!$C$2:$C$36,"=d20261016"),"")</f>
      </c>
      <c r="V49" s="8">
        <f>IF((0=1),SUMIFS('Daily evaluations'!$E$2:$E$36,'Daily evaluations'!$B$2:$B$36,"=p08_residual_momentum",'Daily evaluations'!$C$2:$C$36,"=d20261019"),"")</f>
      </c>
      <c r="W49" s="8">
        <f>IF((0=1),SUMIFS('Daily evaluations'!$E$2:$E$36,'Daily evaluations'!$B$2:$B$36,"=p08_residual_momentum",'Daily evaluations'!$C$2:$C$36,"=d20261020"),"")</f>
      </c>
      <c r="X49" s="8">
        <f>IF((0=1),SUMIFS('Daily evaluations'!$E$2:$E$36,'Daily evaluations'!$B$2:$B$36,"=p08_residual_momentum",'Daily evaluations'!$C$2:$C$36,"=d20261021"),"")</f>
      </c>
      <c r="Y49" s="8">
        <f>IF((0=1),SUMIFS('Daily evaluations'!$E$2:$E$36,'Daily evaluations'!$B$2:$B$36,"=p08_residual_momentum",'Daily evaluations'!$C$2:$C$36,"=d20261022"),"")</f>
      </c>
      <c r="Z49" s="8">
        <f>IF((0=1),SUMIFS('Daily evaluations'!$E$2:$E$36,'Daily evaluations'!$B$2:$B$36,"=p08_residual_momentum",'Daily evaluations'!$C$2:$C$36,"=d20261023"),"")</f>
      </c>
      <c r="AA49" s="8">
        <f>IF((0=1),SUMIFS('Daily evaluations'!$E$2:$E$36,'Daily evaluations'!$B$2:$B$36,"=p08_residual_momentum",'Daily evaluations'!$C$2:$C$36,"=d20261026"),"")</f>
      </c>
      <c r="AB49" s="8">
        <f>IF((0=1),SUMIFS('Daily evaluations'!$E$2:$E$36,'Daily evaluations'!$B$2:$B$36,"=p08_residual_momentum",'Daily evaluations'!$C$2:$C$36,"=d20261027"),"")</f>
      </c>
      <c r="AC49" s="8">
        <f>IF((0=1),SUMIFS('Daily evaluations'!$E$2:$E$36,'Daily evaluations'!$B$2:$B$36,"=p08_residual_momentum",'Daily evaluations'!$C$2:$C$36,"=d20261028"),"")</f>
      </c>
      <c r="AD49" s="8">
        <f>IF((0=1),SUMIFS('Daily evaluations'!$E$2:$E$36,'Daily evaluations'!$B$2:$B$36,"=p08_residual_momentum",'Daily evaluations'!$C$2:$C$36,"=d20261029"),"")</f>
      </c>
      <c r="AE49" s="8">
        <f>IF((0=1),SUMIFS('Daily evaluations'!$E$2:$E$36,'Daily evaluations'!$B$2:$B$36,"=p08_residual_momentum",'Daily evaluations'!$C$2:$C$36,"=d20261030"),"")</f>
      </c>
      <c r="AF49" s="8">
        <f>IF((0=1),SUMIFS('Daily evaluations'!$E$2:$E$36,'Daily evaluations'!$B$2:$B$36,"=p08_residual_momentum",'Daily evaluations'!$C$2:$C$36,"=d20261102"),"")</f>
      </c>
      <c r="AG49" s="8">
        <f>IF((0=1),SUMIFS('Daily evaluations'!$E$2:$E$36,'Daily evaluations'!$B$2:$B$36,"=p08_residual_momentum",'Daily evaluations'!$C$2:$C$36,"=d20261103"),"")</f>
      </c>
      <c r="AH49" s="8">
        <f>IF((0=1),SUMIFS('Daily evaluations'!$E$2:$E$36,'Daily evaluations'!$B$2:$B$36,"=p08_residual_momentum",'Daily evaluations'!$C$2:$C$36,"=d20261104"),"")</f>
      </c>
      <c r="AI49" s="8">
        <f>IF((0=1),SUMIFS('Daily evaluations'!$E$2:$E$36,'Daily evaluations'!$B$2:$B$36,"=p08_residual_momentum",'Daily evaluations'!$C$2:$C$36,"=d20261105"),"")</f>
      </c>
      <c r="AJ49" s="8">
        <f>IF((0=1),SUMIFS('Daily evaluations'!$E$2:$E$36,'Daily evaluations'!$B$2:$B$36,"=p08_residual_momentum",'Daily evaluations'!$C$2:$C$36,"=d20261106"),"")</f>
      </c>
      <c r="AK49" s="8">
        <f>IF((0=1),SUMIFS('Daily evaluations'!$E$2:$E$36,'Daily evaluations'!$B$2:$B$36,"=p08_residual_momentum",'Daily evaluations'!$C$2:$C$36,"=d20261109"),"")</f>
      </c>
      <c r="AL49" s="8">
        <f>IF((0=1),SUMIFS('Daily evaluations'!$E$2:$E$36,'Daily evaluations'!$B$2:$B$36,"=p08_residual_momentum",'Daily evaluations'!$C$2:$C$36,"=d20261110"),"")</f>
      </c>
      <c r="AM49" s="8">
        <f>IF((0=1),SUMIFS('Daily evaluations'!$E$2:$E$36,'Daily evaluations'!$B$2:$B$36,"=p08_residual_momentum",'Daily evaluations'!$C$2:$C$36,"=d20261111"),"")</f>
      </c>
      <c r="AN49" s="8">
        <f>IF((0=1),SUMIFS('Daily evaluations'!$E$2:$E$36,'Daily evaluations'!$B$2:$B$36,"=p08_residual_momentum",'Daily evaluations'!$C$2:$C$36,"=d20261112"),"")</f>
      </c>
      <c r="AO49" s="8">
        <f>IF((0=1),SUMIFS('Daily evaluations'!$E$2:$E$36,'Daily evaluations'!$B$2:$B$36,"=p08_residual_momentum",'Daily evaluations'!$C$2:$C$36,"=d20261113"),"")</f>
      </c>
      <c r="AP49" s="8">
        <f>IF((0=1),SUMIFS('Daily evaluations'!$E$2:$E$36,'Daily evaluations'!$B$2:$B$36,"=p08_residual_momentum",'Daily evaluations'!$C$2:$C$36,"=d20261116"),"")</f>
      </c>
      <c r="AQ49" s="8">
        <f>IF((0=1),SUMIFS('Daily evaluations'!$E$2:$E$36,'Daily evaluations'!$B$2:$B$36,"=p08_residual_momentum",'Daily evaluations'!$C$2:$C$36,"=d20261117"),"")</f>
      </c>
      <c r="AR49" s="8">
        <f>IF((0=1),SUMIFS('Daily evaluations'!$E$2:$E$36,'Daily evaluations'!$B$2:$B$36,"=p08_residual_momentum",'Daily evaluations'!$C$2:$C$36,"=d20261118"),"")</f>
      </c>
      <c r="AS49" s="8">
        <f>IF((0=1),SUMIFS('Daily evaluations'!$E$2:$E$36,'Daily evaluations'!$B$2:$B$36,"=p08_residual_momentum",'Daily evaluations'!$C$2:$C$36,"=d20261119"),"")</f>
      </c>
      <c r="AT49" s="8">
        <f>IF((0=1),SUMIFS('Daily evaluations'!$E$2:$E$36,'Daily evaluations'!$B$2:$B$36,"=p08_residual_momentum",'Daily evaluations'!$C$2:$C$36,"=d20261120"),"")</f>
      </c>
      <c r="AU49" s="8">
        <f>IF((0=1),SUMIFS('Daily evaluations'!$E$2:$E$36,'Daily evaluations'!$B$2:$B$36,"=p08_residual_momentum",'Daily evaluations'!$C$2:$C$36,"=d20261123"),"")</f>
      </c>
      <c r="AV49" s="8">
        <f>IF((0=1),SUMIFS('Daily evaluations'!$E$2:$E$36,'Daily evaluations'!$B$2:$B$36,"=p08_residual_momentum",'Daily evaluations'!$C$2:$C$36,"=d20261124"),"")</f>
      </c>
      <c r="AW49" s="8">
        <f>IF((0=1),SUMIFS('Daily evaluations'!$E$2:$E$36,'Daily evaluations'!$B$2:$B$36,"=p08_residual_momentum",'Daily evaluations'!$C$2:$C$36,"=d20261125"),"")</f>
      </c>
      <c r="AX49" s="8">
        <f>IF((0=1),SUMIFS('Daily evaluations'!$E$2:$E$36,'Daily evaluations'!$B$2:$B$36,"=p08_residual_momentum",'Daily evaluations'!$C$2:$C$36,"=d20261127"),"")</f>
      </c>
      <c r="AY49" s="8">
        <f>IF((0=1),SUMIFS('Daily evaluations'!$E$2:$E$36,'Daily evaluations'!$B$2:$B$36,"=p08_residual_momentum",'Daily evaluations'!$C$2:$C$36,"=d20261130"),"")</f>
      </c>
      <c r="AZ49" s="8">
        <f>IF((0=1),SUMIFS('Daily evaluations'!$E$2:$E$36,'Daily evaluations'!$B$2:$B$36,"=p08_residual_momentum",'Daily evaluations'!$C$2:$C$36,"=d20261201"),"")</f>
      </c>
      <c r="BA49" s="8">
        <f>IF((0=1),SUMIFS('Daily evaluations'!$E$2:$E$36,'Daily evaluations'!$B$2:$B$36,"=p08_residual_momentum",'Daily evaluations'!$C$2:$C$36,"=d20261202"),"")</f>
      </c>
      <c r="BB49" s="8">
        <f>IF((0=1),SUMIFS('Daily evaluations'!$E$2:$E$36,'Daily evaluations'!$B$2:$B$36,"=p08_residual_momentum",'Daily evaluations'!$C$2:$C$36,"=d20261203"),"")</f>
      </c>
      <c r="BC49" s="8">
        <f>IF((0=1),SUMIFS('Daily evaluations'!$E$2:$E$36,'Daily evaluations'!$B$2:$B$36,"=p08_residual_momentum",'Daily evaluations'!$C$2:$C$36,"=d20261204"),"")</f>
      </c>
      <c r="BD49" s="8">
        <f>IF((0=1),SUMIFS('Daily evaluations'!$E$2:$E$36,'Daily evaluations'!$B$2:$B$36,"=p08_residual_momentum",'Daily evaluations'!$C$2:$C$36,"=d20261207"),"")</f>
      </c>
      <c r="BE49" s="8">
        <f>IF((0=1),SUMIFS('Daily evaluations'!$E$2:$E$36,'Daily evaluations'!$B$2:$B$36,"=p08_residual_momentum",'Daily evaluations'!$C$2:$C$36,"=d20261208"),"")</f>
      </c>
      <c r="BF49" s="8">
        <f>IF((0=1),SUMIFS('Daily evaluations'!$E$2:$E$36,'Daily evaluations'!$B$2:$B$36,"=p08_residual_momentum",'Daily evaluations'!$C$2:$C$36,"=d20261209"),"")</f>
      </c>
      <c r="BG49" s="8">
        <f>IF((0=1),SUMIFS('Daily evaluations'!$E$2:$E$36,'Daily evaluations'!$B$2:$B$36,"=p08_residual_momentum",'Daily evaluations'!$C$2:$C$36,"=d20261210"),"")</f>
      </c>
      <c r="BH49" s="8">
        <f>IF((0=1),SUMIFS('Daily evaluations'!$E$2:$E$36,'Daily evaluations'!$B$2:$B$36,"=p08_residual_momentum",'Daily evaluations'!$C$2:$C$36,"=d20261211"),"")</f>
      </c>
      <c r="BI49" s="8">
        <f>IF((0=1),SUMIFS('Daily evaluations'!$E$2:$E$36,'Daily evaluations'!$B$2:$B$36,"=p08_residual_momentum",'Daily evaluations'!$C$2:$C$36,"=d20261214"),"")</f>
      </c>
      <c r="BJ49" s="8">
        <f>IF((0=1),SUMIFS('Daily evaluations'!$E$2:$E$36,'Daily evaluations'!$B$2:$B$36,"=p08_residual_momentum",'Daily evaluations'!$C$2:$C$36,"=d20261215"),"")</f>
      </c>
      <c r="BK49" s="8">
        <f>IF((0=1),SUMIFS('Daily evaluations'!$E$2:$E$36,'Daily evaluations'!$B$2:$B$36,"=p08_residual_momentum",'Daily evaluations'!$C$2:$C$36,"=d20261216"),"")</f>
      </c>
      <c r="BL49" s="8">
        <f>IF((0=1),SUMIFS('Daily evaluations'!$E$2:$E$36,'Daily evaluations'!$B$2:$B$36,"=p08_residual_momentum",'Daily evaluations'!$C$2:$C$36,"=d20261217"),"")</f>
      </c>
      <c r="BM49" s="8">
        <f>IF((0=1),SUMIFS('Daily evaluations'!$E$2:$E$36,'Daily evaluations'!$B$2:$B$36,"=p08_residual_momentum",'Daily evaluations'!$C$2:$C$36,"=d20261218"),"")</f>
      </c>
      <c r="BN49" s="8">
        <f>IF((0=1),SUMIFS('Daily evaluations'!$E$2:$E$36,'Daily evaluations'!$B$2:$B$36,"=p08_residual_momentum",'Daily evaluations'!$C$2:$C$36,"=d20261221"),"")</f>
      </c>
      <c r="BO49" s="8">
        <f>IF((0=1),SUMIFS('Daily evaluations'!$E$2:$E$36,'Daily evaluations'!$B$2:$B$36,"=p08_residual_momentum",'Daily evaluations'!$C$2:$C$36,"=d20261222"),"")</f>
      </c>
      <c r="BP49" s="8">
        <f>IF((0=1),SUMIFS('Daily evaluations'!$E$2:$E$36,'Daily evaluations'!$B$2:$B$36,"=p08_residual_momentum",'Daily evaluations'!$C$2:$C$36,"=d20261223"),"")</f>
      </c>
      <c r="BQ49" s="8">
        <f>IF((0=1),SUMIFS('Daily evaluations'!$E$2:$E$36,'Daily evaluations'!$B$2:$B$36,"=p08_residual_momentum",'Daily evaluations'!$C$2:$C$36,"=d20261224"),"")</f>
      </c>
      <c r="BR49" s="8">
        <f>IF((0=1),SUMIFS('Daily evaluations'!$E$2:$E$36,'Daily evaluations'!$B$2:$B$36,"=p08_residual_momentum",'Daily evaluations'!$C$2:$C$36,"=d20261228"),"")</f>
      </c>
      <c r="BS49" s="8">
        <f>IF((0=1),SUMIFS('Daily evaluations'!$E$2:$E$36,'Daily evaluations'!$B$2:$B$36,"=p08_residual_momentum",'Daily evaluations'!$C$2:$C$36,"=d20261229"),"")</f>
      </c>
      <c r="BT49" s="8">
        <f>IF((0=1),SUMIFS('Daily evaluations'!$E$2:$E$36,'Daily evaluations'!$B$2:$B$36,"=p08_residual_momentum",'Daily evaluations'!$C$2:$C$36,"=d20261230"),"")</f>
      </c>
      <c r="BU49" s="8">
        <f>IF((0=1),SUMIFS('Daily evaluations'!$E$2:$E$36,'Daily evaluations'!$B$2:$B$36,"=p08_residual_momentum",'Daily evaluations'!$C$2:$C$36,"=d20261231"),"")</f>
      </c>
      <c r="BV49" s="8">
        <f>IF((0=1),SUMIFS('Daily evaluations'!$E$2:$E$36,'Daily evaluations'!$B$2:$B$36,"=p08_residual_momentum",'Daily evaluations'!$C$2:$C$36,"=d20270104"),"")</f>
      </c>
      <c r="BW49" s="8">
        <f>IF((0=1),SUMIFS('Daily evaluations'!$E$2:$E$36,'Daily evaluations'!$B$2:$B$36,"=p08_residual_momentum",'Daily evaluations'!$C$2:$C$36,"=d20270105"),"")</f>
      </c>
      <c r="BX49" s="8">
        <f>IF((0=1),SUMIFS('Daily evaluations'!$E$2:$E$36,'Daily evaluations'!$B$2:$B$36,"=p08_residual_momentum",'Daily evaluations'!$C$2:$C$36,"=d20270106"),"")</f>
      </c>
      <c r="BY49" s="8">
        <f>IF((0=1),SUMIFS('Daily evaluations'!$E$2:$E$36,'Daily evaluations'!$B$2:$B$36,"=p08_residual_momentum",'Daily evaluations'!$C$2:$C$36,"=d20270107"),"")</f>
      </c>
      <c r="BZ49" s="8">
        <f>IF((0=1),SUMIFS('Daily evaluations'!$E$2:$E$36,'Daily evaluations'!$B$2:$B$36,"=p08_residual_momentum",'Daily evaluations'!$C$2:$C$36,"=d20270108"),"")</f>
      </c>
      <c r="CA49" s="8">
        <f>IF((0=1),SUMIFS('Daily evaluations'!$E$2:$E$36,'Daily evaluations'!$B$2:$B$36,"=p08_residual_momentum",'Daily evaluations'!$C$2:$C$36,"=d20270111"),"")</f>
      </c>
      <c r="CB49" s="8">
        <f>IF((0=1),SUMIFS('Daily evaluations'!$E$2:$E$36,'Daily evaluations'!$B$2:$B$36,"=p08_residual_momentum",'Daily evaluations'!$C$2:$C$36,"=d20270112"),"")</f>
      </c>
      <c r="CC49" s="8">
        <f>IF((0=1),SUMIFS('Daily evaluations'!$E$2:$E$36,'Daily evaluations'!$B$2:$B$36,"=p08_residual_momentum",'Daily evaluations'!$C$2:$C$36,"=d20270113"),"")</f>
      </c>
      <c r="CD49" s="8">
        <f>IF((0=1),SUMIFS('Daily evaluations'!$E$2:$E$36,'Daily evaluations'!$B$2:$B$36,"=p08_residual_momentum",'Daily evaluations'!$C$2:$C$36,"=d20270114"),"")</f>
      </c>
      <c r="CE49" s="8">
        <f>IF((0=1),SUMIFS('Daily evaluations'!$E$2:$E$36,'Daily evaluations'!$B$2:$B$36,"=p08_residual_momentum",'Daily evaluations'!$C$2:$C$36,"=d20270115"),"")</f>
      </c>
      <c r="CF49" s="8">
        <f>IF((0=1),SUMIFS('Daily evaluations'!$E$2:$E$36,'Daily evaluations'!$B$2:$B$36,"=p08_residual_momentum",'Daily evaluations'!$C$2:$C$36,"=d20270119"),"")</f>
      </c>
      <c r="CG49" s="8">
        <f>IF((0=1),SUMIFS('Daily evaluations'!$E$2:$E$36,'Daily evaluations'!$B$2:$B$36,"=p08_residual_momentum",'Daily evaluations'!$C$2:$C$36,"=d20270120"),"")</f>
      </c>
      <c r="CH49" s="8">
        <f>IF((0=1),SUMIFS('Daily evaluations'!$E$2:$E$36,'Daily evaluations'!$B$2:$B$36,"=p08_residual_momentum",'Daily evaluations'!$C$2:$C$36,"=d20270121"),"")</f>
      </c>
      <c r="CI49" s="8">
        <f>IF((0=1),SUMIFS('Daily evaluations'!$E$2:$E$36,'Daily evaluations'!$B$2:$B$36,"=p08_residual_momentum",'Daily evaluations'!$C$2:$C$36,"=d20270122"),"")</f>
      </c>
      <c r="CJ49" s="8">
        <f>IF((0=1),SUMIFS('Daily evaluations'!$E$2:$E$36,'Daily evaluations'!$B$2:$B$36,"=p08_residual_momentum",'Daily evaluations'!$C$2:$C$36,"=d20270125"),"")</f>
      </c>
      <c r="CK49" s="8">
        <f>IF((0=1),SUMIFS('Daily evaluations'!$E$2:$E$36,'Daily evaluations'!$B$2:$B$36,"=p08_residual_momentum",'Daily evaluations'!$C$2:$C$36,"=d20270126"),"")</f>
      </c>
      <c r="CL49" s="8">
        <f>IF((0=1),SUMIFS('Daily evaluations'!$E$2:$E$36,'Daily evaluations'!$B$2:$B$36,"=p08_residual_momentum",'Daily evaluations'!$C$2:$C$36,"=d20270127"),"")</f>
      </c>
      <c r="CM49" s="8">
        <f>IF((0=1),SUMIFS('Daily evaluations'!$E$2:$E$36,'Daily evaluations'!$B$2:$B$36,"=p08_residual_momentum",'Daily evaluations'!$C$2:$C$36,"=d20270128"),"")</f>
      </c>
      <c r="CN49" s="8">
        <f>IF((0=1),SUMIFS('Daily evaluations'!$E$2:$E$36,'Daily evaluations'!$B$2:$B$36,"=p08_residual_momentum",'Daily evaluations'!$C$2:$C$36,"=d20270129"),"")</f>
      </c>
      <c r="CO49" s="8">
        <f>IF((0=1),SUMIFS('Daily evaluations'!$E$2:$E$36,'Daily evaluations'!$B$2:$B$36,"=p08_residual_momentum",'Daily evaluations'!$C$2:$C$36,"=d20270201"),"")</f>
      </c>
      <c r="CP49" s="8">
        <f>IF((0=1),SUMIFS('Daily evaluations'!$E$2:$E$36,'Daily evaluations'!$B$2:$B$36,"=p08_residual_momentum",'Daily evaluations'!$C$2:$C$36,"=d20270202"),"")</f>
      </c>
      <c r="CQ49" s="8">
        <f>IF((0=1),SUMIFS('Daily evaluations'!$E$2:$E$36,'Daily evaluations'!$B$2:$B$36,"=p08_residual_momentum",'Daily evaluations'!$C$2:$C$36,"=d20270203"),"")</f>
      </c>
      <c r="CR49" s="8">
        <f>IF((0=1),SUMIFS('Daily evaluations'!$E$2:$E$36,'Daily evaluations'!$B$2:$B$36,"=p08_residual_momentum",'Daily evaluations'!$C$2:$C$36,"=d20270204"),"")</f>
      </c>
      <c r="CS49" s="8">
        <f>IF((0=1),SUMIFS('Daily evaluations'!$E$2:$E$36,'Daily evaluations'!$B$2:$B$36,"=p08_residual_momentum",'Daily evaluations'!$C$2:$C$36,"=d20270205"),"")</f>
      </c>
      <c r="CT49" s="8">
        <f>IF((0=1),SUMIFS('Daily evaluations'!$E$2:$E$36,'Daily evaluations'!$B$2:$B$36,"=p08_residual_momentum",'Daily evaluations'!$C$2:$C$36,"=d20270208"),"")</f>
      </c>
      <c r="CU49" s="8">
        <f>IF((0=1),SUMIFS('Daily evaluations'!$E$2:$E$36,'Daily evaluations'!$B$2:$B$36,"=p08_residual_momentum",'Daily evaluations'!$C$2:$C$36,"=d20270209"),"")</f>
      </c>
      <c r="CV49" s="8">
        <f>IF((0=1),SUMIFS('Daily evaluations'!$E$2:$E$36,'Daily evaluations'!$B$2:$B$36,"=p08_residual_momentum",'Daily evaluations'!$C$2:$C$36,"=d20270210"),"")</f>
      </c>
      <c r="CW49" s="8">
        <f>IF((0=1),SUMIFS('Daily evaluations'!$E$2:$E$36,'Daily evaluations'!$B$2:$B$36,"=p08_residual_momentum",'Daily evaluations'!$C$2:$C$36,"=d20270211"),"")</f>
      </c>
      <c r="CX49" s="8">
        <f>IF((0=1),SUMIFS('Daily evaluations'!$E$2:$E$36,'Daily evaluations'!$B$2:$B$36,"=p08_residual_momentum",'Daily evaluations'!$C$2:$C$36,"=d20270212"),"")</f>
      </c>
    </row>
    <row r="50">
      <c r="A50" s="0" t="inlineStr">
        <is>
          <t xml:space="preserve">Overnight excess vs universe, bps</t>
        </is>
      </c>
      <c r="B50" s="0" t="inlineStr">
        <is>
          <t xml:space="preserve">Overnight Return Persistence</t>
        </is>
      </c>
      <c r="C50" s="8">
        <f>IF((1=1),SUMIFS('Daily evaluations'!$E$2:$E$36,'Daily evaluations'!$B$2:$B$36,"=p09_overnight_persistence",'Daily evaluations'!$C$2:$C$36,"=d20260922"),"")</f>
        <v>1.478</v>
      </c>
      <c r="D50" s="8">
        <f>IF((0=1),SUMIFS('Daily evaluations'!$E$2:$E$36,'Daily evaluations'!$B$2:$B$36,"=p09_overnight_persistence",'Daily evaluations'!$C$2:$C$36,"=d20260923"),"")</f>
      </c>
      <c r="E50" s="8">
        <f>IF((0=1),SUMIFS('Daily evaluations'!$E$2:$E$36,'Daily evaluations'!$B$2:$B$36,"=p09_overnight_persistence",'Daily evaluations'!$C$2:$C$36,"=d20260924"),"")</f>
      </c>
      <c r="F50" s="8">
        <f>IF((0=1),SUMIFS('Daily evaluations'!$E$2:$E$36,'Daily evaluations'!$B$2:$B$36,"=p09_overnight_persistence",'Daily evaluations'!$C$2:$C$36,"=d20260925"),"")</f>
      </c>
      <c r="G50" s="8">
        <f>IF((0=1),SUMIFS('Daily evaluations'!$E$2:$E$36,'Daily evaluations'!$B$2:$B$36,"=p09_overnight_persistence",'Daily evaluations'!$C$2:$C$36,"=d20260928"),"")</f>
      </c>
      <c r="H50" s="8">
        <f>IF((0=1),SUMIFS('Daily evaluations'!$E$2:$E$36,'Daily evaluations'!$B$2:$B$36,"=p09_overnight_persistence",'Daily evaluations'!$C$2:$C$36,"=d20260929"),"")</f>
      </c>
      <c r="I50" s="8">
        <f>IF((0=1),SUMIFS('Daily evaluations'!$E$2:$E$36,'Daily evaluations'!$B$2:$B$36,"=p09_overnight_persistence",'Daily evaluations'!$C$2:$C$36,"=d20260930"),"")</f>
      </c>
      <c r="J50" s="8">
        <f>IF((0=1),SUMIFS('Daily evaluations'!$E$2:$E$36,'Daily evaluations'!$B$2:$B$36,"=p09_overnight_persistence",'Daily evaluations'!$C$2:$C$36,"=d20261001"),"")</f>
      </c>
      <c r="K50" s="8">
        <f>IF((0=1),SUMIFS('Daily evaluations'!$E$2:$E$36,'Daily evaluations'!$B$2:$B$36,"=p09_overnight_persistence",'Daily evaluations'!$C$2:$C$36,"=d20261002"),"")</f>
      </c>
      <c r="L50" s="8">
        <f>IF((0=1),SUMIFS('Daily evaluations'!$E$2:$E$36,'Daily evaluations'!$B$2:$B$36,"=p09_overnight_persistence",'Daily evaluations'!$C$2:$C$36,"=d20261005"),"")</f>
      </c>
      <c r="M50" s="8">
        <f>IF((0=1),SUMIFS('Daily evaluations'!$E$2:$E$36,'Daily evaluations'!$B$2:$B$36,"=p09_overnight_persistence",'Daily evaluations'!$C$2:$C$36,"=d20261006"),"")</f>
      </c>
      <c r="N50" s="8">
        <f>IF((0=1),SUMIFS('Daily evaluations'!$E$2:$E$36,'Daily evaluations'!$B$2:$B$36,"=p09_overnight_persistence",'Daily evaluations'!$C$2:$C$36,"=d20261007"),"")</f>
      </c>
      <c r="O50" s="8">
        <f>IF((0=1),SUMIFS('Daily evaluations'!$E$2:$E$36,'Daily evaluations'!$B$2:$B$36,"=p09_overnight_persistence",'Daily evaluations'!$C$2:$C$36,"=d20261008"),"")</f>
      </c>
      <c r="P50" s="8">
        <f>IF((0=1),SUMIFS('Daily evaluations'!$E$2:$E$36,'Daily evaluations'!$B$2:$B$36,"=p09_overnight_persistence",'Daily evaluations'!$C$2:$C$36,"=d20261009"),"")</f>
      </c>
      <c r="Q50" s="8">
        <f>IF((0=1),SUMIFS('Daily evaluations'!$E$2:$E$36,'Daily evaluations'!$B$2:$B$36,"=p09_overnight_persistence",'Daily evaluations'!$C$2:$C$36,"=d20261012"),"")</f>
      </c>
      <c r="R50" s="8">
        <f>IF((0=1),SUMIFS('Daily evaluations'!$E$2:$E$36,'Daily evaluations'!$B$2:$B$36,"=p09_overnight_persistence",'Daily evaluations'!$C$2:$C$36,"=d20261013"),"")</f>
      </c>
      <c r="S50" s="8">
        <f>IF((0=1),SUMIFS('Daily evaluations'!$E$2:$E$36,'Daily evaluations'!$B$2:$B$36,"=p09_overnight_persistence",'Daily evaluations'!$C$2:$C$36,"=d20261014"),"")</f>
      </c>
      <c r="T50" s="8">
        <f>IF((0=1),SUMIFS('Daily evaluations'!$E$2:$E$36,'Daily evaluations'!$B$2:$B$36,"=p09_overnight_persistence",'Daily evaluations'!$C$2:$C$36,"=d20261015"),"")</f>
      </c>
      <c r="U50" s="8">
        <f>IF((0=1),SUMIFS('Daily evaluations'!$E$2:$E$36,'Daily evaluations'!$B$2:$B$36,"=p09_overnight_persistence",'Daily evaluations'!$C$2:$C$36,"=d20261016"),"")</f>
      </c>
      <c r="V50" s="8">
        <f>IF((0=1),SUMIFS('Daily evaluations'!$E$2:$E$36,'Daily evaluations'!$B$2:$B$36,"=p09_overnight_persistence",'Daily evaluations'!$C$2:$C$36,"=d20261019"),"")</f>
      </c>
      <c r="W50" s="8">
        <f>IF((0=1),SUMIFS('Daily evaluations'!$E$2:$E$36,'Daily evaluations'!$B$2:$B$36,"=p09_overnight_persistence",'Daily evaluations'!$C$2:$C$36,"=d20261020"),"")</f>
      </c>
      <c r="X50" s="8">
        <f>IF((0=1),SUMIFS('Daily evaluations'!$E$2:$E$36,'Daily evaluations'!$B$2:$B$36,"=p09_overnight_persistence",'Daily evaluations'!$C$2:$C$36,"=d20261021"),"")</f>
      </c>
      <c r="Y50" s="8">
        <f>IF((0=1),SUMIFS('Daily evaluations'!$E$2:$E$36,'Daily evaluations'!$B$2:$B$36,"=p09_overnight_persistence",'Daily evaluations'!$C$2:$C$36,"=d20261022"),"")</f>
      </c>
      <c r="Z50" s="8">
        <f>IF((0=1),SUMIFS('Daily evaluations'!$E$2:$E$36,'Daily evaluations'!$B$2:$B$36,"=p09_overnight_persistence",'Daily evaluations'!$C$2:$C$36,"=d20261023"),"")</f>
      </c>
      <c r="AA50" s="8">
        <f>IF((0=1),SUMIFS('Daily evaluations'!$E$2:$E$36,'Daily evaluations'!$B$2:$B$36,"=p09_overnight_persistence",'Daily evaluations'!$C$2:$C$36,"=d20261026"),"")</f>
      </c>
      <c r="AB50" s="8">
        <f>IF((0=1),SUMIFS('Daily evaluations'!$E$2:$E$36,'Daily evaluations'!$B$2:$B$36,"=p09_overnight_persistence",'Daily evaluations'!$C$2:$C$36,"=d20261027"),"")</f>
      </c>
      <c r="AC50" s="8">
        <f>IF((0=1),SUMIFS('Daily evaluations'!$E$2:$E$36,'Daily evaluations'!$B$2:$B$36,"=p09_overnight_persistence",'Daily evaluations'!$C$2:$C$36,"=d20261028"),"")</f>
      </c>
      <c r="AD50" s="8">
        <f>IF((0=1),SUMIFS('Daily evaluations'!$E$2:$E$36,'Daily evaluations'!$B$2:$B$36,"=p09_overnight_persistence",'Daily evaluations'!$C$2:$C$36,"=d20261029"),"")</f>
      </c>
      <c r="AE50" s="8">
        <f>IF((0=1),SUMIFS('Daily evaluations'!$E$2:$E$36,'Daily evaluations'!$B$2:$B$36,"=p09_overnight_persistence",'Daily evaluations'!$C$2:$C$36,"=d20261030"),"")</f>
      </c>
      <c r="AF50" s="8">
        <f>IF((0=1),SUMIFS('Daily evaluations'!$E$2:$E$36,'Daily evaluations'!$B$2:$B$36,"=p09_overnight_persistence",'Daily evaluations'!$C$2:$C$36,"=d20261102"),"")</f>
      </c>
      <c r="AG50" s="8">
        <f>IF((0=1),SUMIFS('Daily evaluations'!$E$2:$E$36,'Daily evaluations'!$B$2:$B$36,"=p09_overnight_persistence",'Daily evaluations'!$C$2:$C$36,"=d20261103"),"")</f>
      </c>
      <c r="AH50" s="8">
        <f>IF((0=1),SUMIFS('Daily evaluations'!$E$2:$E$36,'Daily evaluations'!$B$2:$B$36,"=p09_overnight_persistence",'Daily evaluations'!$C$2:$C$36,"=d20261104"),"")</f>
      </c>
      <c r="AI50" s="8">
        <f>IF((0=1),SUMIFS('Daily evaluations'!$E$2:$E$36,'Daily evaluations'!$B$2:$B$36,"=p09_overnight_persistence",'Daily evaluations'!$C$2:$C$36,"=d20261105"),"")</f>
      </c>
      <c r="AJ50" s="8">
        <f>IF((0=1),SUMIFS('Daily evaluations'!$E$2:$E$36,'Daily evaluations'!$B$2:$B$36,"=p09_overnight_persistence",'Daily evaluations'!$C$2:$C$36,"=d20261106"),"")</f>
      </c>
      <c r="AK50" s="8">
        <f>IF((0=1),SUMIFS('Daily evaluations'!$E$2:$E$36,'Daily evaluations'!$B$2:$B$36,"=p09_overnight_persistence",'Daily evaluations'!$C$2:$C$36,"=d20261109"),"")</f>
      </c>
      <c r="AL50" s="8">
        <f>IF((0=1),SUMIFS('Daily evaluations'!$E$2:$E$36,'Daily evaluations'!$B$2:$B$36,"=p09_overnight_persistence",'Daily evaluations'!$C$2:$C$36,"=d20261110"),"")</f>
      </c>
      <c r="AM50" s="8">
        <f>IF((0=1),SUMIFS('Daily evaluations'!$E$2:$E$36,'Daily evaluations'!$B$2:$B$36,"=p09_overnight_persistence",'Daily evaluations'!$C$2:$C$36,"=d20261111"),"")</f>
      </c>
      <c r="AN50" s="8">
        <f>IF((0=1),SUMIFS('Daily evaluations'!$E$2:$E$36,'Daily evaluations'!$B$2:$B$36,"=p09_overnight_persistence",'Daily evaluations'!$C$2:$C$36,"=d20261112"),"")</f>
      </c>
      <c r="AO50" s="8">
        <f>IF((0=1),SUMIFS('Daily evaluations'!$E$2:$E$36,'Daily evaluations'!$B$2:$B$36,"=p09_overnight_persistence",'Daily evaluations'!$C$2:$C$36,"=d20261113"),"")</f>
      </c>
      <c r="AP50" s="8">
        <f>IF((0=1),SUMIFS('Daily evaluations'!$E$2:$E$36,'Daily evaluations'!$B$2:$B$36,"=p09_overnight_persistence",'Daily evaluations'!$C$2:$C$36,"=d20261116"),"")</f>
      </c>
      <c r="AQ50" s="8">
        <f>IF((0=1),SUMIFS('Daily evaluations'!$E$2:$E$36,'Daily evaluations'!$B$2:$B$36,"=p09_overnight_persistence",'Daily evaluations'!$C$2:$C$36,"=d20261117"),"")</f>
      </c>
      <c r="AR50" s="8">
        <f>IF((0=1),SUMIFS('Daily evaluations'!$E$2:$E$36,'Daily evaluations'!$B$2:$B$36,"=p09_overnight_persistence",'Daily evaluations'!$C$2:$C$36,"=d20261118"),"")</f>
      </c>
      <c r="AS50" s="8">
        <f>IF((0=1),SUMIFS('Daily evaluations'!$E$2:$E$36,'Daily evaluations'!$B$2:$B$36,"=p09_overnight_persistence",'Daily evaluations'!$C$2:$C$36,"=d20261119"),"")</f>
      </c>
      <c r="AT50" s="8">
        <f>IF((0=1),SUMIFS('Daily evaluations'!$E$2:$E$36,'Daily evaluations'!$B$2:$B$36,"=p09_overnight_persistence",'Daily evaluations'!$C$2:$C$36,"=d20261120"),"")</f>
      </c>
      <c r="AU50" s="8">
        <f>IF((0=1),SUMIFS('Daily evaluations'!$E$2:$E$36,'Daily evaluations'!$B$2:$B$36,"=p09_overnight_persistence",'Daily evaluations'!$C$2:$C$36,"=d20261123"),"")</f>
      </c>
      <c r="AV50" s="8">
        <f>IF((0=1),SUMIFS('Daily evaluations'!$E$2:$E$36,'Daily evaluations'!$B$2:$B$36,"=p09_overnight_persistence",'Daily evaluations'!$C$2:$C$36,"=d20261124"),"")</f>
      </c>
      <c r="AW50" s="8">
        <f>IF((0=1),SUMIFS('Daily evaluations'!$E$2:$E$36,'Daily evaluations'!$B$2:$B$36,"=p09_overnight_persistence",'Daily evaluations'!$C$2:$C$36,"=d20261125"),"")</f>
      </c>
      <c r="AX50" s="8">
        <f>IF((0=1),SUMIFS('Daily evaluations'!$E$2:$E$36,'Daily evaluations'!$B$2:$B$36,"=p09_overnight_persistence",'Daily evaluations'!$C$2:$C$36,"=d20261127"),"")</f>
      </c>
      <c r="AY50" s="8">
        <f>IF((0=1),SUMIFS('Daily evaluations'!$E$2:$E$36,'Daily evaluations'!$B$2:$B$36,"=p09_overnight_persistence",'Daily evaluations'!$C$2:$C$36,"=d20261130"),"")</f>
      </c>
      <c r="AZ50" s="8">
        <f>IF((0=1),SUMIFS('Daily evaluations'!$E$2:$E$36,'Daily evaluations'!$B$2:$B$36,"=p09_overnight_persistence",'Daily evaluations'!$C$2:$C$36,"=d20261201"),"")</f>
      </c>
      <c r="BA50" s="8">
        <f>IF((0=1),SUMIFS('Daily evaluations'!$E$2:$E$36,'Daily evaluations'!$B$2:$B$36,"=p09_overnight_persistence",'Daily evaluations'!$C$2:$C$36,"=d20261202"),"")</f>
      </c>
      <c r="BB50" s="8">
        <f>IF((0=1),SUMIFS('Daily evaluations'!$E$2:$E$36,'Daily evaluations'!$B$2:$B$36,"=p09_overnight_persistence",'Daily evaluations'!$C$2:$C$36,"=d20261203"),"")</f>
      </c>
      <c r="BC50" s="8">
        <f>IF((0=1),SUMIFS('Daily evaluations'!$E$2:$E$36,'Daily evaluations'!$B$2:$B$36,"=p09_overnight_persistence",'Daily evaluations'!$C$2:$C$36,"=d20261204"),"")</f>
      </c>
      <c r="BD50" s="8">
        <f>IF((0=1),SUMIFS('Daily evaluations'!$E$2:$E$36,'Daily evaluations'!$B$2:$B$36,"=p09_overnight_persistence",'Daily evaluations'!$C$2:$C$36,"=d20261207"),"")</f>
      </c>
      <c r="BE50" s="8">
        <f>IF((0=1),SUMIFS('Daily evaluations'!$E$2:$E$36,'Daily evaluations'!$B$2:$B$36,"=p09_overnight_persistence",'Daily evaluations'!$C$2:$C$36,"=d20261208"),"")</f>
      </c>
      <c r="BF50" s="8">
        <f>IF((0=1),SUMIFS('Daily evaluations'!$E$2:$E$36,'Daily evaluations'!$B$2:$B$36,"=p09_overnight_persistence",'Daily evaluations'!$C$2:$C$36,"=d20261209"),"")</f>
      </c>
      <c r="BG50" s="8">
        <f>IF((0=1),SUMIFS('Daily evaluations'!$E$2:$E$36,'Daily evaluations'!$B$2:$B$36,"=p09_overnight_persistence",'Daily evaluations'!$C$2:$C$36,"=d20261210"),"")</f>
      </c>
      <c r="BH50" s="8">
        <f>IF((0=1),SUMIFS('Daily evaluations'!$E$2:$E$36,'Daily evaluations'!$B$2:$B$36,"=p09_overnight_persistence",'Daily evaluations'!$C$2:$C$36,"=d20261211"),"")</f>
      </c>
      <c r="BI50" s="8">
        <f>IF((0=1),SUMIFS('Daily evaluations'!$E$2:$E$36,'Daily evaluations'!$B$2:$B$36,"=p09_overnight_persistence",'Daily evaluations'!$C$2:$C$36,"=d20261214"),"")</f>
      </c>
      <c r="BJ50" s="8">
        <f>IF((0=1),SUMIFS('Daily evaluations'!$E$2:$E$36,'Daily evaluations'!$B$2:$B$36,"=p09_overnight_persistence",'Daily evaluations'!$C$2:$C$36,"=d20261215"),"")</f>
      </c>
      <c r="BK50" s="8">
        <f>IF((0=1),SUMIFS('Daily evaluations'!$E$2:$E$36,'Daily evaluations'!$B$2:$B$36,"=p09_overnight_persistence",'Daily evaluations'!$C$2:$C$36,"=d20261216"),"")</f>
      </c>
      <c r="BL50" s="8">
        <f>IF((0=1),SUMIFS('Daily evaluations'!$E$2:$E$36,'Daily evaluations'!$B$2:$B$36,"=p09_overnight_persistence",'Daily evaluations'!$C$2:$C$36,"=d20261217"),"")</f>
      </c>
      <c r="BM50" s="8">
        <f>IF((0=1),SUMIFS('Daily evaluations'!$E$2:$E$36,'Daily evaluations'!$B$2:$B$36,"=p09_overnight_persistence",'Daily evaluations'!$C$2:$C$36,"=d20261218"),"")</f>
      </c>
      <c r="BN50" s="8">
        <f>IF((0=1),SUMIFS('Daily evaluations'!$E$2:$E$36,'Daily evaluations'!$B$2:$B$36,"=p09_overnight_persistence",'Daily evaluations'!$C$2:$C$36,"=d20261221"),"")</f>
      </c>
      <c r="BO50" s="8">
        <f>IF((0=1),SUMIFS('Daily evaluations'!$E$2:$E$36,'Daily evaluations'!$B$2:$B$36,"=p09_overnight_persistence",'Daily evaluations'!$C$2:$C$36,"=d20261222"),"")</f>
      </c>
      <c r="BP50" s="8">
        <f>IF((0=1),SUMIFS('Daily evaluations'!$E$2:$E$36,'Daily evaluations'!$B$2:$B$36,"=p09_overnight_persistence",'Daily evaluations'!$C$2:$C$36,"=d20261223"),"")</f>
      </c>
      <c r="BQ50" s="8">
        <f>IF((0=1),SUMIFS('Daily evaluations'!$E$2:$E$36,'Daily evaluations'!$B$2:$B$36,"=p09_overnight_persistence",'Daily evaluations'!$C$2:$C$36,"=d20261224"),"")</f>
      </c>
      <c r="BR50" s="8">
        <f>IF((0=1),SUMIFS('Daily evaluations'!$E$2:$E$36,'Daily evaluations'!$B$2:$B$36,"=p09_overnight_persistence",'Daily evaluations'!$C$2:$C$36,"=d20261228"),"")</f>
      </c>
      <c r="BS50" s="8">
        <f>IF((0=1),SUMIFS('Daily evaluations'!$E$2:$E$36,'Daily evaluations'!$B$2:$B$36,"=p09_overnight_persistence",'Daily evaluations'!$C$2:$C$36,"=d20261229"),"")</f>
      </c>
      <c r="BT50" s="8">
        <f>IF((0=1),SUMIFS('Daily evaluations'!$E$2:$E$36,'Daily evaluations'!$B$2:$B$36,"=p09_overnight_persistence",'Daily evaluations'!$C$2:$C$36,"=d20261230"),"")</f>
      </c>
      <c r="BU50" s="8">
        <f>IF((0=1),SUMIFS('Daily evaluations'!$E$2:$E$36,'Daily evaluations'!$B$2:$B$36,"=p09_overnight_persistence",'Daily evaluations'!$C$2:$C$36,"=d20261231"),"")</f>
      </c>
      <c r="BV50" s="8">
        <f>IF((0=1),SUMIFS('Daily evaluations'!$E$2:$E$36,'Daily evaluations'!$B$2:$B$36,"=p09_overnight_persistence",'Daily evaluations'!$C$2:$C$36,"=d20270104"),"")</f>
      </c>
      <c r="BW50" s="8">
        <f>IF((0=1),SUMIFS('Daily evaluations'!$E$2:$E$36,'Daily evaluations'!$B$2:$B$36,"=p09_overnight_persistence",'Daily evaluations'!$C$2:$C$36,"=d20270105"),"")</f>
      </c>
      <c r="BX50" s="8">
        <f>IF((0=1),SUMIFS('Daily evaluations'!$E$2:$E$36,'Daily evaluations'!$B$2:$B$36,"=p09_overnight_persistence",'Daily evaluations'!$C$2:$C$36,"=d20270106"),"")</f>
      </c>
      <c r="BY50" s="8">
        <f>IF((0=1),SUMIFS('Daily evaluations'!$E$2:$E$36,'Daily evaluations'!$B$2:$B$36,"=p09_overnight_persistence",'Daily evaluations'!$C$2:$C$36,"=d20270107"),"")</f>
      </c>
      <c r="BZ50" s="8">
        <f>IF((0=1),SUMIFS('Daily evaluations'!$E$2:$E$36,'Daily evaluations'!$B$2:$B$36,"=p09_overnight_persistence",'Daily evaluations'!$C$2:$C$36,"=d20270108"),"")</f>
      </c>
      <c r="CA50" s="8">
        <f>IF((0=1),SUMIFS('Daily evaluations'!$E$2:$E$36,'Daily evaluations'!$B$2:$B$36,"=p09_overnight_persistence",'Daily evaluations'!$C$2:$C$36,"=d20270111"),"")</f>
      </c>
      <c r="CB50" s="8">
        <f>IF((0=1),SUMIFS('Daily evaluations'!$E$2:$E$36,'Daily evaluations'!$B$2:$B$36,"=p09_overnight_persistence",'Daily evaluations'!$C$2:$C$36,"=d20270112"),"")</f>
      </c>
      <c r="CC50" s="8">
        <f>IF((0=1),SUMIFS('Daily evaluations'!$E$2:$E$36,'Daily evaluations'!$B$2:$B$36,"=p09_overnight_persistence",'Daily evaluations'!$C$2:$C$36,"=d20270113"),"")</f>
      </c>
      <c r="CD50" s="8">
        <f>IF((0=1),SUMIFS('Daily evaluations'!$E$2:$E$36,'Daily evaluations'!$B$2:$B$36,"=p09_overnight_persistence",'Daily evaluations'!$C$2:$C$36,"=d20270114"),"")</f>
      </c>
      <c r="CE50" s="8">
        <f>IF((0=1),SUMIFS('Daily evaluations'!$E$2:$E$36,'Daily evaluations'!$B$2:$B$36,"=p09_overnight_persistence",'Daily evaluations'!$C$2:$C$36,"=d20270115"),"")</f>
      </c>
      <c r="CF50" s="8">
        <f>IF((0=1),SUMIFS('Daily evaluations'!$E$2:$E$36,'Daily evaluations'!$B$2:$B$36,"=p09_overnight_persistence",'Daily evaluations'!$C$2:$C$36,"=d20270119"),"")</f>
      </c>
      <c r="CG50" s="8">
        <f>IF((0=1),SUMIFS('Daily evaluations'!$E$2:$E$36,'Daily evaluations'!$B$2:$B$36,"=p09_overnight_persistence",'Daily evaluations'!$C$2:$C$36,"=d20270120"),"")</f>
      </c>
      <c r="CH50" s="8">
        <f>IF((0=1),SUMIFS('Daily evaluations'!$E$2:$E$36,'Daily evaluations'!$B$2:$B$36,"=p09_overnight_persistence",'Daily evaluations'!$C$2:$C$36,"=d20270121"),"")</f>
      </c>
      <c r="CI50" s="8">
        <f>IF((0=1),SUMIFS('Daily evaluations'!$E$2:$E$36,'Daily evaluations'!$B$2:$B$36,"=p09_overnight_persistence",'Daily evaluations'!$C$2:$C$36,"=d20270122"),"")</f>
      </c>
      <c r="CJ50" s="8">
        <f>IF((0=1),SUMIFS('Daily evaluations'!$E$2:$E$36,'Daily evaluations'!$B$2:$B$36,"=p09_overnight_persistence",'Daily evaluations'!$C$2:$C$36,"=d20270125"),"")</f>
      </c>
      <c r="CK50" s="8">
        <f>IF((0=1),SUMIFS('Daily evaluations'!$E$2:$E$36,'Daily evaluations'!$B$2:$B$36,"=p09_overnight_persistence",'Daily evaluations'!$C$2:$C$36,"=d20270126"),"")</f>
      </c>
      <c r="CL50" s="8">
        <f>IF((0=1),SUMIFS('Daily evaluations'!$E$2:$E$36,'Daily evaluations'!$B$2:$B$36,"=p09_overnight_persistence",'Daily evaluations'!$C$2:$C$36,"=d20270127"),"")</f>
      </c>
      <c r="CM50" s="8">
        <f>IF((0=1),SUMIFS('Daily evaluations'!$E$2:$E$36,'Daily evaluations'!$B$2:$B$36,"=p09_overnight_persistence",'Daily evaluations'!$C$2:$C$36,"=d20270128"),"")</f>
      </c>
      <c r="CN50" s="8">
        <f>IF((0=1),SUMIFS('Daily evaluations'!$E$2:$E$36,'Daily evaluations'!$B$2:$B$36,"=p09_overnight_persistence",'Daily evaluations'!$C$2:$C$36,"=d20270129"),"")</f>
      </c>
      <c r="CO50" s="8">
        <f>IF((0=1),SUMIFS('Daily evaluations'!$E$2:$E$36,'Daily evaluations'!$B$2:$B$36,"=p09_overnight_persistence",'Daily evaluations'!$C$2:$C$36,"=d20270201"),"")</f>
      </c>
      <c r="CP50" s="8">
        <f>IF((0=1),SUMIFS('Daily evaluations'!$E$2:$E$36,'Daily evaluations'!$B$2:$B$36,"=p09_overnight_persistence",'Daily evaluations'!$C$2:$C$36,"=d20270202"),"")</f>
      </c>
      <c r="CQ50" s="8">
        <f>IF((0=1),SUMIFS('Daily evaluations'!$E$2:$E$36,'Daily evaluations'!$B$2:$B$36,"=p09_overnight_persistence",'Daily evaluations'!$C$2:$C$36,"=d20270203"),"")</f>
      </c>
      <c r="CR50" s="8">
        <f>IF((0=1),SUMIFS('Daily evaluations'!$E$2:$E$36,'Daily evaluations'!$B$2:$B$36,"=p09_overnight_persistence",'Daily evaluations'!$C$2:$C$36,"=d20270204"),"")</f>
      </c>
      <c r="CS50" s="8">
        <f>IF((0=1),SUMIFS('Daily evaluations'!$E$2:$E$36,'Daily evaluations'!$B$2:$B$36,"=p09_overnight_persistence",'Daily evaluations'!$C$2:$C$36,"=d20270205"),"")</f>
      </c>
      <c r="CT50" s="8">
        <f>IF((0=1),SUMIFS('Daily evaluations'!$E$2:$E$36,'Daily evaluations'!$B$2:$B$36,"=p09_overnight_persistence",'Daily evaluations'!$C$2:$C$36,"=d20270208"),"")</f>
      </c>
      <c r="CU50" s="8">
        <f>IF((0=1),SUMIFS('Daily evaluations'!$E$2:$E$36,'Daily evaluations'!$B$2:$B$36,"=p09_overnight_persistence",'Daily evaluations'!$C$2:$C$36,"=d20270209"),"")</f>
      </c>
      <c r="CV50" s="8">
        <f>IF((0=1),SUMIFS('Daily evaluations'!$E$2:$E$36,'Daily evaluations'!$B$2:$B$36,"=p09_overnight_persistence",'Daily evaluations'!$C$2:$C$36,"=d20270210"),"")</f>
      </c>
      <c r="CW50" s="8">
        <f>IF((0=1),SUMIFS('Daily evaluations'!$E$2:$E$36,'Daily evaluations'!$B$2:$B$36,"=p09_overnight_persistence",'Daily evaluations'!$C$2:$C$36,"=d20270211"),"")</f>
      </c>
      <c r="CX50" s="8">
        <f>IF((0=1),SUMIFS('Daily evaluations'!$E$2:$E$36,'Daily evaluations'!$B$2:$B$36,"=p09_overnight_persistence",'Daily evaluations'!$C$2:$C$36,"=d20270212"),"")</f>
      </c>
    </row>
    <row r="51">
      <c r="A51" s="0" t="inlineStr">
        <is>
          <t xml:space="preserve">Overnight excess vs universe, bps</t>
        </is>
      </c>
      <c r="B51" s="0" t="inlineStr">
        <is>
          <t xml:space="preserve">52-Week-High Anchoring</t>
        </is>
      </c>
      <c r="C51" s="8">
        <f>IF((1=1),SUMIFS('Daily evaluations'!$E$2:$E$36,'Daily evaluations'!$B$2:$B$36,"=p10_52wk_high",'Daily evaluations'!$C$2:$C$36,"=d20260922"),"")</f>
        <v>39.111</v>
      </c>
      <c r="D51" s="8">
        <f>IF((0=1),SUMIFS('Daily evaluations'!$E$2:$E$36,'Daily evaluations'!$B$2:$B$36,"=p10_52wk_high",'Daily evaluations'!$C$2:$C$36,"=d20260923"),"")</f>
      </c>
      <c r="E51" s="8">
        <f>IF((0=1),SUMIFS('Daily evaluations'!$E$2:$E$36,'Daily evaluations'!$B$2:$B$36,"=p10_52wk_high",'Daily evaluations'!$C$2:$C$36,"=d20260924"),"")</f>
      </c>
      <c r="F51" s="8">
        <f>IF((0=1),SUMIFS('Daily evaluations'!$E$2:$E$36,'Daily evaluations'!$B$2:$B$36,"=p10_52wk_high",'Daily evaluations'!$C$2:$C$36,"=d20260925"),"")</f>
      </c>
      <c r="G51" s="8">
        <f>IF((0=1),SUMIFS('Daily evaluations'!$E$2:$E$36,'Daily evaluations'!$B$2:$B$36,"=p10_52wk_high",'Daily evaluations'!$C$2:$C$36,"=d20260928"),"")</f>
      </c>
      <c r="H51" s="8">
        <f>IF((0=1),SUMIFS('Daily evaluations'!$E$2:$E$36,'Daily evaluations'!$B$2:$B$36,"=p10_52wk_high",'Daily evaluations'!$C$2:$C$36,"=d20260929"),"")</f>
      </c>
      <c r="I51" s="8">
        <f>IF((0=1),SUMIFS('Daily evaluations'!$E$2:$E$36,'Daily evaluations'!$B$2:$B$36,"=p10_52wk_high",'Daily evaluations'!$C$2:$C$36,"=d20260930"),"")</f>
      </c>
      <c r="J51" s="8">
        <f>IF((0=1),SUMIFS('Daily evaluations'!$E$2:$E$36,'Daily evaluations'!$B$2:$B$36,"=p10_52wk_high",'Daily evaluations'!$C$2:$C$36,"=d20261001"),"")</f>
      </c>
      <c r="K51" s="8">
        <f>IF((0=1),SUMIFS('Daily evaluations'!$E$2:$E$36,'Daily evaluations'!$B$2:$B$36,"=p10_52wk_high",'Daily evaluations'!$C$2:$C$36,"=d20261002"),"")</f>
      </c>
      <c r="L51" s="8">
        <f>IF((0=1),SUMIFS('Daily evaluations'!$E$2:$E$36,'Daily evaluations'!$B$2:$B$36,"=p10_52wk_high",'Daily evaluations'!$C$2:$C$36,"=d20261005"),"")</f>
      </c>
      <c r="M51" s="8">
        <f>IF((0=1),SUMIFS('Daily evaluations'!$E$2:$E$36,'Daily evaluations'!$B$2:$B$36,"=p10_52wk_high",'Daily evaluations'!$C$2:$C$36,"=d20261006"),"")</f>
      </c>
      <c r="N51" s="8">
        <f>IF((0=1),SUMIFS('Daily evaluations'!$E$2:$E$36,'Daily evaluations'!$B$2:$B$36,"=p10_52wk_high",'Daily evaluations'!$C$2:$C$36,"=d20261007"),"")</f>
      </c>
      <c r="O51" s="8">
        <f>IF((0=1),SUMIFS('Daily evaluations'!$E$2:$E$36,'Daily evaluations'!$B$2:$B$36,"=p10_52wk_high",'Daily evaluations'!$C$2:$C$36,"=d20261008"),"")</f>
      </c>
      <c r="P51" s="8">
        <f>IF((0=1),SUMIFS('Daily evaluations'!$E$2:$E$36,'Daily evaluations'!$B$2:$B$36,"=p10_52wk_high",'Daily evaluations'!$C$2:$C$36,"=d20261009"),"")</f>
      </c>
      <c r="Q51" s="8">
        <f>IF((0=1),SUMIFS('Daily evaluations'!$E$2:$E$36,'Daily evaluations'!$B$2:$B$36,"=p10_52wk_high",'Daily evaluations'!$C$2:$C$36,"=d20261012"),"")</f>
      </c>
      <c r="R51" s="8">
        <f>IF((0=1),SUMIFS('Daily evaluations'!$E$2:$E$36,'Daily evaluations'!$B$2:$B$36,"=p10_52wk_high",'Daily evaluations'!$C$2:$C$36,"=d20261013"),"")</f>
      </c>
      <c r="S51" s="8">
        <f>IF((0=1),SUMIFS('Daily evaluations'!$E$2:$E$36,'Daily evaluations'!$B$2:$B$36,"=p10_52wk_high",'Daily evaluations'!$C$2:$C$36,"=d20261014"),"")</f>
      </c>
      <c r="T51" s="8">
        <f>IF((0=1),SUMIFS('Daily evaluations'!$E$2:$E$36,'Daily evaluations'!$B$2:$B$36,"=p10_52wk_high",'Daily evaluations'!$C$2:$C$36,"=d20261015"),"")</f>
      </c>
      <c r="U51" s="8">
        <f>IF((0=1),SUMIFS('Daily evaluations'!$E$2:$E$36,'Daily evaluations'!$B$2:$B$36,"=p10_52wk_high",'Daily evaluations'!$C$2:$C$36,"=d20261016"),"")</f>
      </c>
      <c r="V51" s="8">
        <f>IF((0=1),SUMIFS('Daily evaluations'!$E$2:$E$36,'Daily evaluations'!$B$2:$B$36,"=p10_52wk_high",'Daily evaluations'!$C$2:$C$36,"=d20261019"),"")</f>
      </c>
      <c r="W51" s="8">
        <f>IF((0=1),SUMIFS('Daily evaluations'!$E$2:$E$36,'Daily evaluations'!$B$2:$B$36,"=p10_52wk_high",'Daily evaluations'!$C$2:$C$36,"=d20261020"),"")</f>
      </c>
      <c r="X51" s="8">
        <f>IF((0=1),SUMIFS('Daily evaluations'!$E$2:$E$36,'Daily evaluations'!$B$2:$B$36,"=p10_52wk_high",'Daily evaluations'!$C$2:$C$36,"=d20261021"),"")</f>
      </c>
      <c r="Y51" s="8">
        <f>IF((0=1),SUMIFS('Daily evaluations'!$E$2:$E$36,'Daily evaluations'!$B$2:$B$36,"=p10_52wk_high",'Daily evaluations'!$C$2:$C$36,"=d20261022"),"")</f>
      </c>
      <c r="Z51" s="8">
        <f>IF((0=1),SUMIFS('Daily evaluations'!$E$2:$E$36,'Daily evaluations'!$B$2:$B$36,"=p10_52wk_high",'Daily evaluations'!$C$2:$C$36,"=d20261023"),"")</f>
      </c>
      <c r="AA51" s="8">
        <f>IF((0=1),SUMIFS('Daily evaluations'!$E$2:$E$36,'Daily evaluations'!$B$2:$B$36,"=p10_52wk_high",'Daily evaluations'!$C$2:$C$36,"=d20261026"),"")</f>
      </c>
      <c r="AB51" s="8">
        <f>IF((0=1),SUMIFS('Daily evaluations'!$E$2:$E$36,'Daily evaluations'!$B$2:$B$36,"=p10_52wk_high",'Daily evaluations'!$C$2:$C$36,"=d20261027"),"")</f>
      </c>
      <c r="AC51" s="8">
        <f>IF((0=1),SUMIFS('Daily evaluations'!$E$2:$E$36,'Daily evaluations'!$B$2:$B$36,"=p10_52wk_high",'Daily evaluations'!$C$2:$C$36,"=d20261028"),"")</f>
      </c>
      <c r="AD51" s="8">
        <f>IF((0=1),SUMIFS('Daily evaluations'!$E$2:$E$36,'Daily evaluations'!$B$2:$B$36,"=p10_52wk_high",'Daily evaluations'!$C$2:$C$36,"=d20261029"),"")</f>
      </c>
      <c r="AE51" s="8">
        <f>IF((0=1),SUMIFS('Daily evaluations'!$E$2:$E$36,'Daily evaluations'!$B$2:$B$36,"=p10_52wk_high",'Daily evaluations'!$C$2:$C$36,"=d20261030"),"")</f>
      </c>
      <c r="AF51" s="8">
        <f>IF((0=1),SUMIFS('Daily evaluations'!$E$2:$E$36,'Daily evaluations'!$B$2:$B$36,"=p10_52wk_high",'Daily evaluations'!$C$2:$C$36,"=d20261102"),"")</f>
      </c>
      <c r="AG51" s="8">
        <f>IF((0=1),SUMIFS('Daily evaluations'!$E$2:$E$36,'Daily evaluations'!$B$2:$B$36,"=p10_52wk_high",'Daily evaluations'!$C$2:$C$36,"=d20261103"),"")</f>
      </c>
      <c r="AH51" s="8">
        <f>IF((0=1),SUMIFS('Daily evaluations'!$E$2:$E$36,'Daily evaluations'!$B$2:$B$36,"=p10_52wk_high",'Daily evaluations'!$C$2:$C$36,"=d20261104"),"")</f>
      </c>
      <c r="AI51" s="8">
        <f>IF((0=1),SUMIFS('Daily evaluations'!$E$2:$E$36,'Daily evaluations'!$B$2:$B$36,"=p10_52wk_high",'Daily evaluations'!$C$2:$C$36,"=d20261105"),"")</f>
      </c>
      <c r="AJ51" s="8">
        <f>IF((0=1),SUMIFS('Daily evaluations'!$E$2:$E$36,'Daily evaluations'!$B$2:$B$36,"=p10_52wk_high",'Daily evaluations'!$C$2:$C$36,"=d20261106"),"")</f>
      </c>
      <c r="AK51" s="8">
        <f>IF((0=1),SUMIFS('Daily evaluations'!$E$2:$E$36,'Daily evaluations'!$B$2:$B$36,"=p10_52wk_high",'Daily evaluations'!$C$2:$C$36,"=d20261109"),"")</f>
      </c>
      <c r="AL51" s="8">
        <f>IF((0=1),SUMIFS('Daily evaluations'!$E$2:$E$36,'Daily evaluations'!$B$2:$B$36,"=p10_52wk_high",'Daily evaluations'!$C$2:$C$36,"=d20261110"),"")</f>
      </c>
      <c r="AM51" s="8">
        <f>IF((0=1),SUMIFS('Daily evaluations'!$E$2:$E$36,'Daily evaluations'!$B$2:$B$36,"=p10_52wk_high",'Daily evaluations'!$C$2:$C$36,"=d20261111"),"")</f>
      </c>
      <c r="AN51" s="8">
        <f>IF((0=1),SUMIFS('Daily evaluations'!$E$2:$E$36,'Daily evaluations'!$B$2:$B$36,"=p10_52wk_high",'Daily evaluations'!$C$2:$C$36,"=d20261112"),"")</f>
      </c>
      <c r="AO51" s="8">
        <f>IF((0=1),SUMIFS('Daily evaluations'!$E$2:$E$36,'Daily evaluations'!$B$2:$B$36,"=p10_52wk_high",'Daily evaluations'!$C$2:$C$36,"=d20261113"),"")</f>
      </c>
      <c r="AP51" s="8">
        <f>IF((0=1),SUMIFS('Daily evaluations'!$E$2:$E$36,'Daily evaluations'!$B$2:$B$36,"=p10_52wk_high",'Daily evaluations'!$C$2:$C$36,"=d20261116"),"")</f>
      </c>
      <c r="AQ51" s="8">
        <f>IF((0=1),SUMIFS('Daily evaluations'!$E$2:$E$36,'Daily evaluations'!$B$2:$B$36,"=p10_52wk_high",'Daily evaluations'!$C$2:$C$36,"=d20261117"),"")</f>
      </c>
      <c r="AR51" s="8">
        <f>IF((0=1),SUMIFS('Daily evaluations'!$E$2:$E$36,'Daily evaluations'!$B$2:$B$36,"=p10_52wk_high",'Daily evaluations'!$C$2:$C$36,"=d20261118"),"")</f>
      </c>
      <c r="AS51" s="8">
        <f>IF((0=1),SUMIFS('Daily evaluations'!$E$2:$E$36,'Daily evaluations'!$B$2:$B$36,"=p10_52wk_high",'Daily evaluations'!$C$2:$C$36,"=d20261119"),"")</f>
      </c>
      <c r="AT51" s="8">
        <f>IF((0=1),SUMIFS('Daily evaluations'!$E$2:$E$36,'Daily evaluations'!$B$2:$B$36,"=p10_52wk_high",'Daily evaluations'!$C$2:$C$36,"=d20261120"),"")</f>
      </c>
      <c r="AU51" s="8">
        <f>IF((0=1),SUMIFS('Daily evaluations'!$E$2:$E$36,'Daily evaluations'!$B$2:$B$36,"=p10_52wk_high",'Daily evaluations'!$C$2:$C$36,"=d20261123"),"")</f>
      </c>
      <c r="AV51" s="8">
        <f>IF((0=1),SUMIFS('Daily evaluations'!$E$2:$E$36,'Daily evaluations'!$B$2:$B$36,"=p10_52wk_high",'Daily evaluations'!$C$2:$C$36,"=d20261124"),"")</f>
      </c>
      <c r="AW51" s="8">
        <f>IF((0=1),SUMIFS('Daily evaluations'!$E$2:$E$36,'Daily evaluations'!$B$2:$B$36,"=p10_52wk_high",'Daily evaluations'!$C$2:$C$36,"=d20261125"),"")</f>
      </c>
      <c r="AX51" s="8">
        <f>IF((0=1),SUMIFS('Daily evaluations'!$E$2:$E$36,'Daily evaluations'!$B$2:$B$36,"=p10_52wk_high",'Daily evaluations'!$C$2:$C$36,"=d20261127"),"")</f>
      </c>
      <c r="AY51" s="8">
        <f>IF((0=1),SUMIFS('Daily evaluations'!$E$2:$E$36,'Daily evaluations'!$B$2:$B$36,"=p10_52wk_high",'Daily evaluations'!$C$2:$C$36,"=d20261130"),"")</f>
      </c>
      <c r="AZ51" s="8">
        <f>IF((0=1),SUMIFS('Daily evaluations'!$E$2:$E$36,'Daily evaluations'!$B$2:$B$36,"=p10_52wk_high",'Daily evaluations'!$C$2:$C$36,"=d20261201"),"")</f>
      </c>
      <c r="BA51" s="8">
        <f>IF((0=1),SUMIFS('Daily evaluations'!$E$2:$E$36,'Daily evaluations'!$B$2:$B$36,"=p10_52wk_high",'Daily evaluations'!$C$2:$C$36,"=d20261202"),"")</f>
      </c>
      <c r="BB51" s="8">
        <f>IF((0=1),SUMIFS('Daily evaluations'!$E$2:$E$36,'Daily evaluations'!$B$2:$B$36,"=p10_52wk_high",'Daily evaluations'!$C$2:$C$36,"=d20261203"),"")</f>
      </c>
      <c r="BC51" s="8">
        <f>IF((0=1),SUMIFS('Daily evaluations'!$E$2:$E$36,'Daily evaluations'!$B$2:$B$36,"=p10_52wk_high",'Daily evaluations'!$C$2:$C$36,"=d20261204"),"")</f>
      </c>
      <c r="BD51" s="8">
        <f>IF((0=1),SUMIFS('Daily evaluations'!$E$2:$E$36,'Daily evaluations'!$B$2:$B$36,"=p10_52wk_high",'Daily evaluations'!$C$2:$C$36,"=d20261207"),"")</f>
      </c>
      <c r="BE51" s="8">
        <f>IF((0=1),SUMIFS('Daily evaluations'!$E$2:$E$36,'Daily evaluations'!$B$2:$B$36,"=p10_52wk_high",'Daily evaluations'!$C$2:$C$36,"=d20261208"),"")</f>
      </c>
      <c r="BF51" s="8">
        <f>IF((0=1),SUMIFS('Daily evaluations'!$E$2:$E$36,'Daily evaluations'!$B$2:$B$36,"=p10_52wk_high",'Daily evaluations'!$C$2:$C$36,"=d20261209"),"")</f>
      </c>
      <c r="BG51" s="8">
        <f>IF((0=1),SUMIFS('Daily evaluations'!$E$2:$E$36,'Daily evaluations'!$B$2:$B$36,"=p10_52wk_high",'Daily evaluations'!$C$2:$C$36,"=d20261210"),"")</f>
      </c>
      <c r="BH51" s="8">
        <f>IF((0=1),SUMIFS('Daily evaluations'!$E$2:$E$36,'Daily evaluations'!$B$2:$B$36,"=p10_52wk_high",'Daily evaluations'!$C$2:$C$36,"=d20261211"),"")</f>
      </c>
      <c r="BI51" s="8">
        <f>IF((0=1),SUMIFS('Daily evaluations'!$E$2:$E$36,'Daily evaluations'!$B$2:$B$36,"=p10_52wk_high",'Daily evaluations'!$C$2:$C$36,"=d20261214"),"")</f>
      </c>
      <c r="BJ51" s="8">
        <f>IF((0=1),SUMIFS('Daily evaluations'!$E$2:$E$36,'Daily evaluations'!$B$2:$B$36,"=p10_52wk_high",'Daily evaluations'!$C$2:$C$36,"=d20261215"),"")</f>
      </c>
      <c r="BK51" s="8">
        <f>IF((0=1),SUMIFS('Daily evaluations'!$E$2:$E$36,'Daily evaluations'!$B$2:$B$36,"=p10_52wk_high",'Daily evaluations'!$C$2:$C$36,"=d20261216"),"")</f>
      </c>
      <c r="BL51" s="8">
        <f>IF((0=1),SUMIFS('Daily evaluations'!$E$2:$E$36,'Daily evaluations'!$B$2:$B$36,"=p10_52wk_high",'Daily evaluations'!$C$2:$C$36,"=d20261217"),"")</f>
      </c>
      <c r="BM51" s="8">
        <f>IF((0=1),SUMIFS('Daily evaluations'!$E$2:$E$36,'Daily evaluations'!$B$2:$B$36,"=p10_52wk_high",'Daily evaluations'!$C$2:$C$36,"=d20261218"),"")</f>
      </c>
      <c r="BN51" s="8">
        <f>IF((0=1),SUMIFS('Daily evaluations'!$E$2:$E$36,'Daily evaluations'!$B$2:$B$36,"=p10_52wk_high",'Daily evaluations'!$C$2:$C$36,"=d20261221"),"")</f>
      </c>
      <c r="BO51" s="8">
        <f>IF((0=1),SUMIFS('Daily evaluations'!$E$2:$E$36,'Daily evaluations'!$B$2:$B$36,"=p10_52wk_high",'Daily evaluations'!$C$2:$C$36,"=d20261222"),"")</f>
      </c>
      <c r="BP51" s="8">
        <f>IF((0=1),SUMIFS('Daily evaluations'!$E$2:$E$36,'Daily evaluations'!$B$2:$B$36,"=p10_52wk_high",'Daily evaluations'!$C$2:$C$36,"=d20261223"),"")</f>
      </c>
      <c r="BQ51" s="8">
        <f>IF((0=1),SUMIFS('Daily evaluations'!$E$2:$E$36,'Daily evaluations'!$B$2:$B$36,"=p10_52wk_high",'Daily evaluations'!$C$2:$C$36,"=d20261224"),"")</f>
      </c>
      <c r="BR51" s="8">
        <f>IF((0=1),SUMIFS('Daily evaluations'!$E$2:$E$36,'Daily evaluations'!$B$2:$B$36,"=p10_52wk_high",'Daily evaluations'!$C$2:$C$36,"=d20261228"),"")</f>
      </c>
      <c r="BS51" s="8">
        <f>IF((0=1),SUMIFS('Daily evaluations'!$E$2:$E$36,'Daily evaluations'!$B$2:$B$36,"=p10_52wk_high",'Daily evaluations'!$C$2:$C$36,"=d20261229"),"")</f>
      </c>
      <c r="BT51" s="8">
        <f>IF((0=1),SUMIFS('Daily evaluations'!$E$2:$E$36,'Daily evaluations'!$B$2:$B$36,"=p10_52wk_high",'Daily evaluations'!$C$2:$C$36,"=d20261230"),"")</f>
      </c>
      <c r="BU51" s="8">
        <f>IF((0=1),SUMIFS('Daily evaluations'!$E$2:$E$36,'Daily evaluations'!$B$2:$B$36,"=p10_52wk_high",'Daily evaluations'!$C$2:$C$36,"=d20261231"),"")</f>
      </c>
      <c r="BV51" s="8">
        <f>IF((0=1),SUMIFS('Daily evaluations'!$E$2:$E$36,'Daily evaluations'!$B$2:$B$36,"=p10_52wk_high",'Daily evaluations'!$C$2:$C$36,"=d20270104"),"")</f>
      </c>
      <c r="BW51" s="8">
        <f>IF((0=1),SUMIFS('Daily evaluations'!$E$2:$E$36,'Daily evaluations'!$B$2:$B$36,"=p10_52wk_high",'Daily evaluations'!$C$2:$C$36,"=d20270105"),"")</f>
      </c>
      <c r="BX51" s="8">
        <f>IF((0=1),SUMIFS('Daily evaluations'!$E$2:$E$36,'Daily evaluations'!$B$2:$B$36,"=p10_52wk_high",'Daily evaluations'!$C$2:$C$36,"=d20270106"),"")</f>
      </c>
      <c r="BY51" s="8">
        <f>IF((0=1),SUMIFS('Daily evaluations'!$E$2:$E$36,'Daily evaluations'!$B$2:$B$36,"=p10_52wk_high",'Daily evaluations'!$C$2:$C$36,"=d20270107"),"")</f>
      </c>
      <c r="BZ51" s="8">
        <f>IF((0=1),SUMIFS('Daily evaluations'!$E$2:$E$36,'Daily evaluations'!$B$2:$B$36,"=p10_52wk_high",'Daily evaluations'!$C$2:$C$36,"=d20270108"),"")</f>
      </c>
      <c r="CA51" s="8">
        <f>IF((0=1),SUMIFS('Daily evaluations'!$E$2:$E$36,'Daily evaluations'!$B$2:$B$36,"=p10_52wk_high",'Daily evaluations'!$C$2:$C$36,"=d20270111"),"")</f>
      </c>
      <c r="CB51" s="8">
        <f>IF((0=1),SUMIFS('Daily evaluations'!$E$2:$E$36,'Daily evaluations'!$B$2:$B$36,"=p10_52wk_high",'Daily evaluations'!$C$2:$C$36,"=d20270112"),"")</f>
      </c>
      <c r="CC51" s="8">
        <f>IF((0=1),SUMIFS('Daily evaluations'!$E$2:$E$36,'Daily evaluations'!$B$2:$B$36,"=p10_52wk_high",'Daily evaluations'!$C$2:$C$36,"=d20270113"),"")</f>
      </c>
      <c r="CD51" s="8">
        <f>IF((0=1),SUMIFS('Daily evaluations'!$E$2:$E$36,'Daily evaluations'!$B$2:$B$36,"=p10_52wk_high",'Daily evaluations'!$C$2:$C$36,"=d20270114"),"")</f>
      </c>
      <c r="CE51" s="8">
        <f>IF((0=1),SUMIFS('Daily evaluations'!$E$2:$E$36,'Daily evaluations'!$B$2:$B$36,"=p10_52wk_high",'Daily evaluations'!$C$2:$C$36,"=d20270115"),"")</f>
      </c>
      <c r="CF51" s="8">
        <f>IF((0=1),SUMIFS('Daily evaluations'!$E$2:$E$36,'Daily evaluations'!$B$2:$B$36,"=p10_52wk_high",'Daily evaluations'!$C$2:$C$36,"=d20270119"),"")</f>
      </c>
      <c r="CG51" s="8">
        <f>IF((0=1),SUMIFS('Daily evaluations'!$E$2:$E$36,'Daily evaluations'!$B$2:$B$36,"=p10_52wk_high",'Daily evaluations'!$C$2:$C$36,"=d20270120"),"")</f>
      </c>
      <c r="CH51" s="8">
        <f>IF((0=1),SUMIFS('Daily evaluations'!$E$2:$E$36,'Daily evaluations'!$B$2:$B$36,"=p10_52wk_high",'Daily evaluations'!$C$2:$C$36,"=d20270121"),"")</f>
      </c>
      <c r="CI51" s="8">
        <f>IF((0=1),SUMIFS('Daily evaluations'!$E$2:$E$36,'Daily evaluations'!$B$2:$B$36,"=p10_52wk_high",'Daily evaluations'!$C$2:$C$36,"=d20270122"),"")</f>
      </c>
      <c r="CJ51" s="8">
        <f>IF((0=1),SUMIFS('Daily evaluations'!$E$2:$E$36,'Daily evaluations'!$B$2:$B$36,"=p10_52wk_high",'Daily evaluations'!$C$2:$C$36,"=d20270125"),"")</f>
      </c>
      <c r="CK51" s="8">
        <f>IF((0=1),SUMIFS('Daily evaluations'!$E$2:$E$36,'Daily evaluations'!$B$2:$B$36,"=p10_52wk_high",'Daily evaluations'!$C$2:$C$36,"=d20270126"),"")</f>
      </c>
      <c r="CL51" s="8">
        <f>IF((0=1),SUMIFS('Daily evaluations'!$E$2:$E$36,'Daily evaluations'!$B$2:$B$36,"=p10_52wk_high",'Daily evaluations'!$C$2:$C$36,"=d20270127"),"")</f>
      </c>
      <c r="CM51" s="8">
        <f>IF((0=1),SUMIFS('Daily evaluations'!$E$2:$E$36,'Daily evaluations'!$B$2:$B$36,"=p10_52wk_high",'Daily evaluations'!$C$2:$C$36,"=d20270128"),"")</f>
      </c>
      <c r="CN51" s="8">
        <f>IF((0=1),SUMIFS('Daily evaluations'!$E$2:$E$36,'Daily evaluations'!$B$2:$B$36,"=p10_52wk_high",'Daily evaluations'!$C$2:$C$36,"=d20270129"),"")</f>
      </c>
      <c r="CO51" s="8">
        <f>IF((0=1),SUMIFS('Daily evaluations'!$E$2:$E$36,'Daily evaluations'!$B$2:$B$36,"=p10_52wk_high",'Daily evaluations'!$C$2:$C$36,"=d20270201"),"")</f>
      </c>
      <c r="CP51" s="8">
        <f>IF((0=1),SUMIFS('Daily evaluations'!$E$2:$E$36,'Daily evaluations'!$B$2:$B$36,"=p10_52wk_high",'Daily evaluations'!$C$2:$C$36,"=d20270202"),"")</f>
      </c>
      <c r="CQ51" s="8">
        <f>IF((0=1),SUMIFS('Daily evaluations'!$E$2:$E$36,'Daily evaluations'!$B$2:$B$36,"=p10_52wk_high",'Daily evaluations'!$C$2:$C$36,"=d20270203"),"")</f>
      </c>
      <c r="CR51" s="8">
        <f>IF((0=1),SUMIFS('Daily evaluations'!$E$2:$E$36,'Daily evaluations'!$B$2:$B$36,"=p10_52wk_high",'Daily evaluations'!$C$2:$C$36,"=d20270204"),"")</f>
      </c>
      <c r="CS51" s="8">
        <f>IF((0=1),SUMIFS('Daily evaluations'!$E$2:$E$36,'Daily evaluations'!$B$2:$B$36,"=p10_52wk_high",'Daily evaluations'!$C$2:$C$36,"=d20270205"),"")</f>
      </c>
      <c r="CT51" s="8">
        <f>IF((0=1),SUMIFS('Daily evaluations'!$E$2:$E$36,'Daily evaluations'!$B$2:$B$36,"=p10_52wk_high",'Daily evaluations'!$C$2:$C$36,"=d20270208"),"")</f>
      </c>
      <c r="CU51" s="8">
        <f>IF((0=1),SUMIFS('Daily evaluations'!$E$2:$E$36,'Daily evaluations'!$B$2:$B$36,"=p10_52wk_high",'Daily evaluations'!$C$2:$C$36,"=d20270209"),"")</f>
      </c>
      <c r="CV51" s="8">
        <f>IF((0=1),SUMIFS('Daily evaluations'!$E$2:$E$36,'Daily evaluations'!$B$2:$B$36,"=p10_52wk_high",'Daily evaluations'!$C$2:$C$36,"=d20270210"),"")</f>
      </c>
      <c r="CW51" s="8">
        <f>IF((0=1),SUMIFS('Daily evaluations'!$E$2:$E$36,'Daily evaluations'!$B$2:$B$36,"=p10_52wk_high",'Daily evaluations'!$C$2:$C$36,"=d20270211"),"")</f>
      </c>
      <c r="CX51" s="8">
        <f>IF((0=1),SUMIFS('Daily evaluations'!$E$2:$E$36,'Daily evaluations'!$B$2:$B$36,"=p10_52wk_high",'Daily evaluations'!$C$2:$C$36,"=d20270212"),"")</f>
      </c>
    </row>
    <row r="52">
      <c r="A52" s="0" t="inlineStr">
        <is>
          <t xml:space="preserve">Overnight excess vs universe, bps</t>
        </is>
      </c>
      <c r="B52" s="0" t="inlineStr">
        <is>
          <t xml:space="preserve">Random 1</t>
        </is>
      </c>
      <c r="C52" s="8">
        <f>IF((1=1),SUMIFS('Daily evaluations'!$E$2:$E$36,'Daily evaluations'!$B$2:$B$36,"=random_01",'Daily evaluations'!$C$2:$C$36,"=d20260922"),"")</f>
        <v>-2.933</v>
      </c>
      <c r="D52" s="8">
        <f>IF((0=1),SUMIFS('Daily evaluations'!$E$2:$E$36,'Daily evaluations'!$B$2:$B$36,"=random_01",'Daily evaluations'!$C$2:$C$36,"=d20260923"),"")</f>
      </c>
      <c r="E52" s="8">
        <f>IF((0=1),SUMIFS('Daily evaluations'!$E$2:$E$36,'Daily evaluations'!$B$2:$B$36,"=random_01",'Daily evaluations'!$C$2:$C$36,"=d20260924"),"")</f>
      </c>
      <c r="F52" s="8">
        <f>IF((0=1),SUMIFS('Daily evaluations'!$E$2:$E$36,'Daily evaluations'!$B$2:$B$36,"=random_01",'Daily evaluations'!$C$2:$C$36,"=d20260925"),"")</f>
      </c>
      <c r="G52" s="8">
        <f>IF((0=1),SUMIFS('Daily evaluations'!$E$2:$E$36,'Daily evaluations'!$B$2:$B$36,"=random_01",'Daily evaluations'!$C$2:$C$36,"=d20260928"),"")</f>
      </c>
      <c r="H52" s="8">
        <f>IF((0=1),SUMIFS('Daily evaluations'!$E$2:$E$36,'Daily evaluations'!$B$2:$B$36,"=random_01",'Daily evaluations'!$C$2:$C$36,"=d20260929"),"")</f>
      </c>
      <c r="I52" s="8">
        <f>IF((0=1),SUMIFS('Daily evaluations'!$E$2:$E$36,'Daily evaluations'!$B$2:$B$36,"=random_01",'Daily evaluations'!$C$2:$C$36,"=d20260930"),"")</f>
      </c>
      <c r="J52" s="8">
        <f>IF((0=1),SUMIFS('Daily evaluations'!$E$2:$E$36,'Daily evaluations'!$B$2:$B$36,"=random_01",'Daily evaluations'!$C$2:$C$36,"=d20261001"),"")</f>
      </c>
      <c r="K52" s="8">
        <f>IF((0=1),SUMIFS('Daily evaluations'!$E$2:$E$36,'Daily evaluations'!$B$2:$B$36,"=random_01",'Daily evaluations'!$C$2:$C$36,"=d20261002"),"")</f>
      </c>
      <c r="L52" s="8">
        <f>IF((0=1),SUMIFS('Daily evaluations'!$E$2:$E$36,'Daily evaluations'!$B$2:$B$36,"=random_01",'Daily evaluations'!$C$2:$C$36,"=d20261005"),"")</f>
      </c>
      <c r="M52" s="8">
        <f>IF((0=1),SUMIFS('Daily evaluations'!$E$2:$E$36,'Daily evaluations'!$B$2:$B$36,"=random_01",'Daily evaluations'!$C$2:$C$36,"=d20261006"),"")</f>
      </c>
      <c r="N52" s="8">
        <f>IF((0=1),SUMIFS('Daily evaluations'!$E$2:$E$36,'Daily evaluations'!$B$2:$B$36,"=random_01",'Daily evaluations'!$C$2:$C$36,"=d20261007"),"")</f>
      </c>
      <c r="O52" s="8">
        <f>IF((0=1),SUMIFS('Daily evaluations'!$E$2:$E$36,'Daily evaluations'!$B$2:$B$36,"=random_01",'Daily evaluations'!$C$2:$C$36,"=d20261008"),"")</f>
      </c>
      <c r="P52" s="8">
        <f>IF((0=1),SUMIFS('Daily evaluations'!$E$2:$E$36,'Daily evaluations'!$B$2:$B$36,"=random_01",'Daily evaluations'!$C$2:$C$36,"=d20261009"),"")</f>
      </c>
      <c r="Q52" s="8">
        <f>IF((0=1),SUMIFS('Daily evaluations'!$E$2:$E$36,'Daily evaluations'!$B$2:$B$36,"=random_01",'Daily evaluations'!$C$2:$C$36,"=d20261012"),"")</f>
      </c>
      <c r="R52" s="8">
        <f>IF((0=1),SUMIFS('Daily evaluations'!$E$2:$E$36,'Daily evaluations'!$B$2:$B$36,"=random_01",'Daily evaluations'!$C$2:$C$36,"=d20261013"),"")</f>
      </c>
      <c r="S52" s="8">
        <f>IF((0=1),SUMIFS('Daily evaluations'!$E$2:$E$36,'Daily evaluations'!$B$2:$B$36,"=random_01",'Daily evaluations'!$C$2:$C$36,"=d20261014"),"")</f>
      </c>
      <c r="T52" s="8">
        <f>IF((0=1),SUMIFS('Daily evaluations'!$E$2:$E$36,'Daily evaluations'!$B$2:$B$36,"=random_01",'Daily evaluations'!$C$2:$C$36,"=d20261015"),"")</f>
      </c>
      <c r="U52" s="8">
        <f>IF((0=1),SUMIFS('Daily evaluations'!$E$2:$E$36,'Daily evaluations'!$B$2:$B$36,"=random_01",'Daily evaluations'!$C$2:$C$36,"=d20261016"),"")</f>
      </c>
      <c r="V52" s="8">
        <f>IF((0=1),SUMIFS('Daily evaluations'!$E$2:$E$36,'Daily evaluations'!$B$2:$B$36,"=random_01",'Daily evaluations'!$C$2:$C$36,"=d20261019"),"")</f>
      </c>
      <c r="W52" s="8">
        <f>IF((0=1),SUMIFS('Daily evaluations'!$E$2:$E$36,'Daily evaluations'!$B$2:$B$36,"=random_01",'Daily evaluations'!$C$2:$C$36,"=d20261020"),"")</f>
      </c>
      <c r="X52" s="8">
        <f>IF((0=1),SUMIFS('Daily evaluations'!$E$2:$E$36,'Daily evaluations'!$B$2:$B$36,"=random_01",'Daily evaluations'!$C$2:$C$36,"=d20261021"),"")</f>
      </c>
      <c r="Y52" s="8">
        <f>IF((0=1),SUMIFS('Daily evaluations'!$E$2:$E$36,'Daily evaluations'!$B$2:$B$36,"=random_01",'Daily evaluations'!$C$2:$C$36,"=d20261022"),"")</f>
      </c>
      <c r="Z52" s="8">
        <f>IF((0=1),SUMIFS('Daily evaluations'!$E$2:$E$36,'Daily evaluations'!$B$2:$B$36,"=random_01",'Daily evaluations'!$C$2:$C$36,"=d20261023"),"")</f>
      </c>
      <c r="AA52" s="8">
        <f>IF((0=1),SUMIFS('Daily evaluations'!$E$2:$E$36,'Daily evaluations'!$B$2:$B$36,"=random_01",'Daily evaluations'!$C$2:$C$36,"=d20261026"),"")</f>
      </c>
      <c r="AB52" s="8">
        <f>IF((0=1),SUMIFS('Daily evaluations'!$E$2:$E$36,'Daily evaluations'!$B$2:$B$36,"=random_01",'Daily evaluations'!$C$2:$C$36,"=d20261027"),"")</f>
      </c>
      <c r="AC52" s="8">
        <f>IF((0=1),SUMIFS('Daily evaluations'!$E$2:$E$36,'Daily evaluations'!$B$2:$B$36,"=random_01",'Daily evaluations'!$C$2:$C$36,"=d20261028"),"")</f>
      </c>
      <c r="AD52" s="8">
        <f>IF((0=1),SUMIFS('Daily evaluations'!$E$2:$E$36,'Daily evaluations'!$B$2:$B$36,"=random_01",'Daily evaluations'!$C$2:$C$36,"=d20261029"),"")</f>
      </c>
      <c r="AE52" s="8">
        <f>IF((0=1),SUMIFS('Daily evaluations'!$E$2:$E$36,'Daily evaluations'!$B$2:$B$36,"=random_01",'Daily evaluations'!$C$2:$C$36,"=d20261030"),"")</f>
      </c>
      <c r="AF52" s="8">
        <f>IF((0=1),SUMIFS('Daily evaluations'!$E$2:$E$36,'Daily evaluations'!$B$2:$B$36,"=random_01",'Daily evaluations'!$C$2:$C$36,"=d20261102"),"")</f>
      </c>
      <c r="AG52" s="8">
        <f>IF((0=1),SUMIFS('Daily evaluations'!$E$2:$E$36,'Daily evaluations'!$B$2:$B$36,"=random_01",'Daily evaluations'!$C$2:$C$36,"=d20261103"),"")</f>
      </c>
      <c r="AH52" s="8">
        <f>IF((0=1),SUMIFS('Daily evaluations'!$E$2:$E$36,'Daily evaluations'!$B$2:$B$36,"=random_01",'Daily evaluations'!$C$2:$C$36,"=d20261104"),"")</f>
      </c>
      <c r="AI52" s="8">
        <f>IF((0=1),SUMIFS('Daily evaluations'!$E$2:$E$36,'Daily evaluations'!$B$2:$B$36,"=random_01",'Daily evaluations'!$C$2:$C$36,"=d20261105"),"")</f>
      </c>
      <c r="AJ52" s="8">
        <f>IF((0=1),SUMIFS('Daily evaluations'!$E$2:$E$36,'Daily evaluations'!$B$2:$B$36,"=random_01",'Daily evaluations'!$C$2:$C$36,"=d20261106"),"")</f>
      </c>
      <c r="AK52" s="8">
        <f>IF((0=1),SUMIFS('Daily evaluations'!$E$2:$E$36,'Daily evaluations'!$B$2:$B$36,"=random_01",'Daily evaluations'!$C$2:$C$36,"=d20261109"),"")</f>
      </c>
      <c r="AL52" s="8">
        <f>IF((0=1),SUMIFS('Daily evaluations'!$E$2:$E$36,'Daily evaluations'!$B$2:$B$36,"=random_01",'Daily evaluations'!$C$2:$C$36,"=d20261110"),"")</f>
      </c>
      <c r="AM52" s="8">
        <f>IF((0=1),SUMIFS('Daily evaluations'!$E$2:$E$36,'Daily evaluations'!$B$2:$B$36,"=random_01",'Daily evaluations'!$C$2:$C$36,"=d20261111"),"")</f>
      </c>
      <c r="AN52" s="8">
        <f>IF((0=1),SUMIFS('Daily evaluations'!$E$2:$E$36,'Daily evaluations'!$B$2:$B$36,"=random_01",'Daily evaluations'!$C$2:$C$36,"=d20261112"),"")</f>
      </c>
      <c r="AO52" s="8">
        <f>IF((0=1),SUMIFS('Daily evaluations'!$E$2:$E$36,'Daily evaluations'!$B$2:$B$36,"=random_01",'Daily evaluations'!$C$2:$C$36,"=d20261113"),"")</f>
      </c>
      <c r="AP52" s="8">
        <f>IF((0=1),SUMIFS('Daily evaluations'!$E$2:$E$36,'Daily evaluations'!$B$2:$B$36,"=random_01",'Daily evaluations'!$C$2:$C$36,"=d20261116"),"")</f>
      </c>
      <c r="AQ52" s="8">
        <f>IF((0=1),SUMIFS('Daily evaluations'!$E$2:$E$36,'Daily evaluations'!$B$2:$B$36,"=random_01",'Daily evaluations'!$C$2:$C$36,"=d20261117"),"")</f>
      </c>
      <c r="AR52" s="8">
        <f>IF((0=1),SUMIFS('Daily evaluations'!$E$2:$E$36,'Daily evaluations'!$B$2:$B$36,"=random_01",'Daily evaluations'!$C$2:$C$36,"=d20261118"),"")</f>
      </c>
      <c r="AS52" s="8">
        <f>IF((0=1),SUMIFS('Daily evaluations'!$E$2:$E$36,'Daily evaluations'!$B$2:$B$36,"=random_01",'Daily evaluations'!$C$2:$C$36,"=d20261119"),"")</f>
      </c>
      <c r="AT52" s="8">
        <f>IF((0=1),SUMIFS('Daily evaluations'!$E$2:$E$36,'Daily evaluations'!$B$2:$B$36,"=random_01",'Daily evaluations'!$C$2:$C$36,"=d20261120"),"")</f>
      </c>
      <c r="AU52" s="8">
        <f>IF((0=1),SUMIFS('Daily evaluations'!$E$2:$E$36,'Daily evaluations'!$B$2:$B$36,"=random_01",'Daily evaluations'!$C$2:$C$36,"=d20261123"),"")</f>
      </c>
      <c r="AV52" s="8">
        <f>IF((0=1),SUMIFS('Daily evaluations'!$E$2:$E$36,'Daily evaluations'!$B$2:$B$36,"=random_01",'Daily evaluations'!$C$2:$C$36,"=d20261124"),"")</f>
      </c>
      <c r="AW52" s="8">
        <f>IF((0=1),SUMIFS('Daily evaluations'!$E$2:$E$36,'Daily evaluations'!$B$2:$B$36,"=random_01",'Daily evaluations'!$C$2:$C$36,"=d20261125"),"")</f>
      </c>
      <c r="AX52" s="8">
        <f>IF((0=1),SUMIFS('Daily evaluations'!$E$2:$E$36,'Daily evaluations'!$B$2:$B$36,"=random_01",'Daily evaluations'!$C$2:$C$36,"=d20261127"),"")</f>
      </c>
      <c r="AY52" s="8">
        <f>IF((0=1),SUMIFS('Daily evaluations'!$E$2:$E$36,'Daily evaluations'!$B$2:$B$36,"=random_01",'Daily evaluations'!$C$2:$C$36,"=d20261130"),"")</f>
      </c>
      <c r="AZ52" s="8">
        <f>IF((0=1),SUMIFS('Daily evaluations'!$E$2:$E$36,'Daily evaluations'!$B$2:$B$36,"=random_01",'Daily evaluations'!$C$2:$C$36,"=d20261201"),"")</f>
      </c>
      <c r="BA52" s="8">
        <f>IF((0=1),SUMIFS('Daily evaluations'!$E$2:$E$36,'Daily evaluations'!$B$2:$B$36,"=random_01",'Daily evaluations'!$C$2:$C$36,"=d20261202"),"")</f>
      </c>
      <c r="BB52" s="8">
        <f>IF((0=1),SUMIFS('Daily evaluations'!$E$2:$E$36,'Daily evaluations'!$B$2:$B$36,"=random_01",'Daily evaluations'!$C$2:$C$36,"=d20261203"),"")</f>
      </c>
      <c r="BC52" s="8">
        <f>IF((0=1),SUMIFS('Daily evaluations'!$E$2:$E$36,'Daily evaluations'!$B$2:$B$36,"=random_01",'Daily evaluations'!$C$2:$C$36,"=d20261204"),"")</f>
      </c>
      <c r="BD52" s="8">
        <f>IF((0=1),SUMIFS('Daily evaluations'!$E$2:$E$36,'Daily evaluations'!$B$2:$B$36,"=random_01",'Daily evaluations'!$C$2:$C$36,"=d20261207"),"")</f>
      </c>
      <c r="BE52" s="8">
        <f>IF((0=1),SUMIFS('Daily evaluations'!$E$2:$E$36,'Daily evaluations'!$B$2:$B$36,"=random_01",'Daily evaluations'!$C$2:$C$36,"=d20261208"),"")</f>
      </c>
      <c r="BF52" s="8">
        <f>IF((0=1),SUMIFS('Daily evaluations'!$E$2:$E$36,'Daily evaluations'!$B$2:$B$36,"=random_01",'Daily evaluations'!$C$2:$C$36,"=d20261209"),"")</f>
      </c>
      <c r="BG52" s="8">
        <f>IF((0=1),SUMIFS('Daily evaluations'!$E$2:$E$36,'Daily evaluations'!$B$2:$B$36,"=random_01",'Daily evaluations'!$C$2:$C$36,"=d20261210"),"")</f>
      </c>
      <c r="BH52" s="8">
        <f>IF((0=1),SUMIFS('Daily evaluations'!$E$2:$E$36,'Daily evaluations'!$B$2:$B$36,"=random_01",'Daily evaluations'!$C$2:$C$36,"=d20261211"),"")</f>
      </c>
      <c r="BI52" s="8">
        <f>IF((0=1),SUMIFS('Daily evaluations'!$E$2:$E$36,'Daily evaluations'!$B$2:$B$36,"=random_01",'Daily evaluations'!$C$2:$C$36,"=d20261214"),"")</f>
      </c>
      <c r="BJ52" s="8">
        <f>IF((0=1),SUMIFS('Daily evaluations'!$E$2:$E$36,'Daily evaluations'!$B$2:$B$36,"=random_01",'Daily evaluations'!$C$2:$C$36,"=d20261215"),"")</f>
      </c>
      <c r="BK52" s="8">
        <f>IF((0=1),SUMIFS('Daily evaluations'!$E$2:$E$36,'Daily evaluations'!$B$2:$B$36,"=random_01",'Daily evaluations'!$C$2:$C$36,"=d20261216"),"")</f>
      </c>
      <c r="BL52" s="8">
        <f>IF((0=1),SUMIFS('Daily evaluations'!$E$2:$E$36,'Daily evaluations'!$B$2:$B$36,"=random_01",'Daily evaluations'!$C$2:$C$36,"=d20261217"),"")</f>
      </c>
      <c r="BM52" s="8">
        <f>IF((0=1),SUMIFS('Daily evaluations'!$E$2:$E$36,'Daily evaluations'!$B$2:$B$36,"=random_01",'Daily evaluations'!$C$2:$C$36,"=d20261218"),"")</f>
      </c>
      <c r="BN52" s="8">
        <f>IF((0=1),SUMIFS('Daily evaluations'!$E$2:$E$36,'Daily evaluations'!$B$2:$B$36,"=random_01",'Daily evaluations'!$C$2:$C$36,"=d20261221"),"")</f>
      </c>
      <c r="BO52" s="8">
        <f>IF((0=1),SUMIFS('Daily evaluations'!$E$2:$E$36,'Daily evaluations'!$B$2:$B$36,"=random_01",'Daily evaluations'!$C$2:$C$36,"=d20261222"),"")</f>
      </c>
      <c r="BP52" s="8">
        <f>IF((0=1),SUMIFS('Daily evaluations'!$E$2:$E$36,'Daily evaluations'!$B$2:$B$36,"=random_01",'Daily evaluations'!$C$2:$C$36,"=d20261223"),"")</f>
      </c>
      <c r="BQ52" s="8">
        <f>IF((0=1),SUMIFS('Daily evaluations'!$E$2:$E$36,'Daily evaluations'!$B$2:$B$36,"=random_01",'Daily evaluations'!$C$2:$C$36,"=d20261224"),"")</f>
      </c>
      <c r="BR52" s="8">
        <f>IF((0=1),SUMIFS('Daily evaluations'!$E$2:$E$36,'Daily evaluations'!$B$2:$B$36,"=random_01",'Daily evaluations'!$C$2:$C$36,"=d20261228"),"")</f>
      </c>
      <c r="BS52" s="8">
        <f>IF((0=1),SUMIFS('Daily evaluations'!$E$2:$E$36,'Daily evaluations'!$B$2:$B$36,"=random_01",'Daily evaluations'!$C$2:$C$36,"=d20261229"),"")</f>
      </c>
      <c r="BT52" s="8">
        <f>IF((0=1),SUMIFS('Daily evaluations'!$E$2:$E$36,'Daily evaluations'!$B$2:$B$36,"=random_01",'Daily evaluations'!$C$2:$C$36,"=d20261230"),"")</f>
      </c>
      <c r="BU52" s="8">
        <f>IF((0=1),SUMIFS('Daily evaluations'!$E$2:$E$36,'Daily evaluations'!$B$2:$B$36,"=random_01",'Daily evaluations'!$C$2:$C$36,"=d20261231"),"")</f>
      </c>
      <c r="BV52" s="8">
        <f>IF((0=1),SUMIFS('Daily evaluations'!$E$2:$E$36,'Daily evaluations'!$B$2:$B$36,"=random_01",'Daily evaluations'!$C$2:$C$36,"=d20270104"),"")</f>
      </c>
      <c r="BW52" s="8">
        <f>IF((0=1),SUMIFS('Daily evaluations'!$E$2:$E$36,'Daily evaluations'!$B$2:$B$36,"=random_01",'Daily evaluations'!$C$2:$C$36,"=d20270105"),"")</f>
      </c>
      <c r="BX52" s="8">
        <f>IF((0=1),SUMIFS('Daily evaluations'!$E$2:$E$36,'Daily evaluations'!$B$2:$B$36,"=random_01",'Daily evaluations'!$C$2:$C$36,"=d20270106"),"")</f>
      </c>
      <c r="BY52" s="8">
        <f>IF((0=1),SUMIFS('Daily evaluations'!$E$2:$E$36,'Daily evaluations'!$B$2:$B$36,"=random_01",'Daily evaluations'!$C$2:$C$36,"=d20270107"),"")</f>
      </c>
      <c r="BZ52" s="8">
        <f>IF((0=1),SUMIFS('Daily evaluations'!$E$2:$E$36,'Daily evaluations'!$B$2:$B$36,"=random_01",'Daily evaluations'!$C$2:$C$36,"=d20270108"),"")</f>
      </c>
      <c r="CA52" s="8">
        <f>IF((0=1),SUMIFS('Daily evaluations'!$E$2:$E$36,'Daily evaluations'!$B$2:$B$36,"=random_01",'Daily evaluations'!$C$2:$C$36,"=d20270111"),"")</f>
      </c>
      <c r="CB52" s="8">
        <f>IF((0=1),SUMIFS('Daily evaluations'!$E$2:$E$36,'Daily evaluations'!$B$2:$B$36,"=random_01",'Daily evaluations'!$C$2:$C$36,"=d20270112"),"")</f>
      </c>
      <c r="CC52" s="8">
        <f>IF((0=1),SUMIFS('Daily evaluations'!$E$2:$E$36,'Daily evaluations'!$B$2:$B$36,"=random_01",'Daily evaluations'!$C$2:$C$36,"=d20270113"),"")</f>
      </c>
      <c r="CD52" s="8">
        <f>IF((0=1),SUMIFS('Daily evaluations'!$E$2:$E$36,'Daily evaluations'!$B$2:$B$36,"=random_01",'Daily evaluations'!$C$2:$C$36,"=d20270114"),"")</f>
      </c>
      <c r="CE52" s="8">
        <f>IF((0=1),SUMIFS('Daily evaluations'!$E$2:$E$36,'Daily evaluations'!$B$2:$B$36,"=random_01",'Daily evaluations'!$C$2:$C$36,"=d20270115"),"")</f>
      </c>
      <c r="CF52" s="8">
        <f>IF((0=1),SUMIFS('Daily evaluations'!$E$2:$E$36,'Daily evaluations'!$B$2:$B$36,"=random_01",'Daily evaluations'!$C$2:$C$36,"=d20270119"),"")</f>
      </c>
      <c r="CG52" s="8">
        <f>IF((0=1),SUMIFS('Daily evaluations'!$E$2:$E$36,'Daily evaluations'!$B$2:$B$36,"=random_01",'Daily evaluations'!$C$2:$C$36,"=d20270120"),"")</f>
      </c>
      <c r="CH52" s="8">
        <f>IF((0=1),SUMIFS('Daily evaluations'!$E$2:$E$36,'Daily evaluations'!$B$2:$B$36,"=random_01",'Daily evaluations'!$C$2:$C$36,"=d20270121"),"")</f>
      </c>
      <c r="CI52" s="8">
        <f>IF((0=1),SUMIFS('Daily evaluations'!$E$2:$E$36,'Daily evaluations'!$B$2:$B$36,"=random_01",'Daily evaluations'!$C$2:$C$36,"=d20270122"),"")</f>
      </c>
      <c r="CJ52" s="8">
        <f>IF((0=1),SUMIFS('Daily evaluations'!$E$2:$E$36,'Daily evaluations'!$B$2:$B$36,"=random_01",'Daily evaluations'!$C$2:$C$36,"=d20270125"),"")</f>
      </c>
      <c r="CK52" s="8">
        <f>IF((0=1),SUMIFS('Daily evaluations'!$E$2:$E$36,'Daily evaluations'!$B$2:$B$36,"=random_01",'Daily evaluations'!$C$2:$C$36,"=d20270126"),"")</f>
      </c>
      <c r="CL52" s="8">
        <f>IF((0=1),SUMIFS('Daily evaluations'!$E$2:$E$36,'Daily evaluations'!$B$2:$B$36,"=random_01",'Daily evaluations'!$C$2:$C$36,"=d20270127"),"")</f>
      </c>
      <c r="CM52" s="8">
        <f>IF((0=1),SUMIFS('Daily evaluations'!$E$2:$E$36,'Daily evaluations'!$B$2:$B$36,"=random_01",'Daily evaluations'!$C$2:$C$36,"=d20270128"),"")</f>
      </c>
      <c r="CN52" s="8">
        <f>IF((0=1),SUMIFS('Daily evaluations'!$E$2:$E$36,'Daily evaluations'!$B$2:$B$36,"=random_01",'Daily evaluations'!$C$2:$C$36,"=d20270129"),"")</f>
      </c>
      <c r="CO52" s="8">
        <f>IF((0=1),SUMIFS('Daily evaluations'!$E$2:$E$36,'Daily evaluations'!$B$2:$B$36,"=random_01",'Daily evaluations'!$C$2:$C$36,"=d20270201"),"")</f>
      </c>
      <c r="CP52" s="8">
        <f>IF((0=1),SUMIFS('Daily evaluations'!$E$2:$E$36,'Daily evaluations'!$B$2:$B$36,"=random_01",'Daily evaluations'!$C$2:$C$36,"=d20270202"),"")</f>
      </c>
      <c r="CQ52" s="8">
        <f>IF((0=1),SUMIFS('Daily evaluations'!$E$2:$E$36,'Daily evaluations'!$B$2:$B$36,"=random_01",'Daily evaluations'!$C$2:$C$36,"=d20270203"),"")</f>
      </c>
      <c r="CR52" s="8">
        <f>IF((0=1),SUMIFS('Daily evaluations'!$E$2:$E$36,'Daily evaluations'!$B$2:$B$36,"=random_01",'Daily evaluations'!$C$2:$C$36,"=d20270204"),"")</f>
      </c>
      <c r="CS52" s="8">
        <f>IF((0=1),SUMIFS('Daily evaluations'!$E$2:$E$36,'Daily evaluations'!$B$2:$B$36,"=random_01",'Daily evaluations'!$C$2:$C$36,"=d20270205"),"")</f>
      </c>
      <c r="CT52" s="8">
        <f>IF((0=1),SUMIFS('Daily evaluations'!$E$2:$E$36,'Daily evaluations'!$B$2:$B$36,"=random_01",'Daily evaluations'!$C$2:$C$36,"=d20270208"),"")</f>
      </c>
      <c r="CU52" s="8">
        <f>IF((0=1),SUMIFS('Daily evaluations'!$E$2:$E$36,'Daily evaluations'!$B$2:$B$36,"=random_01",'Daily evaluations'!$C$2:$C$36,"=d20270209"),"")</f>
      </c>
      <c r="CV52" s="8">
        <f>IF((0=1),SUMIFS('Daily evaluations'!$E$2:$E$36,'Daily evaluations'!$B$2:$B$36,"=random_01",'Daily evaluations'!$C$2:$C$36,"=d20270210"),"")</f>
      </c>
      <c r="CW52" s="8">
        <f>IF((0=1),SUMIFS('Daily evaluations'!$E$2:$E$36,'Daily evaluations'!$B$2:$B$36,"=random_01",'Daily evaluations'!$C$2:$C$36,"=d20270211"),"")</f>
      </c>
      <c r="CX52" s="8">
        <f>IF((0=1),SUMIFS('Daily evaluations'!$E$2:$E$36,'Daily evaluations'!$B$2:$B$36,"=random_01",'Daily evaluations'!$C$2:$C$36,"=d20270212"),"")</f>
      </c>
    </row>
    <row r="53">
      <c r="A53" s="0" t="inlineStr">
        <is>
          <t xml:space="preserve">Overnight excess vs universe, bps</t>
        </is>
      </c>
      <c r="B53" s="0" t="inlineStr">
        <is>
          <t xml:space="preserve">Random 2</t>
        </is>
      </c>
      <c r="C53" s="8">
        <f>IF((1=1),SUMIFS('Daily evaluations'!$E$2:$E$36,'Daily evaluations'!$B$2:$B$36,"=random_02",'Daily evaluations'!$C$2:$C$36,"=d20260922"),"")</f>
        <v>-2.049</v>
      </c>
      <c r="D53" s="8">
        <f>IF((0=1),SUMIFS('Daily evaluations'!$E$2:$E$36,'Daily evaluations'!$B$2:$B$36,"=random_02",'Daily evaluations'!$C$2:$C$36,"=d20260923"),"")</f>
      </c>
      <c r="E53" s="8">
        <f>IF((0=1),SUMIFS('Daily evaluations'!$E$2:$E$36,'Daily evaluations'!$B$2:$B$36,"=random_02",'Daily evaluations'!$C$2:$C$36,"=d20260924"),"")</f>
      </c>
      <c r="F53" s="8">
        <f>IF((0=1),SUMIFS('Daily evaluations'!$E$2:$E$36,'Daily evaluations'!$B$2:$B$36,"=random_02",'Daily evaluations'!$C$2:$C$36,"=d20260925"),"")</f>
      </c>
      <c r="G53" s="8">
        <f>IF((0=1),SUMIFS('Daily evaluations'!$E$2:$E$36,'Daily evaluations'!$B$2:$B$36,"=random_02",'Daily evaluations'!$C$2:$C$36,"=d20260928"),"")</f>
      </c>
      <c r="H53" s="8">
        <f>IF((0=1),SUMIFS('Daily evaluations'!$E$2:$E$36,'Daily evaluations'!$B$2:$B$36,"=random_02",'Daily evaluations'!$C$2:$C$36,"=d20260929"),"")</f>
      </c>
      <c r="I53" s="8">
        <f>IF((0=1),SUMIFS('Daily evaluations'!$E$2:$E$36,'Daily evaluations'!$B$2:$B$36,"=random_02",'Daily evaluations'!$C$2:$C$36,"=d20260930"),"")</f>
      </c>
      <c r="J53" s="8">
        <f>IF((0=1),SUMIFS('Daily evaluations'!$E$2:$E$36,'Daily evaluations'!$B$2:$B$36,"=random_02",'Daily evaluations'!$C$2:$C$36,"=d20261001"),"")</f>
      </c>
      <c r="K53" s="8">
        <f>IF((0=1),SUMIFS('Daily evaluations'!$E$2:$E$36,'Daily evaluations'!$B$2:$B$36,"=random_02",'Daily evaluations'!$C$2:$C$36,"=d20261002"),"")</f>
      </c>
      <c r="L53" s="8">
        <f>IF((0=1),SUMIFS('Daily evaluations'!$E$2:$E$36,'Daily evaluations'!$B$2:$B$36,"=random_02",'Daily evaluations'!$C$2:$C$36,"=d20261005"),"")</f>
      </c>
      <c r="M53" s="8">
        <f>IF((0=1),SUMIFS('Daily evaluations'!$E$2:$E$36,'Daily evaluations'!$B$2:$B$36,"=random_02",'Daily evaluations'!$C$2:$C$36,"=d20261006"),"")</f>
      </c>
      <c r="N53" s="8">
        <f>IF((0=1),SUMIFS('Daily evaluations'!$E$2:$E$36,'Daily evaluations'!$B$2:$B$36,"=random_02",'Daily evaluations'!$C$2:$C$36,"=d20261007"),"")</f>
      </c>
      <c r="O53" s="8">
        <f>IF((0=1),SUMIFS('Daily evaluations'!$E$2:$E$36,'Daily evaluations'!$B$2:$B$36,"=random_02",'Daily evaluations'!$C$2:$C$36,"=d20261008"),"")</f>
      </c>
      <c r="P53" s="8">
        <f>IF((0=1),SUMIFS('Daily evaluations'!$E$2:$E$36,'Daily evaluations'!$B$2:$B$36,"=random_02",'Daily evaluations'!$C$2:$C$36,"=d20261009"),"")</f>
      </c>
      <c r="Q53" s="8">
        <f>IF((0=1),SUMIFS('Daily evaluations'!$E$2:$E$36,'Daily evaluations'!$B$2:$B$36,"=random_02",'Daily evaluations'!$C$2:$C$36,"=d20261012"),"")</f>
      </c>
      <c r="R53" s="8">
        <f>IF((0=1),SUMIFS('Daily evaluations'!$E$2:$E$36,'Daily evaluations'!$B$2:$B$36,"=random_02",'Daily evaluations'!$C$2:$C$36,"=d20261013"),"")</f>
      </c>
      <c r="S53" s="8">
        <f>IF((0=1),SUMIFS('Daily evaluations'!$E$2:$E$36,'Daily evaluations'!$B$2:$B$36,"=random_02",'Daily evaluations'!$C$2:$C$36,"=d20261014"),"")</f>
      </c>
      <c r="T53" s="8">
        <f>IF((0=1),SUMIFS('Daily evaluations'!$E$2:$E$36,'Daily evaluations'!$B$2:$B$36,"=random_02",'Daily evaluations'!$C$2:$C$36,"=d20261015"),"")</f>
      </c>
      <c r="U53" s="8">
        <f>IF((0=1),SUMIFS('Daily evaluations'!$E$2:$E$36,'Daily evaluations'!$B$2:$B$36,"=random_02",'Daily evaluations'!$C$2:$C$36,"=d20261016"),"")</f>
      </c>
      <c r="V53" s="8">
        <f>IF((0=1),SUMIFS('Daily evaluations'!$E$2:$E$36,'Daily evaluations'!$B$2:$B$36,"=random_02",'Daily evaluations'!$C$2:$C$36,"=d20261019"),"")</f>
      </c>
      <c r="W53" s="8">
        <f>IF((0=1),SUMIFS('Daily evaluations'!$E$2:$E$36,'Daily evaluations'!$B$2:$B$36,"=random_02",'Daily evaluations'!$C$2:$C$36,"=d20261020"),"")</f>
      </c>
      <c r="X53" s="8">
        <f>IF((0=1),SUMIFS('Daily evaluations'!$E$2:$E$36,'Daily evaluations'!$B$2:$B$36,"=random_02",'Daily evaluations'!$C$2:$C$36,"=d20261021"),"")</f>
      </c>
      <c r="Y53" s="8">
        <f>IF((0=1),SUMIFS('Daily evaluations'!$E$2:$E$36,'Daily evaluations'!$B$2:$B$36,"=random_02",'Daily evaluations'!$C$2:$C$36,"=d20261022"),"")</f>
      </c>
      <c r="Z53" s="8">
        <f>IF((0=1),SUMIFS('Daily evaluations'!$E$2:$E$36,'Daily evaluations'!$B$2:$B$36,"=random_02",'Daily evaluations'!$C$2:$C$36,"=d20261023"),"")</f>
      </c>
      <c r="AA53" s="8">
        <f>IF((0=1),SUMIFS('Daily evaluations'!$E$2:$E$36,'Daily evaluations'!$B$2:$B$36,"=random_02",'Daily evaluations'!$C$2:$C$36,"=d20261026"),"")</f>
      </c>
      <c r="AB53" s="8">
        <f>IF((0=1),SUMIFS('Daily evaluations'!$E$2:$E$36,'Daily evaluations'!$B$2:$B$36,"=random_02",'Daily evaluations'!$C$2:$C$36,"=d20261027"),"")</f>
      </c>
      <c r="AC53" s="8">
        <f>IF((0=1),SUMIFS('Daily evaluations'!$E$2:$E$36,'Daily evaluations'!$B$2:$B$36,"=random_02",'Daily evaluations'!$C$2:$C$36,"=d20261028"),"")</f>
      </c>
      <c r="AD53" s="8">
        <f>IF((0=1),SUMIFS('Daily evaluations'!$E$2:$E$36,'Daily evaluations'!$B$2:$B$36,"=random_02",'Daily evaluations'!$C$2:$C$36,"=d20261029"),"")</f>
      </c>
      <c r="AE53" s="8">
        <f>IF((0=1),SUMIFS('Daily evaluations'!$E$2:$E$36,'Daily evaluations'!$B$2:$B$36,"=random_02",'Daily evaluations'!$C$2:$C$36,"=d20261030"),"")</f>
      </c>
      <c r="AF53" s="8">
        <f>IF((0=1),SUMIFS('Daily evaluations'!$E$2:$E$36,'Daily evaluations'!$B$2:$B$36,"=random_02",'Daily evaluations'!$C$2:$C$36,"=d20261102"),"")</f>
      </c>
      <c r="AG53" s="8">
        <f>IF((0=1),SUMIFS('Daily evaluations'!$E$2:$E$36,'Daily evaluations'!$B$2:$B$36,"=random_02",'Daily evaluations'!$C$2:$C$36,"=d20261103"),"")</f>
      </c>
      <c r="AH53" s="8">
        <f>IF((0=1),SUMIFS('Daily evaluations'!$E$2:$E$36,'Daily evaluations'!$B$2:$B$36,"=random_02",'Daily evaluations'!$C$2:$C$36,"=d20261104"),"")</f>
      </c>
      <c r="AI53" s="8">
        <f>IF((0=1),SUMIFS('Daily evaluations'!$E$2:$E$36,'Daily evaluations'!$B$2:$B$36,"=random_02",'Daily evaluations'!$C$2:$C$36,"=d20261105"),"")</f>
      </c>
      <c r="AJ53" s="8">
        <f>IF((0=1),SUMIFS('Daily evaluations'!$E$2:$E$36,'Daily evaluations'!$B$2:$B$36,"=random_02",'Daily evaluations'!$C$2:$C$36,"=d20261106"),"")</f>
      </c>
      <c r="AK53" s="8">
        <f>IF((0=1),SUMIFS('Daily evaluations'!$E$2:$E$36,'Daily evaluations'!$B$2:$B$36,"=random_02",'Daily evaluations'!$C$2:$C$36,"=d20261109"),"")</f>
      </c>
      <c r="AL53" s="8">
        <f>IF((0=1),SUMIFS('Daily evaluations'!$E$2:$E$36,'Daily evaluations'!$B$2:$B$36,"=random_02",'Daily evaluations'!$C$2:$C$36,"=d20261110"),"")</f>
      </c>
      <c r="AM53" s="8">
        <f>IF((0=1),SUMIFS('Daily evaluations'!$E$2:$E$36,'Daily evaluations'!$B$2:$B$36,"=random_02",'Daily evaluations'!$C$2:$C$36,"=d20261111"),"")</f>
      </c>
      <c r="AN53" s="8">
        <f>IF((0=1),SUMIFS('Daily evaluations'!$E$2:$E$36,'Daily evaluations'!$B$2:$B$36,"=random_02",'Daily evaluations'!$C$2:$C$36,"=d20261112"),"")</f>
      </c>
      <c r="AO53" s="8">
        <f>IF((0=1),SUMIFS('Daily evaluations'!$E$2:$E$36,'Daily evaluations'!$B$2:$B$36,"=random_02",'Daily evaluations'!$C$2:$C$36,"=d20261113"),"")</f>
      </c>
      <c r="AP53" s="8">
        <f>IF((0=1),SUMIFS('Daily evaluations'!$E$2:$E$36,'Daily evaluations'!$B$2:$B$36,"=random_02",'Daily evaluations'!$C$2:$C$36,"=d20261116"),"")</f>
      </c>
      <c r="AQ53" s="8">
        <f>IF((0=1),SUMIFS('Daily evaluations'!$E$2:$E$36,'Daily evaluations'!$B$2:$B$36,"=random_02",'Daily evaluations'!$C$2:$C$36,"=d20261117"),"")</f>
      </c>
      <c r="AR53" s="8">
        <f>IF((0=1),SUMIFS('Daily evaluations'!$E$2:$E$36,'Daily evaluations'!$B$2:$B$36,"=random_02",'Daily evaluations'!$C$2:$C$36,"=d20261118"),"")</f>
      </c>
      <c r="AS53" s="8">
        <f>IF((0=1),SUMIFS('Daily evaluations'!$E$2:$E$36,'Daily evaluations'!$B$2:$B$36,"=random_02",'Daily evaluations'!$C$2:$C$36,"=d20261119"),"")</f>
      </c>
      <c r="AT53" s="8">
        <f>IF((0=1),SUMIFS('Daily evaluations'!$E$2:$E$36,'Daily evaluations'!$B$2:$B$36,"=random_02",'Daily evaluations'!$C$2:$C$36,"=d20261120"),"")</f>
      </c>
      <c r="AU53" s="8">
        <f>IF((0=1),SUMIFS('Daily evaluations'!$E$2:$E$36,'Daily evaluations'!$B$2:$B$36,"=random_02",'Daily evaluations'!$C$2:$C$36,"=d20261123"),"")</f>
      </c>
      <c r="AV53" s="8">
        <f>IF((0=1),SUMIFS('Daily evaluations'!$E$2:$E$36,'Daily evaluations'!$B$2:$B$36,"=random_02",'Daily evaluations'!$C$2:$C$36,"=d20261124"),"")</f>
      </c>
      <c r="AW53" s="8">
        <f>IF((0=1),SUMIFS('Daily evaluations'!$E$2:$E$36,'Daily evaluations'!$B$2:$B$36,"=random_02",'Daily evaluations'!$C$2:$C$36,"=d20261125"),"")</f>
      </c>
      <c r="AX53" s="8">
        <f>IF((0=1),SUMIFS('Daily evaluations'!$E$2:$E$36,'Daily evaluations'!$B$2:$B$36,"=random_02",'Daily evaluations'!$C$2:$C$36,"=d20261127"),"")</f>
      </c>
      <c r="AY53" s="8">
        <f>IF((0=1),SUMIFS('Daily evaluations'!$E$2:$E$36,'Daily evaluations'!$B$2:$B$36,"=random_02",'Daily evaluations'!$C$2:$C$36,"=d20261130"),"")</f>
      </c>
      <c r="AZ53" s="8">
        <f>IF((0=1),SUMIFS('Daily evaluations'!$E$2:$E$36,'Daily evaluations'!$B$2:$B$36,"=random_02",'Daily evaluations'!$C$2:$C$36,"=d20261201"),"")</f>
      </c>
      <c r="BA53" s="8">
        <f>IF((0=1),SUMIFS('Daily evaluations'!$E$2:$E$36,'Daily evaluations'!$B$2:$B$36,"=random_02",'Daily evaluations'!$C$2:$C$36,"=d20261202"),"")</f>
      </c>
      <c r="BB53" s="8">
        <f>IF((0=1),SUMIFS('Daily evaluations'!$E$2:$E$36,'Daily evaluations'!$B$2:$B$36,"=random_02",'Daily evaluations'!$C$2:$C$36,"=d20261203"),"")</f>
      </c>
      <c r="BC53" s="8">
        <f>IF((0=1),SUMIFS('Daily evaluations'!$E$2:$E$36,'Daily evaluations'!$B$2:$B$36,"=random_02",'Daily evaluations'!$C$2:$C$36,"=d20261204"),"")</f>
      </c>
      <c r="BD53" s="8">
        <f>IF((0=1),SUMIFS('Daily evaluations'!$E$2:$E$36,'Daily evaluations'!$B$2:$B$36,"=random_02",'Daily evaluations'!$C$2:$C$36,"=d20261207"),"")</f>
      </c>
      <c r="BE53" s="8">
        <f>IF((0=1),SUMIFS('Daily evaluations'!$E$2:$E$36,'Daily evaluations'!$B$2:$B$36,"=random_02",'Daily evaluations'!$C$2:$C$36,"=d20261208"),"")</f>
      </c>
      <c r="BF53" s="8">
        <f>IF((0=1),SUMIFS('Daily evaluations'!$E$2:$E$36,'Daily evaluations'!$B$2:$B$36,"=random_02",'Daily evaluations'!$C$2:$C$36,"=d20261209"),"")</f>
      </c>
      <c r="BG53" s="8">
        <f>IF((0=1),SUMIFS('Daily evaluations'!$E$2:$E$36,'Daily evaluations'!$B$2:$B$36,"=random_02",'Daily evaluations'!$C$2:$C$36,"=d20261210"),"")</f>
      </c>
      <c r="BH53" s="8">
        <f>IF((0=1),SUMIFS('Daily evaluations'!$E$2:$E$36,'Daily evaluations'!$B$2:$B$36,"=random_02",'Daily evaluations'!$C$2:$C$36,"=d20261211"),"")</f>
      </c>
      <c r="BI53" s="8">
        <f>IF((0=1),SUMIFS('Daily evaluations'!$E$2:$E$36,'Daily evaluations'!$B$2:$B$36,"=random_02",'Daily evaluations'!$C$2:$C$36,"=d20261214"),"")</f>
      </c>
      <c r="BJ53" s="8">
        <f>IF((0=1),SUMIFS('Daily evaluations'!$E$2:$E$36,'Daily evaluations'!$B$2:$B$36,"=random_02",'Daily evaluations'!$C$2:$C$36,"=d20261215"),"")</f>
      </c>
      <c r="BK53" s="8">
        <f>IF((0=1),SUMIFS('Daily evaluations'!$E$2:$E$36,'Daily evaluations'!$B$2:$B$36,"=random_02",'Daily evaluations'!$C$2:$C$36,"=d20261216"),"")</f>
      </c>
      <c r="BL53" s="8">
        <f>IF((0=1),SUMIFS('Daily evaluations'!$E$2:$E$36,'Daily evaluations'!$B$2:$B$36,"=random_02",'Daily evaluations'!$C$2:$C$36,"=d20261217"),"")</f>
      </c>
      <c r="BM53" s="8">
        <f>IF((0=1),SUMIFS('Daily evaluations'!$E$2:$E$36,'Daily evaluations'!$B$2:$B$36,"=random_02",'Daily evaluations'!$C$2:$C$36,"=d20261218"),"")</f>
      </c>
      <c r="BN53" s="8">
        <f>IF((0=1),SUMIFS('Daily evaluations'!$E$2:$E$36,'Daily evaluations'!$B$2:$B$36,"=random_02",'Daily evaluations'!$C$2:$C$36,"=d20261221"),"")</f>
      </c>
      <c r="BO53" s="8">
        <f>IF((0=1),SUMIFS('Daily evaluations'!$E$2:$E$36,'Daily evaluations'!$B$2:$B$36,"=random_02",'Daily evaluations'!$C$2:$C$36,"=d20261222"),"")</f>
      </c>
      <c r="BP53" s="8">
        <f>IF((0=1),SUMIFS('Daily evaluations'!$E$2:$E$36,'Daily evaluations'!$B$2:$B$36,"=random_02",'Daily evaluations'!$C$2:$C$36,"=d20261223"),"")</f>
      </c>
      <c r="BQ53" s="8">
        <f>IF((0=1),SUMIFS('Daily evaluations'!$E$2:$E$36,'Daily evaluations'!$B$2:$B$36,"=random_02",'Daily evaluations'!$C$2:$C$36,"=d20261224"),"")</f>
      </c>
      <c r="BR53" s="8">
        <f>IF((0=1),SUMIFS('Daily evaluations'!$E$2:$E$36,'Daily evaluations'!$B$2:$B$36,"=random_02",'Daily evaluations'!$C$2:$C$36,"=d20261228"),"")</f>
      </c>
      <c r="BS53" s="8">
        <f>IF((0=1),SUMIFS('Daily evaluations'!$E$2:$E$36,'Daily evaluations'!$B$2:$B$36,"=random_02",'Daily evaluations'!$C$2:$C$36,"=d20261229"),"")</f>
      </c>
      <c r="BT53" s="8">
        <f>IF((0=1),SUMIFS('Daily evaluations'!$E$2:$E$36,'Daily evaluations'!$B$2:$B$36,"=random_02",'Daily evaluations'!$C$2:$C$36,"=d20261230"),"")</f>
      </c>
      <c r="BU53" s="8">
        <f>IF((0=1),SUMIFS('Daily evaluations'!$E$2:$E$36,'Daily evaluations'!$B$2:$B$36,"=random_02",'Daily evaluations'!$C$2:$C$36,"=d20261231"),"")</f>
      </c>
      <c r="BV53" s="8">
        <f>IF((0=1),SUMIFS('Daily evaluations'!$E$2:$E$36,'Daily evaluations'!$B$2:$B$36,"=random_02",'Daily evaluations'!$C$2:$C$36,"=d20270104"),"")</f>
      </c>
      <c r="BW53" s="8">
        <f>IF((0=1),SUMIFS('Daily evaluations'!$E$2:$E$36,'Daily evaluations'!$B$2:$B$36,"=random_02",'Daily evaluations'!$C$2:$C$36,"=d20270105"),"")</f>
      </c>
      <c r="BX53" s="8">
        <f>IF((0=1),SUMIFS('Daily evaluations'!$E$2:$E$36,'Daily evaluations'!$B$2:$B$36,"=random_02",'Daily evaluations'!$C$2:$C$36,"=d20270106"),"")</f>
      </c>
      <c r="BY53" s="8">
        <f>IF((0=1),SUMIFS('Daily evaluations'!$E$2:$E$36,'Daily evaluations'!$B$2:$B$36,"=random_02",'Daily evaluations'!$C$2:$C$36,"=d20270107"),"")</f>
      </c>
      <c r="BZ53" s="8">
        <f>IF((0=1),SUMIFS('Daily evaluations'!$E$2:$E$36,'Daily evaluations'!$B$2:$B$36,"=random_02",'Daily evaluations'!$C$2:$C$36,"=d20270108"),"")</f>
      </c>
      <c r="CA53" s="8">
        <f>IF((0=1),SUMIFS('Daily evaluations'!$E$2:$E$36,'Daily evaluations'!$B$2:$B$36,"=random_02",'Daily evaluations'!$C$2:$C$36,"=d20270111"),"")</f>
      </c>
      <c r="CB53" s="8">
        <f>IF((0=1),SUMIFS('Daily evaluations'!$E$2:$E$36,'Daily evaluations'!$B$2:$B$36,"=random_02",'Daily evaluations'!$C$2:$C$36,"=d20270112"),"")</f>
      </c>
      <c r="CC53" s="8">
        <f>IF((0=1),SUMIFS('Daily evaluations'!$E$2:$E$36,'Daily evaluations'!$B$2:$B$36,"=random_02",'Daily evaluations'!$C$2:$C$36,"=d20270113"),"")</f>
      </c>
      <c r="CD53" s="8">
        <f>IF((0=1),SUMIFS('Daily evaluations'!$E$2:$E$36,'Daily evaluations'!$B$2:$B$36,"=random_02",'Daily evaluations'!$C$2:$C$36,"=d20270114"),"")</f>
      </c>
      <c r="CE53" s="8">
        <f>IF((0=1),SUMIFS('Daily evaluations'!$E$2:$E$36,'Daily evaluations'!$B$2:$B$36,"=random_02",'Daily evaluations'!$C$2:$C$36,"=d20270115"),"")</f>
      </c>
      <c r="CF53" s="8">
        <f>IF((0=1),SUMIFS('Daily evaluations'!$E$2:$E$36,'Daily evaluations'!$B$2:$B$36,"=random_02",'Daily evaluations'!$C$2:$C$36,"=d20270119"),"")</f>
      </c>
      <c r="CG53" s="8">
        <f>IF((0=1),SUMIFS('Daily evaluations'!$E$2:$E$36,'Daily evaluations'!$B$2:$B$36,"=random_02",'Daily evaluations'!$C$2:$C$36,"=d20270120"),"")</f>
      </c>
      <c r="CH53" s="8">
        <f>IF((0=1),SUMIFS('Daily evaluations'!$E$2:$E$36,'Daily evaluations'!$B$2:$B$36,"=random_02",'Daily evaluations'!$C$2:$C$36,"=d20270121"),"")</f>
      </c>
      <c r="CI53" s="8">
        <f>IF((0=1),SUMIFS('Daily evaluations'!$E$2:$E$36,'Daily evaluations'!$B$2:$B$36,"=random_02",'Daily evaluations'!$C$2:$C$36,"=d20270122"),"")</f>
      </c>
      <c r="CJ53" s="8">
        <f>IF((0=1),SUMIFS('Daily evaluations'!$E$2:$E$36,'Daily evaluations'!$B$2:$B$36,"=random_02",'Daily evaluations'!$C$2:$C$36,"=d20270125"),"")</f>
      </c>
      <c r="CK53" s="8">
        <f>IF((0=1),SUMIFS('Daily evaluations'!$E$2:$E$36,'Daily evaluations'!$B$2:$B$36,"=random_02",'Daily evaluations'!$C$2:$C$36,"=d20270126"),"")</f>
      </c>
      <c r="CL53" s="8">
        <f>IF((0=1),SUMIFS('Daily evaluations'!$E$2:$E$36,'Daily evaluations'!$B$2:$B$36,"=random_02",'Daily evaluations'!$C$2:$C$36,"=d20270127"),"")</f>
      </c>
      <c r="CM53" s="8">
        <f>IF((0=1),SUMIFS('Daily evaluations'!$E$2:$E$36,'Daily evaluations'!$B$2:$B$36,"=random_02",'Daily evaluations'!$C$2:$C$36,"=d20270128"),"")</f>
      </c>
      <c r="CN53" s="8">
        <f>IF((0=1),SUMIFS('Daily evaluations'!$E$2:$E$36,'Daily evaluations'!$B$2:$B$36,"=random_02",'Daily evaluations'!$C$2:$C$36,"=d20270129"),"")</f>
      </c>
      <c r="CO53" s="8">
        <f>IF((0=1),SUMIFS('Daily evaluations'!$E$2:$E$36,'Daily evaluations'!$B$2:$B$36,"=random_02",'Daily evaluations'!$C$2:$C$36,"=d20270201"),"")</f>
      </c>
      <c r="CP53" s="8">
        <f>IF((0=1),SUMIFS('Daily evaluations'!$E$2:$E$36,'Daily evaluations'!$B$2:$B$36,"=random_02",'Daily evaluations'!$C$2:$C$36,"=d20270202"),"")</f>
      </c>
      <c r="CQ53" s="8">
        <f>IF((0=1),SUMIFS('Daily evaluations'!$E$2:$E$36,'Daily evaluations'!$B$2:$B$36,"=random_02",'Daily evaluations'!$C$2:$C$36,"=d20270203"),"")</f>
      </c>
      <c r="CR53" s="8">
        <f>IF((0=1),SUMIFS('Daily evaluations'!$E$2:$E$36,'Daily evaluations'!$B$2:$B$36,"=random_02",'Daily evaluations'!$C$2:$C$36,"=d20270204"),"")</f>
      </c>
      <c r="CS53" s="8">
        <f>IF((0=1),SUMIFS('Daily evaluations'!$E$2:$E$36,'Daily evaluations'!$B$2:$B$36,"=random_02",'Daily evaluations'!$C$2:$C$36,"=d20270205"),"")</f>
      </c>
      <c r="CT53" s="8">
        <f>IF((0=1),SUMIFS('Daily evaluations'!$E$2:$E$36,'Daily evaluations'!$B$2:$B$36,"=random_02",'Daily evaluations'!$C$2:$C$36,"=d20270208"),"")</f>
      </c>
      <c r="CU53" s="8">
        <f>IF((0=1),SUMIFS('Daily evaluations'!$E$2:$E$36,'Daily evaluations'!$B$2:$B$36,"=random_02",'Daily evaluations'!$C$2:$C$36,"=d20270209"),"")</f>
      </c>
      <c r="CV53" s="8">
        <f>IF((0=1),SUMIFS('Daily evaluations'!$E$2:$E$36,'Daily evaluations'!$B$2:$B$36,"=random_02",'Daily evaluations'!$C$2:$C$36,"=d20270210"),"")</f>
      </c>
      <c r="CW53" s="8">
        <f>IF((0=1),SUMIFS('Daily evaluations'!$E$2:$E$36,'Daily evaluations'!$B$2:$B$36,"=random_02",'Daily evaluations'!$C$2:$C$36,"=d20270211"),"")</f>
      </c>
      <c r="CX53" s="8">
        <f>IF((0=1),SUMIFS('Daily evaluations'!$E$2:$E$36,'Daily evaluations'!$B$2:$B$36,"=random_02",'Daily evaluations'!$C$2:$C$36,"=d20270212"),"")</f>
      </c>
    </row>
    <row r="54">
      <c r="A54" s="0" t="inlineStr">
        <is>
          <t xml:space="preserve">Overnight excess vs universe, bps</t>
        </is>
      </c>
      <c r="B54" s="0" t="inlineStr">
        <is>
          <t xml:space="preserve">Random 3</t>
        </is>
      </c>
      <c r="C54" s="8">
        <f>IF((1=1),SUMIFS('Daily evaluations'!$E$2:$E$36,'Daily evaluations'!$B$2:$B$36,"=random_03",'Daily evaluations'!$C$2:$C$36,"=d20260922"),"")</f>
        <v>5.9</v>
      </c>
      <c r="D54" s="8">
        <f>IF((0=1),SUMIFS('Daily evaluations'!$E$2:$E$36,'Daily evaluations'!$B$2:$B$36,"=random_03",'Daily evaluations'!$C$2:$C$36,"=d20260923"),"")</f>
      </c>
      <c r="E54" s="8">
        <f>IF((0=1),SUMIFS('Daily evaluations'!$E$2:$E$36,'Daily evaluations'!$B$2:$B$36,"=random_03",'Daily evaluations'!$C$2:$C$36,"=d20260924"),"")</f>
      </c>
      <c r="F54" s="8">
        <f>IF((0=1),SUMIFS('Daily evaluations'!$E$2:$E$36,'Daily evaluations'!$B$2:$B$36,"=random_03",'Daily evaluations'!$C$2:$C$36,"=d20260925"),"")</f>
      </c>
      <c r="G54" s="8">
        <f>IF((0=1),SUMIFS('Daily evaluations'!$E$2:$E$36,'Daily evaluations'!$B$2:$B$36,"=random_03",'Daily evaluations'!$C$2:$C$36,"=d20260928"),"")</f>
      </c>
      <c r="H54" s="8">
        <f>IF((0=1),SUMIFS('Daily evaluations'!$E$2:$E$36,'Daily evaluations'!$B$2:$B$36,"=random_03",'Daily evaluations'!$C$2:$C$36,"=d20260929"),"")</f>
      </c>
      <c r="I54" s="8">
        <f>IF((0=1),SUMIFS('Daily evaluations'!$E$2:$E$36,'Daily evaluations'!$B$2:$B$36,"=random_03",'Daily evaluations'!$C$2:$C$36,"=d20260930"),"")</f>
      </c>
      <c r="J54" s="8">
        <f>IF((0=1),SUMIFS('Daily evaluations'!$E$2:$E$36,'Daily evaluations'!$B$2:$B$36,"=random_03",'Daily evaluations'!$C$2:$C$36,"=d20261001"),"")</f>
      </c>
      <c r="K54" s="8">
        <f>IF((0=1),SUMIFS('Daily evaluations'!$E$2:$E$36,'Daily evaluations'!$B$2:$B$36,"=random_03",'Daily evaluations'!$C$2:$C$36,"=d20261002"),"")</f>
      </c>
      <c r="L54" s="8">
        <f>IF((0=1),SUMIFS('Daily evaluations'!$E$2:$E$36,'Daily evaluations'!$B$2:$B$36,"=random_03",'Daily evaluations'!$C$2:$C$36,"=d20261005"),"")</f>
      </c>
      <c r="M54" s="8">
        <f>IF((0=1),SUMIFS('Daily evaluations'!$E$2:$E$36,'Daily evaluations'!$B$2:$B$36,"=random_03",'Daily evaluations'!$C$2:$C$36,"=d20261006"),"")</f>
      </c>
      <c r="N54" s="8">
        <f>IF((0=1),SUMIFS('Daily evaluations'!$E$2:$E$36,'Daily evaluations'!$B$2:$B$36,"=random_03",'Daily evaluations'!$C$2:$C$36,"=d20261007"),"")</f>
      </c>
      <c r="O54" s="8">
        <f>IF((0=1),SUMIFS('Daily evaluations'!$E$2:$E$36,'Daily evaluations'!$B$2:$B$36,"=random_03",'Daily evaluations'!$C$2:$C$36,"=d20261008"),"")</f>
      </c>
      <c r="P54" s="8">
        <f>IF((0=1),SUMIFS('Daily evaluations'!$E$2:$E$36,'Daily evaluations'!$B$2:$B$36,"=random_03",'Daily evaluations'!$C$2:$C$36,"=d20261009"),"")</f>
      </c>
      <c r="Q54" s="8">
        <f>IF((0=1),SUMIFS('Daily evaluations'!$E$2:$E$36,'Daily evaluations'!$B$2:$B$36,"=random_03",'Daily evaluations'!$C$2:$C$36,"=d20261012"),"")</f>
      </c>
      <c r="R54" s="8">
        <f>IF((0=1),SUMIFS('Daily evaluations'!$E$2:$E$36,'Daily evaluations'!$B$2:$B$36,"=random_03",'Daily evaluations'!$C$2:$C$36,"=d20261013"),"")</f>
      </c>
      <c r="S54" s="8">
        <f>IF((0=1),SUMIFS('Daily evaluations'!$E$2:$E$36,'Daily evaluations'!$B$2:$B$36,"=random_03",'Daily evaluations'!$C$2:$C$36,"=d20261014"),"")</f>
      </c>
      <c r="T54" s="8">
        <f>IF((0=1),SUMIFS('Daily evaluations'!$E$2:$E$36,'Daily evaluations'!$B$2:$B$36,"=random_03",'Daily evaluations'!$C$2:$C$36,"=d20261015"),"")</f>
      </c>
      <c r="U54" s="8">
        <f>IF((0=1),SUMIFS('Daily evaluations'!$E$2:$E$36,'Daily evaluations'!$B$2:$B$36,"=random_03",'Daily evaluations'!$C$2:$C$36,"=d20261016"),"")</f>
      </c>
      <c r="V54" s="8">
        <f>IF((0=1),SUMIFS('Daily evaluations'!$E$2:$E$36,'Daily evaluations'!$B$2:$B$36,"=random_03",'Daily evaluations'!$C$2:$C$36,"=d20261019"),"")</f>
      </c>
      <c r="W54" s="8">
        <f>IF((0=1),SUMIFS('Daily evaluations'!$E$2:$E$36,'Daily evaluations'!$B$2:$B$36,"=random_03",'Daily evaluations'!$C$2:$C$36,"=d20261020"),"")</f>
      </c>
      <c r="X54" s="8">
        <f>IF((0=1),SUMIFS('Daily evaluations'!$E$2:$E$36,'Daily evaluations'!$B$2:$B$36,"=random_03",'Daily evaluations'!$C$2:$C$36,"=d20261021"),"")</f>
      </c>
      <c r="Y54" s="8">
        <f>IF((0=1),SUMIFS('Daily evaluations'!$E$2:$E$36,'Daily evaluations'!$B$2:$B$36,"=random_03",'Daily evaluations'!$C$2:$C$36,"=d20261022"),"")</f>
      </c>
      <c r="Z54" s="8">
        <f>IF((0=1),SUMIFS('Daily evaluations'!$E$2:$E$36,'Daily evaluations'!$B$2:$B$36,"=random_03",'Daily evaluations'!$C$2:$C$36,"=d20261023"),"")</f>
      </c>
      <c r="AA54" s="8">
        <f>IF((0=1),SUMIFS('Daily evaluations'!$E$2:$E$36,'Daily evaluations'!$B$2:$B$36,"=random_03",'Daily evaluations'!$C$2:$C$36,"=d20261026"),"")</f>
      </c>
      <c r="AB54" s="8">
        <f>IF((0=1),SUMIFS('Daily evaluations'!$E$2:$E$36,'Daily evaluations'!$B$2:$B$36,"=random_03",'Daily evaluations'!$C$2:$C$36,"=d20261027"),"")</f>
      </c>
      <c r="AC54" s="8">
        <f>IF((0=1),SUMIFS('Daily evaluations'!$E$2:$E$36,'Daily evaluations'!$B$2:$B$36,"=random_03",'Daily evaluations'!$C$2:$C$36,"=d20261028"),"")</f>
      </c>
      <c r="AD54" s="8">
        <f>IF((0=1),SUMIFS('Daily evaluations'!$E$2:$E$36,'Daily evaluations'!$B$2:$B$36,"=random_03",'Daily evaluations'!$C$2:$C$36,"=d20261029"),"")</f>
      </c>
      <c r="AE54" s="8">
        <f>IF((0=1),SUMIFS('Daily evaluations'!$E$2:$E$36,'Daily evaluations'!$B$2:$B$36,"=random_03",'Daily evaluations'!$C$2:$C$36,"=d20261030"),"")</f>
      </c>
      <c r="AF54" s="8">
        <f>IF((0=1),SUMIFS('Daily evaluations'!$E$2:$E$36,'Daily evaluations'!$B$2:$B$36,"=random_03",'Daily evaluations'!$C$2:$C$36,"=d20261102"),"")</f>
      </c>
      <c r="AG54" s="8">
        <f>IF((0=1),SUMIFS('Daily evaluations'!$E$2:$E$36,'Daily evaluations'!$B$2:$B$36,"=random_03",'Daily evaluations'!$C$2:$C$36,"=d20261103"),"")</f>
      </c>
      <c r="AH54" s="8">
        <f>IF((0=1),SUMIFS('Daily evaluations'!$E$2:$E$36,'Daily evaluations'!$B$2:$B$36,"=random_03",'Daily evaluations'!$C$2:$C$36,"=d20261104"),"")</f>
      </c>
      <c r="AI54" s="8">
        <f>IF((0=1),SUMIFS('Daily evaluations'!$E$2:$E$36,'Daily evaluations'!$B$2:$B$36,"=random_03",'Daily evaluations'!$C$2:$C$36,"=d20261105"),"")</f>
      </c>
      <c r="AJ54" s="8">
        <f>IF((0=1),SUMIFS('Daily evaluations'!$E$2:$E$36,'Daily evaluations'!$B$2:$B$36,"=random_03",'Daily evaluations'!$C$2:$C$36,"=d20261106"),"")</f>
      </c>
      <c r="AK54" s="8">
        <f>IF((0=1),SUMIFS('Daily evaluations'!$E$2:$E$36,'Daily evaluations'!$B$2:$B$36,"=random_03",'Daily evaluations'!$C$2:$C$36,"=d20261109"),"")</f>
      </c>
      <c r="AL54" s="8">
        <f>IF((0=1),SUMIFS('Daily evaluations'!$E$2:$E$36,'Daily evaluations'!$B$2:$B$36,"=random_03",'Daily evaluations'!$C$2:$C$36,"=d20261110"),"")</f>
      </c>
      <c r="AM54" s="8">
        <f>IF((0=1),SUMIFS('Daily evaluations'!$E$2:$E$36,'Daily evaluations'!$B$2:$B$36,"=random_03",'Daily evaluations'!$C$2:$C$36,"=d20261111"),"")</f>
      </c>
      <c r="AN54" s="8">
        <f>IF((0=1),SUMIFS('Daily evaluations'!$E$2:$E$36,'Daily evaluations'!$B$2:$B$36,"=random_03",'Daily evaluations'!$C$2:$C$36,"=d20261112"),"")</f>
      </c>
      <c r="AO54" s="8">
        <f>IF((0=1),SUMIFS('Daily evaluations'!$E$2:$E$36,'Daily evaluations'!$B$2:$B$36,"=random_03",'Daily evaluations'!$C$2:$C$36,"=d20261113"),"")</f>
      </c>
      <c r="AP54" s="8">
        <f>IF((0=1),SUMIFS('Daily evaluations'!$E$2:$E$36,'Daily evaluations'!$B$2:$B$36,"=random_03",'Daily evaluations'!$C$2:$C$36,"=d20261116"),"")</f>
      </c>
      <c r="AQ54" s="8">
        <f>IF((0=1),SUMIFS('Daily evaluations'!$E$2:$E$36,'Daily evaluations'!$B$2:$B$36,"=random_03",'Daily evaluations'!$C$2:$C$36,"=d20261117"),"")</f>
      </c>
      <c r="AR54" s="8">
        <f>IF((0=1),SUMIFS('Daily evaluations'!$E$2:$E$36,'Daily evaluations'!$B$2:$B$36,"=random_03",'Daily evaluations'!$C$2:$C$36,"=d20261118"),"")</f>
      </c>
      <c r="AS54" s="8">
        <f>IF((0=1),SUMIFS('Daily evaluations'!$E$2:$E$36,'Daily evaluations'!$B$2:$B$36,"=random_03",'Daily evaluations'!$C$2:$C$36,"=d20261119"),"")</f>
      </c>
      <c r="AT54" s="8">
        <f>IF((0=1),SUMIFS('Daily evaluations'!$E$2:$E$36,'Daily evaluations'!$B$2:$B$36,"=random_03",'Daily evaluations'!$C$2:$C$36,"=d20261120"),"")</f>
      </c>
      <c r="AU54" s="8">
        <f>IF((0=1),SUMIFS('Daily evaluations'!$E$2:$E$36,'Daily evaluations'!$B$2:$B$36,"=random_03",'Daily evaluations'!$C$2:$C$36,"=d20261123"),"")</f>
      </c>
      <c r="AV54" s="8">
        <f>IF((0=1),SUMIFS('Daily evaluations'!$E$2:$E$36,'Daily evaluations'!$B$2:$B$36,"=random_03",'Daily evaluations'!$C$2:$C$36,"=d20261124"),"")</f>
      </c>
      <c r="AW54" s="8">
        <f>IF((0=1),SUMIFS('Daily evaluations'!$E$2:$E$36,'Daily evaluations'!$B$2:$B$36,"=random_03",'Daily evaluations'!$C$2:$C$36,"=d20261125"),"")</f>
      </c>
      <c r="AX54" s="8">
        <f>IF((0=1),SUMIFS('Daily evaluations'!$E$2:$E$36,'Daily evaluations'!$B$2:$B$36,"=random_03",'Daily evaluations'!$C$2:$C$36,"=d20261127"),"")</f>
      </c>
      <c r="AY54" s="8">
        <f>IF((0=1),SUMIFS('Daily evaluations'!$E$2:$E$36,'Daily evaluations'!$B$2:$B$36,"=random_03",'Daily evaluations'!$C$2:$C$36,"=d20261130"),"")</f>
      </c>
      <c r="AZ54" s="8">
        <f>IF((0=1),SUMIFS('Daily evaluations'!$E$2:$E$36,'Daily evaluations'!$B$2:$B$36,"=random_03",'Daily evaluations'!$C$2:$C$36,"=d20261201"),"")</f>
      </c>
      <c r="BA54" s="8">
        <f>IF((0=1),SUMIFS('Daily evaluations'!$E$2:$E$36,'Daily evaluations'!$B$2:$B$36,"=random_03",'Daily evaluations'!$C$2:$C$36,"=d20261202"),"")</f>
      </c>
      <c r="BB54" s="8">
        <f>IF((0=1),SUMIFS('Daily evaluations'!$E$2:$E$36,'Daily evaluations'!$B$2:$B$36,"=random_03",'Daily evaluations'!$C$2:$C$36,"=d20261203"),"")</f>
      </c>
      <c r="BC54" s="8">
        <f>IF((0=1),SUMIFS('Daily evaluations'!$E$2:$E$36,'Daily evaluations'!$B$2:$B$36,"=random_03",'Daily evaluations'!$C$2:$C$36,"=d20261204"),"")</f>
      </c>
      <c r="BD54" s="8">
        <f>IF((0=1),SUMIFS('Daily evaluations'!$E$2:$E$36,'Daily evaluations'!$B$2:$B$36,"=random_03",'Daily evaluations'!$C$2:$C$36,"=d20261207"),"")</f>
      </c>
      <c r="BE54" s="8">
        <f>IF((0=1),SUMIFS('Daily evaluations'!$E$2:$E$36,'Daily evaluations'!$B$2:$B$36,"=random_03",'Daily evaluations'!$C$2:$C$36,"=d20261208"),"")</f>
      </c>
      <c r="BF54" s="8">
        <f>IF((0=1),SUMIFS('Daily evaluations'!$E$2:$E$36,'Daily evaluations'!$B$2:$B$36,"=random_03",'Daily evaluations'!$C$2:$C$36,"=d20261209"),"")</f>
      </c>
      <c r="BG54" s="8">
        <f>IF((0=1),SUMIFS('Daily evaluations'!$E$2:$E$36,'Daily evaluations'!$B$2:$B$36,"=random_03",'Daily evaluations'!$C$2:$C$36,"=d20261210"),"")</f>
      </c>
      <c r="BH54" s="8">
        <f>IF((0=1),SUMIFS('Daily evaluations'!$E$2:$E$36,'Daily evaluations'!$B$2:$B$36,"=random_03",'Daily evaluations'!$C$2:$C$36,"=d20261211"),"")</f>
      </c>
      <c r="BI54" s="8">
        <f>IF((0=1),SUMIFS('Daily evaluations'!$E$2:$E$36,'Daily evaluations'!$B$2:$B$36,"=random_03",'Daily evaluations'!$C$2:$C$36,"=d20261214"),"")</f>
      </c>
      <c r="BJ54" s="8">
        <f>IF((0=1),SUMIFS('Daily evaluations'!$E$2:$E$36,'Daily evaluations'!$B$2:$B$36,"=random_03",'Daily evaluations'!$C$2:$C$36,"=d20261215"),"")</f>
      </c>
      <c r="BK54" s="8">
        <f>IF((0=1),SUMIFS('Daily evaluations'!$E$2:$E$36,'Daily evaluations'!$B$2:$B$36,"=random_03",'Daily evaluations'!$C$2:$C$36,"=d20261216"),"")</f>
      </c>
      <c r="BL54" s="8">
        <f>IF((0=1),SUMIFS('Daily evaluations'!$E$2:$E$36,'Daily evaluations'!$B$2:$B$36,"=random_03",'Daily evaluations'!$C$2:$C$36,"=d20261217"),"")</f>
      </c>
      <c r="BM54" s="8">
        <f>IF((0=1),SUMIFS('Daily evaluations'!$E$2:$E$36,'Daily evaluations'!$B$2:$B$36,"=random_03",'Daily evaluations'!$C$2:$C$36,"=d20261218"),"")</f>
      </c>
      <c r="BN54" s="8">
        <f>IF((0=1),SUMIFS('Daily evaluations'!$E$2:$E$36,'Daily evaluations'!$B$2:$B$36,"=random_03",'Daily evaluations'!$C$2:$C$36,"=d20261221"),"")</f>
      </c>
      <c r="BO54" s="8">
        <f>IF((0=1),SUMIFS('Daily evaluations'!$E$2:$E$36,'Daily evaluations'!$B$2:$B$36,"=random_03",'Daily evaluations'!$C$2:$C$36,"=d20261222"),"")</f>
      </c>
      <c r="BP54" s="8">
        <f>IF((0=1),SUMIFS('Daily evaluations'!$E$2:$E$36,'Daily evaluations'!$B$2:$B$36,"=random_03",'Daily evaluations'!$C$2:$C$36,"=d20261223"),"")</f>
      </c>
      <c r="BQ54" s="8">
        <f>IF((0=1),SUMIFS('Daily evaluations'!$E$2:$E$36,'Daily evaluations'!$B$2:$B$36,"=random_03",'Daily evaluations'!$C$2:$C$36,"=d20261224"),"")</f>
      </c>
      <c r="BR54" s="8">
        <f>IF((0=1),SUMIFS('Daily evaluations'!$E$2:$E$36,'Daily evaluations'!$B$2:$B$36,"=random_03",'Daily evaluations'!$C$2:$C$36,"=d20261228"),"")</f>
      </c>
      <c r="BS54" s="8">
        <f>IF((0=1),SUMIFS('Daily evaluations'!$E$2:$E$36,'Daily evaluations'!$B$2:$B$36,"=random_03",'Daily evaluations'!$C$2:$C$36,"=d20261229"),"")</f>
      </c>
      <c r="BT54" s="8">
        <f>IF((0=1),SUMIFS('Daily evaluations'!$E$2:$E$36,'Daily evaluations'!$B$2:$B$36,"=random_03",'Daily evaluations'!$C$2:$C$36,"=d20261230"),"")</f>
      </c>
      <c r="BU54" s="8">
        <f>IF((0=1),SUMIFS('Daily evaluations'!$E$2:$E$36,'Daily evaluations'!$B$2:$B$36,"=random_03",'Daily evaluations'!$C$2:$C$36,"=d20261231"),"")</f>
      </c>
      <c r="BV54" s="8">
        <f>IF((0=1),SUMIFS('Daily evaluations'!$E$2:$E$36,'Daily evaluations'!$B$2:$B$36,"=random_03",'Daily evaluations'!$C$2:$C$36,"=d20270104"),"")</f>
      </c>
      <c r="BW54" s="8">
        <f>IF((0=1),SUMIFS('Daily evaluations'!$E$2:$E$36,'Daily evaluations'!$B$2:$B$36,"=random_03",'Daily evaluations'!$C$2:$C$36,"=d20270105"),"")</f>
      </c>
      <c r="BX54" s="8">
        <f>IF((0=1),SUMIFS('Daily evaluations'!$E$2:$E$36,'Daily evaluations'!$B$2:$B$36,"=random_03",'Daily evaluations'!$C$2:$C$36,"=d20270106"),"")</f>
      </c>
      <c r="BY54" s="8">
        <f>IF((0=1),SUMIFS('Daily evaluations'!$E$2:$E$36,'Daily evaluations'!$B$2:$B$36,"=random_03",'Daily evaluations'!$C$2:$C$36,"=d20270107"),"")</f>
      </c>
      <c r="BZ54" s="8">
        <f>IF((0=1),SUMIFS('Daily evaluations'!$E$2:$E$36,'Daily evaluations'!$B$2:$B$36,"=random_03",'Daily evaluations'!$C$2:$C$36,"=d20270108"),"")</f>
      </c>
      <c r="CA54" s="8">
        <f>IF((0=1),SUMIFS('Daily evaluations'!$E$2:$E$36,'Daily evaluations'!$B$2:$B$36,"=random_03",'Daily evaluations'!$C$2:$C$36,"=d20270111"),"")</f>
      </c>
      <c r="CB54" s="8">
        <f>IF((0=1),SUMIFS('Daily evaluations'!$E$2:$E$36,'Daily evaluations'!$B$2:$B$36,"=random_03",'Daily evaluations'!$C$2:$C$36,"=d20270112"),"")</f>
      </c>
      <c r="CC54" s="8">
        <f>IF((0=1),SUMIFS('Daily evaluations'!$E$2:$E$36,'Daily evaluations'!$B$2:$B$36,"=random_03",'Daily evaluations'!$C$2:$C$36,"=d20270113"),"")</f>
      </c>
      <c r="CD54" s="8">
        <f>IF((0=1),SUMIFS('Daily evaluations'!$E$2:$E$36,'Daily evaluations'!$B$2:$B$36,"=random_03",'Daily evaluations'!$C$2:$C$36,"=d20270114"),"")</f>
      </c>
      <c r="CE54" s="8">
        <f>IF((0=1),SUMIFS('Daily evaluations'!$E$2:$E$36,'Daily evaluations'!$B$2:$B$36,"=random_03",'Daily evaluations'!$C$2:$C$36,"=d20270115"),"")</f>
      </c>
      <c r="CF54" s="8">
        <f>IF((0=1),SUMIFS('Daily evaluations'!$E$2:$E$36,'Daily evaluations'!$B$2:$B$36,"=random_03",'Daily evaluations'!$C$2:$C$36,"=d20270119"),"")</f>
      </c>
      <c r="CG54" s="8">
        <f>IF((0=1),SUMIFS('Daily evaluations'!$E$2:$E$36,'Daily evaluations'!$B$2:$B$36,"=random_03",'Daily evaluations'!$C$2:$C$36,"=d20270120"),"")</f>
      </c>
      <c r="CH54" s="8">
        <f>IF((0=1),SUMIFS('Daily evaluations'!$E$2:$E$36,'Daily evaluations'!$B$2:$B$36,"=random_03",'Daily evaluations'!$C$2:$C$36,"=d20270121"),"")</f>
      </c>
      <c r="CI54" s="8">
        <f>IF((0=1),SUMIFS('Daily evaluations'!$E$2:$E$36,'Daily evaluations'!$B$2:$B$36,"=random_03",'Daily evaluations'!$C$2:$C$36,"=d20270122"),"")</f>
      </c>
      <c r="CJ54" s="8">
        <f>IF((0=1),SUMIFS('Daily evaluations'!$E$2:$E$36,'Daily evaluations'!$B$2:$B$36,"=random_03",'Daily evaluations'!$C$2:$C$36,"=d20270125"),"")</f>
      </c>
      <c r="CK54" s="8">
        <f>IF((0=1),SUMIFS('Daily evaluations'!$E$2:$E$36,'Daily evaluations'!$B$2:$B$36,"=random_03",'Daily evaluations'!$C$2:$C$36,"=d20270126"),"")</f>
      </c>
      <c r="CL54" s="8">
        <f>IF((0=1),SUMIFS('Daily evaluations'!$E$2:$E$36,'Daily evaluations'!$B$2:$B$36,"=random_03",'Daily evaluations'!$C$2:$C$36,"=d20270127"),"")</f>
      </c>
      <c r="CM54" s="8">
        <f>IF((0=1),SUMIFS('Daily evaluations'!$E$2:$E$36,'Daily evaluations'!$B$2:$B$36,"=random_03",'Daily evaluations'!$C$2:$C$36,"=d20270128"),"")</f>
      </c>
      <c r="CN54" s="8">
        <f>IF((0=1),SUMIFS('Daily evaluations'!$E$2:$E$36,'Daily evaluations'!$B$2:$B$36,"=random_03",'Daily evaluations'!$C$2:$C$36,"=d20270129"),"")</f>
      </c>
      <c r="CO54" s="8">
        <f>IF((0=1),SUMIFS('Daily evaluations'!$E$2:$E$36,'Daily evaluations'!$B$2:$B$36,"=random_03",'Daily evaluations'!$C$2:$C$36,"=d20270201"),"")</f>
      </c>
      <c r="CP54" s="8">
        <f>IF((0=1),SUMIFS('Daily evaluations'!$E$2:$E$36,'Daily evaluations'!$B$2:$B$36,"=random_03",'Daily evaluations'!$C$2:$C$36,"=d20270202"),"")</f>
      </c>
      <c r="CQ54" s="8">
        <f>IF((0=1),SUMIFS('Daily evaluations'!$E$2:$E$36,'Daily evaluations'!$B$2:$B$36,"=random_03",'Daily evaluations'!$C$2:$C$36,"=d20270203"),"")</f>
      </c>
      <c r="CR54" s="8">
        <f>IF((0=1),SUMIFS('Daily evaluations'!$E$2:$E$36,'Daily evaluations'!$B$2:$B$36,"=random_03",'Daily evaluations'!$C$2:$C$36,"=d20270204"),"")</f>
      </c>
      <c r="CS54" s="8">
        <f>IF((0=1),SUMIFS('Daily evaluations'!$E$2:$E$36,'Daily evaluations'!$B$2:$B$36,"=random_03",'Daily evaluations'!$C$2:$C$36,"=d20270205"),"")</f>
      </c>
      <c r="CT54" s="8">
        <f>IF((0=1),SUMIFS('Daily evaluations'!$E$2:$E$36,'Daily evaluations'!$B$2:$B$36,"=random_03",'Daily evaluations'!$C$2:$C$36,"=d20270208"),"")</f>
      </c>
      <c r="CU54" s="8">
        <f>IF((0=1),SUMIFS('Daily evaluations'!$E$2:$E$36,'Daily evaluations'!$B$2:$B$36,"=random_03",'Daily evaluations'!$C$2:$C$36,"=d20270209"),"")</f>
      </c>
      <c r="CV54" s="8">
        <f>IF((0=1),SUMIFS('Daily evaluations'!$E$2:$E$36,'Daily evaluations'!$B$2:$B$36,"=random_03",'Daily evaluations'!$C$2:$C$36,"=d20270210"),"")</f>
      </c>
      <c r="CW54" s="8">
        <f>IF((0=1),SUMIFS('Daily evaluations'!$E$2:$E$36,'Daily evaluations'!$B$2:$B$36,"=random_03",'Daily evaluations'!$C$2:$C$36,"=d20270211"),"")</f>
      </c>
      <c r="CX54" s="8">
        <f>IF((0=1),SUMIFS('Daily evaluations'!$E$2:$E$36,'Daily evaluations'!$B$2:$B$36,"=random_03",'Daily evaluations'!$C$2:$C$36,"=d20270212"),"")</f>
      </c>
    </row>
    <row r="55">
      <c r="A55" s="0" t="inlineStr">
        <is>
          <t xml:space="preserve">Overnight excess vs universe, bps</t>
        </is>
      </c>
      <c r="B55" s="0" t="inlineStr">
        <is>
          <t xml:space="preserve">Random 4</t>
        </is>
      </c>
      <c r="C55" s="8">
        <f>IF((1=1),SUMIFS('Daily evaluations'!$E$2:$E$36,'Daily evaluations'!$B$2:$B$36,"=random_04",'Daily evaluations'!$C$2:$C$36,"=d20260922"),"")</f>
        <v>-5.497</v>
      </c>
      <c r="D55" s="8">
        <f>IF((0=1),SUMIFS('Daily evaluations'!$E$2:$E$36,'Daily evaluations'!$B$2:$B$36,"=random_04",'Daily evaluations'!$C$2:$C$36,"=d20260923"),"")</f>
      </c>
      <c r="E55" s="8">
        <f>IF((0=1),SUMIFS('Daily evaluations'!$E$2:$E$36,'Daily evaluations'!$B$2:$B$36,"=random_04",'Daily evaluations'!$C$2:$C$36,"=d20260924"),"")</f>
      </c>
      <c r="F55" s="8">
        <f>IF((0=1),SUMIFS('Daily evaluations'!$E$2:$E$36,'Daily evaluations'!$B$2:$B$36,"=random_04",'Daily evaluations'!$C$2:$C$36,"=d20260925"),"")</f>
      </c>
      <c r="G55" s="8">
        <f>IF((0=1),SUMIFS('Daily evaluations'!$E$2:$E$36,'Daily evaluations'!$B$2:$B$36,"=random_04",'Daily evaluations'!$C$2:$C$36,"=d20260928"),"")</f>
      </c>
      <c r="H55" s="8">
        <f>IF((0=1),SUMIFS('Daily evaluations'!$E$2:$E$36,'Daily evaluations'!$B$2:$B$36,"=random_04",'Daily evaluations'!$C$2:$C$36,"=d20260929"),"")</f>
      </c>
      <c r="I55" s="8">
        <f>IF((0=1),SUMIFS('Daily evaluations'!$E$2:$E$36,'Daily evaluations'!$B$2:$B$36,"=random_04",'Daily evaluations'!$C$2:$C$36,"=d20260930"),"")</f>
      </c>
      <c r="J55" s="8">
        <f>IF((0=1),SUMIFS('Daily evaluations'!$E$2:$E$36,'Daily evaluations'!$B$2:$B$36,"=random_04",'Daily evaluations'!$C$2:$C$36,"=d20261001"),"")</f>
      </c>
      <c r="K55" s="8">
        <f>IF((0=1),SUMIFS('Daily evaluations'!$E$2:$E$36,'Daily evaluations'!$B$2:$B$36,"=random_04",'Daily evaluations'!$C$2:$C$36,"=d20261002"),"")</f>
      </c>
      <c r="L55" s="8">
        <f>IF((0=1),SUMIFS('Daily evaluations'!$E$2:$E$36,'Daily evaluations'!$B$2:$B$36,"=random_04",'Daily evaluations'!$C$2:$C$36,"=d20261005"),"")</f>
      </c>
      <c r="M55" s="8">
        <f>IF((0=1),SUMIFS('Daily evaluations'!$E$2:$E$36,'Daily evaluations'!$B$2:$B$36,"=random_04",'Daily evaluations'!$C$2:$C$36,"=d20261006"),"")</f>
      </c>
      <c r="N55" s="8">
        <f>IF((0=1),SUMIFS('Daily evaluations'!$E$2:$E$36,'Daily evaluations'!$B$2:$B$36,"=random_04",'Daily evaluations'!$C$2:$C$36,"=d20261007"),"")</f>
      </c>
      <c r="O55" s="8">
        <f>IF((0=1),SUMIFS('Daily evaluations'!$E$2:$E$36,'Daily evaluations'!$B$2:$B$36,"=random_04",'Daily evaluations'!$C$2:$C$36,"=d20261008"),"")</f>
      </c>
      <c r="P55" s="8">
        <f>IF((0=1),SUMIFS('Daily evaluations'!$E$2:$E$36,'Daily evaluations'!$B$2:$B$36,"=random_04",'Daily evaluations'!$C$2:$C$36,"=d20261009"),"")</f>
      </c>
      <c r="Q55" s="8">
        <f>IF((0=1),SUMIFS('Daily evaluations'!$E$2:$E$36,'Daily evaluations'!$B$2:$B$36,"=random_04",'Daily evaluations'!$C$2:$C$36,"=d20261012"),"")</f>
      </c>
      <c r="R55" s="8">
        <f>IF((0=1),SUMIFS('Daily evaluations'!$E$2:$E$36,'Daily evaluations'!$B$2:$B$36,"=random_04",'Daily evaluations'!$C$2:$C$36,"=d20261013"),"")</f>
      </c>
      <c r="S55" s="8">
        <f>IF((0=1),SUMIFS('Daily evaluations'!$E$2:$E$36,'Daily evaluations'!$B$2:$B$36,"=random_04",'Daily evaluations'!$C$2:$C$36,"=d20261014"),"")</f>
      </c>
      <c r="T55" s="8">
        <f>IF((0=1),SUMIFS('Daily evaluations'!$E$2:$E$36,'Daily evaluations'!$B$2:$B$36,"=random_04",'Daily evaluations'!$C$2:$C$36,"=d20261015"),"")</f>
      </c>
      <c r="U55" s="8">
        <f>IF((0=1),SUMIFS('Daily evaluations'!$E$2:$E$36,'Daily evaluations'!$B$2:$B$36,"=random_04",'Daily evaluations'!$C$2:$C$36,"=d20261016"),"")</f>
      </c>
      <c r="V55" s="8">
        <f>IF((0=1),SUMIFS('Daily evaluations'!$E$2:$E$36,'Daily evaluations'!$B$2:$B$36,"=random_04",'Daily evaluations'!$C$2:$C$36,"=d20261019"),"")</f>
      </c>
      <c r="W55" s="8">
        <f>IF((0=1),SUMIFS('Daily evaluations'!$E$2:$E$36,'Daily evaluations'!$B$2:$B$36,"=random_04",'Daily evaluations'!$C$2:$C$36,"=d20261020"),"")</f>
      </c>
      <c r="X55" s="8">
        <f>IF((0=1),SUMIFS('Daily evaluations'!$E$2:$E$36,'Daily evaluations'!$B$2:$B$36,"=random_04",'Daily evaluations'!$C$2:$C$36,"=d20261021"),"")</f>
      </c>
      <c r="Y55" s="8">
        <f>IF((0=1),SUMIFS('Daily evaluations'!$E$2:$E$36,'Daily evaluations'!$B$2:$B$36,"=random_04",'Daily evaluations'!$C$2:$C$36,"=d20261022"),"")</f>
      </c>
      <c r="Z55" s="8">
        <f>IF((0=1),SUMIFS('Daily evaluations'!$E$2:$E$36,'Daily evaluations'!$B$2:$B$36,"=random_04",'Daily evaluations'!$C$2:$C$36,"=d20261023"),"")</f>
      </c>
      <c r="AA55" s="8">
        <f>IF((0=1),SUMIFS('Daily evaluations'!$E$2:$E$36,'Daily evaluations'!$B$2:$B$36,"=random_04",'Daily evaluations'!$C$2:$C$36,"=d20261026"),"")</f>
      </c>
      <c r="AB55" s="8">
        <f>IF((0=1),SUMIFS('Daily evaluations'!$E$2:$E$36,'Daily evaluations'!$B$2:$B$36,"=random_04",'Daily evaluations'!$C$2:$C$36,"=d20261027"),"")</f>
      </c>
      <c r="AC55" s="8">
        <f>IF((0=1),SUMIFS('Daily evaluations'!$E$2:$E$36,'Daily evaluations'!$B$2:$B$36,"=random_04",'Daily evaluations'!$C$2:$C$36,"=d20261028"),"")</f>
      </c>
      <c r="AD55" s="8">
        <f>IF((0=1),SUMIFS('Daily evaluations'!$E$2:$E$36,'Daily evaluations'!$B$2:$B$36,"=random_04",'Daily evaluations'!$C$2:$C$36,"=d20261029"),"")</f>
      </c>
      <c r="AE55" s="8">
        <f>IF((0=1),SUMIFS('Daily evaluations'!$E$2:$E$36,'Daily evaluations'!$B$2:$B$36,"=random_04",'Daily evaluations'!$C$2:$C$36,"=d20261030"),"")</f>
      </c>
      <c r="AF55" s="8">
        <f>IF((0=1),SUMIFS('Daily evaluations'!$E$2:$E$36,'Daily evaluations'!$B$2:$B$36,"=random_04",'Daily evaluations'!$C$2:$C$36,"=d20261102"),"")</f>
      </c>
      <c r="AG55" s="8">
        <f>IF((0=1),SUMIFS('Daily evaluations'!$E$2:$E$36,'Daily evaluations'!$B$2:$B$36,"=random_04",'Daily evaluations'!$C$2:$C$36,"=d20261103"),"")</f>
      </c>
      <c r="AH55" s="8">
        <f>IF((0=1),SUMIFS('Daily evaluations'!$E$2:$E$36,'Daily evaluations'!$B$2:$B$36,"=random_04",'Daily evaluations'!$C$2:$C$36,"=d20261104"),"")</f>
      </c>
      <c r="AI55" s="8">
        <f>IF((0=1),SUMIFS('Daily evaluations'!$E$2:$E$36,'Daily evaluations'!$B$2:$B$36,"=random_04",'Daily evaluations'!$C$2:$C$36,"=d20261105"),"")</f>
      </c>
      <c r="AJ55" s="8">
        <f>IF((0=1),SUMIFS('Daily evaluations'!$E$2:$E$36,'Daily evaluations'!$B$2:$B$36,"=random_04",'Daily evaluations'!$C$2:$C$36,"=d20261106"),"")</f>
      </c>
      <c r="AK55" s="8">
        <f>IF((0=1),SUMIFS('Daily evaluations'!$E$2:$E$36,'Daily evaluations'!$B$2:$B$36,"=random_04",'Daily evaluations'!$C$2:$C$36,"=d20261109"),"")</f>
      </c>
      <c r="AL55" s="8">
        <f>IF((0=1),SUMIFS('Daily evaluations'!$E$2:$E$36,'Daily evaluations'!$B$2:$B$36,"=random_04",'Daily evaluations'!$C$2:$C$36,"=d20261110"),"")</f>
      </c>
      <c r="AM55" s="8">
        <f>IF((0=1),SUMIFS('Daily evaluations'!$E$2:$E$36,'Daily evaluations'!$B$2:$B$36,"=random_04",'Daily evaluations'!$C$2:$C$36,"=d20261111"),"")</f>
      </c>
      <c r="AN55" s="8">
        <f>IF((0=1),SUMIFS('Daily evaluations'!$E$2:$E$36,'Daily evaluations'!$B$2:$B$36,"=random_04",'Daily evaluations'!$C$2:$C$36,"=d20261112"),"")</f>
      </c>
      <c r="AO55" s="8">
        <f>IF((0=1),SUMIFS('Daily evaluations'!$E$2:$E$36,'Daily evaluations'!$B$2:$B$36,"=random_04",'Daily evaluations'!$C$2:$C$36,"=d20261113"),"")</f>
      </c>
      <c r="AP55" s="8">
        <f>IF((0=1),SUMIFS('Daily evaluations'!$E$2:$E$36,'Daily evaluations'!$B$2:$B$36,"=random_04",'Daily evaluations'!$C$2:$C$36,"=d20261116"),"")</f>
      </c>
      <c r="AQ55" s="8">
        <f>IF((0=1),SUMIFS('Daily evaluations'!$E$2:$E$36,'Daily evaluations'!$B$2:$B$36,"=random_04",'Daily evaluations'!$C$2:$C$36,"=d20261117"),"")</f>
      </c>
      <c r="AR55" s="8">
        <f>IF((0=1),SUMIFS('Daily evaluations'!$E$2:$E$36,'Daily evaluations'!$B$2:$B$36,"=random_04",'Daily evaluations'!$C$2:$C$36,"=d20261118"),"")</f>
      </c>
      <c r="AS55" s="8">
        <f>IF((0=1),SUMIFS('Daily evaluations'!$E$2:$E$36,'Daily evaluations'!$B$2:$B$36,"=random_04",'Daily evaluations'!$C$2:$C$36,"=d20261119"),"")</f>
      </c>
      <c r="AT55" s="8">
        <f>IF((0=1),SUMIFS('Daily evaluations'!$E$2:$E$36,'Daily evaluations'!$B$2:$B$36,"=random_04",'Daily evaluations'!$C$2:$C$36,"=d20261120"),"")</f>
      </c>
      <c r="AU55" s="8">
        <f>IF((0=1),SUMIFS('Daily evaluations'!$E$2:$E$36,'Daily evaluations'!$B$2:$B$36,"=random_04",'Daily evaluations'!$C$2:$C$36,"=d20261123"),"")</f>
      </c>
      <c r="AV55" s="8">
        <f>IF((0=1),SUMIFS('Daily evaluations'!$E$2:$E$36,'Daily evaluations'!$B$2:$B$36,"=random_04",'Daily evaluations'!$C$2:$C$36,"=d20261124"),"")</f>
      </c>
      <c r="AW55" s="8">
        <f>IF((0=1),SUMIFS('Daily evaluations'!$E$2:$E$36,'Daily evaluations'!$B$2:$B$36,"=random_04",'Daily evaluations'!$C$2:$C$36,"=d20261125"),"")</f>
      </c>
      <c r="AX55" s="8">
        <f>IF((0=1),SUMIFS('Daily evaluations'!$E$2:$E$36,'Daily evaluations'!$B$2:$B$36,"=random_04",'Daily evaluations'!$C$2:$C$36,"=d20261127"),"")</f>
      </c>
      <c r="AY55" s="8">
        <f>IF((0=1),SUMIFS('Daily evaluations'!$E$2:$E$36,'Daily evaluations'!$B$2:$B$36,"=random_04",'Daily evaluations'!$C$2:$C$36,"=d20261130"),"")</f>
      </c>
      <c r="AZ55" s="8">
        <f>IF((0=1),SUMIFS('Daily evaluations'!$E$2:$E$36,'Daily evaluations'!$B$2:$B$36,"=random_04",'Daily evaluations'!$C$2:$C$36,"=d20261201"),"")</f>
      </c>
      <c r="BA55" s="8">
        <f>IF((0=1),SUMIFS('Daily evaluations'!$E$2:$E$36,'Daily evaluations'!$B$2:$B$36,"=random_04",'Daily evaluations'!$C$2:$C$36,"=d20261202"),"")</f>
      </c>
      <c r="BB55" s="8">
        <f>IF((0=1),SUMIFS('Daily evaluations'!$E$2:$E$36,'Daily evaluations'!$B$2:$B$36,"=random_04",'Daily evaluations'!$C$2:$C$36,"=d20261203"),"")</f>
      </c>
      <c r="BC55" s="8">
        <f>IF((0=1),SUMIFS('Daily evaluations'!$E$2:$E$36,'Daily evaluations'!$B$2:$B$36,"=random_04",'Daily evaluations'!$C$2:$C$36,"=d20261204"),"")</f>
      </c>
      <c r="BD55" s="8">
        <f>IF((0=1),SUMIFS('Daily evaluations'!$E$2:$E$36,'Daily evaluations'!$B$2:$B$36,"=random_04",'Daily evaluations'!$C$2:$C$36,"=d20261207"),"")</f>
      </c>
      <c r="BE55" s="8">
        <f>IF((0=1),SUMIFS('Daily evaluations'!$E$2:$E$36,'Daily evaluations'!$B$2:$B$36,"=random_04",'Daily evaluations'!$C$2:$C$36,"=d20261208"),"")</f>
      </c>
      <c r="BF55" s="8">
        <f>IF((0=1),SUMIFS('Daily evaluations'!$E$2:$E$36,'Daily evaluations'!$B$2:$B$36,"=random_04",'Daily evaluations'!$C$2:$C$36,"=d20261209"),"")</f>
      </c>
      <c r="BG55" s="8">
        <f>IF((0=1),SUMIFS('Daily evaluations'!$E$2:$E$36,'Daily evaluations'!$B$2:$B$36,"=random_04",'Daily evaluations'!$C$2:$C$36,"=d20261210"),"")</f>
      </c>
      <c r="BH55" s="8">
        <f>IF((0=1),SUMIFS('Daily evaluations'!$E$2:$E$36,'Daily evaluations'!$B$2:$B$36,"=random_04",'Daily evaluations'!$C$2:$C$36,"=d20261211"),"")</f>
      </c>
      <c r="BI55" s="8">
        <f>IF((0=1),SUMIFS('Daily evaluations'!$E$2:$E$36,'Daily evaluations'!$B$2:$B$36,"=random_04",'Daily evaluations'!$C$2:$C$36,"=d20261214"),"")</f>
      </c>
      <c r="BJ55" s="8">
        <f>IF((0=1),SUMIFS('Daily evaluations'!$E$2:$E$36,'Daily evaluations'!$B$2:$B$36,"=random_04",'Daily evaluations'!$C$2:$C$36,"=d20261215"),"")</f>
      </c>
      <c r="BK55" s="8">
        <f>IF((0=1),SUMIFS('Daily evaluations'!$E$2:$E$36,'Daily evaluations'!$B$2:$B$36,"=random_04",'Daily evaluations'!$C$2:$C$36,"=d20261216"),"")</f>
      </c>
      <c r="BL55" s="8">
        <f>IF((0=1),SUMIFS('Daily evaluations'!$E$2:$E$36,'Daily evaluations'!$B$2:$B$36,"=random_04",'Daily evaluations'!$C$2:$C$36,"=d20261217"),"")</f>
      </c>
      <c r="BM55" s="8">
        <f>IF((0=1),SUMIFS('Daily evaluations'!$E$2:$E$36,'Daily evaluations'!$B$2:$B$36,"=random_04",'Daily evaluations'!$C$2:$C$36,"=d20261218"),"")</f>
      </c>
      <c r="BN55" s="8">
        <f>IF((0=1),SUMIFS('Daily evaluations'!$E$2:$E$36,'Daily evaluations'!$B$2:$B$36,"=random_04",'Daily evaluations'!$C$2:$C$36,"=d20261221"),"")</f>
      </c>
      <c r="BO55" s="8">
        <f>IF((0=1),SUMIFS('Daily evaluations'!$E$2:$E$36,'Daily evaluations'!$B$2:$B$36,"=random_04",'Daily evaluations'!$C$2:$C$36,"=d20261222"),"")</f>
      </c>
      <c r="BP55" s="8">
        <f>IF((0=1),SUMIFS('Daily evaluations'!$E$2:$E$36,'Daily evaluations'!$B$2:$B$36,"=random_04",'Daily evaluations'!$C$2:$C$36,"=d20261223"),"")</f>
      </c>
      <c r="BQ55" s="8">
        <f>IF((0=1),SUMIFS('Daily evaluations'!$E$2:$E$36,'Daily evaluations'!$B$2:$B$36,"=random_04",'Daily evaluations'!$C$2:$C$36,"=d20261224"),"")</f>
      </c>
      <c r="BR55" s="8">
        <f>IF((0=1),SUMIFS('Daily evaluations'!$E$2:$E$36,'Daily evaluations'!$B$2:$B$36,"=random_04",'Daily evaluations'!$C$2:$C$36,"=d20261228"),"")</f>
      </c>
      <c r="BS55" s="8">
        <f>IF((0=1),SUMIFS('Daily evaluations'!$E$2:$E$36,'Daily evaluations'!$B$2:$B$36,"=random_04",'Daily evaluations'!$C$2:$C$36,"=d20261229"),"")</f>
      </c>
      <c r="BT55" s="8">
        <f>IF((0=1),SUMIFS('Daily evaluations'!$E$2:$E$36,'Daily evaluations'!$B$2:$B$36,"=random_04",'Daily evaluations'!$C$2:$C$36,"=d20261230"),"")</f>
      </c>
      <c r="BU55" s="8">
        <f>IF((0=1),SUMIFS('Daily evaluations'!$E$2:$E$36,'Daily evaluations'!$B$2:$B$36,"=random_04",'Daily evaluations'!$C$2:$C$36,"=d20261231"),"")</f>
      </c>
      <c r="BV55" s="8">
        <f>IF((0=1),SUMIFS('Daily evaluations'!$E$2:$E$36,'Daily evaluations'!$B$2:$B$36,"=random_04",'Daily evaluations'!$C$2:$C$36,"=d20270104"),"")</f>
      </c>
      <c r="BW55" s="8">
        <f>IF((0=1),SUMIFS('Daily evaluations'!$E$2:$E$36,'Daily evaluations'!$B$2:$B$36,"=random_04",'Daily evaluations'!$C$2:$C$36,"=d20270105"),"")</f>
      </c>
      <c r="BX55" s="8">
        <f>IF((0=1),SUMIFS('Daily evaluations'!$E$2:$E$36,'Daily evaluations'!$B$2:$B$36,"=random_04",'Daily evaluations'!$C$2:$C$36,"=d20270106"),"")</f>
      </c>
      <c r="BY55" s="8">
        <f>IF((0=1),SUMIFS('Daily evaluations'!$E$2:$E$36,'Daily evaluations'!$B$2:$B$36,"=random_04",'Daily evaluations'!$C$2:$C$36,"=d20270107"),"")</f>
      </c>
      <c r="BZ55" s="8">
        <f>IF((0=1),SUMIFS('Daily evaluations'!$E$2:$E$36,'Daily evaluations'!$B$2:$B$36,"=random_04",'Daily evaluations'!$C$2:$C$36,"=d20270108"),"")</f>
      </c>
      <c r="CA55" s="8">
        <f>IF((0=1),SUMIFS('Daily evaluations'!$E$2:$E$36,'Daily evaluations'!$B$2:$B$36,"=random_04",'Daily evaluations'!$C$2:$C$36,"=d20270111"),"")</f>
      </c>
      <c r="CB55" s="8">
        <f>IF((0=1),SUMIFS('Daily evaluations'!$E$2:$E$36,'Daily evaluations'!$B$2:$B$36,"=random_04",'Daily evaluations'!$C$2:$C$36,"=d20270112"),"")</f>
      </c>
      <c r="CC55" s="8">
        <f>IF((0=1),SUMIFS('Daily evaluations'!$E$2:$E$36,'Daily evaluations'!$B$2:$B$36,"=random_04",'Daily evaluations'!$C$2:$C$36,"=d20270113"),"")</f>
      </c>
      <c r="CD55" s="8">
        <f>IF((0=1),SUMIFS('Daily evaluations'!$E$2:$E$36,'Daily evaluations'!$B$2:$B$36,"=random_04",'Daily evaluations'!$C$2:$C$36,"=d20270114"),"")</f>
      </c>
      <c r="CE55" s="8">
        <f>IF((0=1),SUMIFS('Daily evaluations'!$E$2:$E$36,'Daily evaluations'!$B$2:$B$36,"=random_04",'Daily evaluations'!$C$2:$C$36,"=d20270115"),"")</f>
      </c>
      <c r="CF55" s="8">
        <f>IF((0=1),SUMIFS('Daily evaluations'!$E$2:$E$36,'Daily evaluations'!$B$2:$B$36,"=random_04",'Daily evaluations'!$C$2:$C$36,"=d20270119"),"")</f>
      </c>
      <c r="CG55" s="8">
        <f>IF((0=1),SUMIFS('Daily evaluations'!$E$2:$E$36,'Daily evaluations'!$B$2:$B$36,"=random_04",'Daily evaluations'!$C$2:$C$36,"=d20270120"),"")</f>
      </c>
      <c r="CH55" s="8">
        <f>IF((0=1),SUMIFS('Daily evaluations'!$E$2:$E$36,'Daily evaluations'!$B$2:$B$36,"=random_04",'Daily evaluations'!$C$2:$C$36,"=d20270121"),"")</f>
      </c>
      <c r="CI55" s="8">
        <f>IF((0=1),SUMIFS('Daily evaluations'!$E$2:$E$36,'Daily evaluations'!$B$2:$B$36,"=random_04",'Daily evaluations'!$C$2:$C$36,"=d20270122"),"")</f>
      </c>
      <c r="CJ55" s="8">
        <f>IF((0=1),SUMIFS('Daily evaluations'!$E$2:$E$36,'Daily evaluations'!$B$2:$B$36,"=random_04",'Daily evaluations'!$C$2:$C$36,"=d20270125"),"")</f>
      </c>
      <c r="CK55" s="8">
        <f>IF((0=1),SUMIFS('Daily evaluations'!$E$2:$E$36,'Daily evaluations'!$B$2:$B$36,"=random_04",'Daily evaluations'!$C$2:$C$36,"=d20270126"),"")</f>
      </c>
      <c r="CL55" s="8">
        <f>IF((0=1),SUMIFS('Daily evaluations'!$E$2:$E$36,'Daily evaluations'!$B$2:$B$36,"=random_04",'Daily evaluations'!$C$2:$C$36,"=d20270127"),"")</f>
      </c>
      <c r="CM55" s="8">
        <f>IF((0=1),SUMIFS('Daily evaluations'!$E$2:$E$36,'Daily evaluations'!$B$2:$B$36,"=random_04",'Daily evaluations'!$C$2:$C$36,"=d20270128"),"")</f>
      </c>
      <c r="CN55" s="8">
        <f>IF((0=1),SUMIFS('Daily evaluations'!$E$2:$E$36,'Daily evaluations'!$B$2:$B$36,"=random_04",'Daily evaluations'!$C$2:$C$36,"=d20270129"),"")</f>
      </c>
      <c r="CO55" s="8">
        <f>IF((0=1),SUMIFS('Daily evaluations'!$E$2:$E$36,'Daily evaluations'!$B$2:$B$36,"=random_04",'Daily evaluations'!$C$2:$C$36,"=d20270201"),"")</f>
      </c>
      <c r="CP55" s="8">
        <f>IF((0=1),SUMIFS('Daily evaluations'!$E$2:$E$36,'Daily evaluations'!$B$2:$B$36,"=random_04",'Daily evaluations'!$C$2:$C$36,"=d20270202"),"")</f>
      </c>
      <c r="CQ55" s="8">
        <f>IF((0=1),SUMIFS('Daily evaluations'!$E$2:$E$36,'Daily evaluations'!$B$2:$B$36,"=random_04",'Daily evaluations'!$C$2:$C$36,"=d20270203"),"")</f>
      </c>
      <c r="CR55" s="8">
        <f>IF((0=1),SUMIFS('Daily evaluations'!$E$2:$E$36,'Daily evaluations'!$B$2:$B$36,"=random_04",'Daily evaluations'!$C$2:$C$36,"=d20270204"),"")</f>
      </c>
      <c r="CS55" s="8">
        <f>IF((0=1),SUMIFS('Daily evaluations'!$E$2:$E$36,'Daily evaluations'!$B$2:$B$36,"=random_04",'Daily evaluations'!$C$2:$C$36,"=d20270205"),"")</f>
      </c>
      <c r="CT55" s="8">
        <f>IF((0=1),SUMIFS('Daily evaluations'!$E$2:$E$36,'Daily evaluations'!$B$2:$B$36,"=random_04",'Daily evaluations'!$C$2:$C$36,"=d20270208"),"")</f>
      </c>
      <c r="CU55" s="8">
        <f>IF((0=1),SUMIFS('Daily evaluations'!$E$2:$E$36,'Daily evaluations'!$B$2:$B$36,"=random_04",'Daily evaluations'!$C$2:$C$36,"=d20270209"),"")</f>
      </c>
      <c r="CV55" s="8">
        <f>IF((0=1),SUMIFS('Daily evaluations'!$E$2:$E$36,'Daily evaluations'!$B$2:$B$36,"=random_04",'Daily evaluations'!$C$2:$C$36,"=d20270210"),"")</f>
      </c>
      <c r="CW55" s="8">
        <f>IF((0=1),SUMIFS('Daily evaluations'!$E$2:$E$36,'Daily evaluations'!$B$2:$B$36,"=random_04",'Daily evaluations'!$C$2:$C$36,"=d20270211"),"")</f>
      </c>
      <c r="CX55" s="8">
        <f>IF((0=1),SUMIFS('Daily evaluations'!$E$2:$E$36,'Daily evaluations'!$B$2:$B$36,"=random_04",'Daily evaluations'!$C$2:$C$36,"=d20270212"),"")</f>
      </c>
    </row>
    <row r="56">
      <c r="A56" s="0" t="inlineStr">
        <is>
          <t xml:space="preserve">Overnight excess vs universe, bps</t>
        </is>
      </c>
      <c r="B56" s="0" t="inlineStr">
        <is>
          <t xml:space="preserve">Random 5</t>
        </is>
      </c>
      <c r="C56" s="8">
        <f>IF((1=1),SUMIFS('Daily evaluations'!$E$2:$E$36,'Daily evaluations'!$B$2:$B$36,"=random_05",'Daily evaluations'!$C$2:$C$36,"=d20260922"),"")</f>
        <v>2.742</v>
      </c>
      <c r="D56" s="8">
        <f>IF((0=1),SUMIFS('Daily evaluations'!$E$2:$E$36,'Daily evaluations'!$B$2:$B$36,"=random_05",'Daily evaluations'!$C$2:$C$36,"=d20260923"),"")</f>
      </c>
      <c r="E56" s="8">
        <f>IF((0=1),SUMIFS('Daily evaluations'!$E$2:$E$36,'Daily evaluations'!$B$2:$B$36,"=random_05",'Daily evaluations'!$C$2:$C$36,"=d20260924"),"")</f>
      </c>
      <c r="F56" s="8">
        <f>IF((0=1),SUMIFS('Daily evaluations'!$E$2:$E$36,'Daily evaluations'!$B$2:$B$36,"=random_05",'Daily evaluations'!$C$2:$C$36,"=d20260925"),"")</f>
      </c>
      <c r="G56" s="8">
        <f>IF((0=1),SUMIFS('Daily evaluations'!$E$2:$E$36,'Daily evaluations'!$B$2:$B$36,"=random_05",'Daily evaluations'!$C$2:$C$36,"=d20260928"),"")</f>
      </c>
      <c r="H56" s="8">
        <f>IF((0=1),SUMIFS('Daily evaluations'!$E$2:$E$36,'Daily evaluations'!$B$2:$B$36,"=random_05",'Daily evaluations'!$C$2:$C$36,"=d20260929"),"")</f>
      </c>
      <c r="I56" s="8">
        <f>IF((0=1),SUMIFS('Daily evaluations'!$E$2:$E$36,'Daily evaluations'!$B$2:$B$36,"=random_05",'Daily evaluations'!$C$2:$C$36,"=d20260930"),"")</f>
      </c>
      <c r="J56" s="8">
        <f>IF((0=1),SUMIFS('Daily evaluations'!$E$2:$E$36,'Daily evaluations'!$B$2:$B$36,"=random_05",'Daily evaluations'!$C$2:$C$36,"=d20261001"),"")</f>
      </c>
      <c r="K56" s="8">
        <f>IF((0=1),SUMIFS('Daily evaluations'!$E$2:$E$36,'Daily evaluations'!$B$2:$B$36,"=random_05",'Daily evaluations'!$C$2:$C$36,"=d20261002"),"")</f>
      </c>
      <c r="L56" s="8">
        <f>IF((0=1),SUMIFS('Daily evaluations'!$E$2:$E$36,'Daily evaluations'!$B$2:$B$36,"=random_05",'Daily evaluations'!$C$2:$C$36,"=d20261005"),"")</f>
      </c>
      <c r="M56" s="8">
        <f>IF((0=1),SUMIFS('Daily evaluations'!$E$2:$E$36,'Daily evaluations'!$B$2:$B$36,"=random_05",'Daily evaluations'!$C$2:$C$36,"=d20261006"),"")</f>
      </c>
      <c r="N56" s="8">
        <f>IF((0=1),SUMIFS('Daily evaluations'!$E$2:$E$36,'Daily evaluations'!$B$2:$B$36,"=random_05",'Daily evaluations'!$C$2:$C$36,"=d20261007"),"")</f>
      </c>
      <c r="O56" s="8">
        <f>IF((0=1),SUMIFS('Daily evaluations'!$E$2:$E$36,'Daily evaluations'!$B$2:$B$36,"=random_05",'Daily evaluations'!$C$2:$C$36,"=d20261008"),"")</f>
      </c>
      <c r="P56" s="8">
        <f>IF((0=1),SUMIFS('Daily evaluations'!$E$2:$E$36,'Daily evaluations'!$B$2:$B$36,"=random_05",'Daily evaluations'!$C$2:$C$36,"=d20261009"),"")</f>
      </c>
      <c r="Q56" s="8">
        <f>IF((0=1),SUMIFS('Daily evaluations'!$E$2:$E$36,'Daily evaluations'!$B$2:$B$36,"=random_05",'Daily evaluations'!$C$2:$C$36,"=d20261012"),"")</f>
      </c>
      <c r="R56" s="8">
        <f>IF((0=1),SUMIFS('Daily evaluations'!$E$2:$E$36,'Daily evaluations'!$B$2:$B$36,"=random_05",'Daily evaluations'!$C$2:$C$36,"=d20261013"),"")</f>
      </c>
      <c r="S56" s="8">
        <f>IF((0=1),SUMIFS('Daily evaluations'!$E$2:$E$36,'Daily evaluations'!$B$2:$B$36,"=random_05",'Daily evaluations'!$C$2:$C$36,"=d20261014"),"")</f>
      </c>
      <c r="T56" s="8">
        <f>IF((0=1),SUMIFS('Daily evaluations'!$E$2:$E$36,'Daily evaluations'!$B$2:$B$36,"=random_05",'Daily evaluations'!$C$2:$C$36,"=d20261015"),"")</f>
      </c>
      <c r="U56" s="8">
        <f>IF((0=1),SUMIFS('Daily evaluations'!$E$2:$E$36,'Daily evaluations'!$B$2:$B$36,"=random_05",'Daily evaluations'!$C$2:$C$36,"=d20261016"),"")</f>
      </c>
      <c r="V56" s="8">
        <f>IF((0=1),SUMIFS('Daily evaluations'!$E$2:$E$36,'Daily evaluations'!$B$2:$B$36,"=random_05",'Daily evaluations'!$C$2:$C$36,"=d20261019"),"")</f>
      </c>
      <c r="W56" s="8">
        <f>IF((0=1),SUMIFS('Daily evaluations'!$E$2:$E$36,'Daily evaluations'!$B$2:$B$36,"=random_05",'Daily evaluations'!$C$2:$C$36,"=d20261020"),"")</f>
      </c>
      <c r="X56" s="8">
        <f>IF((0=1),SUMIFS('Daily evaluations'!$E$2:$E$36,'Daily evaluations'!$B$2:$B$36,"=random_05",'Daily evaluations'!$C$2:$C$36,"=d20261021"),"")</f>
      </c>
      <c r="Y56" s="8">
        <f>IF((0=1),SUMIFS('Daily evaluations'!$E$2:$E$36,'Daily evaluations'!$B$2:$B$36,"=random_05",'Daily evaluations'!$C$2:$C$36,"=d20261022"),"")</f>
      </c>
      <c r="Z56" s="8">
        <f>IF((0=1),SUMIFS('Daily evaluations'!$E$2:$E$36,'Daily evaluations'!$B$2:$B$36,"=random_05",'Daily evaluations'!$C$2:$C$36,"=d20261023"),"")</f>
      </c>
      <c r="AA56" s="8">
        <f>IF((0=1),SUMIFS('Daily evaluations'!$E$2:$E$36,'Daily evaluations'!$B$2:$B$36,"=random_05",'Daily evaluations'!$C$2:$C$36,"=d20261026"),"")</f>
      </c>
      <c r="AB56" s="8">
        <f>IF((0=1),SUMIFS('Daily evaluations'!$E$2:$E$36,'Daily evaluations'!$B$2:$B$36,"=random_05",'Daily evaluations'!$C$2:$C$36,"=d20261027"),"")</f>
      </c>
      <c r="AC56" s="8">
        <f>IF((0=1),SUMIFS('Daily evaluations'!$E$2:$E$36,'Daily evaluations'!$B$2:$B$36,"=random_05",'Daily evaluations'!$C$2:$C$36,"=d20261028"),"")</f>
      </c>
      <c r="AD56" s="8">
        <f>IF((0=1),SUMIFS('Daily evaluations'!$E$2:$E$36,'Daily evaluations'!$B$2:$B$36,"=random_05",'Daily evaluations'!$C$2:$C$36,"=d20261029"),"")</f>
      </c>
      <c r="AE56" s="8">
        <f>IF((0=1),SUMIFS('Daily evaluations'!$E$2:$E$36,'Daily evaluations'!$B$2:$B$36,"=random_05",'Daily evaluations'!$C$2:$C$36,"=d20261030"),"")</f>
      </c>
      <c r="AF56" s="8">
        <f>IF((0=1),SUMIFS('Daily evaluations'!$E$2:$E$36,'Daily evaluations'!$B$2:$B$36,"=random_05",'Daily evaluations'!$C$2:$C$36,"=d20261102"),"")</f>
      </c>
      <c r="AG56" s="8">
        <f>IF((0=1),SUMIFS('Daily evaluations'!$E$2:$E$36,'Daily evaluations'!$B$2:$B$36,"=random_05",'Daily evaluations'!$C$2:$C$36,"=d20261103"),"")</f>
      </c>
      <c r="AH56" s="8">
        <f>IF((0=1),SUMIFS('Daily evaluations'!$E$2:$E$36,'Daily evaluations'!$B$2:$B$36,"=random_05",'Daily evaluations'!$C$2:$C$36,"=d20261104"),"")</f>
      </c>
      <c r="AI56" s="8">
        <f>IF((0=1),SUMIFS('Daily evaluations'!$E$2:$E$36,'Daily evaluations'!$B$2:$B$36,"=random_05",'Daily evaluations'!$C$2:$C$36,"=d20261105"),"")</f>
      </c>
      <c r="AJ56" s="8">
        <f>IF((0=1),SUMIFS('Daily evaluations'!$E$2:$E$36,'Daily evaluations'!$B$2:$B$36,"=random_05",'Daily evaluations'!$C$2:$C$36,"=d20261106"),"")</f>
      </c>
      <c r="AK56" s="8">
        <f>IF((0=1),SUMIFS('Daily evaluations'!$E$2:$E$36,'Daily evaluations'!$B$2:$B$36,"=random_05",'Daily evaluations'!$C$2:$C$36,"=d20261109"),"")</f>
      </c>
      <c r="AL56" s="8">
        <f>IF((0=1),SUMIFS('Daily evaluations'!$E$2:$E$36,'Daily evaluations'!$B$2:$B$36,"=random_05",'Daily evaluations'!$C$2:$C$36,"=d20261110"),"")</f>
      </c>
      <c r="AM56" s="8">
        <f>IF((0=1),SUMIFS('Daily evaluations'!$E$2:$E$36,'Daily evaluations'!$B$2:$B$36,"=random_05",'Daily evaluations'!$C$2:$C$36,"=d20261111"),"")</f>
      </c>
      <c r="AN56" s="8">
        <f>IF((0=1),SUMIFS('Daily evaluations'!$E$2:$E$36,'Daily evaluations'!$B$2:$B$36,"=random_05",'Daily evaluations'!$C$2:$C$36,"=d20261112"),"")</f>
      </c>
      <c r="AO56" s="8">
        <f>IF((0=1),SUMIFS('Daily evaluations'!$E$2:$E$36,'Daily evaluations'!$B$2:$B$36,"=random_05",'Daily evaluations'!$C$2:$C$36,"=d20261113"),"")</f>
      </c>
      <c r="AP56" s="8">
        <f>IF((0=1),SUMIFS('Daily evaluations'!$E$2:$E$36,'Daily evaluations'!$B$2:$B$36,"=random_05",'Daily evaluations'!$C$2:$C$36,"=d20261116"),"")</f>
      </c>
      <c r="AQ56" s="8">
        <f>IF((0=1),SUMIFS('Daily evaluations'!$E$2:$E$36,'Daily evaluations'!$B$2:$B$36,"=random_05",'Daily evaluations'!$C$2:$C$36,"=d20261117"),"")</f>
      </c>
      <c r="AR56" s="8">
        <f>IF((0=1),SUMIFS('Daily evaluations'!$E$2:$E$36,'Daily evaluations'!$B$2:$B$36,"=random_05",'Daily evaluations'!$C$2:$C$36,"=d20261118"),"")</f>
      </c>
      <c r="AS56" s="8">
        <f>IF((0=1),SUMIFS('Daily evaluations'!$E$2:$E$36,'Daily evaluations'!$B$2:$B$36,"=random_05",'Daily evaluations'!$C$2:$C$36,"=d20261119"),"")</f>
      </c>
      <c r="AT56" s="8">
        <f>IF((0=1),SUMIFS('Daily evaluations'!$E$2:$E$36,'Daily evaluations'!$B$2:$B$36,"=random_05",'Daily evaluations'!$C$2:$C$36,"=d20261120"),"")</f>
      </c>
      <c r="AU56" s="8">
        <f>IF((0=1),SUMIFS('Daily evaluations'!$E$2:$E$36,'Daily evaluations'!$B$2:$B$36,"=random_05",'Daily evaluations'!$C$2:$C$36,"=d20261123"),"")</f>
      </c>
      <c r="AV56" s="8">
        <f>IF((0=1),SUMIFS('Daily evaluations'!$E$2:$E$36,'Daily evaluations'!$B$2:$B$36,"=random_05",'Daily evaluations'!$C$2:$C$36,"=d20261124"),"")</f>
      </c>
      <c r="AW56" s="8">
        <f>IF((0=1),SUMIFS('Daily evaluations'!$E$2:$E$36,'Daily evaluations'!$B$2:$B$36,"=random_05",'Daily evaluations'!$C$2:$C$36,"=d20261125"),"")</f>
      </c>
      <c r="AX56" s="8">
        <f>IF((0=1),SUMIFS('Daily evaluations'!$E$2:$E$36,'Daily evaluations'!$B$2:$B$36,"=random_05",'Daily evaluations'!$C$2:$C$36,"=d20261127"),"")</f>
      </c>
      <c r="AY56" s="8">
        <f>IF((0=1),SUMIFS('Daily evaluations'!$E$2:$E$36,'Daily evaluations'!$B$2:$B$36,"=random_05",'Daily evaluations'!$C$2:$C$36,"=d20261130"),"")</f>
      </c>
      <c r="AZ56" s="8">
        <f>IF((0=1),SUMIFS('Daily evaluations'!$E$2:$E$36,'Daily evaluations'!$B$2:$B$36,"=random_05",'Daily evaluations'!$C$2:$C$36,"=d20261201"),"")</f>
      </c>
      <c r="BA56" s="8">
        <f>IF((0=1),SUMIFS('Daily evaluations'!$E$2:$E$36,'Daily evaluations'!$B$2:$B$36,"=random_05",'Daily evaluations'!$C$2:$C$36,"=d20261202"),"")</f>
      </c>
      <c r="BB56" s="8">
        <f>IF((0=1),SUMIFS('Daily evaluations'!$E$2:$E$36,'Daily evaluations'!$B$2:$B$36,"=random_05",'Daily evaluations'!$C$2:$C$36,"=d20261203"),"")</f>
      </c>
      <c r="BC56" s="8">
        <f>IF((0=1),SUMIFS('Daily evaluations'!$E$2:$E$36,'Daily evaluations'!$B$2:$B$36,"=random_05",'Daily evaluations'!$C$2:$C$36,"=d20261204"),"")</f>
      </c>
      <c r="BD56" s="8">
        <f>IF((0=1),SUMIFS('Daily evaluations'!$E$2:$E$36,'Daily evaluations'!$B$2:$B$36,"=random_05",'Daily evaluations'!$C$2:$C$36,"=d20261207"),"")</f>
      </c>
      <c r="BE56" s="8">
        <f>IF((0=1),SUMIFS('Daily evaluations'!$E$2:$E$36,'Daily evaluations'!$B$2:$B$36,"=random_05",'Daily evaluations'!$C$2:$C$36,"=d20261208"),"")</f>
      </c>
      <c r="BF56" s="8">
        <f>IF((0=1),SUMIFS('Daily evaluations'!$E$2:$E$36,'Daily evaluations'!$B$2:$B$36,"=random_05",'Daily evaluations'!$C$2:$C$36,"=d20261209"),"")</f>
      </c>
      <c r="BG56" s="8">
        <f>IF((0=1),SUMIFS('Daily evaluations'!$E$2:$E$36,'Daily evaluations'!$B$2:$B$36,"=random_05",'Daily evaluations'!$C$2:$C$36,"=d20261210"),"")</f>
      </c>
      <c r="BH56" s="8">
        <f>IF((0=1),SUMIFS('Daily evaluations'!$E$2:$E$36,'Daily evaluations'!$B$2:$B$36,"=random_05",'Daily evaluations'!$C$2:$C$36,"=d20261211"),"")</f>
      </c>
      <c r="BI56" s="8">
        <f>IF((0=1),SUMIFS('Daily evaluations'!$E$2:$E$36,'Daily evaluations'!$B$2:$B$36,"=random_05",'Daily evaluations'!$C$2:$C$36,"=d20261214"),"")</f>
      </c>
      <c r="BJ56" s="8">
        <f>IF((0=1),SUMIFS('Daily evaluations'!$E$2:$E$36,'Daily evaluations'!$B$2:$B$36,"=random_05",'Daily evaluations'!$C$2:$C$36,"=d20261215"),"")</f>
      </c>
      <c r="BK56" s="8">
        <f>IF((0=1),SUMIFS('Daily evaluations'!$E$2:$E$36,'Daily evaluations'!$B$2:$B$36,"=random_05",'Daily evaluations'!$C$2:$C$36,"=d20261216"),"")</f>
      </c>
      <c r="BL56" s="8">
        <f>IF((0=1),SUMIFS('Daily evaluations'!$E$2:$E$36,'Daily evaluations'!$B$2:$B$36,"=random_05",'Daily evaluations'!$C$2:$C$36,"=d20261217"),"")</f>
      </c>
      <c r="BM56" s="8">
        <f>IF((0=1),SUMIFS('Daily evaluations'!$E$2:$E$36,'Daily evaluations'!$B$2:$B$36,"=random_05",'Daily evaluations'!$C$2:$C$36,"=d20261218"),"")</f>
      </c>
      <c r="BN56" s="8">
        <f>IF((0=1),SUMIFS('Daily evaluations'!$E$2:$E$36,'Daily evaluations'!$B$2:$B$36,"=random_05",'Daily evaluations'!$C$2:$C$36,"=d20261221"),"")</f>
      </c>
      <c r="BO56" s="8">
        <f>IF((0=1),SUMIFS('Daily evaluations'!$E$2:$E$36,'Daily evaluations'!$B$2:$B$36,"=random_05",'Daily evaluations'!$C$2:$C$36,"=d20261222"),"")</f>
      </c>
      <c r="BP56" s="8">
        <f>IF((0=1),SUMIFS('Daily evaluations'!$E$2:$E$36,'Daily evaluations'!$B$2:$B$36,"=random_05",'Daily evaluations'!$C$2:$C$36,"=d20261223"),"")</f>
      </c>
      <c r="BQ56" s="8">
        <f>IF((0=1),SUMIFS('Daily evaluations'!$E$2:$E$36,'Daily evaluations'!$B$2:$B$36,"=random_05",'Daily evaluations'!$C$2:$C$36,"=d20261224"),"")</f>
      </c>
      <c r="BR56" s="8">
        <f>IF((0=1),SUMIFS('Daily evaluations'!$E$2:$E$36,'Daily evaluations'!$B$2:$B$36,"=random_05",'Daily evaluations'!$C$2:$C$36,"=d20261228"),"")</f>
      </c>
      <c r="BS56" s="8">
        <f>IF((0=1),SUMIFS('Daily evaluations'!$E$2:$E$36,'Daily evaluations'!$B$2:$B$36,"=random_05",'Daily evaluations'!$C$2:$C$36,"=d20261229"),"")</f>
      </c>
      <c r="BT56" s="8">
        <f>IF((0=1),SUMIFS('Daily evaluations'!$E$2:$E$36,'Daily evaluations'!$B$2:$B$36,"=random_05",'Daily evaluations'!$C$2:$C$36,"=d20261230"),"")</f>
      </c>
      <c r="BU56" s="8">
        <f>IF((0=1),SUMIFS('Daily evaluations'!$E$2:$E$36,'Daily evaluations'!$B$2:$B$36,"=random_05",'Daily evaluations'!$C$2:$C$36,"=d20261231"),"")</f>
      </c>
      <c r="BV56" s="8">
        <f>IF((0=1),SUMIFS('Daily evaluations'!$E$2:$E$36,'Daily evaluations'!$B$2:$B$36,"=random_05",'Daily evaluations'!$C$2:$C$36,"=d20270104"),"")</f>
      </c>
      <c r="BW56" s="8">
        <f>IF((0=1),SUMIFS('Daily evaluations'!$E$2:$E$36,'Daily evaluations'!$B$2:$B$36,"=random_05",'Daily evaluations'!$C$2:$C$36,"=d20270105"),"")</f>
      </c>
      <c r="BX56" s="8">
        <f>IF((0=1),SUMIFS('Daily evaluations'!$E$2:$E$36,'Daily evaluations'!$B$2:$B$36,"=random_05",'Daily evaluations'!$C$2:$C$36,"=d20270106"),"")</f>
      </c>
      <c r="BY56" s="8">
        <f>IF((0=1),SUMIFS('Daily evaluations'!$E$2:$E$36,'Daily evaluations'!$B$2:$B$36,"=random_05",'Daily evaluations'!$C$2:$C$36,"=d20270107"),"")</f>
      </c>
      <c r="BZ56" s="8">
        <f>IF((0=1),SUMIFS('Daily evaluations'!$E$2:$E$36,'Daily evaluations'!$B$2:$B$36,"=random_05",'Daily evaluations'!$C$2:$C$36,"=d20270108"),"")</f>
      </c>
      <c r="CA56" s="8">
        <f>IF((0=1),SUMIFS('Daily evaluations'!$E$2:$E$36,'Daily evaluations'!$B$2:$B$36,"=random_05",'Daily evaluations'!$C$2:$C$36,"=d20270111"),"")</f>
      </c>
      <c r="CB56" s="8">
        <f>IF((0=1),SUMIFS('Daily evaluations'!$E$2:$E$36,'Daily evaluations'!$B$2:$B$36,"=random_05",'Daily evaluations'!$C$2:$C$36,"=d20270112"),"")</f>
      </c>
      <c r="CC56" s="8">
        <f>IF((0=1),SUMIFS('Daily evaluations'!$E$2:$E$36,'Daily evaluations'!$B$2:$B$36,"=random_05",'Daily evaluations'!$C$2:$C$36,"=d20270113"),"")</f>
      </c>
      <c r="CD56" s="8">
        <f>IF((0=1),SUMIFS('Daily evaluations'!$E$2:$E$36,'Daily evaluations'!$B$2:$B$36,"=random_05",'Daily evaluations'!$C$2:$C$36,"=d20270114"),"")</f>
      </c>
      <c r="CE56" s="8">
        <f>IF((0=1),SUMIFS('Daily evaluations'!$E$2:$E$36,'Daily evaluations'!$B$2:$B$36,"=random_05",'Daily evaluations'!$C$2:$C$36,"=d20270115"),"")</f>
      </c>
      <c r="CF56" s="8">
        <f>IF((0=1),SUMIFS('Daily evaluations'!$E$2:$E$36,'Daily evaluations'!$B$2:$B$36,"=random_05",'Daily evaluations'!$C$2:$C$36,"=d20270119"),"")</f>
      </c>
      <c r="CG56" s="8">
        <f>IF((0=1),SUMIFS('Daily evaluations'!$E$2:$E$36,'Daily evaluations'!$B$2:$B$36,"=random_05",'Daily evaluations'!$C$2:$C$36,"=d20270120"),"")</f>
      </c>
      <c r="CH56" s="8">
        <f>IF((0=1),SUMIFS('Daily evaluations'!$E$2:$E$36,'Daily evaluations'!$B$2:$B$36,"=random_05",'Daily evaluations'!$C$2:$C$36,"=d20270121"),"")</f>
      </c>
      <c r="CI56" s="8">
        <f>IF((0=1),SUMIFS('Daily evaluations'!$E$2:$E$36,'Daily evaluations'!$B$2:$B$36,"=random_05",'Daily evaluations'!$C$2:$C$36,"=d20270122"),"")</f>
      </c>
      <c r="CJ56" s="8">
        <f>IF((0=1),SUMIFS('Daily evaluations'!$E$2:$E$36,'Daily evaluations'!$B$2:$B$36,"=random_05",'Daily evaluations'!$C$2:$C$36,"=d20270125"),"")</f>
      </c>
      <c r="CK56" s="8">
        <f>IF((0=1),SUMIFS('Daily evaluations'!$E$2:$E$36,'Daily evaluations'!$B$2:$B$36,"=random_05",'Daily evaluations'!$C$2:$C$36,"=d20270126"),"")</f>
      </c>
      <c r="CL56" s="8">
        <f>IF((0=1),SUMIFS('Daily evaluations'!$E$2:$E$36,'Daily evaluations'!$B$2:$B$36,"=random_05",'Daily evaluations'!$C$2:$C$36,"=d20270127"),"")</f>
      </c>
      <c r="CM56" s="8">
        <f>IF((0=1),SUMIFS('Daily evaluations'!$E$2:$E$36,'Daily evaluations'!$B$2:$B$36,"=random_05",'Daily evaluations'!$C$2:$C$36,"=d20270128"),"")</f>
      </c>
      <c r="CN56" s="8">
        <f>IF((0=1),SUMIFS('Daily evaluations'!$E$2:$E$36,'Daily evaluations'!$B$2:$B$36,"=random_05",'Daily evaluations'!$C$2:$C$36,"=d20270129"),"")</f>
      </c>
      <c r="CO56" s="8">
        <f>IF((0=1),SUMIFS('Daily evaluations'!$E$2:$E$36,'Daily evaluations'!$B$2:$B$36,"=random_05",'Daily evaluations'!$C$2:$C$36,"=d20270201"),"")</f>
      </c>
      <c r="CP56" s="8">
        <f>IF((0=1),SUMIFS('Daily evaluations'!$E$2:$E$36,'Daily evaluations'!$B$2:$B$36,"=random_05",'Daily evaluations'!$C$2:$C$36,"=d20270202"),"")</f>
      </c>
      <c r="CQ56" s="8">
        <f>IF((0=1),SUMIFS('Daily evaluations'!$E$2:$E$36,'Daily evaluations'!$B$2:$B$36,"=random_05",'Daily evaluations'!$C$2:$C$36,"=d20270203"),"")</f>
      </c>
      <c r="CR56" s="8">
        <f>IF((0=1),SUMIFS('Daily evaluations'!$E$2:$E$36,'Daily evaluations'!$B$2:$B$36,"=random_05",'Daily evaluations'!$C$2:$C$36,"=d20270204"),"")</f>
      </c>
      <c r="CS56" s="8">
        <f>IF((0=1),SUMIFS('Daily evaluations'!$E$2:$E$36,'Daily evaluations'!$B$2:$B$36,"=random_05",'Daily evaluations'!$C$2:$C$36,"=d20270205"),"")</f>
      </c>
      <c r="CT56" s="8">
        <f>IF((0=1),SUMIFS('Daily evaluations'!$E$2:$E$36,'Daily evaluations'!$B$2:$B$36,"=random_05",'Daily evaluations'!$C$2:$C$36,"=d20270208"),"")</f>
      </c>
      <c r="CU56" s="8">
        <f>IF((0=1),SUMIFS('Daily evaluations'!$E$2:$E$36,'Daily evaluations'!$B$2:$B$36,"=random_05",'Daily evaluations'!$C$2:$C$36,"=d20270209"),"")</f>
      </c>
      <c r="CV56" s="8">
        <f>IF((0=1),SUMIFS('Daily evaluations'!$E$2:$E$36,'Daily evaluations'!$B$2:$B$36,"=random_05",'Daily evaluations'!$C$2:$C$36,"=d20270210"),"")</f>
      </c>
      <c r="CW56" s="8">
        <f>IF((0=1),SUMIFS('Daily evaluations'!$E$2:$E$36,'Daily evaluations'!$B$2:$B$36,"=random_05",'Daily evaluations'!$C$2:$C$36,"=d20270211"),"")</f>
      </c>
      <c r="CX56" s="8">
        <f>IF((0=1),SUMIFS('Daily evaluations'!$E$2:$E$36,'Daily evaluations'!$B$2:$B$36,"=random_05",'Daily evaluations'!$C$2:$C$36,"=d20270212"),"")</f>
      </c>
    </row>
    <row r="57">
      <c r="A57" s="0" t="inlineStr">
        <is>
          <t xml:space="preserve">Overnight excess vs universe, bps</t>
        </is>
      </c>
      <c r="B57" s="0" t="inlineStr">
        <is>
          <t xml:space="preserve">Random 6</t>
        </is>
      </c>
      <c r="C57" s="8">
        <f>IF((1=1),SUMIFS('Daily evaluations'!$E$2:$E$36,'Daily evaluations'!$B$2:$B$36,"=random_06",'Daily evaluations'!$C$2:$C$36,"=d20260922"),"")</f>
        <v>-3.953</v>
      </c>
      <c r="D57" s="8">
        <f>IF((0=1),SUMIFS('Daily evaluations'!$E$2:$E$36,'Daily evaluations'!$B$2:$B$36,"=random_06",'Daily evaluations'!$C$2:$C$36,"=d20260923"),"")</f>
      </c>
      <c r="E57" s="8">
        <f>IF((0=1),SUMIFS('Daily evaluations'!$E$2:$E$36,'Daily evaluations'!$B$2:$B$36,"=random_06",'Daily evaluations'!$C$2:$C$36,"=d20260924"),"")</f>
      </c>
      <c r="F57" s="8">
        <f>IF((0=1),SUMIFS('Daily evaluations'!$E$2:$E$36,'Daily evaluations'!$B$2:$B$36,"=random_06",'Daily evaluations'!$C$2:$C$36,"=d20260925"),"")</f>
      </c>
      <c r="G57" s="8">
        <f>IF((0=1),SUMIFS('Daily evaluations'!$E$2:$E$36,'Daily evaluations'!$B$2:$B$36,"=random_06",'Daily evaluations'!$C$2:$C$36,"=d20260928"),"")</f>
      </c>
      <c r="H57" s="8">
        <f>IF((0=1),SUMIFS('Daily evaluations'!$E$2:$E$36,'Daily evaluations'!$B$2:$B$36,"=random_06",'Daily evaluations'!$C$2:$C$36,"=d20260929"),"")</f>
      </c>
      <c r="I57" s="8">
        <f>IF((0=1),SUMIFS('Daily evaluations'!$E$2:$E$36,'Daily evaluations'!$B$2:$B$36,"=random_06",'Daily evaluations'!$C$2:$C$36,"=d20260930"),"")</f>
      </c>
      <c r="J57" s="8">
        <f>IF((0=1),SUMIFS('Daily evaluations'!$E$2:$E$36,'Daily evaluations'!$B$2:$B$36,"=random_06",'Daily evaluations'!$C$2:$C$36,"=d20261001"),"")</f>
      </c>
      <c r="K57" s="8">
        <f>IF((0=1),SUMIFS('Daily evaluations'!$E$2:$E$36,'Daily evaluations'!$B$2:$B$36,"=random_06",'Daily evaluations'!$C$2:$C$36,"=d20261002"),"")</f>
      </c>
      <c r="L57" s="8">
        <f>IF((0=1),SUMIFS('Daily evaluations'!$E$2:$E$36,'Daily evaluations'!$B$2:$B$36,"=random_06",'Daily evaluations'!$C$2:$C$36,"=d20261005"),"")</f>
      </c>
      <c r="M57" s="8">
        <f>IF((0=1),SUMIFS('Daily evaluations'!$E$2:$E$36,'Daily evaluations'!$B$2:$B$36,"=random_06",'Daily evaluations'!$C$2:$C$36,"=d20261006"),"")</f>
      </c>
      <c r="N57" s="8">
        <f>IF((0=1),SUMIFS('Daily evaluations'!$E$2:$E$36,'Daily evaluations'!$B$2:$B$36,"=random_06",'Daily evaluations'!$C$2:$C$36,"=d20261007"),"")</f>
      </c>
      <c r="O57" s="8">
        <f>IF((0=1),SUMIFS('Daily evaluations'!$E$2:$E$36,'Daily evaluations'!$B$2:$B$36,"=random_06",'Daily evaluations'!$C$2:$C$36,"=d20261008"),"")</f>
      </c>
      <c r="P57" s="8">
        <f>IF((0=1),SUMIFS('Daily evaluations'!$E$2:$E$36,'Daily evaluations'!$B$2:$B$36,"=random_06",'Daily evaluations'!$C$2:$C$36,"=d20261009"),"")</f>
      </c>
      <c r="Q57" s="8">
        <f>IF((0=1),SUMIFS('Daily evaluations'!$E$2:$E$36,'Daily evaluations'!$B$2:$B$36,"=random_06",'Daily evaluations'!$C$2:$C$36,"=d20261012"),"")</f>
      </c>
      <c r="R57" s="8">
        <f>IF((0=1),SUMIFS('Daily evaluations'!$E$2:$E$36,'Daily evaluations'!$B$2:$B$36,"=random_06",'Daily evaluations'!$C$2:$C$36,"=d20261013"),"")</f>
      </c>
      <c r="S57" s="8">
        <f>IF((0=1),SUMIFS('Daily evaluations'!$E$2:$E$36,'Daily evaluations'!$B$2:$B$36,"=random_06",'Daily evaluations'!$C$2:$C$36,"=d20261014"),"")</f>
      </c>
      <c r="T57" s="8">
        <f>IF((0=1),SUMIFS('Daily evaluations'!$E$2:$E$36,'Daily evaluations'!$B$2:$B$36,"=random_06",'Daily evaluations'!$C$2:$C$36,"=d20261015"),"")</f>
      </c>
      <c r="U57" s="8">
        <f>IF((0=1),SUMIFS('Daily evaluations'!$E$2:$E$36,'Daily evaluations'!$B$2:$B$36,"=random_06",'Daily evaluations'!$C$2:$C$36,"=d20261016"),"")</f>
      </c>
      <c r="V57" s="8">
        <f>IF((0=1),SUMIFS('Daily evaluations'!$E$2:$E$36,'Daily evaluations'!$B$2:$B$36,"=random_06",'Daily evaluations'!$C$2:$C$36,"=d20261019"),"")</f>
      </c>
      <c r="W57" s="8">
        <f>IF((0=1),SUMIFS('Daily evaluations'!$E$2:$E$36,'Daily evaluations'!$B$2:$B$36,"=random_06",'Daily evaluations'!$C$2:$C$36,"=d20261020"),"")</f>
      </c>
      <c r="X57" s="8">
        <f>IF((0=1),SUMIFS('Daily evaluations'!$E$2:$E$36,'Daily evaluations'!$B$2:$B$36,"=random_06",'Daily evaluations'!$C$2:$C$36,"=d20261021"),"")</f>
      </c>
      <c r="Y57" s="8">
        <f>IF((0=1),SUMIFS('Daily evaluations'!$E$2:$E$36,'Daily evaluations'!$B$2:$B$36,"=random_06",'Daily evaluations'!$C$2:$C$36,"=d20261022"),"")</f>
      </c>
      <c r="Z57" s="8">
        <f>IF((0=1),SUMIFS('Daily evaluations'!$E$2:$E$36,'Daily evaluations'!$B$2:$B$36,"=random_06",'Daily evaluations'!$C$2:$C$36,"=d20261023"),"")</f>
      </c>
      <c r="AA57" s="8">
        <f>IF((0=1),SUMIFS('Daily evaluations'!$E$2:$E$36,'Daily evaluations'!$B$2:$B$36,"=random_06",'Daily evaluations'!$C$2:$C$36,"=d20261026"),"")</f>
      </c>
      <c r="AB57" s="8">
        <f>IF((0=1),SUMIFS('Daily evaluations'!$E$2:$E$36,'Daily evaluations'!$B$2:$B$36,"=random_06",'Daily evaluations'!$C$2:$C$36,"=d20261027"),"")</f>
      </c>
      <c r="AC57" s="8">
        <f>IF((0=1),SUMIFS('Daily evaluations'!$E$2:$E$36,'Daily evaluations'!$B$2:$B$36,"=random_06",'Daily evaluations'!$C$2:$C$36,"=d20261028"),"")</f>
      </c>
      <c r="AD57" s="8">
        <f>IF((0=1),SUMIFS('Daily evaluations'!$E$2:$E$36,'Daily evaluations'!$B$2:$B$36,"=random_06",'Daily evaluations'!$C$2:$C$36,"=d20261029"),"")</f>
      </c>
      <c r="AE57" s="8">
        <f>IF((0=1),SUMIFS('Daily evaluations'!$E$2:$E$36,'Daily evaluations'!$B$2:$B$36,"=random_06",'Daily evaluations'!$C$2:$C$36,"=d20261030"),"")</f>
      </c>
      <c r="AF57" s="8">
        <f>IF((0=1),SUMIFS('Daily evaluations'!$E$2:$E$36,'Daily evaluations'!$B$2:$B$36,"=random_06",'Daily evaluations'!$C$2:$C$36,"=d20261102"),"")</f>
      </c>
      <c r="AG57" s="8">
        <f>IF((0=1),SUMIFS('Daily evaluations'!$E$2:$E$36,'Daily evaluations'!$B$2:$B$36,"=random_06",'Daily evaluations'!$C$2:$C$36,"=d20261103"),"")</f>
      </c>
      <c r="AH57" s="8">
        <f>IF((0=1),SUMIFS('Daily evaluations'!$E$2:$E$36,'Daily evaluations'!$B$2:$B$36,"=random_06",'Daily evaluations'!$C$2:$C$36,"=d20261104"),"")</f>
      </c>
      <c r="AI57" s="8">
        <f>IF((0=1),SUMIFS('Daily evaluations'!$E$2:$E$36,'Daily evaluations'!$B$2:$B$36,"=random_06",'Daily evaluations'!$C$2:$C$36,"=d20261105"),"")</f>
      </c>
      <c r="AJ57" s="8">
        <f>IF((0=1),SUMIFS('Daily evaluations'!$E$2:$E$36,'Daily evaluations'!$B$2:$B$36,"=random_06",'Daily evaluations'!$C$2:$C$36,"=d20261106"),"")</f>
      </c>
      <c r="AK57" s="8">
        <f>IF((0=1),SUMIFS('Daily evaluations'!$E$2:$E$36,'Daily evaluations'!$B$2:$B$36,"=random_06",'Daily evaluations'!$C$2:$C$36,"=d20261109"),"")</f>
      </c>
      <c r="AL57" s="8">
        <f>IF((0=1),SUMIFS('Daily evaluations'!$E$2:$E$36,'Daily evaluations'!$B$2:$B$36,"=random_06",'Daily evaluations'!$C$2:$C$36,"=d20261110"),"")</f>
      </c>
      <c r="AM57" s="8">
        <f>IF((0=1),SUMIFS('Daily evaluations'!$E$2:$E$36,'Daily evaluations'!$B$2:$B$36,"=random_06",'Daily evaluations'!$C$2:$C$36,"=d20261111"),"")</f>
      </c>
      <c r="AN57" s="8">
        <f>IF((0=1),SUMIFS('Daily evaluations'!$E$2:$E$36,'Daily evaluations'!$B$2:$B$36,"=random_06",'Daily evaluations'!$C$2:$C$36,"=d20261112"),"")</f>
      </c>
      <c r="AO57" s="8">
        <f>IF((0=1),SUMIFS('Daily evaluations'!$E$2:$E$36,'Daily evaluations'!$B$2:$B$36,"=random_06",'Daily evaluations'!$C$2:$C$36,"=d20261113"),"")</f>
      </c>
      <c r="AP57" s="8">
        <f>IF((0=1),SUMIFS('Daily evaluations'!$E$2:$E$36,'Daily evaluations'!$B$2:$B$36,"=random_06",'Daily evaluations'!$C$2:$C$36,"=d20261116"),"")</f>
      </c>
      <c r="AQ57" s="8">
        <f>IF((0=1),SUMIFS('Daily evaluations'!$E$2:$E$36,'Daily evaluations'!$B$2:$B$36,"=random_06",'Daily evaluations'!$C$2:$C$36,"=d20261117"),"")</f>
      </c>
      <c r="AR57" s="8">
        <f>IF((0=1),SUMIFS('Daily evaluations'!$E$2:$E$36,'Daily evaluations'!$B$2:$B$36,"=random_06",'Daily evaluations'!$C$2:$C$36,"=d20261118"),"")</f>
      </c>
      <c r="AS57" s="8">
        <f>IF((0=1),SUMIFS('Daily evaluations'!$E$2:$E$36,'Daily evaluations'!$B$2:$B$36,"=random_06",'Daily evaluations'!$C$2:$C$36,"=d20261119"),"")</f>
      </c>
      <c r="AT57" s="8">
        <f>IF((0=1),SUMIFS('Daily evaluations'!$E$2:$E$36,'Daily evaluations'!$B$2:$B$36,"=random_06",'Daily evaluations'!$C$2:$C$36,"=d20261120"),"")</f>
      </c>
      <c r="AU57" s="8">
        <f>IF((0=1),SUMIFS('Daily evaluations'!$E$2:$E$36,'Daily evaluations'!$B$2:$B$36,"=random_06",'Daily evaluations'!$C$2:$C$36,"=d20261123"),"")</f>
      </c>
      <c r="AV57" s="8">
        <f>IF((0=1),SUMIFS('Daily evaluations'!$E$2:$E$36,'Daily evaluations'!$B$2:$B$36,"=random_06",'Daily evaluations'!$C$2:$C$36,"=d20261124"),"")</f>
      </c>
      <c r="AW57" s="8">
        <f>IF((0=1),SUMIFS('Daily evaluations'!$E$2:$E$36,'Daily evaluations'!$B$2:$B$36,"=random_06",'Daily evaluations'!$C$2:$C$36,"=d20261125"),"")</f>
      </c>
      <c r="AX57" s="8">
        <f>IF((0=1),SUMIFS('Daily evaluations'!$E$2:$E$36,'Daily evaluations'!$B$2:$B$36,"=random_06",'Daily evaluations'!$C$2:$C$36,"=d20261127"),"")</f>
      </c>
      <c r="AY57" s="8">
        <f>IF((0=1),SUMIFS('Daily evaluations'!$E$2:$E$36,'Daily evaluations'!$B$2:$B$36,"=random_06",'Daily evaluations'!$C$2:$C$36,"=d20261130"),"")</f>
      </c>
      <c r="AZ57" s="8">
        <f>IF((0=1),SUMIFS('Daily evaluations'!$E$2:$E$36,'Daily evaluations'!$B$2:$B$36,"=random_06",'Daily evaluations'!$C$2:$C$36,"=d20261201"),"")</f>
      </c>
      <c r="BA57" s="8">
        <f>IF((0=1),SUMIFS('Daily evaluations'!$E$2:$E$36,'Daily evaluations'!$B$2:$B$36,"=random_06",'Daily evaluations'!$C$2:$C$36,"=d20261202"),"")</f>
      </c>
      <c r="BB57" s="8">
        <f>IF((0=1),SUMIFS('Daily evaluations'!$E$2:$E$36,'Daily evaluations'!$B$2:$B$36,"=random_06",'Daily evaluations'!$C$2:$C$36,"=d20261203"),"")</f>
      </c>
      <c r="BC57" s="8">
        <f>IF((0=1),SUMIFS('Daily evaluations'!$E$2:$E$36,'Daily evaluations'!$B$2:$B$36,"=random_06",'Daily evaluations'!$C$2:$C$36,"=d20261204"),"")</f>
      </c>
      <c r="BD57" s="8">
        <f>IF((0=1),SUMIFS('Daily evaluations'!$E$2:$E$36,'Daily evaluations'!$B$2:$B$36,"=random_06",'Daily evaluations'!$C$2:$C$36,"=d20261207"),"")</f>
      </c>
      <c r="BE57" s="8">
        <f>IF((0=1),SUMIFS('Daily evaluations'!$E$2:$E$36,'Daily evaluations'!$B$2:$B$36,"=random_06",'Daily evaluations'!$C$2:$C$36,"=d20261208"),"")</f>
      </c>
      <c r="BF57" s="8">
        <f>IF((0=1),SUMIFS('Daily evaluations'!$E$2:$E$36,'Daily evaluations'!$B$2:$B$36,"=random_06",'Daily evaluations'!$C$2:$C$36,"=d20261209"),"")</f>
      </c>
      <c r="BG57" s="8">
        <f>IF((0=1),SUMIFS('Daily evaluations'!$E$2:$E$36,'Daily evaluations'!$B$2:$B$36,"=random_06",'Daily evaluations'!$C$2:$C$36,"=d20261210"),"")</f>
      </c>
      <c r="BH57" s="8">
        <f>IF((0=1),SUMIFS('Daily evaluations'!$E$2:$E$36,'Daily evaluations'!$B$2:$B$36,"=random_06",'Daily evaluations'!$C$2:$C$36,"=d20261211"),"")</f>
      </c>
      <c r="BI57" s="8">
        <f>IF((0=1),SUMIFS('Daily evaluations'!$E$2:$E$36,'Daily evaluations'!$B$2:$B$36,"=random_06",'Daily evaluations'!$C$2:$C$36,"=d20261214"),"")</f>
      </c>
      <c r="BJ57" s="8">
        <f>IF((0=1),SUMIFS('Daily evaluations'!$E$2:$E$36,'Daily evaluations'!$B$2:$B$36,"=random_06",'Daily evaluations'!$C$2:$C$36,"=d20261215"),"")</f>
      </c>
      <c r="BK57" s="8">
        <f>IF((0=1),SUMIFS('Daily evaluations'!$E$2:$E$36,'Daily evaluations'!$B$2:$B$36,"=random_06",'Daily evaluations'!$C$2:$C$36,"=d20261216"),"")</f>
      </c>
      <c r="BL57" s="8">
        <f>IF((0=1),SUMIFS('Daily evaluations'!$E$2:$E$36,'Daily evaluations'!$B$2:$B$36,"=random_06",'Daily evaluations'!$C$2:$C$36,"=d20261217"),"")</f>
      </c>
      <c r="BM57" s="8">
        <f>IF((0=1),SUMIFS('Daily evaluations'!$E$2:$E$36,'Daily evaluations'!$B$2:$B$36,"=random_06",'Daily evaluations'!$C$2:$C$36,"=d20261218"),"")</f>
      </c>
      <c r="BN57" s="8">
        <f>IF((0=1),SUMIFS('Daily evaluations'!$E$2:$E$36,'Daily evaluations'!$B$2:$B$36,"=random_06",'Daily evaluations'!$C$2:$C$36,"=d20261221"),"")</f>
      </c>
      <c r="BO57" s="8">
        <f>IF((0=1),SUMIFS('Daily evaluations'!$E$2:$E$36,'Daily evaluations'!$B$2:$B$36,"=random_06",'Daily evaluations'!$C$2:$C$36,"=d20261222"),"")</f>
      </c>
      <c r="BP57" s="8">
        <f>IF((0=1),SUMIFS('Daily evaluations'!$E$2:$E$36,'Daily evaluations'!$B$2:$B$36,"=random_06",'Daily evaluations'!$C$2:$C$36,"=d20261223"),"")</f>
      </c>
      <c r="BQ57" s="8">
        <f>IF((0=1),SUMIFS('Daily evaluations'!$E$2:$E$36,'Daily evaluations'!$B$2:$B$36,"=random_06",'Daily evaluations'!$C$2:$C$36,"=d20261224"),"")</f>
      </c>
      <c r="BR57" s="8">
        <f>IF((0=1),SUMIFS('Daily evaluations'!$E$2:$E$36,'Daily evaluations'!$B$2:$B$36,"=random_06",'Daily evaluations'!$C$2:$C$36,"=d20261228"),"")</f>
      </c>
      <c r="BS57" s="8">
        <f>IF((0=1),SUMIFS('Daily evaluations'!$E$2:$E$36,'Daily evaluations'!$B$2:$B$36,"=random_06",'Daily evaluations'!$C$2:$C$36,"=d20261229"),"")</f>
      </c>
      <c r="BT57" s="8">
        <f>IF((0=1),SUMIFS('Daily evaluations'!$E$2:$E$36,'Daily evaluations'!$B$2:$B$36,"=random_06",'Daily evaluations'!$C$2:$C$36,"=d20261230"),"")</f>
      </c>
      <c r="BU57" s="8">
        <f>IF((0=1),SUMIFS('Daily evaluations'!$E$2:$E$36,'Daily evaluations'!$B$2:$B$36,"=random_06",'Daily evaluations'!$C$2:$C$36,"=d20261231"),"")</f>
      </c>
      <c r="BV57" s="8">
        <f>IF((0=1),SUMIFS('Daily evaluations'!$E$2:$E$36,'Daily evaluations'!$B$2:$B$36,"=random_06",'Daily evaluations'!$C$2:$C$36,"=d20270104"),"")</f>
      </c>
      <c r="BW57" s="8">
        <f>IF((0=1),SUMIFS('Daily evaluations'!$E$2:$E$36,'Daily evaluations'!$B$2:$B$36,"=random_06",'Daily evaluations'!$C$2:$C$36,"=d20270105"),"")</f>
      </c>
      <c r="BX57" s="8">
        <f>IF((0=1),SUMIFS('Daily evaluations'!$E$2:$E$36,'Daily evaluations'!$B$2:$B$36,"=random_06",'Daily evaluations'!$C$2:$C$36,"=d20270106"),"")</f>
      </c>
      <c r="BY57" s="8">
        <f>IF((0=1),SUMIFS('Daily evaluations'!$E$2:$E$36,'Daily evaluations'!$B$2:$B$36,"=random_06",'Daily evaluations'!$C$2:$C$36,"=d20270107"),"")</f>
      </c>
      <c r="BZ57" s="8">
        <f>IF((0=1),SUMIFS('Daily evaluations'!$E$2:$E$36,'Daily evaluations'!$B$2:$B$36,"=random_06",'Daily evaluations'!$C$2:$C$36,"=d20270108"),"")</f>
      </c>
      <c r="CA57" s="8">
        <f>IF((0=1),SUMIFS('Daily evaluations'!$E$2:$E$36,'Daily evaluations'!$B$2:$B$36,"=random_06",'Daily evaluations'!$C$2:$C$36,"=d20270111"),"")</f>
      </c>
      <c r="CB57" s="8">
        <f>IF((0=1),SUMIFS('Daily evaluations'!$E$2:$E$36,'Daily evaluations'!$B$2:$B$36,"=random_06",'Daily evaluations'!$C$2:$C$36,"=d20270112"),"")</f>
      </c>
      <c r="CC57" s="8">
        <f>IF((0=1),SUMIFS('Daily evaluations'!$E$2:$E$36,'Daily evaluations'!$B$2:$B$36,"=random_06",'Daily evaluations'!$C$2:$C$36,"=d20270113"),"")</f>
      </c>
      <c r="CD57" s="8">
        <f>IF((0=1),SUMIFS('Daily evaluations'!$E$2:$E$36,'Daily evaluations'!$B$2:$B$36,"=random_06",'Daily evaluations'!$C$2:$C$36,"=d20270114"),"")</f>
      </c>
      <c r="CE57" s="8">
        <f>IF((0=1),SUMIFS('Daily evaluations'!$E$2:$E$36,'Daily evaluations'!$B$2:$B$36,"=random_06",'Daily evaluations'!$C$2:$C$36,"=d20270115"),"")</f>
      </c>
      <c r="CF57" s="8">
        <f>IF((0=1),SUMIFS('Daily evaluations'!$E$2:$E$36,'Daily evaluations'!$B$2:$B$36,"=random_06",'Daily evaluations'!$C$2:$C$36,"=d20270119"),"")</f>
      </c>
      <c r="CG57" s="8">
        <f>IF((0=1),SUMIFS('Daily evaluations'!$E$2:$E$36,'Daily evaluations'!$B$2:$B$36,"=random_06",'Daily evaluations'!$C$2:$C$36,"=d20270120"),"")</f>
      </c>
      <c r="CH57" s="8">
        <f>IF((0=1),SUMIFS('Daily evaluations'!$E$2:$E$36,'Daily evaluations'!$B$2:$B$36,"=random_06",'Daily evaluations'!$C$2:$C$36,"=d20270121"),"")</f>
      </c>
      <c r="CI57" s="8">
        <f>IF((0=1),SUMIFS('Daily evaluations'!$E$2:$E$36,'Daily evaluations'!$B$2:$B$36,"=random_06",'Daily evaluations'!$C$2:$C$36,"=d20270122"),"")</f>
      </c>
      <c r="CJ57" s="8">
        <f>IF((0=1),SUMIFS('Daily evaluations'!$E$2:$E$36,'Daily evaluations'!$B$2:$B$36,"=random_06",'Daily evaluations'!$C$2:$C$36,"=d20270125"),"")</f>
      </c>
      <c r="CK57" s="8">
        <f>IF((0=1),SUMIFS('Daily evaluations'!$E$2:$E$36,'Daily evaluations'!$B$2:$B$36,"=random_06",'Daily evaluations'!$C$2:$C$36,"=d20270126"),"")</f>
      </c>
      <c r="CL57" s="8">
        <f>IF((0=1),SUMIFS('Daily evaluations'!$E$2:$E$36,'Daily evaluations'!$B$2:$B$36,"=random_06",'Daily evaluations'!$C$2:$C$36,"=d20270127"),"")</f>
      </c>
      <c r="CM57" s="8">
        <f>IF((0=1),SUMIFS('Daily evaluations'!$E$2:$E$36,'Daily evaluations'!$B$2:$B$36,"=random_06",'Daily evaluations'!$C$2:$C$36,"=d20270128"),"")</f>
      </c>
      <c r="CN57" s="8">
        <f>IF((0=1),SUMIFS('Daily evaluations'!$E$2:$E$36,'Daily evaluations'!$B$2:$B$36,"=random_06",'Daily evaluations'!$C$2:$C$36,"=d20270129"),"")</f>
      </c>
      <c r="CO57" s="8">
        <f>IF((0=1),SUMIFS('Daily evaluations'!$E$2:$E$36,'Daily evaluations'!$B$2:$B$36,"=random_06",'Daily evaluations'!$C$2:$C$36,"=d20270201"),"")</f>
      </c>
      <c r="CP57" s="8">
        <f>IF((0=1),SUMIFS('Daily evaluations'!$E$2:$E$36,'Daily evaluations'!$B$2:$B$36,"=random_06",'Daily evaluations'!$C$2:$C$36,"=d20270202"),"")</f>
      </c>
      <c r="CQ57" s="8">
        <f>IF((0=1),SUMIFS('Daily evaluations'!$E$2:$E$36,'Daily evaluations'!$B$2:$B$36,"=random_06",'Daily evaluations'!$C$2:$C$36,"=d20270203"),"")</f>
      </c>
      <c r="CR57" s="8">
        <f>IF((0=1),SUMIFS('Daily evaluations'!$E$2:$E$36,'Daily evaluations'!$B$2:$B$36,"=random_06",'Daily evaluations'!$C$2:$C$36,"=d20270204"),"")</f>
      </c>
      <c r="CS57" s="8">
        <f>IF((0=1),SUMIFS('Daily evaluations'!$E$2:$E$36,'Daily evaluations'!$B$2:$B$36,"=random_06",'Daily evaluations'!$C$2:$C$36,"=d20270205"),"")</f>
      </c>
      <c r="CT57" s="8">
        <f>IF((0=1),SUMIFS('Daily evaluations'!$E$2:$E$36,'Daily evaluations'!$B$2:$B$36,"=random_06",'Daily evaluations'!$C$2:$C$36,"=d20270208"),"")</f>
      </c>
      <c r="CU57" s="8">
        <f>IF((0=1),SUMIFS('Daily evaluations'!$E$2:$E$36,'Daily evaluations'!$B$2:$B$36,"=random_06",'Daily evaluations'!$C$2:$C$36,"=d20270209"),"")</f>
      </c>
      <c r="CV57" s="8">
        <f>IF((0=1),SUMIFS('Daily evaluations'!$E$2:$E$36,'Daily evaluations'!$B$2:$B$36,"=random_06",'Daily evaluations'!$C$2:$C$36,"=d20270210"),"")</f>
      </c>
      <c r="CW57" s="8">
        <f>IF((0=1),SUMIFS('Daily evaluations'!$E$2:$E$36,'Daily evaluations'!$B$2:$B$36,"=random_06",'Daily evaluations'!$C$2:$C$36,"=d20270211"),"")</f>
      </c>
      <c r="CX57" s="8">
        <f>IF((0=1),SUMIFS('Daily evaluations'!$E$2:$E$36,'Daily evaluations'!$B$2:$B$36,"=random_06",'Daily evaluations'!$C$2:$C$36,"=d20270212"),"")</f>
      </c>
    </row>
    <row r="58">
      <c r="A58" s="0" t="inlineStr">
        <is>
          <t xml:space="preserve">Overnight excess vs universe, bps</t>
        </is>
      </c>
      <c r="B58" s="0" t="inlineStr">
        <is>
          <t xml:space="preserve">Random 7</t>
        </is>
      </c>
      <c r="C58" s="8">
        <f>IF((1=1),SUMIFS('Daily evaluations'!$E$2:$E$36,'Daily evaluations'!$B$2:$B$36,"=random_07",'Daily evaluations'!$C$2:$C$36,"=d20260922"),"")</f>
        <v>0.195</v>
      </c>
      <c r="D58" s="8">
        <f>IF((0=1),SUMIFS('Daily evaluations'!$E$2:$E$36,'Daily evaluations'!$B$2:$B$36,"=random_07",'Daily evaluations'!$C$2:$C$36,"=d20260923"),"")</f>
      </c>
      <c r="E58" s="8">
        <f>IF((0=1),SUMIFS('Daily evaluations'!$E$2:$E$36,'Daily evaluations'!$B$2:$B$36,"=random_07",'Daily evaluations'!$C$2:$C$36,"=d20260924"),"")</f>
      </c>
      <c r="F58" s="8">
        <f>IF((0=1),SUMIFS('Daily evaluations'!$E$2:$E$36,'Daily evaluations'!$B$2:$B$36,"=random_07",'Daily evaluations'!$C$2:$C$36,"=d20260925"),"")</f>
      </c>
      <c r="G58" s="8">
        <f>IF((0=1),SUMIFS('Daily evaluations'!$E$2:$E$36,'Daily evaluations'!$B$2:$B$36,"=random_07",'Daily evaluations'!$C$2:$C$36,"=d20260928"),"")</f>
      </c>
      <c r="H58" s="8">
        <f>IF((0=1),SUMIFS('Daily evaluations'!$E$2:$E$36,'Daily evaluations'!$B$2:$B$36,"=random_07",'Daily evaluations'!$C$2:$C$36,"=d20260929"),"")</f>
      </c>
      <c r="I58" s="8">
        <f>IF((0=1),SUMIFS('Daily evaluations'!$E$2:$E$36,'Daily evaluations'!$B$2:$B$36,"=random_07",'Daily evaluations'!$C$2:$C$36,"=d20260930"),"")</f>
      </c>
      <c r="J58" s="8">
        <f>IF((0=1),SUMIFS('Daily evaluations'!$E$2:$E$36,'Daily evaluations'!$B$2:$B$36,"=random_07",'Daily evaluations'!$C$2:$C$36,"=d20261001"),"")</f>
      </c>
      <c r="K58" s="8">
        <f>IF((0=1),SUMIFS('Daily evaluations'!$E$2:$E$36,'Daily evaluations'!$B$2:$B$36,"=random_07",'Daily evaluations'!$C$2:$C$36,"=d20261002"),"")</f>
      </c>
      <c r="L58" s="8">
        <f>IF((0=1),SUMIFS('Daily evaluations'!$E$2:$E$36,'Daily evaluations'!$B$2:$B$36,"=random_07",'Daily evaluations'!$C$2:$C$36,"=d20261005"),"")</f>
      </c>
      <c r="M58" s="8">
        <f>IF((0=1),SUMIFS('Daily evaluations'!$E$2:$E$36,'Daily evaluations'!$B$2:$B$36,"=random_07",'Daily evaluations'!$C$2:$C$36,"=d20261006"),"")</f>
      </c>
      <c r="N58" s="8">
        <f>IF((0=1),SUMIFS('Daily evaluations'!$E$2:$E$36,'Daily evaluations'!$B$2:$B$36,"=random_07",'Daily evaluations'!$C$2:$C$36,"=d20261007"),"")</f>
      </c>
      <c r="O58" s="8">
        <f>IF((0=1),SUMIFS('Daily evaluations'!$E$2:$E$36,'Daily evaluations'!$B$2:$B$36,"=random_07",'Daily evaluations'!$C$2:$C$36,"=d20261008"),"")</f>
      </c>
      <c r="P58" s="8">
        <f>IF((0=1),SUMIFS('Daily evaluations'!$E$2:$E$36,'Daily evaluations'!$B$2:$B$36,"=random_07",'Daily evaluations'!$C$2:$C$36,"=d20261009"),"")</f>
      </c>
      <c r="Q58" s="8">
        <f>IF((0=1),SUMIFS('Daily evaluations'!$E$2:$E$36,'Daily evaluations'!$B$2:$B$36,"=random_07",'Daily evaluations'!$C$2:$C$36,"=d20261012"),"")</f>
      </c>
      <c r="R58" s="8">
        <f>IF((0=1),SUMIFS('Daily evaluations'!$E$2:$E$36,'Daily evaluations'!$B$2:$B$36,"=random_07",'Daily evaluations'!$C$2:$C$36,"=d20261013"),"")</f>
      </c>
      <c r="S58" s="8">
        <f>IF((0=1),SUMIFS('Daily evaluations'!$E$2:$E$36,'Daily evaluations'!$B$2:$B$36,"=random_07",'Daily evaluations'!$C$2:$C$36,"=d20261014"),"")</f>
      </c>
      <c r="T58" s="8">
        <f>IF((0=1),SUMIFS('Daily evaluations'!$E$2:$E$36,'Daily evaluations'!$B$2:$B$36,"=random_07",'Daily evaluations'!$C$2:$C$36,"=d20261015"),"")</f>
      </c>
      <c r="U58" s="8">
        <f>IF((0=1),SUMIFS('Daily evaluations'!$E$2:$E$36,'Daily evaluations'!$B$2:$B$36,"=random_07",'Daily evaluations'!$C$2:$C$36,"=d20261016"),"")</f>
      </c>
      <c r="V58" s="8">
        <f>IF((0=1),SUMIFS('Daily evaluations'!$E$2:$E$36,'Daily evaluations'!$B$2:$B$36,"=random_07",'Daily evaluations'!$C$2:$C$36,"=d20261019"),"")</f>
      </c>
      <c r="W58" s="8">
        <f>IF((0=1),SUMIFS('Daily evaluations'!$E$2:$E$36,'Daily evaluations'!$B$2:$B$36,"=random_07",'Daily evaluations'!$C$2:$C$36,"=d20261020"),"")</f>
      </c>
      <c r="X58" s="8">
        <f>IF((0=1),SUMIFS('Daily evaluations'!$E$2:$E$36,'Daily evaluations'!$B$2:$B$36,"=random_07",'Daily evaluations'!$C$2:$C$36,"=d20261021"),"")</f>
      </c>
      <c r="Y58" s="8">
        <f>IF((0=1),SUMIFS('Daily evaluations'!$E$2:$E$36,'Daily evaluations'!$B$2:$B$36,"=random_07",'Daily evaluations'!$C$2:$C$36,"=d20261022"),"")</f>
      </c>
      <c r="Z58" s="8">
        <f>IF((0=1),SUMIFS('Daily evaluations'!$E$2:$E$36,'Daily evaluations'!$B$2:$B$36,"=random_07",'Daily evaluations'!$C$2:$C$36,"=d20261023"),"")</f>
      </c>
      <c r="AA58" s="8">
        <f>IF((0=1),SUMIFS('Daily evaluations'!$E$2:$E$36,'Daily evaluations'!$B$2:$B$36,"=random_07",'Daily evaluations'!$C$2:$C$36,"=d20261026"),"")</f>
      </c>
      <c r="AB58" s="8">
        <f>IF((0=1),SUMIFS('Daily evaluations'!$E$2:$E$36,'Daily evaluations'!$B$2:$B$36,"=random_07",'Daily evaluations'!$C$2:$C$36,"=d20261027"),"")</f>
      </c>
      <c r="AC58" s="8">
        <f>IF((0=1),SUMIFS('Daily evaluations'!$E$2:$E$36,'Daily evaluations'!$B$2:$B$36,"=random_07",'Daily evaluations'!$C$2:$C$36,"=d20261028"),"")</f>
      </c>
      <c r="AD58" s="8">
        <f>IF((0=1),SUMIFS('Daily evaluations'!$E$2:$E$36,'Daily evaluations'!$B$2:$B$36,"=random_07",'Daily evaluations'!$C$2:$C$36,"=d20261029"),"")</f>
      </c>
      <c r="AE58" s="8">
        <f>IF((0=1),SUMIFS('Daily evaluations'!$E$2:$E$36,'Daily evaluations'!$B$2:$B$36,"=random_07",'Daily evaluations'!$C$2:$C$36,"=d20261030"),"")</f>
      </c>
      <c r="AF58" s="8">
        <f>IF((0=1),SUMIFS('Daily evaluations'!$E$2:$E$36,'Daily evaluations'!$B$2:$B$36,"=random_07",'Daily evaluations'!$C$2:$C$36,"=d20261102"),"")</f>
      </c>
      <c r="AG58" s="8">
        <f>IF((0=1),SUMIFS('Daily evaluations'!$E$2:$E$36,'Daily evaluations'!$B$2:$B$36,"=random_07",'Daily evaluations'!$C$2:$C$36,"=d20261103"),"")</f>
      </c>
      <c r="AH58" s="8">
        <f>IF((0=1),SUMIFS('Daily evaluations'!$E$2:$E$36,'Daily evaluations'!$B$2:$B$36,"=random_07",'Daily evaluations'!$C$2:$C$36,"=d20261104"),"")</f>
      </c>
      <c r="AI58" s="8">
        <f>IF((0=1),SUMIFS('Daily evaluations'!$E$2:$E$36,'Daily evaluations'!$B$2:$B$36,"=random_07",'Daily evaluations'!$C$2:$C$36,"=d20261105"),"")</f>
      </c>
      <c r="AJ58" s="8">
        <f>IF((0=1),SUMIFS('Daily evaluations'!$E$2:$E$36,'Daily evaluations'!$B$2:$B$36,"=random_07",'Daily evaluations'!$C$2:$C$36,"=d20261106"),"")</f>
      </c>
      <c r="AK58" s="8">
        <f>IF((0=1),SUMIFS('Daily evaluations'!$E$2:$E$36,'Daily evaluations'!$B$2:$B$36,"=random_07",'Daily evaluations'!$C$2:$C$36,"=d20261109"),"")</f>
      </c>
      <c r="AL58" s="8">
        <f>IF((0=1),SUMIFS('Daily evaluations'!$E$2:$E$36,'Daily evaluations'!$B$2:$B$36,"=random_07",'Daily evaluations'!$C$2:$C$36,"=d20261110"),"")</f>
      </c>
      <c r="AM58" s="8">
        <f>IF((0=1),SUMIFS('Daily evaluations'!$E$2:$E$36,'Daily evaluations'!$B$2:$B$36,"=random_07",'Daily evaluations'!$C$2:$C$36,"=d20261111"),"")</f>
      </c>
      <c r="AN58" s="8">
        <f>IF((0=1),SUMIFS('Daily evaluations'!$E$2:$E$36,'Daily evaluations'!$B$2:$B$36,"=random_07",'Daily evaluations'!$C$2:$C$36,"=d20261112"),"")</f>
      </c>
      <c r="AO58" s="8">
        <f>IF((0=1),SUMIFS('Daily evaluations'!$E$2:$E$36,'Daily evaluations'!$B$2:$B$36,"=random_07",'Daily evaluations'!$C$2:$C$36,"=d20261113"),"")</f>
      </c>
      <c r="AP58" s="8">
        <f>IF((0=1),SUMIFS('Daily evaluations'!$E$2:$E$36,'Daily evaluations'!$B$2:$B$36,"=random_07",'Daily evaluations'!$C$2:$C$36,"=d20261116"),"")</f>
      </c>
      <c r="AQ58" s="8">
        <f>IF((0=1),SUMIFS('Daily evaluations'!$E$2:$E$36,'Daily evaluations'!$B$2:$B$36,"=random_07",'Daily evaluations'!$C$2:$C$36,"=d20261117"),"")</f>
      </c>
      <c r="AR58" s="8">
        <f>IF((0=1),SUMIFS('Daily evaluations'!$E$2:$E$36,'Daily evaluations'!$B$2:$B$36,"=random_07",'Daily evaluations'!$C$2:$C$36,"=d20261118"),"")</f>
      </c>
      <c r="AS58" s="8">
        <f>IF((0=1),SUMIFS('Daily evaluations'!$E$2:$E$36,'Daily evaluations'!$B$2:$B$36,"=random_07",'Daily evaluations'!$C$2:$C$36,"=d20261119"),"")</f>
      </c>
      <c r="AT58" s="8">
        <f>IF((0=1),SUMIFS('Daily evaluations'!$E$2:$E$36,'Daily evaluations'!$B$2:$B$36,"=random_07",'Daily evaluations'!$C$2:$C$36,"=d20261120"),"")</f>
      </c>
      <c r="AU58" s="8">
        <f>IF((0=1),SUMIFS('Daily evaluations'!$E$2:$E$36,'Daily evaluations'!$B$2:$B$36,"=random_07",'Daily evaluations'!$C$2:$C$36,"=d20261123"),"")</f>
      </c>
      <c r="AV58" s="8">
        <f>IF((0=1),SUMIFS('Daily evaluations'!$E$2:$E$36,'Daily evaluations'!$B$2:$B$36,"=random_07",'Daily evaluations'!$C$2:$C$36,"=d20261124"),"")</f>
      </c>
      <c r="AW58" s="8">
        <f>IF((0=1),SUMIFS('Daily evaluations'!$E$2:$E$36,'Daily evaluations'!$B$2:$B$36,"=random_07",'Daily evaluations'!$C$2:$C$36,"=d20261125"),"")</f>
      </c>
      <c r="AX58" s="8">
        <f>IF((0=1),SUMIFS('Daily evaluations'!$E$2:$E$36,'Daily evaluations'!$B$2:$B$36,"=random_07",'Daily evaluations'!$C$2:$C$36,"=d20261127"),"")</f>
      </c>
      <c r="AY58" s="8">
        <f>IF((0=1),SUMIFS('Daily evaluations'!$E$2:$E$36,'Daily evaluations'!$B$2:$B$36,"=random_07",'Daily evaluations'!$C$2:$C$36,"=d20261130"),"")</f>
      </c>
      <c r="AZ58" s="8">
        <f>IF((0=1),SUMIFS('Daily evaluations'!$E$2:$E$36,'Daily evaluations'!$B$2:$B$36,"=random_07",'Daily evaluations'!$C$2:$C$36,"=d20261201"),"")</f>
      </c>
      <c r="BA58" s="8">
        <f>IF((0=1),SUMIFS('Daily evaluations'!$E$2:$E$36,'Daily evaluations'!$B$2:$B$36,"=random_07",'Daily evaluations'!$C$2:$C$36,"=d20261202"),"")</f>
      </c>
      <c r="BB58" s="8">
        <f>IF((0=1),SUMIFS('Daily evaluations'!$E$2:$E$36,'Daily evaluations'!$B$2:$B$36,"=random_07",'Daily evaluations'!$C$2:$C$36,"=d20261203"),"")</f>
      </c>
      <c r="BC58" s="8">
        <f>IF((0=1),SUMIFS('Daily evaluations'!$E$2:$E$36,'Daily evaluations'!$B$2:$B$36,"=random_07",'Daily evaluations'!$C$2:$C$36,"=d20261204"),"")</f>
      </c>
      <c r="BD58" s="8">
        <f>IF((0=1),SUMIFS('Daily evaluations'!$E$2:$E$36,'Daily evaluations'!$B$2:$B$36,"=random_07",'Daily evaluations'!$C$2:$C$36,"=d20261207"),"")</f>
      </c>
      <c r="BE58" s="8">
        <f>IF((0=1),SUMIFS('Daily evaluations'!$E$2:$E$36,'Daily evaluations'!$B$2:$B$36,"=random_07",'Daily evaluations'!$C$2:$C$36,"=d20261208"),"")</f>
      </c>
      <c r="BF58" s="8">
        <f>IF((0=1),SUMIFS('Daily evaluations'!$E$2:$E$36,'Daily evaluations'!$B$2:$B$36,"=random_07",'Daily evaluations'!$C$2:$C$36,"=d20261209"),"")</f>
      </c>
      <c r="BG58" s="8">
        <f>IF((0=1),SUMIFS('Daily evaluations'!$E$2:$E$36,'Daily evaluations'!$B$2:$B$36,"=random_07",'Daily evaluations'!$C$2:$C$36,"=d20261210"),"")</f>
      </c>
      <c r="BH58" s="8">
        <f>IF((0=1),SUMIFS('Daily evaluations'!$E$2:$E$36,'Daily evaluations'!$B$2:$B$36,"=random_07",'Daily evaluations'!$C$2:$C$36,"=d20261211"),"")</f>
      </c>
      <c r="BI58" s="8">
        <f>IF((0=1),SUMIFS('Daily evaluations'!$E$2:$E$36,'Daily evaluations'!$B$2:$B$36,"=random_07",'Daily evaluations'!$C$2:$C$36,"=d20261214"),"")</f>
      </c>
      <c r="BJ58" s="8">
        <f>IF((0=1),SUMIFS('Daily evaluations'!$E$2:$E$36,'Daily evaluations'!$B$2:$B$36,"=random_07",'Daily evaluations'!$C$2:$C$36,"=d20261215"),"")</f>
      </c>
      <c r="BK58" s="8">
        <f>IF((0=1),SUMIFS('Daily evaluations'!$E$2:$E$36,'Daily evaluations'!$B$2:$B$36,"=random_07",'Daily evaluations'!$C$2:$C$36,"=d20261216"),"")</f>
      </c>
      <c r="BL58" s="8">
        <f>IF((0=1),SUMIFS('Daily evaluations'!$E$2:$E$36,'Daily evaluations'!$B$2:$B$36,"=random_07",'Daily evaluations'!$C$2:$C$36,"=d20261217"),"")</f>
      </c>
      <c r="BM58" s="8">
        <f>IF((0=1),SUMIFS('Daily evaluations'!$E$2:$E$36,'Daily evaluations'!$B$2:$B$36,"=random_07",'Daily evaluations'!$C$2:$C$36,"=d20261218"),"")</f>
      </c>
      <c r="BN58" s="8">
        <f>IF((0=1),SUMIFS('Daily evaluations'!$E$2:$E$36,'Daily evaluations'!$B$2:$B$36,"=random_07",'Daily evaluations'!$C$2:$C$36,"=d20261221"),"")</f>
      </c>
      <c r="BO58" s="8">
        <f>IF((0=1),SUMIFS('Daily evaluations'!$E$2:$E$36,'Daily evaluations'!$B$2:$B$36,"=random_07",'Daily evaluations'!$C$2:$C$36,"=d20261222"),"")</f>
      </c>
      <c r="BP58" s="8">
        <f>IF((0=1),SUMIFS('Daily evaluations'!$E$2:$E$36,'Daily evaluations'!$B$2:$B$36,"=random_07",'Daily evaluations'!$C$2:$C$36,"=d20261223"),"")</f>
      </c>
      <c r="BQ58" s="8">
        <f>IF((0=1),SUMIFS('Daily evaluations'!$E$2:$E$36,'Daily evaluations'!$B$2:$B$36,"=random_07",'Daily evaluations'!$C$2:$C$36,"=d20261224"),"")</f>
      </c>
      <c r="BR58" s="8">
        <f>IF((0=1),SUMIFS('Daily evaluations'!$E$2:$E$36,'Daily evaluations'!$B$2:$B$36,"=random_07",'Daily evaluations'!$C$2:$C$36,"=d20261228"),"")</f>
      </c>
      <c r="BS58" s="8">
        <f>IF((0=1),SUMIFS('Daily evaluations'!$E$2:$E$36,'Daily evaluations'!$B$2:$B$36,"=random_07",'Daily evaluations'!$C$2:$C$36,"=d20261229"),"")</f>
      </c>
      <c r="BT58" s="8">
        <f>IF((0=1),SUMIFS('Daily evaluations'!$E$2:$E$36,'Daily evaluations'!$B$2:$B$36,"=random_07",'Daily evaluations'!$C$2:$C$36,"=d20261230"),"")</f>
      </c>
      <c r="BU58" s="8">
        <f>IF((0=1),SUMIFS('Daily evaluations'!$E$2:$E$36,'Daily evaluations'!$B$2:$B$36,"=random_07",'Daily evaluations'!$C$2:$C$36,"=d20261231"),"")</f>
      </c>
      <c r="BV58" s="8">
        <f>IF((0=1),SUMIFS('Daily evaluations'!$E$2:$E$36,'Daily evaluations'!$B$2:$B$36,"=random_07",'Daily evaluations'!$C$2:$C$36,"=d20270104"),"")</f>
      </c>
      <c r="BW58" s="8">
        <f>IF((0=1),SUMIFS('Daily evaluations'!$E$2:$E$36,'Daily evaluations'!$B$2:$B$36,"=random_07",'Daily evaluations'!$C$2:$C$36,"=d20270105"),"")</f>
      </c>
      <c r="BX58" s="8">
        <f>IF((0=1),SUMIFS('Daily evaluations'!$E$2:$E$36,'Daily evaluations'!$B$2:$B$36,"=random_07",'Daily evaluations'!$C$2:$C$36,"=d20270106"),"")</f>
      </c>
      <c r="BY58" s="8">
        <f>IF((0=1),SUMIFS('Daily evaluations'!$E$2:$E$36,'Daily evaluations'!$B$2:$B$36,"=random_07",'Daily evaluations'!$C$2:$C$36,"=d20270107"),"")</f>
      </c>
      <c r="BZ58" s="8">
        <f>IF((0=1),SUMIFS('Daily evaluations'!$E$2:$E$36,'Daily evaluations'!$B$2:$B$36,"=random_07",'Daily evaluations'!$C$2:$C$36,"=d20270108"),"")</f>
      </c>
      <c r="CA58" s="8">
        <f>IF((0=1),SUMIFS('Daily evaluations'!$E$2:$E$36,'Daily evaluations'!$B$2:$B$36,"=random_07",'Daily evaluations'!$C$2:$C$36,"=d20270111"),"")</f>
      </c>
      <c r="CB58" s="8">
        <f>IF((0=1),SUMIFS('Daily evaluations'!$E$2:$E$36,'Daily evaluations'!$B$2:$B$36,"=random_07",'Daily evaluations'!$C$2:$C$36,"=d20270112"),"")</f>
      </c>
      <c r="CC58" s="8">
        <f>IF((0=1),SUMIFS('Daily evaluations'!$E$2:$E$36,'Daily evaluations'!$B$2:$B$36,"=random_07",'Daily evaluations'!$C$2:$C$36,"=d20270113"),"")</f>
      </c>
      <c r="CD58" s="8">
        <f>IF((0=1),SUMIFS('Daily evaluations'!$E$2:$E$36,'Daily evaluations'!$B$2:$B$36,"=random_07",'Daily evaluations'!$C$2:$C$36,"=d20270114"),"")</f>
      </c>
      <c r="CE58" s="8">
        <f>IF((0=1),SUMIFS('Daily evaluations'!$E$2:$E$36,'Daily evaluations'!$B$2:$B$36,"=random_07",'Daily evaluations'!$C$2:$C$36,"=d20270115"),"")</f>
      </c>
      <c r="CF58" s="8">
        <f>IF((0=1),SUMIFS('Daily evaluations'!$E$2:$E$36,'Daily evaluations'!$B$2:$B$36,"=random_07",'Daily evaluations'!$C$2:$C$36,"=d20270119"),"")</f>
      </c>
      <c r="CG58" s="8">
        <f>IF((0=1),SUMIFS('Daily evaluations'!$E$2:$E$36,'Daily evaluations'!$B$2:$B$36,"=random_07",'Daily evaluations'!$C$2:$C$36,"=d20270120"),"")</f>
      </c>
      <c r="CH58" s="8">
        <f>IF((0=1),SUMIFS('Daily evaluations'!$E$2:$E$36,'Daily evaluations'!$B$2:$B$36,"=random_07",'Daily evaluations'!$C$2:$C$36,"=d20270121"),"")</f>
      </c>
      <c r="CI58" s="8">
        <f>IF((0=1),SUMIFS('Daily evaluations'!$E$2:$E$36,'Daily evaluations'!$B$2:$B$36,"=random_07",'Daily evaluations'!$C$2:$C$36,"=d20270122"),"")</f>
      </c>
      <c r="CJ58" s="8">
        <f>IF((0=1),SUMIFS('Daily evaluations'!$E$2:$E$36,'Daily evaluations'!$B$2:$B$36,"=random_07",'Daily evaluations'!$C$2:$C$36,"=d20270125"),"")</f>
      </c>
      <c r="CK58" s="8">
        <f>IF((0=1),SUMIFS('Daily evaluations'!$E$2:$E$36,'Daily evaluations'!$B$2:$B$36,"=random_07",'Daily evaluations'!$C$2:$C$36,"=d20270126"),"")</f>
      </c>
      <c r="CL58" s="8">
        <f>IF((0=1),SUMIFS('Daily evaluations'!$E$2:$E$36,'Daily evaluations'!$B$2:$B$36,"=random_07",'Daily evaluations'!$C$2:$C$36,"=d20270127"),"")</f>
      </c>
      <c r="CM58" s="8">
        <f>IF((0=1),SUMIFS('Daily evaluations'!$E$2:$E$36,'Daily evaluations'!$B$2:$B$36,"=random_07",'Daily evaluations'!$C$2:$C$36,"=d20270128"),"")</f>
      </c>
      <c r="CN58" s="8">
        <f>IF((0=1),SUMIFS('Daily evaluations'!$E$2:$E$36,'Daily evaluations'!$B$2:$B$36,"=random_07",'Daily evaluations'!$C$2:$C$36,"=d20270129"),"")</f>
      </c>
      <c r="CO58" s="8">
        <f>IF((0=1),SUMIFS('Daily evaluations'!$E$2:$E$36,'Daily evaluations'!$B$2:$B$36,"=random_07",'Daily evaluations'!$C$2:$C$36,"=d20270201"),"")</f>
      </c>
      <c r="CP58" s="8">
        <f>IF((0=1),SUMIFS('Daily evaluations'!$E$2:$E$36,'Daily evaluations'!$B$2:$B$36,"=random_07",'Daily evaluations'!$C$2:$C$36,"=d20270202"),"")</f>
      </c>
      <c r="CQ58" s="8">
        <f>IF((0=1),SUMIFS('Daily evaluations'!$E$2:$E$36,'Daily evaluations'!$B$2:$B$36,"=random_07",'Daily evaluations'!$C$2:$C$36,"=d20270203"),"")</f>
      </c>
      <c r="CR58" s="8">
        <f>IF((0=1),SUMIFS('Daily evaluations'!$E$2:$E$36,'Daily evaluations'!$B$2:$B$36,"=random_07",'Daily evaluations'!$C$2:$C$36,"=d20270204"),"")</f>
      </c>
      <c r="CS58" s="8">
        <f>IF((0=1),SUMIFS('Daily evaluations'!$E$2:$E$36,'Daily evaluations'!$B$2:$B$36,"=random_07",'Daily evaluations'!$C$2:$C$36,"=d20270205"),"")</f>
      </c>
      <c r="CT58" s="8">
        <f>IF((0=1),SUMIFS('Daily evaluations'!$E$2:$E$36,'Daily evaluations'!$B$2:$B$36,"=random_07",'Daily evaluations'!$C$2:$C$36,"=d20270208"),"")</f>
      </c>
      <c r="CU58" s="8">
        <f>IF((0=1),SUMIFS('Daily evaluations'!$E$2:$E$36,'Daily evaluations'!$B$2:$B$36,"=random_07",'Daily evaluations'!$C$2:$C$36,"=d20270209"),"")</f>
      </c>
      <c r="CV58" s="8">
        <f>IF((0=1),SUMIFS('Daily evaluations'!$E$2:$E$36,'Daily evaluations'!$B$2:$B$36,"=random_07",'Daily evaluations'!$C$2:$C$36,"=d20270210"),"")</f>
      </c>
      <c r="CW58" s="8">
        <f>IF((0=1),SUMIFS('Daily evaluations'!$E$2:$E$36,'Daily evaluations'!$B$2:$B$36,"=random_07",'Daily evaluations'!$C$2:$C$36,"=d20270211"),"")</f>
      </c>
      <c r="CX58" s="8">
        <f>IF((0=1),SUMIFS('Daily evaluations'!$E$2:$E$36,'Daily evaluations'!$B$2:$B$36,"=random_07",'Daily evaluations'!$C$2:$C$36,"=d20270212"),"")</f>
      </c>
    </row>
    <row r="59">
      <c r="A59" s="0" t="inlineStr">
        <is>
          <t xml:space="preserve">Overnight excess vs universe, bps</t>
        </is>
      </c>
      <c r="B59" s="0" t="inlineStr">
        <is>
          <t xml:space="preserve">Random 8</t>
        </is>
      </c>
      <c r="C59" s="8">
        <f>IF((1=1),SUMIFS('Daily evaluations'!$E$2:$E$36,'Daily evaluations'!$B$2:$B$36,"=random_08",'Daily evaluations'!$C$2:$C$36,"=d20260922"),"")</f>
        <v>5.462</v>
      </c>
      <c r="D59" s="8">
        <f>IF((0=1),SUMIFS('Daily evaluations'!$E$2:$E$36,'Daily evaluations'!$B$2:$B$36,"=random_08",'Daily evaluations'!$C$2:$C$36,"=d20260923"),"")</f>
      </c>
      <c r="E59" s="8">
        <f>IF((0=1),SUMIFS('Daily evaluations'!$E$2:$E$36,'Daily evaluations'!$B$2:$B$36,"=random_08",'Daily evaluations'!$C$2:$C$36,"=d20260924"),"")</f>
      </c>
      <c r="F59" s="8">
        <f>IF((0=1),SUMIFS('Daily evaluations'!$E$2:$E$36,'Daily evaluations'!$B$2:$B$36,"=random_08",'Daily evaluations'!$C$2:$C$36,"=d20260925"),"")</f>
      </c>
      <c r="G59" s="8">
        <f>IF((0=1),SUMIFS('Daily evaluations'!$E$2:$E$36,'Daily evaluations'!$B$2:$B$36,"=random_08",'Daily evaluations'!$C$2:$C$36,"=d20260928"),"")</f>
      </c>
      <c r="H59" s="8">
        <f>IF((0=1),SUMIFS('Daily evaluations'!$E$2:$E$36,'Daily evaluations'!$B$2:$B$36,"=random_08",'Daily evaluations'!$C$2:$C$36,"=d20260929"),"")</f>
      </c>
      <c r="I59" s="8">
        <f>IF((0=1),SUMIFS('Daily evaluations'!$E$2:$E$36,'Daily evaluations'!$B$2:$B$36,"=random_08",'Daily evaluations'!$C$2:$C$36,"=d20260930"),"")</f>
      </c>
      <c r="J59" s="8">
        <f>IF((0=1),SUMIFS('Daily evaluations'!$E$2:$E$36,'Daily evaluations'!$B$2:$B$36,"=random_08",'Daily evaluations'!$C$2:$C$36,"=d20261001"),"")</f>
      </c>
      <c r="K59" s="8">
        <f>IF((0=1),SUMIFS('Daily evaluations'!$E$2:$E$36,'Daily evaluations'!$B$2:$B$36,"=random_08",'Daily evaluations'!$C$2:$C$36,"=d20261002"),"")</f>
      </c>
      <c r="L59" s="8">
        <f>IF((0=1),SUMIFS('Daily evaluations'!$E$2:$E$36,'Daily evaluations'!$B$2:$B$36,"=random_08",'Daily evaluations'!$C$2:$C$36,"=d20261005"),"")</f>
      </c>
      <c r="M59" s="8">
        <f>IF((0=1),SUMIFS('Daily evaluations'!$E$2:$E$36,'Daily evaluations'!$B$2:$B$36,"=random_08",'Daily evaluations'!$C$2:$C$36,"=d20261006"),"")</f>
      </c>
      <c r="N59" s="8">
        <f>IF((0=1),SUMIFS('Daily evaluations'!$E$2:$E$36,'Daily evaluations'!$B$2:$B$36,"=random_08",'Daily evaluations'!$C$2:$C$36,"=d20261007"),"")</f>
      </c>
      <c r="O59" s="8">
        <f>IF((0=1),SUMIFS('Daily evaluations'!$E$2:$E$36,'Daily evaluations'!$B$2:$B$36,"=random_08",'Daily evaluations'!$C$2:$C$36,"=d20261008"),"")</f>
      </c>
      <c r="P59" s="8">
        <f>IF((0=1),SUMIFS('Daily evaluations'!$E$2:$E$36,'Daily evaluations'!$B$2:$B$36,"=random_08",'Daily evaluations'!$C$2:$C$36,"=d20261009"),"")</f>
      </c>
      <c r="Q59" s="8">
        <f>IF((0=1),SUMIFS('Daily evaluations'!$E$2:$E$36,'Daily evaluations'!$B$2:$B$36,"=random_08",'Daily evaluations'!$C$2:$C$36,"=d20261012"),"")</f>
      </c>
      <c r="R59" s="8">
        <f>IF((0=1),SUMIFS('Daily evaluations'!$E$2:$E$36,'Daily evaluations'!$B$2:$B$36,"=random_08",'Daily evaluations'!$C$2:$C$36,"=d20261013"),"")</f>
      </c>
      <c r="S59" s="8">
        <f>IF((0=1),SUMIFS('Daily evaluations'!$E$2:$E$36,'Daily evaluations'!$B$2:$B$36,"=random_08",'Daily evaluations'!$C$2:$C$36,"=d20261014"),"")</f>
      </c>
      <c r="T59" s="8">
        <f>IF((0=1),SUMIFS('Daily evaluations'!$E$2:$E$36,'Daily evaluations'!$B$2:$B$36,"=random_08",'Daily evaluations'!$C$2:$C$36,"=d20261015"),"")</f>
      </c>
      <c r="U59" s="8">
        <f>IF((0=1),SUMIFS('Daily evaluations'!$E$2:$E$36,'Daily evaluations'!$B$2:$B$36,"=random_08",'Daily evaluations'!$C$2:$C$36,"=d20261016"),"")</f>
      </c>
      <c r="V59" s="8">
        <f>IF((0=1),SUMIFS('Daily evaluations'!$E$2:$E$36,'Daily evaluations'!$B$2:$B$36,"=random_08",'Daily evaluations'!$C$2:$C$36,"=d20261019"),"")</f>
      </c>
      <c r="W59" s="8">
        <f>IF((0=1),SUMIFS('Daily evaluations'!$E$2:$E$36,'Daily evaluations'!$B$2:$B$36,"=random_08",'Daily evaluations'!$C$2:$C$36,"=d20261020"),"")</f>
      </c>
      <c r="X59" s="8">
        <f>IF((0=1),SUMIFS('Daily evaluations'!$E$2:$E$36,'Daily evaluations'!$B$2:$B$36,"=random_08",'Daily evaluations'!$C$2:$C$36,"=d20261021"),"")</f>
      </c>
      <c r="Y59" s="8">
        <f>IF((0=1),SUMIFS('Daily evaluations'!$E$2:$E$36,'Daily evaluations'!$B$2:$B$36,"=random_08",'Daily evaluations'!$C$2:$C$36,"=d20261022"),"")</f>
      </c>
      <c r="Z59" s="8">
        <f>IF((0=1),SUMIFS('Daily evaluations'!$E$2:$E$36,'Daily evaluations'!$B$2:$B$36,"=random_08",'Daily evaluations'!$C$2:$C$36,"=d20261023"),"")</f>
      </c>
      <c r="AA59" s="8">
        <f>IF((0=1),SUMIFS('Daily evaluations'!$E$2:$E$36,'Daily evaluations'!$B$2:$B$36,"=random_08",'Daily evaluations'!$C$2:$C$36,"=d20261026"),"")</f>
      </c>
      <c r="AB59" s="8">
        <f>IF((0=1),SUMIFS('Daily evaluations'!$E$2:$E$36,'Daily evaluations'!$B$2:$B$36,"=random_08",'Daily evaluations'!$C$2:$C$36,"=d20261027"),"")</f>
      </c>
      <c r="AC59" s="8">
        <f>IF((0=1),SUMIFS('Daily evaluations'!$E$2:$E$36,'Daily evaluations'!$B$2:$B$36,"=random_08",'Daily evaluations'!$C$2:$C$36,"=d20261028"),"")</f>
      </c>
      <c r="AD59" s="8">
        <f>IF((0=1),SUMIFS('Daily evaluations'!$E$2:$E$36,'Daily evaluations'!$B$2:$B$36,"=random_08",'Daily evaluations'!$C$2:$C$36,"=d20261029"),"")</f>
      </c>
      <c r="AE59" s="8">
        <f>IF((0=1),SUMIFS('Daily evaluations'!$E$2:$E$36,'Daily evaluations'!$B$2:$B$36,"=random_08",'Daily evaluations'!$C$2:$C$36,"=d20261030"),"")</f>
      </c>
      <c r="AF59" s="8">
        <f>IF((0=1),SUMIFS('Daily evaluations'!$E$2:$E$36,'Daily evaluations'!$B$2:$B$36,"=random_08",'Daily evaluations'!$C$2:$C$36,"=d20261102"),"")</f>
      </c>
      <c r="AG59" s="8">
        <f>IF((0=1),SUMIFS('Daily evaluations'!$E$2:$E$36,'Daily evaluations'!$B$2:$B$36,"=random_08",'Daily evaluations'!$C$2:$C$36,"=d20261103"),"")</f>
      </c>
      <c r="AH59" s="8">
        <f>IF((0=1),SUMIFS('Daily evaluations'!$E$2:$E$36,'Daily evaluations'!$B$2:$B$36,"=random_08",'Daily evaluations'!$C$2:$C$36,"=d20261104"),"")</f>
      </c>
      <c r="AI59" s="8">
        <f>IF((0=1),SUMIFS('Daily evaluations'!$E$2:$E$36,'Daily evaluations'!$B$2:$B$36,"=random_08",'Daily evaluations'!$C$2:$C$36,"=d20261105"),"")</f>
      </c>
      <c r="AJ59" s="8">
        <f>IF((0=1),SUMIFS('Daily evaluations'!$E$2:$E$36,'Daily evaluations'!$B$2:$B$36,"=random_08",'Daily evaluations'!$C$2:$C$36,"=d20261106"),"")</f>
      </c>
      <c r="AK59" s="8">
        <f>IF((0=1),SUMIFS('Daily evaluations'!$E$2:$E$36,'Daily evaluations'!$B$2:$B$36,"=random_08",'Daily evaluations'!$C$2:$C$36,"=d20261109"),"")</f>
      </c>
      <c r="AL59" s="8">
        <f>IF((0=1),SUMIFS('Daily evaluations'!$E$2:$E$36,'Daily evaluations'!$B$2:$B$36,"=random_08",'Daily evaluations'!$C$2:$C$36,"=d20261110"),"")</f>
      </c>
      <c r="AM59" s="8">
        <f>IF((0=1),SUMIFS('Daily evaluations'!$E$2:$E$36,'Daily evaluations'!$B$2:$B$36,"=random_08",'Daily evaluations'!$C$2:$C$36,"=d20261111"),"")</f>
      </c>
      <c r="AN59" s="8">
        <f>IF((0=1),SUMIFS('Daily evaluations'!$E$2:$E$36,'Daily evaluations'!$B$2:$B$36,"=random_08",'Daily evaluations'!$C$2:$C$36,"=d20261112"),"")</f>
      </c>
      <c r="AO59" s="8">
        <f>IF((0=1),SUMIFS('Daily evaluations'!$E$2:$E$36,'Daily evaluations'!$B$2:$B$36,"=random_08",'Daily evaluations'!$C$2:$C$36,"=d20261113"),"")</f>
      </c>
      <c r="AP59" s="8">
        <f>IF((0=1),SUMIFS('Daily evaluations'!$E$2:$E$36,'Daily evaluations'!$B$2:$B$36,"=random_08",'Daily evaluations'!$C$2:$C$36,"=d20261116"),"")</f>
      </c>
      <c r="AQ59" s="8">
        <f>IF((0=1),SUMIFS('Daily evaluations'!$E$2:$E$36,'Daily evaluations'!$B$2:$B$36,"=random_08",'Daily evaluations'!$C$2:$C$36,"=d20261117"),"")</f>
      </c>
      <c r="AR59" s="8">
        <f>IF((0=1),SUMIFS('Daily evaluations'!$E$2:$E$36,'Daily evaluations'!$B$2:$B$36,"=random_08",'Daily evaluations'!$C$2:$C$36,"=d20261118"),"")</f>
      </c>
      <c r="AS59" s="8">
        <f>IF((0=1),SUMIFS('Daily evaluations'!$E$2:$E$36,'Daily evaluations'!$B$2:$B$36,"=random_08",'Daily evaluations'!$C$2:$C$36,"=d20261119"),"")</f>
      </c>
      <c r="AT59" s="8">
        <f>IF((0=1),SUMIFS('Daily evaluations'!$E$2:$E$36,'Daily evaluations'!$B$2:$B$36,"=random_08",'Daily evaluations'!$C$2:$C$36,"=d20261120"),"")</f>
      </c>
      <c r="AU59" s="8">
        <f>IF((0=1),SUMIFS('Daily evaluations'!$E$2:$E$36,'Daily evaluations'!$B$2:$B$36,"=random_08",'Daily evaluations'!$C$2:$C$36,"=d20261123"),"")</f>
      </c>
      <c r="AV59" s="8">
        <f>IF((0=1),SUMIFS('Daily evaluations'!$E$2:$E$36,'Daily evaluations'!$B$2:$B$36,"=random_08",'Daily evaluations'!$C$2:$C$36,"=d20261124"),"")</f>
      </c>
      <c r="AW59" s="8">
        <f>IF((0=1),SUMIFS('Daily evaluations'!$E$2:$E$36,'Daily evaluations'!$B$2:$B$36,"=random_08",'Daily evaluations'!$C$2:$C$36,"=d20261125"),"")</f>
      </c>
      <c r="AX59" s="8">
        <f>IF((0=1),SUMIFS('Daily evaluations'!$E$2:$E$36,'Daily evaluations'!$B$2:$B$36,"=random_08",'Daily evaluations'!$C$2:$C$36,"=d20261127"),"")</f>
      </c>
      <c r="AY59" s="8">
        <f>IF((0=1),SUMIFS('Daily evaluations'!$E$2:$E$36,'Daily evaluations'!$B$2:$B$36,"=random_08",'Daily evaluations'!$C$2:$C$36,"=d20261130"),"")</f>
      </c>
      <c r="AZ59" s="8">
        <f>IF((0=1),SUMIFS('Daily evaluations'!$E$2:$E$36,'Daily evaluations'!$B$2:$B$36,"=random_08",'Daily evaluations'!$C$2:$C$36,"=d20261201"),"")</f>
      </c>
      <c r="BA59" s="8">
        <f>IF((0=1),SUMIFS('Daily evaluations'!$E$2:$E$36,'Daily evaluations'!$B$2:$B$36,"=random_08",'Daily evaluations'!$C$2:$C$36,"=d20261202"),"")</f>
      </c>
      <c r="BB59" s="8">
        <f>IF((0=1),SUMIFS('Daily evaluations'!$E$2:$E$36,'Daily evaluations'!$B$2:$B$36,"=random_08",'Daily evaluations'!$C$2:$C$36,"=d20261203"),"")</f>
      </c>
      <c r="BC59" s="8">
        <f>IF((0=1),SUMIFS('Daily evaluations'!$E$2:$E$36,'Daily evaluations'!$B$2:$B$36,"=random_08",'Daily evaluations'!$C$2:$C$36,"=d20261204"),"")</f>
      </c>
      <c r="BD59" s="8">
        <f>IF((0=1),SUMIFS('Daily evaluations'!$E$2:$E$36,'Daily evaluations'!$B$2:$B$36,"=random_08",'Daily evaluations'!$C$2:$C$36,"=d20261207"),"")</f>
      </c>
      <c r="BE59" s="8">
        <f>IF((0=1),SUMIFS('Daily evaluations'!$E$2:$E$36,'Daily evaluations'!$B$2:$B$36,"=random_08",'Daily evaluations'!$C$2:$C$36,"=d20261208"),"")</f>
      </c>
      <c r="BF59" s="8">
        <f>IF((0=1),SUMIFS('Daily evaluations'!$E$2:$E$36,'Daily evaluations'!$B$2:$B$36,"=random_08",'Daily evaluations'!$C$2:$C$36,"=d20261209"),"")</f>
      </c>
      <c r="BG59" s="8">
        <f>IF((0=1),SUMIFS('Daily evaluations'!$E$2:$E$36,'Daily evaluations'!$B$2:$B$36,"=random_08",'Daily evaluations'!$C$2:$C$36,"=d20261210"),"")</f>
      </c>
      <c r="BH59" s="8">
        <f>IF((0=1),SUMIFS('Daily evaluations'!$E$2:$E$36,'Daily evaluations'!$B$2:$B$36,"=random_08",'Daily evaluations'!$C$2:$C$36,"=d20261211"),"")</f>
      </c>
      <c r="BI59" s="8">
        <f>IF((0=1),SUMIFS('Daily evaluations'!$E$2:$E$36,'Daily evaluations'!$B$2:$B$36,"=random_08",'Daily evaluations'!$C$2:$C$36,"=d20261214"),"")</f>
      </c>
      <c r="BJ59" s="8">
        <f>IF((0=1),SUMIFS('Daily evaluations'!$E$2:$E$36,'Daily evaluations'!$B$2:$B$36,"=random_08",'Daily evaluations'!$C$2:$C$36,"=d20261215"),"")</f>
      </c>
      <c r="BK59" s="8">
        <f>IF((0=1),SUMIFS('Daily evaluations'!$E$2:$E$36,'Daily evaluations'!$B$2:$B$36,"=random_08",'Daily evaluations'!$C$2:$C$36,"=d20261216"),"")</f>
      </c>
      <c r="BL59" s="8">
        <f>IF((0=1),SUMIFS('Daily evaluations'!$E$2:$E$36,'Daily evaluations'!$B$2:$B$36,"=random_08",'Daily evaluations'!$C$2:$C$36,"=d20261217"),"")</f>
      </c>
      <c r="BM59" s="8">
        <f>IF((0=1),SUMIFS('Daily evaluations'!$E$2:$E$36,'Daily evaluations'!$B$2:$B$36,"=random_08",'Daily evaluations'!$C$2:$C$36,"=d20261218"),"")</f>
      </c>
      <c r="BN59" s="8">
        <f>IF((0=1),SUMIFS('Daily evaluations'!$E$2:$E$36,'Daily evaluations'!$B$2:$B$36,"=random_08",'Daily evaluations'!$C$2:$C$36,"=d20261221"),"")</f>
      </c>
      <c r="BO59" s="8">
        <f>IF((0=1),SUMIFS('Daily evaluations'!$E$2:$E$36,'Daily evaluations'!$B$2:$B$36,"=random_08",'Daily evaluations'!$C$2:$C$36,"=d20261222"),"")</f>
      </c>
      <c r="BP59" s="8">
        <f>IF((0=1),SUMIFS('Daily evaluations'!$E$2:$E$36,'Daily evaluations'!$B$2:$B$36,"=random_08",'Daily evaluations'!$C$2:$C$36,"=d20261223"),"")</f>
      </c>
      <c r="BQ59" s="8">
        <f>IF((0=1),SUMIFS('Daily evaluations'!$E$2:$E$36,'Daily evaluations'!$B$2:$B$36,"=random_08",'Daily evaluations'!$C$2:$C$36,"=d20261224"),"")</f>
      </c>
      <c r="BR59" s="8">
        <f>IF((0=1),SUMIFS('Daily evaluations'!$E$2:$E$36,'Daily evaluations'!$B$2:$B$36,"=random_08",'Daily evaluations'!$C$2:$C$36,"=d20261228"),"")</f>
      </c>
      <c r="BS59" s="8">
        <f>IF((0=1),SUMIFS('Daily evaluations'!$E$2:$E$36,'Daily evaluations'!$B$2:$B$36,"=random_08",'Daily evaluations'!$C$2:$C$36,"=d20261229"),"")</f>
      </c>
      <c r="BT59" s="8">
        <f>IF((0=1),SUMIFS('Daily evaluations'!$E$2:$E$36,'Daily evaluations'!$B$2:$B$36,"=random_08",'Daily evaluations'!$C$2:$C$36,"=d20261230"),"")</f>
      </c>
      <c r="BU59" s="8">
        <f>IF((0=1),SUMIFS('Daily evaluations'!$E$2:$E$36,'Daily evaluations'!$B$2:$B$36,"=random_08",'Daily evaluations'!$C$2:$C$36,"=d20261231"),"")</f>
      </c>
      <c r="BV59" s="8">
        <f>IF((0=1),SUMIFS('Daily evaluations'!$E$2:$E$36,'Daily evaluations'!$B$2:$B$36,"=random_08",'Daily evaluations'!$C$2:$C$36,"=d20270104"),"")</f>
      </c>
      <c r="BW59" s="8">
        <f>IF((0=1),SUMIFS('Daily evaluations'!$E$2:$E$36,'Daily evaluations'!$B$2:$B$36,"=random_08",'Daily evaluations'!$C$2:$C$36,"=d20270105"),"")</f>
      </c>
      <c r="BX59" s="8">
        <f>IF((0=1),SUMIFS('Daily evaluations'!$E$2:$E$36,'Daily evaluations'!$B$2:$B$36,"=random_08",'Daily evaluations'!$C$2:$C$36,"=d20270106"),"")</f>
      </c>
      <c r="BY59" s="8">
        <f>IF((0=1),SUMIFS('Daily evaluations'!$E$2:$E$36,'Daily evaluations'!$B$2:$B$36,"=random_08",'Daily evaluations'!$C$2:$C$36,"=d20270107"),"")</f>
      </c>
      <c r="BZ59" s="8">
        <f>IF((0=1),SUMIFS('Daily evaluations'!$E$2:$E$36,'Daily evaluations'!$B$2:$B$36,"=random_08",'Daily evaluations'!$C$2:$C$36,"=d20270108"),"")</f>
      </c>
      <c r="CA59" s="8">
        <f>IF((0=1),SUMIFS('Daily evaluations'!$E$2:$E$36,'Daily evaluations'!$B$2:$B$36,"=random_08",'Daily evaluations'!$C$2:$C$36,"=d20270111"),"")</f>
      </c>
      <c r="CB59" s="8">
        <f>IF((0=1),SUMIFS('Daily evaluations'!$E$2:$E$36,'Daily evaluations'!$B$2:$B$36,"=random_08",'Daily evaluations'!$C$2:$C$36,"=d20270112"),"")</f>
      </c>
      <c r="CC59" s="8">
        <f>IF((0=1),SUMIFS('Daily evaluations'!$E$2:$E$36,'Daily evaluations'!$B$2:$B$36,"=random_08",'Daily evaluations'!$C$2:$C$36,"=d20270113"),"")</f>
      </c>
      <c r="CD59" s="8">
        <f>IF((0=1),SUMIFS('Daily evaluations'!$E$2:$E$36,'Daily evaluations'!$B$2:$B$36,"=random_08",'Daily evaluations'!$C$2:$C$36,"=d20270114"),"")</f>
      </c>
      <c r="CE59" s="8">
        <f>IF((0=1),SUMIFS('Daily evaluations'!$E$2:$E$36,'Daily evaluations'!$B$2:$B$36,"=random_08",'Daily evaluations'!$C$2:$C$36,"=d20270115"),"")</f>
      </c>
      <c r="CF59" s="8">
        <f>IF((0=1),SUMIFS('Daily evaluations'!$E$2:$E$36,'Daily evaluations'!$B$2:$B$36,"=random_08",'Daily evaluations'!$C$2:$C$36,"=d20270119"),"")</f>
      </c>
      <c r="CG59" s="8">
        <f>IF((0=1),SUMIFS('Daily evaluations'!$E$2:$E$36,'Daily evaluations'!$B$2:$B$36,"=random_08",'Daily evaluations'!$C$2:$C$36,"=d20270120"),"")</f>
      </c>
      <c r="CH59" s="8">
        <f>IF((0=1),SUMIFS('Daily evaluations'!$E$2:$E$36,'Daily evaluations'!$B$2:$B$36,"=random_08",'Daily evaluations'!$C$2:$C$36,"=d20270121"),"")</f>
      </c>
      <c r="CI59" s="8">
        <f>IF((0=1),SUMIFS('Daily evaluations'!$E$2:$E$36,'Daily evaluations'!$B$2:$B$36,"=random_08",'Daily evaluations'!$C$2:$C$36,"=d20270122"),"")</f>
      </c>
      <c r="CJ59" s="8">
        <f>IF((0=1),SUMIFS('Daily evaluations'!$E$2:$E$36,'Daily evaluations'!$B$2:$B$36,"=random_08",'Daily evaluations'!$C$2:$C$36,"=d20270125"),"")</f>
      </c>
      <c r="CK59" s="8">
        <f>IF((0=1),SUMIFS('Daily evaluations'!$E$2:$E$36,'Daily evaluations'!$B$2:$B$36,"=random_08",'Daily evaluations'!$C$2:$C$36,"=d20270126"),"")</f>
      </c>
      <c r="CL59" s="8">
        <f>IF((0=1),SUMIFS('Daily evaluations'!$E$2:$E$36,'Daily evaluations'!$B$2:$B$36,"=random_08",'Daily evaluations'!$C$2:$C$36,"=d20270127"),"")</f>
      </c>
      <c r="CM59" s="8">
        <f>IF((0=1),SUMIFS('Daily evaluations'!$E$2:$E$36,'Daily evaluations'!$B$2:$B$36,"=random_08",'Daily evaluations'!$C$2:$C$36,"=d20270128"),"")</f>
      </c>
      <c r="CN59" s="8">
        <f>IF((0=1),SUMIFS('Daily evaluations'!$E$2:$E$36,'Daily evaluations'!$B$2:$B$36,"=random_08",'Daily evaluations'!$C$2:$C$36,"=d20270129"),"")</f>
      </c>
      <c r="CO59" s="8">
        <f>IF((0=1),SUMIFS('Daily evaluations'!$E$2:$E$36,'Daily evaluations'!$B$2:$B$36,"=random_08",'Daily evaluations'!$C$2:$C$36,"=d20270201"),"")</f>
      </c>
      <c r="CP59" s="8">
        <f>IF((0=1),SUMIFS('Daily evaluations'!$E$2:$E$36,'Daily evaluations'!$B$2:$B$36,"=random_08",'Daily evaluations'!$C$2:$C$36,"=d20270202"),"")</f>
      </c>
      <c r="CQ59" s="8">
        <f>IF((0=1),SUMIFS('Daily evaluations'!$E$2:$E$36,'Daily evaluations'!$B$2:$B$36,"=random_08",'Daily evaluations'!$C$2:$C$36,"=d20270203"),"")</f>
      </c>
      <c r="CR59" s="8">
        <f>IF((0=1),SUMIFS('Daily evaluations'!$E$2:$E$36,'Daily evaluations'!$B$2:$B$36,"=random_08",'Daily evaluations'!$C$2:$C$36,"=d20270204"),"")</f>
      </c>
      <c r="CS59" s="8">
        <f>IF((0=1),SUMIFS('Daily evaluations'!$E$2:$E$36,'Daily evaluations'!$B$2:$B$36,"=random_08",'Daily evaluations'!$C$2:$C$36,"=d20270205"),"")</f>
      </c>
      <c r="CT59" s="8">
        <f>IF((0=1),SUMIFS('Daily evaluations'!$E$2:$E$36,'Daily evaluations'!$B$2:$B$36,"=random_08",'Daily evaluations'!$C$2:$C$36,"=d20270208"),"")</f>
      </c>
      <c r="CU59" s="8">
        <f>IF((0=1),SUMIFS('Daily evaluations'!$E$2:$E$36,'Daily evaluations'!$B$2:$B$36,"=random_08",'Daily evaluations'!$C$2:$C$36,"=d20270209"),"")</f>
      </c>
      <c r="CV59" s="8">
        <f>IF((0=1),SUMIFS('Daily evaluations'!$E$2:$E$36,'Daily evaluations'!$B$2:$B$36,"=random_08",'Daily evaluations'!$C$2:$C$36,"=d20270210"),"")</f>
      </c>
      <c r="CW59" s="8">
        <f>IF((0=1),SUMIFS('Daily evaluations'!$E$2:$E$36,'Daily evaluations'!$B$2:$B$36,"=random_08",'Daily evaluations'!$C$2:$C$36,"=d20270211"),"")</f>
      </c>
      <c r="CX59" s="8">
        <f>IF((0=1),SUMIFS('Daily evaluations'!$E$2:$E$36,'Daily evaluations'!$B$2:$B$36,"=random_08",'Daily evaluations'!$C$2:$C$36,"=d20270212"),"")</f>
      </c>
    </row>
    <row r="60">
      <c r="A60" s="0" t="inlineStr">
        <is>
          <t xml:space="preserve">Overnight excess vs universe, bps</t>
        </is>
      </c>
      <c r="B60" s="0" t="inlineStr">
        <is>
          <t xml:space="preserve">Random 9</t>
        </is>
      </c>
      <c r="C60" s="8">
        <f>IF((1=1),SUMIFS('Daily evaluations'!$E$2:$E$36,'Daily evaluations'!$B$2:$B$36,"=random_09",'Daily evaluations'!$C$2:$C$36,"=d20260922"),"")</f>
        <v>-0.968</v>
      </c>
      <c r="D60" s="8">
        <f>IF((0=1),SUMIFS('Daily evaluations'!$E$2:$E$36,'Daily evaluations'!$B$2:$B$36,"=random_09",'Daily evaluations'!$C$2:$C$36,"=d20260923"),"")</f>
      </c>
      <c r="E60" s="8">
        <f>IF((0=1),SUMIFS('Daily evaluations'!$E$2:$E$36,'Daily evaluations'!$B$2:$B$36,"=random_09",'Daily evaluations'!$C$2:$C$36,"=d20260924"),"")</f>
      </c>
      <c r="F60" s="8">
        <f>IF((0=1),SUMIFS('Daily evaluations'!$E$2:$E$36,'Daily evaluations'!$B$2:$B$36,"=random_09",'Daily evaluations'!$C$2:$C$36,"=d20260925"),"")</f>
      </c>
      <c r="G60" s="8">
        <f>IF((0=1),SUMIFS('Daily evaluations'!$E$2:$E$36,'Daily evaluations'!$B$2:$B$36,"=random_09",'Daily evaluations'!$C$2:$C$36,"=d20260928"),"")</f>
      </c>
      <c r="H60" s="8">
        <f>IF((0=1),SUMIFS('Daily evaluations'!$E$2:$E$36,'Daily evaluations'!$B$2:$B$36,"=random_09",'Daily evaluations'!$C$2:$C$36,"=d20260929"),"")</f>
      </c>
      <c r="I60" s="8">
        <f>IF((0=1),SUMIFS('Daily evaluations'!$E$2:$E$36,'Daily evaluations'!$B$2:$B$36,"=random_09",'Daily evaluations'!$C$2:$C$36,"=d20260930"),"")</f>
      </c>
      <c r="J60" s="8">
        <f>IF((0=1),SUMIFS('Daily evaluations'!$E$2:$E$36,'Daily evaluations'!$B$2:$B$36,"=random_09",'Daily evaluations'!$C$2:$C$36,"=d20261001"),"")</f>
      </c>
      <c r="K60" s="8">
        <f>IF((0=1),SUMIFS('Daily evaluations'!$E$2:$E$36,'Daily evaluations'!$B$2:$B$36,"=random_09",'Daily evaluations'!$C$2:$C$36,"=d20261002"),"")</f>
      </c>
      <c r="L60" s="8">
        <f>IF((0=1),SUMIFS('Daily evaluations'!$E$2:$E$36,'Daily evaluations'!$B$2:$B$36,"=random_09",'Daily evaluations'!$C$2:$C$36,"=d20261005"),"")</f>
      </c>
      <c r="M60" s="8">
        <f>IF((0=1),SUMIFS('Daily evaluations'!$E$2:$E$36,'Daily evaluations'!$B$2:$B$36,"=random_09",'Daily evaluations'!$C$2:$C$36,"=d20261006"),"")</f>
      </c>
      <c r="N60" s="8">
        <f>IF((0=1),SUMIFS('Daily evaluations'!$E$2:$E$36,'Daily evaluations'!$B$2:$B$36,"=random_09",'Daily evaluations'!$C$2:$C$36,"=d20261007"),"")</f>
      </c>
      <c r="O60" s="8">
        <f>IF((0=1),SUMIFS('Daily evaluations'!$E$2:$E$36,'Daily evaluations'!$B$2:$B$36,"=random_09",'Daily evaluations'!$C$2:$C$36,"=d20261008"),"")</f>
      </c>
      <c r="P60" s="8">
        <f>IF((0=1),SUMIFS('Daily evaluations'!$E$2:$E$36,'Daily evaluations'!$B$2:$B$36,"=random_09",'Daily evaluations'!$C$2:$C$36,"=d20261009"),"")</f>
      </c>
      <c r="Q60" s="8">
        <f>IF((0=1),SUMIFS('Daily evaluations'!$E$2:$E$36,'Daily evaluations'!$B$2:$B$36,"=random_09",'Daily evaluations'!$C$2:$C$36,"=d20261012"),"")</f>
      </c>
      <c r="R60" s="8">
        <f>IF((0=1),SUMIFS('Daily evaluations'!$E$2:$E$36,'Daily evaluations'!$B$2:$B$36,"=random_09",'Daily evaluations'!$C$2:$C$36,"=d20261013"),"")</f>
      </c>
      <c r="S60" s="8">
        <f>IF((0=1),SUMIFS('Daily evaluations'!$E$2:$E$36,'Daily evaluations'!$B$2:$B$36,"=random_09",'Daily evaluations'!$C$2:$C$36,"=d20261014"),"")</f>
      </c>
      <c r="T60" s="8">
        <f>IF((0=1),SUMIFS('Daily evaluations'!$E$2:$E$36,'Daily evaluations'!$B$2:$B$36,"=random_09",'Daily evaluations'!$C$2:$C$36,"=d20261015"),"")</f>
      </c>
      <c r="U60" s="8">
        <f>IF((0=1),SUMIFS('Daily evaluations'!$E$2:$E$36,'Daily evaluations'!$B$2:$B$36,"=random_09",'Daily evaluations'!$C$2:$C$36,"=d20261016"),"")</f>
      </c>
      <c r="V60" s="8">
        <f>IF((0=1),SUMIFS('Daily evaluations'!$E$2:$E$36,'Daily evaluations'!$B$2:$B$36,"=random_09",'Daily evaluations'!$C$2:$C$36,"=d20261019"),"")</f>
      </c>
      <c r="W60" s="8">
        <f>IF((0=1),SUMIFS('Daily evaluations'!$E$2:$E$36,'Daily evaluations'!$B$2:$B$36,"=random_09",'Daily evaluations'!$C$2:$C$36,"=d20261020"),"")</f>
      </c>
      <c r="X60" s="8">
        <f>IF((0=1),SUMIFS('Daily evaluations'!$E$2:$E$36,'Daily evaluations'!$B$2:$B$36,"=random_09",'Daily evaluations'!$C$2:$C$36,"=d20261021"),"")</f>
      </c>
      <c r="Y60" s="8">
        <f>IF((0=1),SUMIFS('Daily evaluations'!$E$2:$E$36,'Daily evaluations'!$B$2:$B$36,"=random_09",'Daily evaluations'!$C$2:$C$36,"=d20261022"),"")</f>
      </c>
      <c r="Z60" s="8">
        <f>IF((0=1),SUMIFS('Daily evaluations'!$E$2:$E$36,'Daily evaluations'!$B$2:$B$36,"=random_09",'Daily evaluations'!$C$2:$C$36,"=d20261023"),"")</f>
      </c>
      <c r="AA60" s="8">
        <f>IF((0=1),SUMIFS('Daily evaluations'!$E$2:$E$36,'Daily evaluations'!$B$2:$B$36,"=random_09",'Daily evaluations'!$C$2:$C$36,"=d20261026"),"")</f>
      </c>
      <c r="AB60" s="8">
        <f>IF((0=1),SUMIFS('Daily evaluations'!$E$2:$E$36,'Daily evaluations'!$B$2:$B$36,"=random_09",'Daily evaluations'!$C$2:$C$36,"=d20261027"),"")</f>
      </c>
      <c r="AC60" s="8">
        <f>IF((0=1),SUMIFS('Daily evaluations'!$E$2:$E$36,'Daily evaluations'!$B$2:$B$36,"=random_09",'Daily evaluations'!$C$2:$C$36,"=d20261028"),"")</f>
      </c>
      <c r="AD60" s="8">
        <f>IF((0=1),SUMIFS('Daily evaluations'!$E$2:$E$36,'Daily evaluations'!$B$2:$B$36,"=random_09",'Daily evaluations'!$C$2:$C$36,"=d20261029"),"")</f>
      </c>
      <c r="AE60" s="8">
        <f>IF((0=1),SUMIFS('Daily evaluations'!$E$2:$E$36,'Daily evaluations'!$B$2:$B$36,"=random_09",'Daily evaluations'!$C$2:$C$36,"=d20261030"),"")</f>
      </c>
      <c r="AF60" s="8">
        <f>IF((0=1),SUMIFS('Daily evaluations'!$E$2:$E$36,'Daily evaluations'!$B$2:$B$36,"=random_09",'Daily evaluations'!$C$2:$C$36,"=d20261102"),"")</f>
      </c>
      <c r="AG60" s="8">
        <f>IF((0=1),SUMIFS('Daily evaluations'!$E$2:$E$36,'Daily evaluations'!$B$2:$B$36,"=random_09",'Daily evaluations'!$C$2:$C$36,"=d20261103"),"")</f>
      </c>
      <c r="AH60" s="8">
        <f>IF((0=1),SUMIFS('Daily evaluations'!$E$2:$E$36,'Daily evaluations'!$B$2:$B$36,"=random_09",'Daily evaluations'!$C$2:$C$36,"=d20261104"),"")</f>
      </c>
      <c r="AI60" s="8">
        <f>IF((0=1),SUMIFS('Daily evaluations'!$E$2:$E$36,'Daily evaluations'!$B$2:$B$36,"=random_09",'Daily evaluations'!$C$2:$C$36,"=d20261105"),"")</f>
      </c>
      <c r="AJ60" s="8">
        <f>IF((0=1),SUMIFS('Daily evaluations'!$E$2:$E$36,'Daily evaluations'!$B$2:$B$36,"=random_09",'Daily evaluations'!$C$2:$C$36,"=d20261106"),"")</f>
      </c>
      <c r="AK60" s="8">
        <f>IF((0=1),SUMIFS('Daily evaluations'!$E$2:$E$36,'Daily evaluations'!$B$2:$B$36,"=random_09",'Daily evaluations'!$C$2:$C$36,"=d20261109"),"")</f>
      </c>
      <c r="AL60" s="8">
        <f>IF((0=1),SUMIFS('Daily evaluations'!$E$2:$E$36,'Daily evaluations'!$B$2:$B$36,"=random_09",'Daily evaluations'!$C$2:$C$36,"=d20261110"),"")</f>
      </c>
      <c r="AM60" s="8">
        <f>IF((0=1),SUMIFS('Daily evaluations'!$E$2:$E$36,'Daily evaluations'!$B$2:$B$36,"=random_09",'Daily evaluations'!$C$2:$C$36,"=d20261111"),"")</f>
      </c>
      <c r="AN60" s="8">
        <f>IF((0=1),SUMIFS('Daily evaluations'!$E$2:$E$36,'Daily evaluations'!$B$2:$B$36,"=random_09",'Daily evaluations'!$C$2:$C$36,"=d20261112"),"")</f>
      </c>
      <c r="AO60" s="8">
        <f>IF((0=1),SUMIFS('Daily evaluations'!$E$2:$E$36,'Daily evaluations'!$B$2:$B$36,"=random_09",'Daily evaluations'!$C$2:$C$36,"=d20261113"),"")</f>
      </c>
      <c r="AP60" s="8">
        <f>IF((0=1),SUMIFS('Daily evaluations'!$E$2:$E$36,'Daily evaluations'!$B$2:$B$36,"=random_09",'Daily evaluations'!$C$2:$C$36,"=d20261116"),"")</f>
      </c>
      <c r="AQ60" s="8">
        <f>IF((0=1),SUMIFS('Daily evaluations'!$E$2:$E$36,'Daily evaluations'!$B$2:$B$36,"=random_09",'Daily evaluations'!$C$2:$C$36,"=d20261117"),"")</f>
      </c>
      <c r="AR60" s="8">
        <f>IF((0=1),SUMIFS('Daily evaluations'!$E$2:$E$36,'Daily evaluations'!$B$2:$B$36,"=random_09",'Daily evaluations'!$C$2:$C$36,"=d20261118"),"")</f>
      </c>
      <c r="AS60" s="8">
        <f>IF((0=1),SUMIFS('Daily evaluations'!$E$2:$E$36,'Daily evaluations'!$B$2:$B$36,"=random_09",'Daily evaluations'!$C$2:$C$36,"=d20261119"),"")</f>
      </c>
      <c r="AT60" s="8">
        <f>IF((0=1),SUMIFS('Daily evaluations'!$E$2:$E$36,'Daily evaluations'!$B$2:$B$36,"=random_09",'Daily evaluations'!$C$2:$C$36,"=d20261120"),"")</f>
      </c>
      <c r="AU60" s="8">
        <f>IF((0=1),SUMIFS('Daily evaluations'!$E$2:$E$36,'Daily evaluations'!$B$2:$B$36,"=random_09",'Daily evaluations'!$C$2:$C$36,"=d20261123"),"")</f>
      </c>
      <c r="AV60" s="8">
        <f>IF((0=1),SUMIFS('Daily evaluations'!$E$2:$E$36,'Daily evaluations'!$B$2:$B$36,"=random_09",'Daily evaluations'!$C$2:$C$36,"=d20261124"),"")</f>
      </c>
      <c r="AW60" s="8">
        <f>IF((0=1),SUMIFS('Daily evaluations'!$E$2:$E$36,'Daily evaluations'!$B$2:$B$36,"=random_09",'Daily evaluations'!$C$2:$C$36,"=d20261125"),"")</f>
      </c>
      <c r="AX60" s="8">
        <f>IF((0=1),SUMIFS('Daily evaluations'!$E$2:$E$36,'Daily evaluations'!$B$2:$B$36,"=random_09",'Daily evaluations'!$C$2:$C$36,"=d20261127"),"")</f>
      </c>
      <c r="AY60" s="8">
        <f>IF((0=1),SUMIFS('Daily evaluations'!$E$2:$E$36,'Daily evaluations'!$B$2:$B$36,"=random_09",'Daily evaluations'!$C$2:$C$36,"=d20261130"),"")</f>
      </c>
      <c r="AZ60" s="8">
        <f>IF((0=1),SUMIFS('Daily evaluations'!$E$2:$E$36,'Daily evaluations'!$B$2:$B$36,"=random_09",'Daily evaluations'!$C$2:$C$36,"=d20261201"),"")</f>
      </c>
      <c r="BA60" s="8">
        <f>IF((0=1),SUMIFS('Daily evaluations'!$E$2:$E$36,'Daily evaluations'!$B$2:$B$36,"=random_09",'Daily evaluations'!$C$2:$C$36,"=d20261202"),"")</f>
      </c>
      <c r="BB60" s="8">
        <f>IF((0=1),SUMIFS('Daily evaluations'!$E$2:$E$36,'Daily evaluations'!$B$2:$B$36,"=random_09",'Daily evaluations'!$C$2:$C$36,"=d20261203"),"")</f>
      </c>
      <c r="BC60" s="8">
        <f>IF((0=1),SUMIFS('Daily evaluations'!$E$2:$E$36,'Daily evaluations'!$B$2:$B$36,"=random_09",'Daily evaluations'!$C$2:$C$36,"=d20261204"),"")</f>
      </c>
      <c r="BD60" s="8">
        <f>IF((0=1),SUMIFS('Daily evaluations'!$E$2:$E$36,'Daily evaluations'!$B$2:$B$36,"=random_09",'Daily evaluations'!$C$2:$C$36,"=d20261207"),"")</f>
      </c>
      <c r="BE60" s="8">
        <f>IF((0=1),SUMIFS('Daily evaluations'!$E$2:$E$36,'Daily evaluations'!$B$2:$B$36,"=random_09",'Daily evaluations'!$C$2:$C$36,"=d20261208"),"")</f>
      </c>
      <c r="BF60" s="8">
        <f>IF((0=1),SUMIFS('Daily evaluations'!$E$2:$E$36,'Daily evaluations'!$B$2:$B$36,"=random_09",'Daily evaluations'!$C$2:$C$36,"=d20261209"),"")</f>
      </c>
      <c r="BG60" s="8">
        <f>IF((0=1),SUMIFS('Daily evaluations'!$E$2:$E$36,'Daily evaluations'!$B$2:$B$36,"=random_09",'Daily evaluations'!$C$2:$C$36,"=d20261210"),"")</f>
      </c>
      <c r="BH60" s="8">
        <f>IF((0=1),SUMIFS('Daily evaluations'!$E$2:$E$36,'Daily evaluations'!$B$2:$B$36,"=random_09",'Daily evaluations'!$C$2:$C$36,"=d20261211"),"")</f>
      </c>
      <c r="BI60" s="8">
        <f>IF((0=1),SUMIFS('Daily evaluations'!$E$2:$E$36,'Daily evaluations'!$B$2:$B$36,"=random_09",'Daily evaluations'!$C$2:$C$36,"=d20261214"),"")</f>
      </c>
      <c r="BJ60" s="8">
        <f>IF((0=1),SUMIFS('Daily evaluations'!$E$2:$E$36,'Daily evaluations'!$B$2:$B$36,"=random_09",'Daily evaluations'!$C$2:$C$36,"=d20261215"),"")</f>
      </c>
      <c r="BK60" s="8">
        <f>IF((0=1),SUMIFS('Daily evaluations'!$E$2:$E$36,'Daily evaluations'!$B$2:$B$36,"=random_09",'Daily evaluations'!$C$2:$C$36,"=d20261216"),"")</f>
      </c>
      <c r="BL60" s="8">
        <f>IF((0=1),SUMIFS('Daily evaluations'!$E$2:$E$36,'Daily evaluations'!$B$2:$B$36,"=random_09",'Daily evaluations'!$C$2:$C$36,"=d20261217"),"")</f>
      </c>
      <c r="BM60" s="8">
        <f>IF((0=1),SUMIFS('Daily evaluations'!$E$2:$E$36,'Daily evaluations'!$B$2:$B$36,"=random_09",'Daily evaluations'!$C$2:$C$36,"=d20261218"),"")</f>
      </c>
      <c r="BN60" s="8">
        <f>IF((0=1),SUMIFS('Daily evaluations'!$E$2:$E$36,'Daily evaluations'!$B$2:$B$36,"=random_09",'Daily evaluations'!$C$2:$C$36,"=d20261221"),"")</f>
      </c>
      <c r="BO60" s="8">
        <f>IF((0=1),SUMIFS('Daily evaluations'!$E$2:$E$36,'Daily evaluations'!$B$2:$B$36,"=random_09",'Daily evaluations'!$C$2:$C$36,"=d20261222"),"")</f>
      </c>
      <c r="BP60" s="8">
        <f>IF((0=1),SUMIFS('Daily evaluations'!$E$2:$E$36,'Daily evaluations'!$B$2:$B$36,"=random_09",'Daily evaluations'!$C$2:$C$36,"=d20261223"),"")</f>
      </c>
      <c r="BQ60" s="8">
        <f>IF((0=1),SUMIFS('Daily evaluations'!$E$2:$E$36,'Daily evaluations'!$B$2:$B$36,"=random_09",'Daily evaluations'!$C$2:$C$36,"=d20261224"),"")</f>
      </c>
      <c r="BR60" s="8">
        <f>IF((0=1),SUMIFS('Daily evaluations'!$E$2:$E$36,'Daily evaluations'!$B$2:$B$36,"=random_09",'Daily evaluations'!$C$2:$C$36,"=d20261228"),"")</f>
      </c>
      <c r="BS60" s="8">
        <f>IF((0=1),SUMIFS('Daily evaluations'!$E$2:$E$36,'Daily evaluations'!$B$2:$B$36,"=random_09",'Daily evaluations'!$C$2:$C$36,"=d20261229"),"")</f>
      </c>
      <c r="BT60" s="8">
        <f>IF((0=1),SUMIFS('Daily evaluations'!$E$2:$E$36,'Daily evaluations'!$B$2:$B$36,"=random_09",'Daily evaluations'!$C$2:$C$36,"=d20261230"),"")</f>
      </c>
      <c r="BU60" s="8">
        <f>IF((0=1),SUMIFS('Daily evaluations'!$E$2:$E$36,'Daily evaluations'!$B$2:$B$36,"=random_09",'Daily evaluations'!$C$2:$C$36,"=d20261231"),"")</f>
      </c>
      <c r="BV60" s="8">
        <f>IF((0=1),SUMIFS('Daily evaluations'!$E$2:$E$36,'Daily evaluations'!$B$2:$B$36,"=random_09",'Daily evaluations'!$C$2:$C$36,"=d20270104"),"")</f>
      </c>
      <c r="BW60" s="8">
        <f>IF((0=1),SUMIFS('Daily evaluations'!$E$2:$E$36,'Daily evaluations'!$B$2:$B$36,"=random_09",'Daily evaluations'!$C$2:$C$36,"=d20270105"),"")</f>
      </c>
      <c r="BX60" s="8">
        <f>IF((0=1),SUMIFS('Daily evaluations'!$E$2:$E$36,'Daily evaluations'!$B$2:$B$36,"=random_09",'Daily evaluations'!$C$2:$C$36,"=d20270106"),"")</f>
      </c>
      <c r="BY60" s="8">
        <f>IF((0=1),SUMIFS('Daily evaluations'!$E$2:$E$36,'Daily evaluations'!$B$2:$B$36,"=random_09",'Daily evaluations'!$C$2:$C$36,"=d20270107"),"")</f>
      </c>
      <c r="BZ60" s="8">
        <f>IF((0=1),SUMIFS('Daily evaluations'!$E$2:$E$36,'Daily evaluations'!$B$2:$B$36,"=random_09",'Daily evaluations'!$C$2:$C$36,"=d20270108"),"")</f>
      </c>
      <c r="CA60" s="8">
        <f>IF((0=1),SUMIFS('Daily evaluations'!$E$2:$E$36,'Daily evaluations'!$B$2:$B$36,"=random_09",'Daily evaluations'!$C$2:$C$36,"=d20270111"),"")</f>
      </c>
      <c r="CB60" s="8">
        <f>IF((0=1),SUMIFS('Daily evaluations'!$E$2:$E$36,'Daily evaluations'!$B$2:$B$36,"=random_09",'Daily evaluations'!$C$2:$C$36,"=d20270112"),"")</f>
      </c>
      <c r="CC60" s="8">
        <f>IF((0=1),SUMIFS('Daily evaluations'!$E$2:$E$36,'Daily evaluations'!$B$2:$B$36,"=random_09",'Daily evaluations'!$C$2:$C$36,"=d20270113"),"")</f>
      </c>
      <c r="CD60" s="8">
        <f>IF((0=1),SUMIFS('Daily evaluations'!$E$2:$E$36,'Daily evaluations'!$B$2:$B$36,"=random_09",'Daily evaluations'!$C$2:$C$36,"=d20270114"),"")</f>
      </c>
      <c r="CE60" s="8">
        <f>IF((0=1),SUMIFS('Daily evaluations'!$E$2:$E$36,'Daily evaluations'!$B$2:$B$36,"=random_09",'Daily evaluations'!$C$2:$C$36,"=d20270115"),"")</f>
      </c>
      <c r="CF60" s="8">
        <f>IF((0=1),SUMIFS('Daily evaluations'!$E$2:$E$36,'Daily evaluations'!$B$2:$B$36,"=random_09",'Daily evaluations'!$C$2:$C$36,"=d20270119"),"")</f>
      </c>
      <c r="CG60" s="8">
        <f>IF((0=1),SUMIFS('Daily evaluations'!$E$2:$E$36,'Daily evaluations'!$B$2:$B$36,"=random_09",'Daily evaluations'!$C$2:$C$36,"=d20270120"),"")</f>
      </c>
      <c r="CH60" s="8">
        <f>IF((0=1),SUMIFS('Daily evaluations'!$E$2:$E$36,'Daily evaluations'!$B$2:$B$36,"=random_09",'Daily evaluations'!$C$2:$C$36,"=d20270121"),"")</f>
      </c>
      <c r="CI60" s="8">
        <f>IF((0=1),SUMIFS('Daily evaluations'!$E$2:$E$36,'Daily evaluations'!$B$2:$B$36,"=random_09",'Daily evaluations'!$C$2:$C$36,"=d20270122"),"")</f>
      </c>
      <c r="CJ60" s="8">
        <f>IF((0=1),SUMIFS('Daily evaluations'!$E$2:$E$36,'Daily evaluations'!$B$2:$B$36,"=random_09",'Daily evaluations'!$C$2:$C$36,"=d20270125"),"")</f>
      </c>
      <c r="CK60" s="8">
        <f>IF((0=1),SUMIFS('Daily evaluations'!$E$2:$E$36,'Daily evaluations'!$B$2:$B$36,"=random_09",'Daily evaluations'!$C$2:$C$36,"=d20270126"),"")</f>
      </c>
      <c r="CL60" s="8">
        <f>IF((0=1),SUMIFS('Daily evaluations'!$E$2:$E$36,'Daily evaluations'!$B$2:$B$36,"=random_09",'Daily evaluations'!$C$2:$C$36,"=d20270127"),"")</f>
      </c>
      <c r="CM60" s="8">
        <f>IF((0=1),SUMIFS('Daily evaluations'!$E$2:$E$36,'Daily evaluations'!$B$2:$B$36,"=random_09",'Daily evaluations'!$C$2:$C$36,"=d20270128"),"")</f>
      </c>
      <c r="CN60" s="8">
        <f>IF((0=1),SUMIFS('Daily evaluations'!$E$2:$E$36,'Daily evaluations'!$B$2:$B$36,"=random_09",'Daily evaluations'!$C$2:$C$36,"=d20270129"),"")</f>
      </c>
      <c r="CO60" s="8">
        <f>IF((0=1),SUMIFS('Daily evaluations'!$E$2:$E$36,'Daily evaluations'!$B$2:$B$36,"=random_09",'Daily evaluations'!$C$2:$C$36,"=d20270201"),"")</f>
      </c>
      <c r="CP60" s="8">
        <f>IF((0=1),SUMIFS('Daily evaluations'!$E$2:$E$36,'Daily evaluations'!$B$2:$B$36,"=random_09",'Daily evaluations'!$C$2:$C$36,"=d20270202"),"")</f>
      </c>
      <c r="CQ60" s="8">
        <f>IF((0=1),SUMIFS('Daily evaluations'!$E$2:$E$36,'Daily evaluations'!$B$2:$B$36,"=random_09",'Daily evaluations'!$C$2:$C$36,"=d20270203"),"")</f>
      </c>
      <c r="CR60" s="8">
        <f>IF((0=1),SUMIFS('Daily evaluations'!$E$2:$E$36,'Daily evaluations'!$B$2:$B$36,"=random_09",'Daily evaluations'!$C$2:$C$36,"=d20270204"),"")</f>
      </c>
      <c r="CS60" s="8">
        <f>IF((0=1),SUMIFS('Daily evaluations'!$E$2:$E$36,'Daily evaluations'!$B$2:$B$36,"=random_09",'Daily evaluations'!$C$2:$C$36,"=d20270205"),"")</f>
      </c>
      <c r="CT60" s="8">
        <f>IF((0=1),SUMIFS('Daily evaluations'!$E$2:$E$36,'Daily evaluations'!$B$2:$B$36,"=random_09",'Daily evaluations'!$C$2:$C$36,"=d20270208"),"")</f>
      </c>
      <c r="CU60" s="8">
        <f>IF((0=1),SUMIFS('Daily evaluations'!$E$2:$E$36,'Daily evaluations'!$B$2:$B$36,"=random_09",'Daily evaluations'!$C$2:$C$36,"=d20270209"),"")</f>
      </c>
      <c r="CV60" s="8">
        <f>IF((0=1),SUMIFS('Daily evaluations'!$E$2:$E$36,'Daily evaluations'!$B$2:$B$36,"=random_09",'Daily evaluations'!$C$2:$C$36,"=d20270210"),"")</f>
      </c>
      <c r="CW60" s="8">
        <f>IF((0=1),SUMIFS('Daily evaluations'!$E$2:$E$36,'Daily evaluations'!$B$2:$B$36,"=random_09",'Daily evaluations'!$C$2:$C$36,"=d20270211"),"")</f>
      </c>
      <c r="CX60" s="8">
        <f>IF((0=1),SUMIFS('Daily evaluations'!$E$2:$E$36,'Daily evaluations'!$B$2:$B$36,"=random_09",'Daily evaluations'!$C$2:$C$36,"=d20270212"),"")</f>
      </c>
    </row>
    <row r="61">
      <c r="A61" s="0" t="inlineStr">
        <is>
          <t xml:space="preserve">Overnight excess vs universe, bps</t>
        </is>
      </c>
      <c r="B61" s="0" t="inlineStr">
        <is>
          <t xml:space="preserve">Random 10</t>
        </is>
      </c>
      <c r="C61" s="8">
        <f>IF((1=1),SUMIFS('Daily evaluations'!$E$2:$E$36,'Daily evaluations'!$B$2:$B$36,"=random_10",'Daily evaluations'!$C$2:$C$36,"=d20260922"),"")</f>
        <v>3.649</v>
      </c>
      <c r="D61" s="8">
        <f>IF((0=1),SUMIFS('Daily evaluations'!$E$2:$E$36,'Daily evaluations'!$B$2:$B$36,"=random_10",'Daily evaluations'!$C$2:$C$36,"=d20260923"),"")</f>
      </c>
      <c r="E61" s="8">
        <f>IF((0=1),SUMIFS('Daily evaluations'!$E$2:$E$36,'Daily evaluations'!$B$2:$B$36,"=random_10",'Daily evaluations'!$C$2:$C$36,"=d20260924"),"")</f>
      </c>
      <c r="F61" s="8">
        <f>IF((0=1),SUMIFS('Daily evaluations'!$E$2:$E$36,'Daily evaluations'!$B$2:$B$36,"=random_10",'Daily evaluations'!$C$2:$C$36,"=d20260925"),"")</f>
      </c>
      <c r="G61" s="8">
        <f>IF((0=1),SUMIFS('Daily evaluations'!$E$2:$E$36,'Daily evaluations'!$B$2:$B$36,"=random_10",'Daily evaluations'!$C$2:$C$36,"=d20260928"),"")</f>
      </c>
      <c r="H61" s="8">
        <f>IF((0=1),SUMIFS('Daily evaluations'!$E$2:$E$36,'Daily evaluations'!$B$2:$B$36,"=random_10",'Daily evaluations'!$C$2:$C$36,"=d20260929"),"")</f>
      </c>
      <c r="I61" s="8">
        <f>IF((0=1),SUMIFS('Daily evaluations'!$E$2:$E$36,'Daily evaluations'!$B$2:$B$36,"=random_10",'Daily evaluations'!$C$2:$C$36,"=d20260930"),"")</f>
      </c>
      <c r="J61" s="8">
        <f>IF((0=1),SUMIFS('Daily evaluations'!$E$2:$E$36,'Daily evaluations'!$B$2:$B$36,"=random_10",'Daily evaluations'!$C$2:$C$36,"=d20261001"),"")</f>
      </c>
      <c r="K61" s="8">
        <f>IF((0=1),SUMIFS('Daily evaluations'!$E$2:$E$36,'Daily evaluations'!$B$2:$B$36,"=random_10",'Daily evaluations'!$C$2:$C$36,"=d20261002"),"")</f>
      </c>
      <c r="L61" s="8">
        <f>IF((0=1),SUMIFS('Daily evaluations'!$E$2:$E$36,'Daily evaluations'!$B$2:$B$36,"=random_10",'Daily evaluations'!$C$2:$C$36,"=d20261005"),"")</f>
      </c>
      <c r="M61" s="8">
        <f>IF((0=1),SUMIFS('Daily evaluations'!$E$2:$E$36,'Daily evaluations'!$B$2:$B$36,"=random_10",'Daily evaluations'!$C$2:$C$36,"=d20261006"),"")</f>
      </c>
      <c r="N61" s="8">
        <f>IF((0=1),SUMIFS('Daily evaluations'!$E$2:$E$36,'Daily evaluations'!$B$2:$B$36,"=random_10",'Daily evaluations'!$C$2:$C$36,"=d20261007"),"")</f>
      </c>
      <c r="O61" s="8">
        <f>IF((0=1),SUMIFS('Daily evaluations'!$E$2:$E$36,'Daily evaluations'!$B$2:$B$36,"=random_10",'Daily evaluations'!$C$2:$C$36,"=d20261008"),"")</f>
      </c>
      <c r="P61" s="8">
        <f>IF((0=1),SUMIFS('Daily evaluations'!$E$2:$E$36,'Daily evaluations'!$B$2:$B$36,"=random_10",'Daily evaluations'!$C$2:$C$36,"=d20261009"),"")</f>
      </c>
      <c r="Q61" s="8">
        <f>IF((0=1),SUMIFS('Daily evaluations'!$E$2:$E$36,'Daily evaluations'!$B$2:$B$36,"=random_10",'Daily evaluations'!$C$2:$C$36,"=d20261012"),"")</f>
      </c>
      <c r="R61" s="8">
        <f>IF((0=1),SUMIFS('Daily evaluations'!$E$2:$E$36,'Daily evaluations'!$B$2:$B$36,"=random_10",'Daily evaluations'!$C$2:$C$36,"=d20261013"),"")</f>
      </c>
      <c r="S61" s="8">
        <f>IF((0=1),SUMIFS('Daily evaluations'!$E$2:$E$36,'Daily evaluations'!$B$2:$B$36,"=random_10",'Daily evaluations'!$C$2:$C$36,"=d20261014"),"")</f>
      </c>
      <c r="T61" s="8">
        <f>IF((0=1),SUMIFS('Daily evaluations'!$E$2:$E$36,'Daily evaluations'!$B$2:$B$36,"=random_10",'Daily evaluations'!$C$2:$C$36,"=d20261015"),"")</f>
      </c>
      <c r="U61" s="8">
        <f>IF((0=1),SUMIFS('Daily evaluations'!$E$2:$E$36,'Daily evaluations'!$B$2:$B$36,"=random_10",'Daily evaluations'!$C$2:$C$36,"=d20261016"),"")</f>
      </c>
      <c r="V61" s="8">
        <f>IF((0=1),SUMIFS('Daily evaluations'!$E$2:$E$36,'Daily evaluations'!$B$2:$B$36,"=random_10",'Daily evaluations'!$C$2:$C$36,"=d20261019"),"")</f>
      </c>
      <c r="W61" s="8">
        <f>IF((0=1),SUMIFS('Daily evaluations'!$E$2:$E$36,'Daily evaluations'!$B$2:$B$36,"=random_10",'Daily evaluations'!$C$2:$C$36,"=d20261020"),"")</f>
      </c>
      <c r="X61" s="8">
        <f>IF((0=1),SUMIFS('Daily evaluations'!$E$2:$E$36,'Daily evaluations'!$B$2:$B$36,"=random_10",'Daily evaluations'!$C$2:$C$36,"=d20261021"),"")</f>
      </c>
      <c r="Y61" s="8">
        <f>IF((0=1),SUMIFS('Daily evaluations'!$E$2:$E$36,'Daily evaluations'!$B$2:$B$36,"=random_10",'Daily evaluations'!$C$2:$C$36,"=d20261022"),"")</f>
      </c>
      <c r="Z61" s="8">
        <f>IF((0=1),SUMIFS('Daily evaluations'!$E$2:$E$36,'Daily evaluations'!$B$2:$B$36,"=random_10",'Daily evaluations'!$C$2:$C$36,"=d20261023"),"")</f>
      </c>
      <c r="AA61" s="8">
        <f>IF((0=1),SUMIFS('Daily evaluations'!$E$2:$E$36,'Daily evaluations'!$B$2:$B$36,"=random_10",'Daily evaluations'!$C$2:$C$36,"=d20261026"),"")</f>
      </c>
      <c r="AB61" s="8">
        <f>IF((0=1),SUMIFS('Daily evaluations'!$E$2:$E$36,'Daily evaluations'!$B$2:$B$36,"=random_10",'Daily evaluations'!$C$2:$C$36,"=d20261027"),"")</f>
      </c>
      <c r="AC61" s="8">
        <f>IF((0=1),SUMIFS('Daily evaluations'!$E$2:$E$36,'Daily evaluations'!$B$2:$B$36,"=random_10",'Daily evaluations'!$C$2:$C$36,"=d20261028"),"")</f>
      </c>
      <c r="AD61" s="8">
        <f>IF((0=1),SUMIFS('Daily evaluations'!$E$2:$E$36,'Daily evaluations'!$B$2:$B$36,"=random_10",'Daily evaluations'!$C$2:$C$36,"=d20261029"),"")</f>
      </c>
      <c r="AE61" s="8">
        <f>IF((0=1),SUMIFS('Daily evaluations'!$E$2:$E$36,'Daily evaluations'!$B$2:$B$36,"=random_10",'Daily evaluations'!$C$2:$C$36,"=d20261030"),"")</f>
      </c>
      <c r="AF61" s="8">
        <f>IF((0=1),SUMIFS('Daily evaluations'!$E$2:$E$36,'Daily evaluations'!$B$2:$B$36,"=random_10",'Daily evaluations'!$C$2:$C$36,"=d20261102"),"")</f>
      </c>
      <c r="AG61" s="8">
        <f>IF((0=1),SUMIFS('Daily evaluations'!$E$2:$E$36,'Daily evaluations'!$B$2:$B$36,"=random_10",'Daily evaluations'!$C$2:$C$36,"=d20261103"),"")</f>
      </c>
      <c r="AH61" s="8">
        <f>IF((0=1),SUMIFS('Daily evaluations'!$E$2:$E$36,'Daily evaluations'!$B$2:$B$36,"=random_10",'Daily evaluations'!$C$2:$C$36,"=d20261104"),"")</f>
      </c>
      <c r="AI61" s="8">
        <f>IF((0=1),SUMIFS('Daily evaluations'!$E$2:$E$36,'Daily evaluations'!$B$2:$B$36,"=random_10",'Daily evaluations'!$C$2:$C$36,"=d20261105"),"")</f>
      </c>
      <c r="AJ61" s="8">
        <f>IF((0=1),SUMIFS('Daily evaluations'!$E$2:$E$36,'Daily evaluations'!$B$2:$B$36,"=random_10",'Daily evaluations'!$C$2:$C$36,"=d20261106"),"")</f>
      </c>
      <c r="AK61" s="8">
        <f>IF((0=1),SUMIFS('Daily evaluations'!$E$2:$E$36,'Daily evaluations'!$B$2:$B$36,"=random_10",'Daily evaluations'!$C$2:$C$36,"=d20261109"),"")</f>
      </c>
      <c r="AL61" s="8">
        <f>IF((0=1),SUMIFS('Daily evaluations'!$E$2:$E$36,'Daily evaluations'!$B$2:$B$36,"=random_10",'Daily evaluations'!$C$2:$C$36,"=d20261110"),"")</f>
      </c>
      <c r="AM61" s="8">
        <f>IF((0=1),SUMIFS('Daily evaluations'!$E$2:$E$36,'Daily evaluations'!$B$2:$B$36,"=random_10",'Daily evaluations'!$C$2:$C$36,"=d20261111"),"")</f>
      </c>
      <c r="AN61" s="8">
        <f>IF((0=1),SUMIFS('Daily evaluations'!$E$2:$E$36,'Daily evaluations'!$B$2:$B$36,"=random_10",'Daily evaluations'!$C$2:$C$36,"=d20261112"),"")</f>
      </c>
      <c r="AO61" s="8">
        <f>IF((0=1),SUMIFS('Daily evaluations'!$E$2:$E$36,'Daily evaluations'!$B$2:$B$36,"=random_10",'Daily evaluations'!$C$2:$C$36,"=d20261113"),"")</f>
      </c>
      <c r="AP61" s="8">
        <f>IF((0=1),SUMIFS('Daily evaluations'!$E$2:$E$36,'Daily evaluations'!$B$2:$B$36,"=random_10",'Daily evaluations'!$C$2:$C$36,"=d20261116"),"")</f>
      </c>
      <c r="AQ61" s="8">
        <f>IF((0=1),SUMIFS('Daily evaluations'!$E$2:$E$36,'Daily evaluations'!$B$2:$B$36,"=random_10",'Daily evaluations'!$C$2:$C$36,"=d20261117"),"")</f>
      </c>
      <c r="AR61" s="8">
        <f>IF((0=1),SUMIFS('Daily evaluations'!$E$2:$E$36,'Daily evaluations'!$B$2:$B$36,"=random_10",'Daily evaluations'!$C$2:$C$36,"=d20261118"),"")</f>
      </c>
      <c r="AS61" s="8">
        <f>IF((0=1),SUMIFS('Daily evaluations'!$E$2:$E$36,'Daily evaluations'!$B$2:$B$36,"=random_10",'Daily evaluations'!$C$2:$C$36,"=d20261119"),"")</f>
      </c>
      <c r="AT61" s="8">
        <f>IF((0=1),SUMIFS('Daily evaluations'!$E$2:$E$36,'Daily evaluations'!$B$2:$B$36,"=random_10",'Daily evaluations'!$C$2:$C$36,"=d20261120"),"")</f>
      </c>
      <c r="AU61" s="8">
        <f>IF((0=1),SUMIFS('Daily evaluations'!$E$2:$E$36,'Daily evaluations'!$B$2:$B$36,"=random_10",'Daily evaluations'!$C$2:$C$36,"=d20261123"),"")</f>
      </c>
      <c r="AV61" s="8">
        <f>IF((0=1),SUMIFS('Daily evaluations'!$E$2:$E$36,'Daily evaluations'!$B$2:$B$36,"=random_10",'Daily evaluations'!$C$2:$C$36,"=d20261124"),"")</f>
      </c>
      <c r="AW61" s="8">
        <f>IF((0=1),SUMIFS('Daily evaluations'!$E$2:$E$36,'Daily evaluations'!$B$2:$B$36,"=random_10",'Daily evaluations'!$C$2:$C$36,"=d20261125"),"")</f>
      </c>
      <c r="AX61" s="8">
        <f>IF((0=1),SUMIFS('Daily evaluations'!$E$2:$E$36,'Daily evaluations'!$B$2:$B$36,"=random_10",'Daily evaluations'!$C$2:$C$36,"=d20261127"),"")</f>
      </c>
      <c r="AY61" s="8">
        <f>IF((0=1),SUMIFS('Daily evaluations'!$E$2:$E$36,'Daily evaluations'!$B$2:$B$36,"=random_10",'Daily evaluations'!$C$2:$C$36,"=d20261130"),"")</f>
      </c>
      <c r="AZ61" s="8">
        <f>IF((0=1),SUMIFS('Daily evaluations'!$E$2:$E$36,'Daily evaluations'!$B$2:$B$36,"=random_10",'Daily evaluations'!$C$2:$C$36,"=d20261201"),"")</f>
      </c>
      <c r="BA61" s="8">
        <f>IF((0=1),SUMIFS('Daily evaluations'!$E$2:$E$36,'Daily evaluations'!$B$2:$B$36,"=random_10",'Daily evaluations'!$C$2:$C$36,"=d20261202"),"")</f>
      </c>
      <c r="BB61" s="8">
        <f>IF((0=1),SUMIFS('Daily evaluations'!$E$2:$E$36,'Daily evaluations'!$B$2:$B$36,"=random_10",'Daily evaluations'!$C$2:$C$36,"=d20261203"),"")</f>
      </c>
      <c r="BC61" s="8">
        <f>IF((0=1),SUMIFS('Daily evaluations'!$E$2:$E$36,'Daily evaluations'!$B$2:$B$36,"=random_10",'Daily evaluations'!$C$2:$C$36,"=d20261204"),"")</f>
      </c>
      <c r="BD61" s="8">
        <f>IF((0=1),SUMIFS('Daily evaluations'!$E$2:$E$36,'Daily evaluations'!$B$2:$B$36,"=random_10",'Daily evaluations'!$C$2:$C$36,"=d20261207"),"")</f>
      </c>
      <c r="BE61" s="8">
        <f>IF((0=1),SUMIFS('Daily evaluations'!$E$2:$E$36,'Daily evaluations'!$B$2:$B$36,"=random_10",'Daily evaluations'!$C$2:$C$36,"=d20261208"),"")</f>
      </c>
      <c r="BF61" s="8">
        <f>IF((0=1),SUMIFS('Daily evaluations'!$E$2:$E$36,'Daily evaluations'!$B$2:$B$36,"=random_10",'Daily evaluations'!$C$2:$C$36,"=d20261209"),"")</f>
      </c>
      <c r="BG61" s="8">
        <f>IF((0=1),SUMIFS('Daily evaluations'!$E$2:$E$36,'Daily evaluations'!$B$2:$B$36,"=random_10",'Daily evaluations'!$C$2:$C$36,"=d20261210"),"")</f>
      </c>
      <c r="BH61" s="8">
        <f>IF((0=1),SUMIFS('Daily evaluations'!$E$2:$E$36,'Daily evaluations'!$B$2:$B$36,"=random_10",'Daily evaluations'!$C$2:$C$36,"=d20261211"),"")</f>
      </c>
      <c r="BI61" s="8">
        <f>IF((0=1),SUMIFS('Daily evaluations'!$E$2:$E$36,'Daily evaluations'!$B$2:$B$36,"=random_10",'Daily evaluations'!$C$2:$C$36,"=d20261214"),"")</f>
      </c>
      <c r="BJ61" s="8">
        <f>IF((0=1),SUMIFS('Daily evaluations'!$E$2:$E$36,'Daily evaluations'!$B$2:$B$36,"=random_10",'Daily evaluations'!$C$2:$C$36,"=d20261215"),"")</f>
      </c>
      <c r="BK61" s="8">
        <f>IF((0=1),SUMIFS('Daily evaluations'!$E$2:$E$36,'Daily evaluations'!$B$2:$B$36,"=random_10",'Daily evaluations'!$C$2:$C$36,"=d20261216"),"")</f>
      </c>
      <c r="BL61" s="8">
        <f>IF((0=1),SUMIFS('Daily evaluations'!$E$2:$E$36,'Daily evaluations'!$B$2:$B$36,"=random_10",'Daily evaluations'!$C$2:$C$36,"=d20261217"),"")</f>
      </c>
      <c r="BM61" s="8">
        <f>IF((0=1),SUMIFS('Daily evaluations'!$E$2:$E$36,'Daily evaluations'!$B$2:$B$36,"=random_10",'Daily evaluations'!$C$2:$C$36,"=d20261218"),"")</f>
      </c>
      <c r="BN61" s="8">
        <f>IF((0=1),SUMIFS('Daily evaluations'!$E$2:$E$36,'Daily evaluations'!$B$2:$B$36,"=random_10",'Daily evaluations'!$C$2:$C$36,"=d20261221"),"")</f>
      </c>
      <c r="BO61" s="8">
        <f>IF((0=1),SUMIFS('Daily evaluations'!$E$2:$E$36,'Daily evaluations'!$B$2:$B$36,"=random_10",'Daily evaluations'!$C$2:$C$36,"=d20261222"),"")</f>
      </c>
      <c r="BP61" s="8">
        <f>IF((0=1),SUMIFS('Daily evaluations'!$E$2:$E$36,'Daily evaluations'!$B$2:$B$36,"=random_10",'Daily evaluations'!$C$2:$C$36,"=d20261223"),"")</f>
      </c>
      <c r="BQ61" s="8">
        <f>IF((0=1),SUMIFS('Daily evaluations'!$E$2:$E$36,'Daily evaluations'!$B$2:$B$36,"=random_10",'Daily evaluations'!$C$2:$C$36,"=d20261224"),"")</f>
      </c>
      <c r="BR61" s="8">
        <f>IF((0=1),SUMIFS('Daily evaluations'!$E$2:$E$36,'Daily evaluations'!$B$2:$B$36,"=random_10",'Daily evaluations'!$C$2:$C$36,"=d20261228"),"")</f>
      </c>
      <c r="BS61" s="8">
        <f>IF((0=1),SUMIFS('Daily evaluations'!$E$2:$E$36,'Daily evaluations'!$B$2:$B$36,"=random_10",'Daily evaluations'!$C$2:$C$36,"=d20261229"),"")</f>
      </c>
      <c r="BT61" s="8">
        <f>IF((0=1),SUMIFS('Daily evaluations'!$E$2:$E$36,'Daily evaluations'!$B$2:$B$36,"=random_10",'Daily evaluations'!$C$2:$C$36,"=d20261230"),"")</f>
      </c>
      <c r="BU61" s="8">
        <f>IF((0=1),SUMIFS('Daily evaluations'!$E$2:$E$36,'Daily evaluations'!$B$2:$B$36,"=random_10",'Daily evaluations'!$C$2:$C$36,"=d20261231"),"")</f>
      </c>
      <c r="BV61" s="8">
        <f>IF((0=1),SUMIFS('Daily evaluations'!$E$2:$E$36,'Daily evaluations'!$B$2:$B$36,"=random_10",'Daily evaluations'!$C$2:$C$36,"=d20270104"),"")</f>
      </c>
      <c r="BW61" s="8">
        <f>IF((0=1),SUMIFS('Daily evaluations'!$E$2:$E$36,'Daily evaluations'!$B$2:$B$36,"=random_10",'Daily evaluations'!$C$2:$C$36,"=d20270105"),"")</f>
      </c>
      <c r="BX61" s="8">
        <f>IF((0=1),SUMIFS('Daily evaluations'!$E$2:$E$36,'Daily evaluations'!$B$2:$B$36,"=random_10",'Daily evaluations'!$C$2:$C$36,"=d20270106"),"")</f>
      </c>
      <c r="BY61" s="8">
        <f>IF((0=1),SUMIFS('Daily evaluations'!$E$2:$E$36,'Daily evaluations'!$B$2:$B$36,"=random_10",'Daily evaluations'!$C$2:$C$36,"=d20270107"),"")</f>
      </c>
      <c r="BZ61" s="8">
        <f>IF((0=1),SUMIFS('Daily evaluations'!$E$2:$E$36,'Daily evaluations'!$B$2:$B$36,"=random_10",'Daily evaluations'!$C$2:$C$36,"=d20270108"),"")</f>
      </c>
      <c r="CA61" s="8">
        <f>IF((0=1),SUMIFS('Daily evaluations'!$E$2:$E$36,'Daily evaluations'!$B$2:$B$36,"=random_10",'Daily evaluations'!$C$2:$C$36,"=d20270111"),"")</f>
      </c>
      <c r="CB61" s="8">
        <f>IF((0=1),SUMIFS('Daily evaluations'!$E$2:$E$36,'Daily evaluations'!$B$2:$B$36,"=random_10",'Daily evaluations'!$C$2:$C$36,"=d20270112"),"")</f>
      </c>
      <c r="CC61" s="8">
        <f>IF((0=1),SUMIFS('Daily evaluations'!$E$2:$E$36,'Daily evaluations'!$B$2:$B$36,"=random_10",'Daily evaluations'!$C$2:$C$36,"=d20270113"),"")</f>
      </c>
      <c r="CD61" s="8">
        <f>IF((0=1),SUMIFS('Daily evaluations'!$E$2:$E$36,'Daily evaluations'!$B$2:$B$36,"=random_10",'Daily evaluations'!$C$2:$C$36,"=d20270114"),"")</f>
      </c>
      <c r="CE61" s="8">
        <f>IF((0=1),SUMIFS('Daily evaluations'!$E$2:$E$36,'Daily evaluations'!$B$2:$B$36,"=random_10",'Daily evaluations'!$C$2:$C$36,"=d20270115"),"")</f>
      </c>
      <c r="CF61" s="8">
        <f>IF((0=1),SUMIFS('Daily evaluations'!$E$2:$E$36,'Daily evaluations'!$B$2:$B$36,"=random_10",'Daily evaluations'!$C$2:$C$36,"=d20270119"),"")</f>
      </c>
      <c r="CG61" s="8">
        <f>IF((0=1),SUMIFS('Daily evaluations'!$E$2:$E$36,'Daily evaluations'!$B$2:$B$36,"=random_10",'Daily evaluations'!$C$2:$C$36,"=d20270120"),"")</f>
      </c>
      <c r="CH61" s="8">
        <f>IF((0=1),SUMIFS('Daily evaluations'!$E$2:$E$36,'Daily evaluations'!$B$2:$B$36,"=random_10",'Daily evaluations'!$C$2:$C$36,"=d20270121"),"")</f>
      </c>
      <c r="CI61" s="8">
        <f>IF((0=1),SUMIFS('Daily evaluations'!$E$2:$E$36,'Daily evaluations'!$B$2:$B$36,"=random_10",'Daily evaluations'!$C$2:$C$36,"=d20270122"),"")</f>
      </c>
      <c r="CJ61" s="8">
        <f>IF((0=1),SUMIFS('Daily evaluations'!$E$2:$E$36,'Daily evaluations'!$B$2:$B$36,"=random_10",'Daily evaluations'!$C$2:$C$36,"=d20270125"),"")</f>
      </c>
      <c r="CK61" s="8">
        <f>IF((0=1),SUMIFS('Daily evaluations'!$E$2:$E$36,'Daily evaluations'!$B$2:$B$36,"=random_10",'Daily evaluations'!$C$2:$C$36,"=d20270126"),"")</f>
      </c>
      <c r="CL61" s="8">
        <f>IF((0=1),SUMIFS('Daily evaluations'!$E$2:$E$36,'Daily evaluations'!$B$2:$B$36,"=random_10",'Daily evaluations'!$C$2:$C$36,"=d20270127"),"")</f>
      </c>
      <c r="CM61" s="8">
        <f>IF((0=1),SUMIFS('Daily evaluations'!$E$2:$E$36,'Daily evaluations'!$B$2:$B$36,"=random_10",'Daily evaluations'!$C$2:$C$36,"=d20270128"),"")</f>
      </c>
      <c r="CN61" s="8">
        <f>IF((0=1),SUMIFS('Daily evaluations'!$E$2:$E$36,'Daily evaluations'!$B$2:$B$36,"=random_10",'Daily evaluations'!$C$2:$C$36,"=d20270129"),"")</f>
      </c>
      <c r="CO61" s="8">
        <f>IF((0=1),SUMIFS('Daily evaluations'!$E$2:$E$36,'Daily evaluations'!$B$2:$B$36,"=random_10",'Daily evaluations'!$C$2:$C$36,"=d20270201"),"")</f>
      </c>
      <c r="CP61" s="8">
        <f>IF((0=1),SUMIFS('Daily evaluations'!$E$2:$E$36,'Daily evaluations'!$B$2:$B$36,"=random_10",'Daily evaluations'!$C$2:$C$36,"=d20270202"),"")</f>
      </c>
      <c r="CQ61" s="8">
        <f>IF((0=1),SUMIFS('Daily evaluations'!$E$2:$E$36,'Daily evaluations'!$B$2:$B$36,"=random_10",'Daily evaluations'!$C$2:$C$36,"=d20270203"),"")</f>
      </c>
      <c r="CR61" s="8">
        <f>IF((0=1),SUMIFS('Daily evaluations'!$E$2:$E$36,'Daily evaluations'!$B$2:$B$36,"=random_10",'Daily evaluations'!$C$2:$C$36,"=d20270204"),"")</f>
      </c>
      <c r="CS61" s="8">
        <f>IF((0=1),SUMIFS('Daily evaluations'!$E$2:$E$36,'Daily evaluations'!$B$2:$B$36,"=random_10",'Daily evaluations'!$C$2:$C$36,"=d20270205"),"")</f>
      </c>
      <c r="CT61" s="8">
        <f>IF((0=1),SUMIFS('Daily evaluations'!$E$2:$E$36,'Daily evaluations'!$B$2:$B$36,"=random_10",'Daily evaluations'!$C$2:$C$36,"=d20270208"),"")</f>
      </c>
      <c r="CU61" s="8">
        <f>IF((0=1),SUMIFS('Daily evaluations'!$E$2:$E$36,'Daily evaluations'!$B$2:$B$36,"=random_10",'Daily evaluations'!$C$2:$C$36,"=d20270209"),"")</f>
      </c>
      <c r="CV61" s="8">
        <f>IF((0=1),SUMIFS('Daily evaluations'!$E$2:$E$36,'Daily evaluations'!$B$2:$B$36,"=random_10",'Daily evaluations'!$C$2:$C$36,"=d20270210"),"")</f>
      </c>
      <c r="CW61" s="8">
        <f>IF((0=1),SUMIFS('Daily evaluations'!$E$2:$E$36,'Daily evaluations'!$B$2:$B$36,"=random_10",'Daily evaluations'!$C$2:$C$36,"=d20270211"),"")</f>
      </c>
      <c r="CX61" s="8">
        <f>IF((0=1),SUMIFS('Daily evaluations'!$E$2:$E$36,'Daily evaluations'!$B$2:$B$36,"=random_10",'Daily evaluations'!$C$2:$C$36,"=d20270212"),"")</f>
      </c>
    </row>
    <row r="62">
      <c r="A62" s="0" t="inlineStr">
        <is>
          <t xml:space="preserve">Overnight excess vs universe, bps</t>
        </is>
      </c>
      <c r="B62" s="0" t="inlineStr">
        <is>
          <t xml:space="preserve">Random 11</t>
        </is>
      </c>
      <c r="C62" s="8">
        <f>IF((1=1),SUMIFS('Daily evaluations'!$E$2:$E$36,'Daily evaluations'!$B$2:$B$36,"=random_11",'Daily evaluations'!$C$2:$C$36,"=d20260922"),"")</f>
        <v>11.501</v>
      </c>
      <c r="D62" s="8">
        <f>IF((0=1),SUMIFS('Daily evaluations'!$E$2:$E$36,'Daily evaluations'!$B$2:$B$36,"=random_11",'Daily evaluations'!$C$2:$C$36,"=d20260923"),"")</f>
      </c>
      <c r="E62" s="8">
        <f>IF((0=1),SUMIFS('Daily evaluations'!$E$2:$E$36,'Daily evaluations'!$B$2:$B$36,"=random_11",'Daily evaluations'!$C$2:$C$36,"=d20260924"),"")</f>
      </c>
      <c r="F62" s="8">
        <f>IF((0=1),SUMIFS('Daily evaluations'!$E$2:$E$36,'Daily evaluations'!$B$2:$B$36,"=random_11",'Daily evaluations'!$C$2:$C$36,"=d20260925"),"")</f>
      </c>
      <c r="G62" s="8">
        <f>IF((0=1),SUMIFS('Daily evaluations'!$E$2:$E$36,'Daily evaluations'!$B$2:$B$36,"=random_11",'Daily evaluations'!$C$2:$C$36,"=d20260928"),"")</f>
      </c>
      <c r="H62" s="8">
        <f>IF((0=1),SUMIFS('Daily evaluations'!$E$2:$E$36,'Daily evaluations'!$B$2:$B$36,"=random_11",'Daily evaluations'!$C$2:$C$36,"=d20260929"),"")</f>
      </c>
      <c r="I62" s="8">
        <f>IF((0=1),SUMIFS('Daily evaluations'!$E$2:$E$36,'Daily evaluations'!$B$2:$B$36,"=random_11",'Daily evaluations'!$C$2:$C$36,"=d20260930"),"")</f>
      </c>
      <c r="J62" s="8">
        <f>IF((0=1),SUMIFS('Daily evaluations'!$E$2:$E$36,'Daily evaluations'!$B$2:$B$36,"=random_11",'Daily evaluations'!$C$2:$C$36,"=d20261001"),"")</f>
      </c>
      <c r="K62" s="8">
        <f>IF((0=1),SUMIFS('Daily evaluations'!$E$2:$E$36,'Daily evaluations'!$B$2:$B$36,"=random_11",'Daily evaluations'!$C$2:$C$36,"=d20261002"),"")</f>
      </c>
      <c r="L62" s="8">
        <f>IF((0=1),SUMIFS('Daily evaluations'!$E$2:$E$36,'Daily evaluations'!$B$2:$B$36,"=random_11",'Daily evaluations'!$C$2:$C$36,"=d20261005"),"")</f>
      </c>
      <c r="M62" s="8">
        <f>IF((0=1),SUMIFS('Daily evaluations'!$E$2:$E$36,'Daily evaluations'!$B$2:$B$36,"=random_11",'Daily evaluations'!$C$2:$C$36,"=d20261006"),"")</f>
      </c>
      <c r="N62" s="8">
        <f>IF((0=1),SUMIFS('Daily evaluations'!$E$2:$E$36,'Daily evaluations'!$B$2:$B$36,"=random_11",'Daily evaluations'!$C$2:$C$36,"=d20261007"),"")</f>
      </c>
      <c r="O62" s="8">
        <f>IF((0=1),SUMIFS('Daily evaluations'!$E$2:$E$36,'Daily evaluations'!$B$2:$B$36,"=random_11",'Daily evaluations'!$C$2:$C$36,"=d20261008"),"")</f>
      </c>
      <c r="P62" s="8">
        <f>IF((0=1),SUMIFS('Daily evaluations'!$E$2:$E$36,'Daily evaluations'!$B$2:$B$36,"=random_11",'Daily evaluations'!$C$2:$C$36,"=d20261009"),"")</f>
      </c>
      <c r="Q62" s="8">
        <f>IF((0=1),SUMIFS('Daily evaluations'!$E$2:$E$36,'Daily evaluations'!$B$2:$B$36,"=random_11",'Daily evaluations'!$C$2:$C$36,"=d20261012"),"")</f>
      </c>
      <c r="R62" s="8">
        <f>IF((0=1),SUMIFS('Daily evaluations'!$E$2:$E$36,'Daily evaluations'!$B$2:$B$36,"=random_11",'Daily evaluations'!$C$2:$C$36,"=d20261013"),"")</f>
      </c>
      <c r="S62" s="8">
        <f>IF((0=1),SUMIFS('Daily evaluations'!$E$2:$E$36,'Daily evaluations'!$B$2:$B$36,"=random_11",'Daily evaluations'!$C$2:$C$36,"=d20261014"),"")</f>
      </c>
      <c r="T62" s="8">
        <f>IF((0=1),SUMIFS('Daily evaluations'!$E$2:$E$36,'Daily evaluations'!$B$2:$B$36,"=random_11",'Daily evaluations'!$C$2:$C$36,"=d20261015"),"")</f>
      </c>
      <c r="U62" s="8">
        <f>IF((0=1),SUMIFS('Daily evaluations'!$E$2:$E$36,'Daily evaluations'!$B$2:$B$36,"=random_11",'Daily evaluations'!$C$2:$C$36,"=d20261016"),"")</f>
      </c>
      <c r="V62" s="8">
        <f>IF((0=1),SUMIFS('Daily evaluations'!$E$2:$E$36,'Daily evaluations'!$B$2:$B$36,"=random_11",'Daily evaluations'!$C$2:$C$36,"=d20261019"),"")</f>
      </c>
      <c r="W62" s="8">
        <f>IF((0=1),SUMIFS('Daily evaluations'!$E$2:$E$36,'Daily evaluations'!$B$2:$B$36,"=random_11",'Daily evaluations'!$C$2:$C$36,"=d20261020"),"")</f>
      </c>
      <c r="X62" s="8">
        <f>IF((0=1),SUMIFS('Daily evaluations'!$E$2:$E$36,'Daily evaluations'!$B$2:$B$36,"=random_11",'Daily evaluations'!$C$2:$C$36,"=d20261021"),"")</f>
      </c>
      <c r="Y62" s="8">
        <f>IF((0=1),SUMIFS('Daily evaluations'!$E$2:$E$36,'Daily evaluations'!$B$2:$B$36,"=random_11",'Daily evaluations'!$C$2:$C$36,"=d20261022"),"")</f>
      </c>
      <c r="Z62" s="8">
        <f>IF((0=1),SUMIFS('Daily evaluations'!$E$2:$E$36,'Daily evaluations'!$B$2:$B$36,"=random_11",'Daily evaluations'!$C$2:$C$36,"=d20261023"),"")</f>
      </c>
      <c r="AA62" s="8">
        <f>IF((0=1),SUMIFS('Daily evaluations'!$E$2:$E$36,'Daily evaluations'!$B$2:$B$36,"=random_11",'Daily evaluations'!$C$2:$C$36,"=d20261026"),"")</f>
      </c>
      <c r="AB62" s="8">
        <f>IF((0=1),SUMIFS('Daily evaluations'!$E$2:$E$36,'Daily evaluations'!$B$2:$B$36,"=random_11",'Daily evaluations'!$C$2:$C$36,"=d20261027"),"")</f>
      </c>
      <c r="AC62" s="8">
        <f>IF((0=1),SUMIFS('Daily evaluations'!$E$2:$E$36,'Daily evaluations'!$B$2:$B$36,"=random_11",'Daily evaluations'!$C$2:$C$36,"=d20261028"),"")</f>
      </c>
      <c r="AD62" s="8">
        <f>IF((0=1),SUMIFS('Daily evaluations'!$E$2:$E$36,'Daily evaluations'!$B$2:$B$36,"=random_11",'Daily evaluations'!$C$2:$C$36,"=d20261029"),"")</f>
      </c>
      <c r="AE62" s="8">
        <f>IF((0=1),SUMIFS('Daily evaluations'!$E$2:$E$36,'Daily evaluations'!$B$2:$B$36,"=random_11",'Daily evaluations'!$C$2:$C$36,"=d20261030"),"")</f>
      </c>
      <c r="AF62" s="8">
        <f>IF((0=1),SUMIFS('Daily evaluations'!$E$2:$E$36,'Daily evaluations'!$B$2:$B$36,"=random_11",'Daily evaluations'!$C$2:$C$36,"=d20261102"),"")</f>
      </c>
      <c r="AG62" s="8">
        <f>IF((0=1),SUMIFS('Daily evaluations'!$E$2:$E$36,'Daily evaluations'!$B$2:$B$36,"=random_11",'Daily evaluations'!$C$2:$C$36,"=d20261103"),"")</f>
      </c>
      <c r="AH62" s="8">
        <f>IF((0=1),SUMIFS('Daily evaluations'!$E$2:$E$36,'Daily evaluations'!$B$2:$B$36,"=random_11",'Daily evaluations'!$C$2:$C$36,"=d20261104"),"")</f>
      </c>
      <c r="AI62" s="8">
        <f>IF((0=1),SUMIFS('Daily evaluations'!$E$2:$E$36,'Daily evaluations'!$B$2:$B$36,"=random_11",'Daily evaluations'!$C$2:$C$36,"=d20261105"),"")</f>
      </c>
      <c r="AJ62" s="8">
        <f>IF((0=1),SUMIFS('Daily evaluations'!$E$2:$E$36,'Daily evaluations'!$B$2:$B$36,"=random_11",'Daily evaluations'!$C$2:$C$36,"=d20261106"),"")</f>
      </c>
      <c r="AK62" s="8">
        <f>IF((0=1),SUMIFS('Daily evaluations'!$E$2:$E$36,'Daily evaluations'!$B$2:$B$36,"=random_11",'Daily evaluations'!$C$2:$C$36,"=d20261109"),"")</f>
      </c>
      <c r="AL62" s="8">
        <f>IF((0=1),SUMIFS('Daily evaluations'!$E$2:$E$36,'Daily evaluations'!$B$2:$B$36,"=random_11",'Daily evaluations'!$C$2:$C$36,"=d20261110"),"")</f>
      </c>
      <c r="AM62" s="8">
        <f>IF((0=1),SUMIFS('Daily evaluations'!$E$2:$E$36,'Daily evaluations'!$B$2:$B$36,"=random_11",'Daily evaluations'!$C$2:$C$36,"=d20261111"),"")</f>
      </c>
      <c r="AN62" s="8">
        <f>IF((0=1),SUMIFS('Daily evaluations'!$E$2:$E$36,'Daily evaluations'!$B$2:$B$36,"=random_11",'Daily evaluations'!$C$2:$C$36,"=d20261112"),"")</f>
      </c>
      <c r="AO62" s="8">
        <f>IF((0=1),SUMIFS('Daily evaluations'!$E$2:$E$36,'Daily evaluations'!$B$2:$B$36,"=random_11",'Daily evaluations'!$C$2:$C$36,"=d20261113"),"")</f>
      </c>
      <c r="AP62" s="8">
        <f>IF((0=1),SUMIFS('Daily evaluations'!$E$2:$E$36,'Daily evaluations'!$B$2:$B$36,"=random_11",'Daily evaluations'!$C$2:$C$36,"=d20261116"),"")</f>
      </c>
      <c r="AQ62" s="8">
        <f>IF((0=1),SUMIFS('Daily evaluations'!$E$2:$E$36,'Daily evaluations'!$B$2:$B$36,"=random_11",'Daily evaluations'!$C$2:$C$36,"=d20261117"),"")</f>
      </c>
      <c r="AR62" s="8">
        <f>IF((0=1),SUMIFS('Daily evaluations'!$E$2:$E$36,'Daily evaluations'!$B$2:$B$36,"=random_11",'Daily evaluations'!$C$2:$C$36,"=d20261118"),"")</f>
      </c>
      <c r="AS62" s="8">
        <f>IF((0=1),SUMIFS('Daily evaluations'!$E$2:$E$36,'Daily evaluations'!$B$2:$B$36,"=random_11",'Daily evaluations'!$C$2:$C$36,"=d20261119"),"")</f>
      </c>
      <c r="AT62" s="8">
        <f>IF((0=1),SUMIFS('Daily evaluations'!$E$2:$E$36,'Daily evaluations'!$B$2:$B$36,"=random_11",'Daily evaluations'!$C$2:$C$36,"=d20261120"),"")</f>
      </c>
      <c r="AU62" s="8">
        <f>IF((0=1),SUMIFS('Daily evaluations'!$E$2:$E$36,'Daily evaluations'!$B$2:$B$36,"=random_11",'Daily evaluations'!$C$2:$C$36,"=d20261123"),"")</f>
      </c>
      <c r="AV62" s="8">
        <f>IF((0=1),SUMIFS('Daily evaluations'!$E$2:$E$36,'Daily evaluations'!$B$2:$B$36,"=random_11",'Daily evaluations'!$C$2:$C$36,"=d20261124"),"")</f>
      </c>
      <c r="AW62" s="8">
        <f>IF((0=1),SUMIFS('Daily evaluations'!$E$2:$E$36,'Daily evaluations'!$B$2:$B$36,"=random_11",'Daily evaluations'!$C$2:$C$36,"=d20261125"),"")</f>
      </c>
      <c r="AX62" s="8">
        <f>IF((0=1),SUMIFS('Daily evaluations'!$E$2:$E$36,'Daily evaluations'!$B$2:$B$36,"=random_11",'Daily evaluations'!$C$2:$C$36,"=d20261127"),"")</f>
      </c>
      <c r="AY62" s="8">
        <f>IF((0=1),SUMIFS('Daily evaluations'!$E$2:$E$36,'Daily evaluations'!$B$2:$B$36,"=random_11",'Daily evaluations'!$C$2:$C$36,"=d20261130"),"")</f>
      </c>
      <c r="AZ62" s="8">
        <f>IF((0=1),SUMIFS('Daily evaluations'!$E$2:$E$36,'Daily evaluations'!$B$2:$B$36,"=random_11",'Daily evaluations'!$C$2:$C$36,"=d20261201"),"")</f>
      </c>
      <c r="BA62" s="8">
        <f>IF((0=1),SUMIFS('Daily evaluations'!$E$2:$E$36,'Daily evaluations'!$B$2:$B$36,"=random_11",'Daily evaluations'!$C$2:$C$36,"=d20261202"),"")</f>
      </c>
      <c r="BB62" s="8">
        <f>IF((0=1),SUMIFS('Daily evaluations'!$E$2:$E$36,'Daily evaluations'!$B$2:$B$36,"=random_11",'Daily evaluations'!$C$2:$C$36,"=d20261203"),"")</f>
      </c>
      <c r="BC62" s="8">
        <f>IF((0=1),SUMIFS('Daily evaluations'!$E$2:$E$36,'Daily evaluations'!$B$2:$B$36,"=random_11",'Daily evaluations'!$C$2:$C$36,"=d20261204"),"")</f>
      </c>
      <c r="BD62" s="8">
        <f>IF((0=1),SUMIFS('Daily evaluations'!$E$2:$E$36,'Daily evaluations'!$B$2:$B$36,"=random_11",'Daily evaluations'!$C$2:$C$36,"=d20261207"),"")</f>
      </c>
      <c r="BE62" s="8">
        <f>IF((0=1),SUMIFS('Daily evaluations'!$E$2:$E$36,'Daily evaluations'!$B$2:$B$36,"=random_11",'Daily evaluations'!$C$2:$C$36,"=d20261208"),"")</f>
      </c>
      <c r="BF62" s="8">
        <f>IF((0=1),SUMIFS('Daily evaluations'!$E$2:$E$36,'Daily evaluations'!$B$2:$B$36,"=random_11",'Daily evaluations'!$C$2:$C$36,"=d20261209"),"")</f>
      </c>
      <c r="BG62" s="8">
        <f>IF((0=1),SUMIFS('Daily evaluations'!$E$2:$E$36,'Daily evaluations'!$B$2:$B$36,"=random_11",'Daily evaluations'!$C$2:$C$36,"=d20261210"),"")</f>
      </c>
      <c r="BH62" s="8">
        <f>IF((0=1),SUMIFS('Daily evaluations'!$E$2:$E$36,'Daily evaluations'!$B$2:$B$36,"=random_11",'Daily evaluations'!$C$2:$C$36,"=d20261211"),"")</f>
      </c>
      <c r="BI62" s="8">
        <f>IF((0=1),SUMIFS('Daily evaluations'!$E$2:$E$36,'Daily evaluations'!$B$2:$B$36,"=random_11",'Daily evaluations'!$C$2:$C$36,"=d20261214"),"")</f>
      </c>
      <c r="BJ62" s="8">
        <f>IF((0=1),SUMIFS('Daily evaluations'!$E$2:$E$36,'Daily evaluations'!$B$2:$B$36,"=random_11",'Daily evaluations'!$C$2:$C$36,"=d20261215"),"")</f>
      </c>
      <c r="BK62" s="8">
        <f>IF((0=1),SUMIFS('Daily evaluations'!$E$2:$E$36,'Daily evaluations'!$B$2:$B$36,"=random_11",'Daily evaluations'!$C$2:$C$36,"=d20261216"),"")</f>
      </c>
      <c r="BL62" s="8">
        <f>IF((0=1),SUMIFS('Daily evaluations'!$E$2:$E$36,'Daily evaluations'!$B$2:$B$36,"=random_11",'Daily evaluations'!$C$2:$C$36,"=d20261217"),"")</f>
      </c>
      <c r="BM62" s="8">
        <f>IF((0=1),SUMIFS('Daily evaluations'!$E$2:$E$36,'Daily evaluations'!$B$2:$B$36,"=random_11",'Daily evaluations'!$C$2:$C$36,"=d20261218"),"")</f>
      </c>
      <c r="BN62" s="8">
        <f>IF((0=1),SUMIFS('Daily evaluations'!$E$2:$E$36,'Daily evaluations'!$B$2:$B$36,"=random_11",'Daily evaluations'!$C$2:$C$36,"=d20261221"),"")</f>
      </c>
      <c r="BO62" s="8">
        <f>IF((0=1),SUMIFS('Daily evaluations'!$E$2:$E$36,'Daily evaluations'!$B$2:$B$36,"=random_11",'Daily evaluations'!$C$2:$C$36,"=d20261222"),"")</f>
      </c>
      <c r="BP62" s="8">
        <f>IF((0=1),SUMIFS('Daily evaluations'!$E$2:$E$36,'Daily evaluations'!$B$2:$B$36,"=random_11",'Daily evaluations'!$C$2:$C$36,"=d20261223"),"")</f>
      </c>
      <c r="BQ62" s="8">
        <f>IF((0=1),SUMIFS('Daily evaluations'!$E$2:$E$36,'Daily evaluations'!$B$2:$B$36,"=random_11",'Daily evaluations'!$C$2:$C$36,"=d20261224"),"")</f>
      </c>
      <c r="BR62" s="8">
        <f>IF((0=1),SUMIFS('Daily evaluations'!$E$2:$E$36,'Daily evaluations'!$B$2:$B$36,"=random_11",'Daily evaluations'!$C$2:$C$36,"=d20261228"),"")</f>
      </c>
      <c r="BS62" s="8">
        <f>IF((0=1),SUMIFS('Daily evaluations'!$E$2:$E$36,'Daily evaluations'!$B$2:$B$36,"=random_11",'Daily evaluations'!$C$2:$C$36,"=d20261229"),"")</f>
      </c>
      <c r="BT62" s="8">
        <f>IF((0=1),SUMIFS('Daily evaluations'!$E$2:$E$36,'Daily evaluations'!$B$2:$B$36,"=random_11",'Daily evaluations'!$C$2:$C$36,"=d20261230"),"")</f>
      </c>
      <c r="BU62" s="8">
        <f>IF((0=1),SUMIFS('Daily evaluations'!$E$2:$E$36,'Daily evaluations'!$B$2:$B$36,"=random_11",'Daily evaluations'!$C$2:$C$36,"=d20261231"),"")</f>
      </c>
      <c r="BV62" s="8">
        <f>IF((0=1),SUMIFS('Daily evaluations'!$E$2:$E$36,'Daily evaluations'!$B$2:$B$36,"=random_11",'Daily evaluations'!$C$2:$C$36,"=d20270104"),"")</f>
      </c>
      <c r="BW62" s="8">
        <f>IF((0=1),SUMIFS('Daily evaluations'!$E$2:$E$36,'Daily evaluations'!$B$2:$B$36,"=random_11",'Daily evaluations'!$C$2:$C$36,"=d20270105"),"")</f>
      </c>
      <c r="BX62" s="8">
        <f>IF((0=1),SUMIFS('Daily evaluations'!$E$2:$E$36,'Daily evaluations'!$B$2:$B$36,"=random_11",'Daily evaluations'!$C$2:$C$36,"=d20270106"),"")</f>
      </c>
      <c r="BY62" s="8">
        <f>IF((0=1),SUMIFS('Daily evaluations'!$E$2:$E$36,'Daily evaluations'!$B$2:$B$36,"=random_11",'Daily evaluations'!$C$2:$C$36,"=d20270107"),"")</f>
      </c>
      <c r="BZ62" s="8">
        <f>IF((0=1),SUMIFS('Daily evaluations'!$E$2:$E$36,'Daily evaluations'!$B$2:$B$36,"=random_11",'Daily evaluations'!$C$2:$C$36,"=d20270108"),"")</f>
      </c>
      <c r="CA62" s="8">
        <f>IF((0=1),SUMIFS('Daily evaluations'!$E$2:$E$36,'Daily evaluations'!$B$2:$B$36,"=random_11",'Daily evaluations'!$C$2:$C$36,"=d20270111"),"")</f>
      </c>
      <c r="CB62" s="8">
        <f>IF((0=1),SUMIFS('Daily evaluations'!$E$2:$E$36,'Daily evaluations'!$B$2:$B$36,"=random_11",'Daily evaluations'!$C$2:$C$36,"=d20270112"),"")</f>
      </c>
      <c r="CC62" s="8">
        <f>IF((0=1),SUMIFS('Daily evaluations'!$E$2:$E$36,'Daily evaluations'!$B$2:$B$36,"=random_11",'Daily evaluations'!$C$2:$C$36,"=d20270113"),"")</f>
      </c>
      <c r="CD62" s="8">
        <f>IF((0=1),SUMIFS('Daily evaluations'!$E$2:$E$36,'Daily evaluations'!$B$2:$B$36,"=random_11",'Daily evaluations'!$C$2:$C$36,"=d20270114"),"")</f>
      </c>
      <c r="CE62" s="8">
        <f>IF((0=1),SUMIFS('Daily evaluations'!$E$2:$E$36,'Daily evaluations'!$B$2:$B$36,"=random_11",'Daily evaluations'!$C$2:$C$36,"=d20270115"),"")</f>
      </c>
      <c r="CF62" s="8">
        <f>IF((0=1),SUMIFS('Daily evaluations'!$E$2:$E$36,'Daily evaluations'!$B$2:$B$36,"=random_11",'Daily evaluations'!$C$2:$C$36,"=d20270119"),"")</f>
      </c>
      <c r="CG62" s="8">
        <f>IF((0=1),SUMIFS('Daily evaluations'!$E$2:$E$36,'Daily evaluations'!$B$2:$B$36,"=random_11",'Daily evaluations'!$C$2:$C$36,"=d20270120"),"")</f>
      </c>
      <c r="CH62" s="8">
        <f>IF((0=1),SUMIFS('Daily evaluations'!$E$2:$E$36,'Daily evaluations'!$B$2:$B$36,"=random_11",'Daily evaluations'!$C$2:$C$36,"=d20270121"),"")</f>
      </c>
      <c r="CI62" s="8">
        <f>IF((0=1),SUMIFS('Daily evaluations'!$E$2:$E$36,'Daily evaluations'!$B$2:$B$36,"=random_11",'Daily evaluations'!$C$2:$C$36,"=d20270122"),"")</f>
      </c>
      <c r="CJ62" s="8">
        <f>IF((0=1),SUMIFS('Daily evaluations'!$E$2:$E$36,'Daily evaluations'!$B$2:$B$36,"=random_11",'Daily evaluations'!$C$2:$C$36,"=d20270125"),"")</f>
      </c>
      <c r="CK62" s="8">
        <f>IF((0=1),SUMIFS('Daily evaluations'!$E$2:$E$36,'Daily evaluations'!$B$2:$B$36,"=random_11",'Daily evaluations'!$C$2:$C$36,"=d20270126"),"")</f>
      </c>
      <c r="CL62" s="8">
        <f>IF((0=1),SUMIFS('Daily evaluations'!$E$2:$E$36,'Daily evaluations'!$B$2:$B$36,"=random_11",'Daily evaluations'!$C$2:$C$36,"=d20270127"),"")</f>
      </c>
      <c r="CM62" s="8">
        <f>IF((0=1),SUMIFS('Daily evaluations'!$E$2:$E$36,'Daily evaluations'!$B$2:$B$36,"=random_11",'Daily evaluations'!$C$2:$C$36,"=d20270128"),"")</f>
      </c>
      <c r="CN62" s="8">
        <f>IF((0=1),SUMIFS('Daily evaluations'!$E$2:$E$36,'Daily evaluations'!$B$2:$B$36,"=random_11",'Daily evaluations'!$C$2:$C$36,"=d20270129"),"")</f>
      </c>
      <c r="CO62" s="8">
        <f>IF((0=1),SUMIFS('Daily evaluations'!$E$2:$E$36,'Daily evaluations'!$B$2:$B$36,"=random_11",'Daily evaluations'!$C$2:$C$36,"=d20270201"),"")</f>
      </c>
      <c r="CP62" s="8">
        <f>IF((0=1),SUMIFS('Daily evaluations'!$E$2:$E$36,'Daily evaluations'!$B$2:$B$36,"=random_11",'Daily evaluations'!$C$2:$C$36,"=d20270202"),"")</f>
      </c>
      <c r="CQ62" s="8">
        <f>IF((0=1),SUMIFS('Daily evaluations'!$E$2:$E$36,'Daily evaluations'!$B$2:$B$36,"=random_11",'Daily evaluations'!$C$2:$C$36,"=d20270203"),"")</f>
      </c>
      <c r="CR62" s="8">
        <f>IF((0=1),SUMIFS('Daily evaluations'!$E$2:$E$36,'Daily evaluations'!$B$2:$B$36,"=random_11",'Daily evaluations'!$C$2:$C$36,"=d20270204"),"")</f>
      </c>
      <c r="CS62" s="8">
        <f>IF((0=1),SUMIFS('Daily evaluations'!$E$2:$E$36,'Daily evaluations'!$B$2:$B$36,"=random_11",'Daily evaluations'!$C$2:$C$36,"=d20270205"),"")</f>
      </c>
      <c r="CT62" s="8">
        <f>IF((0=1),SUMIFS('Daily evaluations'!$E$2:$E$36,'Daily evaluations'!$B$2:$B$36,"=random_11",'Daily evaluations'!$C$2:$C$36,"=d20270208"),"")</f>
      </c>
      <c r="CU62" s="8">
        <f>IF((0=1),SUMIFS('Daily evaluations'!$E$2:$E$36,'Daily evaluations'!$B$2:$B$36,"=random_11",'Daily evaluations'!$C$2:$C$36,"=d20270209"),"")</f>
      </c>
      <c r="CV62" s="8">
        <f>IF((0=1),SUMIFS('Daily evaluations'!$E$2:$E$36,'Daily evaluations'!$B$2:$B$36,"=random_11",'Daily evaluations'!$C$2:$C$36,"=d20270210"),"")</f>
      </c>
      <c r="CW62" s="8">
        <f>IF((0=1),SUMIFS('Daily evaluations'!$E$2:$E$36,'Daily evaluations'!$B$2:$B$36,"=random_11",'Daily evaluations'!$C$2:$C$36,"=d20270211"),"")</f>
      </c>
      <c r="CX62" s="8">
        <f>IF((0=1),SUMIFS('Daily evaluations'!$E$2:$E$36,'Daily evaluations'!$B$2:$B$36,"=random_11",'Daily evaluations'!$C$2:$C$36,"=d20270212"),"")</f>
      </c>
    </row>
    <row r="63">
      <c r="A63" s="0" t="inlineStr">
        <is>
          <t xml:space="preserve">Overnight excess vs universe, bps</t>
        </is>
      </c>
      <c r="B63" s="0" t="inlineStr">
        <is>
          <t xml:space="preserve">Random 12</t>
        </is>
      </c>
      <c r="C63" s="8">
        <f>IF((1=1),SUMIFS('Daily evaluations'!$E$2:$E$36,'Daily evaluations'!$B$2:$B$36,"=random_12",'Daily evaluations'!$C$2:$C$36,"=d20260922"),"")</f>
        <v>0.737</v>
      </c>
      <c r="D63" s="8">
        <f>IF((0=1),SUMIFS('Daily evaluations'!$E$2:$E$36,'Daily evaluations'!$B$2:$B$36,"=random_12",'Daily evaluations'!$C$2:$C$36,"=d20260923"),"")</f>
      </c>
      <c r="E63" s="8">
        <f>IF((0=1),SUMIFS('Daily evaluations'!$E$2:$E$36,'Daily evaluations'!$B$2:$B$36,"=random_12",'Daily evaluations'!$C$2:$C$36,"=d20260924"),"")</f>
      </c>
      <c r="F63" s="8">
        <f>IF((0=1),SUMIFS('Daily evaluations'!$E$2:$E$36,'Daily evaluations'!$B$2:$B$36,"=random_12",'Daily evaluations'!$C$2:$C$36,"=d20260925"),"")</f>
      </c>
      <c r="G63" s="8">
        <f>IF((0=1),SUMIFS('Daily evaluations'!$E$2:$E$36,'Daily evaluations'!$B$2:$B$36,"=random_12",'Daily evaluations'!$C$2:$C$36,"=d20260928"),"")</f>
      </c>
      <c r="H63" s="8">
        <f>IF((0=1),SUMIFS('Daily evaluations'!$E$2:$E$36,'Daily evaluations'!$B$2:$B$36,"=random_12",'Daily evaluations'!$C$2:$C$36,"=d20260929"),"")</f>
      </c>
      <c r="I63" s="8">
        <f>IF((0=1),SUMIFS('Daily evaluations'!$E$2:$E$36,'Daily evaluations'!$B$2:$B$36,"=random_12",'Daily evaluations'!$C$2:$C$36,"=d20260930"),"")</f>
      </c>
      <c r="J63" s="8">
        <f>IF((0=1),SUMIFS('Daily evaluations'!$E$2:$E$36,'Daily evaluations'!$B$2:$B$36,"=random_12",'Daily evaluations'!$C$2:$C$36,"=d20261001"),"")</f>
      </c>
      <c r="K63" s="8">
        <f>IF((0=1),SUMIFS('Daily evaluations'!$E$2:$E$36,'Daily evaluations'!$B$2:$B$36,"=random_12",'Daily evaluations'!$C$2:$C$36,"=d20261002"),"")</f>
      </c>
      <c r="L63" s="8">
        <f>IF((0=1),SUMIFS('Daily evaluations'!$E$2:$E$36,'Daily evaluations'!$B$2:$B$36,"=random_12",'Daily evaluations'!$C$2:$C$36,"=d20261005"),"")</f>
      </c>
      <c r="M63" s="8">
        <f>IF((0=1),SUMIFS('Daily evaluations'!$E$2:$E$36,'Daily evaluations'!$B$2:$B$36,"=random_12",'Daily evaluations'!$C$2:$C$36,"=d20261006"),"")</f>
      </c>
      <c r="N63" s="8">
        <f>IF((0=1),SUMIFS('Daily evaluations'!$E$2:$E$36,'Daily evaluations'!$B$2:$B$36,"=random_12",'Daily evaluations'!$C$2:$C$36,"=d20261007"),"")</f>
      </c>
      <c r="O63" s="8">
        <f>IF((0=1),SUMIFS('Daily evaluations'!$E$2:$E$36,'Daily evaluations'!$B$2:$B$36,"=random_12",'Daily evaluations'!$C$2:$C$36,"=d20261008"),"")</f>
      </c>
      <c r="P63" s="8">
        <f>IF((0=1),SUMIFS('Daily evaluations'!$E$2:$E$36,'Daily evaluations'!$B$2:$B$36,"=random_12",'Daily evaluations'!$C$2:$C$36,"=d20261009"),"")</f>
      </c>
      <c r="Q63" s="8">
        <f>IF((0=1),SUMIFS('Daily evaluations'!$E$2:$E$36,'Daily evaluations'!$B$2:$B$36,"=random_12",'Daily evaluations'!$C$2:$C$36,"=d20261012"),"")</f>
      </c>
      <c r="R63" s="8">
        <f>IF((0=1),SUMIFS('Daily evaluations'!$E$2:$E$36,'Daily evaluations'!$B$2:$B$36,"=random_12",'Daily evaluations'!$C$2:$C$36,"=d20261013"),"")</f>
      </c>
      <c r="S63" s="8">
        <f>IF((0=1),SUMIFS('Daily evaluations'!$E$2:$E$36,'Daily evaluations'!$B$2:$B$36,"=random_12",'Daily evaluations'!$C$2:$C$36,"=d20261014"),"")</f>
      </c>
      <c r="T63" s="8">
        <f>IF((0=1),SUMIFS('Daily evaluations'!$E$2:$E$36,'Daily evaluations'!$B$2:$B$36,"=random_12",'Daily evaluations'!$C$2:$C$36,"=d20261015"),"")</f>
      </c>
      <c r="U63" s="8">
        <f>IF((0=1),SUMIFS('Daily evaluations'!$E$2:$E$36,'Daily evaluations'!$B$2:$B$36,"=random_12",'Daily evaluations'!$C$2:$C$36,"=d20261016"),"")</f>
      </c>
      <c r="V63" s="8">
        <f>IF((0=1),SUMIFS('Daily evaluations'!$E$2:$E$36,'Daily evaluations'!$B$2:$B$36,"=random_12",'Daily evaluations'!$C$2:$C$36,"=d20261019"),"")</f>
      </c>
      <c r="W63" s="8">
        <f>IF((0=1),SUMIFS('Daily evaluations'!$E$2:$E$36,'Daily evaluations'!$B$2:$B$36,"=random_12",'Daily evaluations'!$C$2:$C$36,"=d20261020"),"")</f>
      </c>
      <c r="X63" s="8">
        <f>IF((0=1),SUMIFS('Daily evaluations'!$E$2:$E$36,'Daily evaluations'!$B$2:$B$36,"=random_12",'Daily evaluations'!$C$2:$C$36,"=d20261021"),"")</f>
      </c>
      <c r="Y63" s="8">
        <f>IF((0=1),SUMIFS('Daily evaluations'!$E$2:$E$36,'Daily evaluations'!$B$2:$B$36,"=random_12",'Daily evaluations'!$C$2:$C$36,"=d20261022"),"")</f>
      </c>
      <c r="Z63" s="8">
        <f>IF((0=1),SUMIFS('Daily evaluations'!$E$2:$E$36,'Daily evaluations'!$B$2:$B$36,"=random_12",'Daily evaluations'!$C$2:$C$36,"=d20261023"),"")</f>
      </c>
      <c r="AA63" s="8">
        <f>IF((0=1),SUMIFS('Daily evaluations'!$E$2:$E$36,'Daily evaluations'!$B$2:$B$36,"=random_12",'Daily evaluations'!$C$2:$C$36,"=d20261026"),"")</f>
      </c>
      <c r="AB63" s="8">
        <f>IF((0=1),SUMIFS('Daily evaluations'!$E$2:$E$36,'Daily evaluations'!$B$2:$B$36,"=random_12",'Daily evaluations'!$C$2:$C$36,"=d20261027"),"")</f>
      </c>
      <c r="AC63" s="8">
        <f>IF((0=1),SUMIFS('Daily evaluations'!$E$2:$E$36,'Daily evaluations'!$B$2:$B$36,"=random_12",'Daily evaluations'!$C$2:$C$36,"=d20261028"),"")</f>
      </c>
      <c r="AD63" s="8">
        <f>IF((0=1),SUMIFS('Daily evaluations'!$E$2:$E$36,'Daily evaluations'!$B$2:$B$36,"=random_12",'Daily evaluations'!$C$2:$C$36,"=d20261029"),"")</f>
      </c>
      <c r="AE63" s="8">
        <f>IF((0=1),SUMIFS('Daily evaluations'!$E$2:$E$36,'Daily evaluations'!$B$2:$B$36,"=random_12",'Daily evaluations'!$C$2:$C$36,"=d20261030"),"")</f>
      </c>
      <c r="AF63" s="8">
        <f>IF((0=1),SUMIFS('Daily evaluations'!$E$2:$E$36,'Daily evaluations'!$B$2:$B$36,"=random_12",'Daily evaluations'!$C$2:$C$36,"=d20261102"),"")</f>
      </c>
      <c r="AG63" s="8">
        <f>IF((0=1),SUMIFS('Daily evaluations'!$E$2:$E$36,'Daily evaluations'!$B$2:$B$36,"=random_12",'Daily evaluations'!$C$2:$C$36,"=d20261103"),"")</f>
      </c>
      <c r="AH63" s="8">
        <f>IF((0=1),SUMIFS('Daily evaluations'!$E$2:$E$36,'Daily evaluations'!$B$2:$B$36,"=random_12",'Daily evaluations'!$C$2:$C$36,"=d20261104"),"")</f>
      </c>
      <c r="AI63" s="8">
        <f>IF((0=1),SUMIFS('Daily evaluations'!$E$2:$E$36,'Daily evaluations'!$B$2:$B$36,"=random_12",'Daily evaluations'!$C$2:$C$36,"=d20261105"),"")</f>
      </c>
      <c r="AJ63" s="8">
        <f>IF((0=1),SUMIFS('Daily evaluations'!$E$2:$E$36,'Daily evaluations'!$B$2:$B$36,"=random_12",'Daily evaluations'!$C$2:$C$36,"=d20261106"),"")</f>
      </c>
      <c r="AK63" s="8">
        <f>IF((0=1),SUMIFS('Daily evaluations'!$E$2:$E$36,'Daily evaluations'!$B$2:$B$36,"=random_12",'Daily evaluations'!$C$2:$C$36,"=d20261109"),"")</f>
      </c>
      <c r="AL63" s="8">
        <f>IF((0=1),SUMIFS('Daily evaluations'!$E$2:$E$36,'Daily evaluations'!$B$2:$B$36,"=random_12",'Daily evaluations'!$C$2:$C$36,"=d20261110"),"")</f>
      </c>
      <c r="AM63" s="8">
        <f>IF((0=1),SUMIFS('Daily evaluations'!$E$2:$E$36,'Daily evaluations'!$B$2:$B$36,"=random_12",'Daily evaluations'!$C$2:$C$36,"=d20261111"),"")</f>
      </c>
      <c r="AN63" s="8">
        <f>IF((0=1),SUMIFS('Daily evaluations'!$E$2:$E$36,'Daily evaluations'!$B$2:$B$36,"=random_12",'Daily evaluations'!$C$2:$C$36,"=d20261112"),"")</f>
      </c>
      <c r="AO63" s="8">
        <f>IF((0=1),SUMIFS('Daily evaluations'!$E$2:$E$36,'Daily evaluations'!$B$2:$B$36,"=random_12",'Daily evaluations'!$C$2:$C$36,"=d20261113"),"")</f>
      </c>
      <c r="AP63" s="8">
        <f>IF((0=1),SUMIFS('Daily evaluations'!$E$2:$E$36,'Daily evaluations'!$B$2:$B$36,"=random_12",'Daily evaluations'!$C$2:$C$36,"=d20261116"),"")</f>
      </c>
      <c r="AQ63" s="8">
        <f>IF((0=1),SUMIFS('Daily evaluations'!$E$2:$E$36,'Daily evaluations'!$B$2:$B$36,"=random_12",'Daily evaluations'!$C$2:$C$36,"=d20261117"),"")</f>
      </c>
      <c r="AR63" s="8">
        <f>IF((0=1),SUMIFS('Daily evaluations'!$E$2:$E$36,'Daily evaluations'!$B$2:$B$36,"=random_12",'Daily evaluations'!$C$2:$C$36,"=d20261118"),"")</f>
      </c>
      <c r="AS63" s="8">
        <f>IF((0=1),SUMIFS('Daily evaluations'!$E$2:$E$36,'Daily evaluations'!$B$2:$B$36,"=random_12",'Daily evaluations'!$C$2:$C$36,"=d20261119"),"")</f>
      </c>
      <c r="AT63" s="8">
        <f>IF((0=1),SUMIFS('Daily evaluations'!$E$2:$E$36,'Daily evaluations'!$B$2:$B$36,"=random_12",'Daily evaluations'!$C$2:$C$36,"=d20261120"),"")</f>
      </c>
      <c r="AU63" s="8">
        <f>IF((0=1),SUMIFS('Daily evaluations'!$E$2:$E$36,'Daily evaluations'!$B$2:$B$36,"=random_12",'Daily evaluations'!$C$2:$C$36,"=d20261123"),"")</f>
      </c>
      <c r="AV63" s="8">
        <f>IF((0=1),SUMIFS('Daily evaluations'!$E$2:$E$36,'Daily evaluations'!$B$2:$B$36,"=random_12",'Daily evaluations'!$C$2:$C$36,"=d20261124"),"")</f>
      </c>
      <c r="AW63" s="8">
        <f>IF((0=1),SUMIFS('Daily evaluations'!$E$2:$E$36,'Daily evaluations'!$B$2:$B$36,"=random_12",'Daily evaluations'!$C$2:$C$36,"=d20261125"),"")</f>
      </c>
      <c r="AX63" s="8">
        <f>IF((0=1),SUMIFS('Daily evaluations'!$E$2:$E$36,'Daily evaluations'!$B$2:$B$36,"=random_12",'Daily evaluations'!$C$2:$C$36,"=d20261127"),"")</f>
      </c>
      <c r="AY63" s="8">
        <f>IF((0=1),SUMIFS('Daily evaluations'!$E$2:$E$36,'Daily evaluations'!$B$2:$B$36,"=random_12",'Daily evaluations'!$C$2:$C$36,"=d20261130"),"")</f>
      </c>
      <c r="AZ63" s="8">
        <f>IF((0=1),SUMIFS('Daily evaluations'!$E$2:$E$36,'Daily evaluations'!$B$2:$B$36,"=random_12",'Daily evaluations'!$C$2:$C$36,"=d20261201"),"")</f>
      </c>
      <c r="BA63" s="8">
        <f>IF((0=1),SUMIFS('Daily evaluations'!$E$2:$E$36,'Daily evaluations'!$B$2:$B$36,"=random_12",'Daily evaluations'!$C$2:$C$36,"=d20261202"),"")</f>
      </c>
      <c r="BB63" s="8">
        <f>IF((0=1),SUMIFS('Daily evaluations'!$E$2:$E$36,'Daily evaluations'!$B$2:$B$36,"=random_12",'Daily evaluations'!$C$2:$C$36,"=d20261203"),"")</f>
      </c>
      <c r="BC63" s="8">
        <f>IF((0=1),SUMIFS('Daily evaluations'!$E$2:$E$36,'Daily evaluations'!$B$2:$B$36,"=random_12",'Daily evaluations'!$C$2:$C$36,"=d20261204"),"")</f>
      </c>
      <c r="BD63" s="8">
        <f>IF((0=1),SUMIFS('Daily evaluations'!$E$2:$E$36,'Daily evaluations'!$B$2:$B$36,"=random_12",'Daily evaluations'!$C$2:$C$36,"=d20261207"),"")</f>
      </c>
      <c r="BE63" s="8">
        <f>IF((0=1),SUMIFS('Daily evaluations'!$E$2:$E$36,'Daily evaluations'!$B$2:$B$36,"=random_12",'Daily evaluations'!$C$2:$C$36,"=d20261208"),"")</f>
      </c>
      <c r="BF63" s="8">
        <f>IF((0=1),SUMIFS('Daily evaluations'!$E$2:$E$36,'Daily evaluations'!$B$2:$B$36,"=random_12",'Daily evaluations'!$C$2:$C$36,"=d20261209"),"")</f>
      </c>
      <c r="BG63" s="8">
        <f>IF((0=1),SUMIFS('Daily evaluations'!$E$2:$E$36,'Daily evaluations'!$B$2:$B$36,"=random_12",'Daily evaluations'!$C$2:$C$36,"=d20261210"),"")</f>
      </c>
      <c r="BH63" s="8">
        <f>IF((0=1),SUMIFS('Daily evaluations'!$E$2:$E$36,'Daily evaluations'!$B$2:$B$36,"=random_12",'Daily evaluations'!$C$2:$C$36,"=d20261211"),"")</f>
      </c>
      <c r="BI63" s="8">
        <f>IF((0=1),SUMIFS('Daily evaluations'!$E$2:$E$36,'Daily evaluations'!$B$2:$B$36,"=random_12",'Daily evaluations'!$C$2:$C$36,"=d20261214"),"")</f>
      </c>
      <c r="BJ63" s="8">
        <f>IF((0=1),SUMIFS('Daily evaluations'!$E$2:$E$36,'Daily evaluations'!$B$2:$B$36,"=random_12",'Daily evaluations'!$C$2:$C$36,"=d20261215"),"")</f>
      </c>
      <c r="BK63" s="8">
        <f>IF((0=1),SUMIFS('Daily evaluations'!$E$2:$E$36,'Daily evaluations'!$B$2:$B$36,"=random_12",'Daily evaluations'!$C$2:$C$36,"=d20261216"),"")</f>
      </c>
      <c r="BL63" s="8">
        <f>IF((0=1),SUMIFS('Daily evaluations'!$E$2:$E$36,'Daily evaluations'!$B$2:$B$36,"=random_12",'Daily evaluations'!$C$2:$C$36,"=d20261217"),"")</f>
      </c>
      <c r="BM63" s="8">
        <f>IF((0=1),SUMIFS('Daily evaluations'!$E$2:$E$36,'Daily evaluations'!$B$2:$B$36,"=random_12",'Daily evaluations'!$C$2:$C$36,"=d20261218"),"")</f>
      </c>
      <c r="BN63" s="8">
        <f>IF((0=1),SUMIFS('Daily evaluations'!$E$2:$E$36,'Daily evaluations'!$B$2:$B$36,"=random_12",'Daily evaluations'!$C$2:$C$36,"=d20261221"),"")</f>
      </c>
      <c r="BO63" s="8">
        <f>IF((0=1),SUMIFS('Daily evaluations'!$E$2:$E$36,'Daily evaluations'!$B$2:$B$36,"=random_12",'Daily evaluations'!$C$2:$C$36,"=d20261222"),"")</f>
      </c>
      <c r="BP63" s="8">
        <f>IF((0=1),SUMIFS('Daily evaluations'!$E$2:$E$36,'Daily evaluations'!$B$2:$B$36,"=random_12",'Daily evaluations'!$C$2:$C$36,"=d20261223"),"")</f>
      </c>
      <c r="BQ63" s="8">
        <f>IF((0=1),SUMIFS('Daily evaluations'!$E$2:$E$36,'Daily evaluations'!$B$2:$B$36,"=random_12",'Daily evaluations'!$C$2:$C$36,"=d20261224"),"")</f>
      </c>
      <c r="BR63" s="8">
        <f>IF((0=1),SUMIFS('Daily evaluations'!$E$2:$E$36,'Daily evaluations'!$B$2:$B$36,"=random_12",'Daily evaluations'!$C$2:$C$36,"=d20261228"),"")</f>
      </c>
      <c r="BS63" s="8">
        <f>IF((0=1),SUMIFS('Daily evaluations'!$E$2:$E$36,'Daily evaluations'!$B$2:$B$36,"=random_12",'Daily evaluations'!$C$2:$C$36,"=d20261229"),"")</f>
      </c>
      <c r="BT63" s="8">
        <f>IF((0=1),SUMIFS('Daily evaluations'!$E$2:$E$36,'Daily evaluations'!$B$2:$B$36,"=random_12",'Daily evaluations'!$C$2:$C$36,"=d20261230"),"")</f>
      </c>
      <c r="BU63" s="8">
        <f>IF((0=1),SUMIFS('Daily evaluations'!$E$2:$E$36,'Daily evaluations'!$B$2:$B$36,"=random_12",'Daily evaluations'!$C$2:$C$36,"=d20261231"),"")</f>
      </c>
      <c r="BV63" s="8">
        <f>IF((0=1),SUMIFS('Daily evaluations'!$E$2:$E$36,'Daily evaluations'!$B$2:$B$36,"=random_12",'Daily evaluations'!$C$2:$C$36,"=d20270104"),"")</f>
      </c>
      <c r="BW63" s="8">
        <f>IF((0=1),SUMIFS('Daily evaluations'!$E$2:$E$36,'Daily evaluations'!$B$2:$B$36,"=random_12",'Daily evaluations'!$C$2:$C$36,"=d20270105"),"")</f>
      </c>
      <c r="BX63" s="8">
        <f>IF((0=1),SUMIFS('Daily evaluations'!$E$2:$E$36,'Daily evaluations'!$B$2:$B$36,"=random_12",'Daily evaluations'!$C$2:$C$36,"=d20270106"),"")</f>
      </c>
      <c r="BY63" s="8">
        <f>IF((0=1),SUMIFS('Daily evaluations'!$E$2:$E$36,'Daily evaluations'!$B$2:$B$36,"=random_12",'Daily evaluations'!$C$2:$C$36,"=d20270107"),"")</f>
      </c>
      <c r="BZ63" s="8">
        <f>IF((0=1),SUMIFS('Daily evaluations'!$E$2:$E$36,'Daily evaluations'!$B$2:$B$36,"=random_12",'Daily evaluations'!$C$2:$C$36,"=d20270108"),"")</f>
      </c>
      <c r="CA63" s="8">
        <f>IF((0=1),SUMIFS('Daily evaluations'!$E$2:$E$36,'Daily evaluations'!$B$2:$B$36,"=random_12",'Daily evaluations'!$C$2:$C$36,"=d20270111"),"")</f>
      </c>
      <c r="CB63" s="8">
        <f>IF((0=1),SUMIFS('Daily evaluations'!$E$2:$E$36,'Daily evaluations'!$B$2:$B$36,"=random_12",'Daily evaluations'!$C$2:$C$36,"=d20270112"),"")</f>
      </c>
      <c r="CC63" s="8">
        <f>IF((0=1),SUMIFS('Daily evaluations'!$E$2:$E$36,'Daily evaluations'!$B$2:$B$36,"=random_12",'Daily evaluations'!$C$2:$C$36,"=d20270113"),"")</f>
      </c>
      <c r="CD63" s="8">
        <f>IF((0=1),SUMIFS('Daily evaluations'!$E$2:$E$36,'Daily evaluations'!$B$2:$B$36,"=random_12",'Daily evaluations'!$C$2:$C$36,"=d20270114"),"")</f>
      </c>
      <c r="CE63" s="8">
        <f>IF((0=1),SUMIFS('Daily evaluations'!$E$2:$E$36,'Daily evaluations'!$B$2:$B$36,"=random_12",'Daily evaluations'!$C$2:$C$36,"=d20270115"),"")</f>
      </c>
      <c r="CF63" s="8">
        <f>IF((0=1),SUMIFS('Daily evaluations'!$E$2:$E$36,'Daily evaluations'!$B$2:$B$36,"=random_12",'Daily evaluations'!$C$2:$C$36,"=d20270119"),"")</f>
      </c>
      <c r="CG63" s="8">
        <f>IF((0=1),SUMIFS('Daily evaluations'!$E$2:$E$36,'Daily evaluations'!$B$2:$B$36,"=random_12",'Daily evaluations'!$C$2:$C$36,"=d20270120"),"")</f>
      </c>
      <c r="CH63" s="8">
        <f>IF((0=1),SUMIFS('Daily evaluations'!$E$2:$E$36,'Daily evaluations'!$B$2:$B$36,"=random_12",'Daily evaluations'!$C$2:$C$36,"=d20270121"),"")</f>
      </c>
      <c r="CI63" s="8">
        <f>IF((0=1),SUMIFS('Daily evaluations'!$E$2:$E$36,'Daily evaluations'!$B$2:$B$36,"=random_12",'Daily evaluations'!$C$2:$C$36,"=d20270122"),"")</f>
      </c>
      <c r="CJ63" s="8">
        <f>IF((0=1),SUMIFS('Daily evaluations'!$E$2:$E$36,'Daily evaluations'!$B$2:$B$36,"=random_12",'Daily evaluations'!$C$2:$C$36,"=d20270125"),"")</f>
      </c>
      <c r="CK63" s="8">
        <f>IF((0=1),SUMIFS('Daily evaluations'!$E$2:$E$36,'Daily evaluations'!$B$2:$B$36,"=random_12",'Daily evaluations'!$C$2:$C$36,"=d20270126"),"")</f>
      </c>
      <c r="CL63" s="8">
        <f>IF((0=1),SUMIFS('Daily evaluations'!$E$2:$E$36,'Daily evaluations'!$B$2:$B$36,"=random_12",'Daily evaluations'!$C$2:$C$36,"=d20270127"),"")</f>
      </c>
      <c r="CM63" s="8">
        <f>IF((0=1),SUMIFS('Daily evaluations'!$E$2:$E$36,'Daily evaluations'!$B$2:$B$36,"=random_12",'Daily evaluations'!$C$2:$C$36,"=d20270128"),"")</f>
      </c>
      <c r="CN63" s="8">
        <f>IF((0=1),SUMIFS('Daily evaluations'!$E$2:$E$36,'Daily evaluations'!$B$2:$B$36,"=random_12",'Daily evaluations'!$C$2:$C$36,"=d20270129"),"")</f>
      </c>
      <c r="CO63" s="8">
        <f>IF((0=1),SUMIFS('Daily evaluations'!$E$2:$E$36,'Daily evaluations'!$B$2:$B$36,"=random_12",'Daily evaluations'!$C$2:$C$36,"=d20270201"),"")</f>
      </c>
      <c r="CP63" s="8">
        <f>IF((0=1),SUMIFS('Daily evaluations'!$E$2:$E$36,'Daily evaluations'!$B$2:$B$36,"=random_12",'Daily evaluations'!$C$2:$C$36,"=d20270202"),"")</f>
      </c>
      <c r="CQ63" s="8">
        <f>IF((0=1),SUMIFS('Daily evaluations'!$E$2:$E$36,'Daily evaluations'!$B$2:$B$36,"=random_12",'Daily evaluations'!$C$2:$C$36,"=d20270203"),"")</f>
      </c>
      <c r="CR63" s="8">
        <f>IF((0=1),SUMIFS('Daily evaluations'!$E$2:$E$36,'Daily evaluations'!$B$2:$B$36,"=random_12",'Daily evaluations'!$C$2:$C$36,"=d20270204"),"")</f>
      </c>
      <c r="CS63" s="8">
        <f>IF((0=1),SUMIFS('Daily evaluations'!$E$2:$E$36,'Daily evaluations'!$B$2:$B$36,"=random_12",'Daily evaluations'!$C$2:$C$36,"=d20270205"),"")</f>
      </c>
      <c r="CT63" s="8">
        <f>IF((0=1),SUMIFS('Daily evaluations'!$E$2:$E$36,'Daily evaluations'!$B$2:$B$36,"=random_12",'Daily evaluations'!$C$2:$C$36,"=d20270208"),"")</f>
      </c>
      <c r="CU63" s="8">
        <f>IF((0=1),SUMIFS('Daily evaluations'!$E$2:$E$36,'Daily evaluations'!$B$2:$B$36,"=random_12",'Daily evaluations'!$C$2:$C$36,"=d20270209"),"")</f>
      </c>
      <c r="CV63" s="8">
        <f>IF((0=1),SUMIFS('Daily evaluations'!$E$2:$E$36,'Daily evaluations'!$B$2:$B$36,"=random_12",'Daily evaluations'!$C$2:$C$36,"=d20270210"),"")</f>
      </c>
      <c r="CW63" s="8">
        <f>IF((0=1),SUMIFS('Daily evaluations'!$E$2:$E$36,'Daily evaluations'!$B$2:$B$36,"=random_12",'Daily evaluations'!$C$2:$C$36,"=d20270211"),"")</f>
      </c>
      <c r="CX63" s="8">
        <f>IF((0=1),SUMIFS('Daily evaluations'!$E$2:$E$36,'Daily evaluations'!$B$2:$B$36,"=random_12",'Daily evaluations'!$C$2:$C$36,"=d20270212"),"")</f>
      </c>
    </row>
    <row r="64">
      <c r="A64" s="0" t="inlineStr">
        <is>
          <t xml:space="preserve">Overnight excess vs universe, bps</t>
        </is>
      </c>
      <c r="B64" s="0" t="inlineStr">
        <is>
          <t xml:space="preserve">Random 13</t>
        </is>
      </c>
      <c r="C64" s="8">
        <f>IF((1=1),SUMIFS('Daily evaluations'!$E$2:$E$36,'Daily evaluations'!$B$2:$B$36,"=random_13",'Daily evaluations'!$C$2:$C$36,"=d20260922"),"")</f>
        <v>-3.194</v>
      </c>
      <c r="D64" s="8">
        <f>IF((0=1),SUMIFS('Daily evaluations'!$E$2:$E$36,'Daily evaluations'!$B$2:$B$36,"=random_13",'Daily evaluations'!$C$2:$C$36,"=d20260923"),"")</f>
      </c>
      <c r="E64" s="8">
        <f>IF((0=1),SUMIFS('Daily evaluations'!$E$2:$E$36,'Daily evaluations'!$B$2:$B$36,"=random_13",'Daily evaluations'!$C$2:$C$36,"=d20260924"),"")</f>
      </c>
      <c r="F64" s="8">
        <f>IF((0=1),SUMIFS('Daily evaluations'!$E$2:$E$36,'Daily evaluations'!$B$2:$B$36,"=random_13",'Daily evaluations'!$C$2:$C$36,"=d20260925"),"")</f>
      </c>
      <c r="G64" s="8">
        <f>IF((0=1),SUMIFS('Daily evaluations'!$E$2:$E$36,'Daily evaluations'!$B$2:$B$36,"=random_13",'Daily evaluations'!$C$2:$C$36,"=d20260928"),"")</f>
      </c>
      <c r="H64" s="8">
        <f>IF((0=1),SUMIFS('Daily evaluations'!$E$2:$E$36,'Daily evaluations'!$B$2:$B$36,"=random_13",'Daily evaluations'!$C$2:$C$36,"=d20260929"),"")</f>
      </c>
      <c r="I64" s="8">
        <f>IF((0=1),SUMIFS('Daily evaluations'!$E$2:$E$36,'Daily evaluations'!$B$2:$B$36,"=random_13",'Daily evaluations'!$C$2:$C$36,"=d20260930"),"")</f>
      </c>
      <c r="J64" s="8">
        <f>IF((0=1),SUMIFS('Daily evaluations'!$E$2:$E$36,'Daily evaluations'!$B$2:$B$36,"=random_13",'Daily evaluations'!$C$2:$C$36,"=d20261001"),"")</f>
      </c>
      <c r="K64" s="8">
        <f>IF((0=1),SUMIFS('Daily evaluations'!$E$2:$E$36,'Daily evaluations'!$B$2:$B$36,"=random_13",'Daily evaluations'!$C$2:$C$36,"=d20261002"),"")</f>
      </c>
      <c r="L64" s="8">
        <f>IF((0=1),SUMIFS('Daily evaluations'!$E$2:$E$36,'Daily evaluations'!$B$2:$B$36,"=random_13",'Daily evaluations'!$C$2:$C$36,"=d20261005"),"")</f>
      </c>
      <c r="M64" s="8">
        <f>IF((0=1),SUMIFS('Daily evaluations'!$E$2:$E$36,'Daily evaluations'!$B$2:$B$36,"=random_13",'Daily evaluations'!$C$2:$C$36,"=d20261006"),"")</f>
      </c>
      <c r="N64" s="8">
        <f>IF((0=1),SUMIFS('Daily evaluations'!$E$2:$E$36,'Daily evaluations'!$B$2:$B$36,"=random_13",'Daily evaluations'!$C$2:$C$36,"=d20261007"),"")</f>
      </c>
      <c r="O64" s="8">
        <f>IF((0=1),SUMIFS('Daily evaluations'!$E$2:$E$36,'Daily evaluations'!$B$2:$B$36,"=random_13",'Daily evaluations'!$C$2:$C$36,"=d20261008"),"")</f>
      </c>
      <c r="P64" s="8">
        <f>IF((0=1),SUMIFS('Daily evaluations'!$E$2:$E$36,'Daily evaluations'!$B$2:$B$36,"=random_13",'Daily evaluations'!$C$2:$C$36,"=d20261009"),"")</f>
      </c>
      <c r="Q64" s="8">
        <f>IF((0=1),SUMIFS('Daily evaluations'!$E$2:$E$36,'Daily evaluations'!$B$2:$B$36,"=random_13",'Daily evaluations'!$C$2:$C$36,"=d20261012"),"")</f>
      </c>
      <c r="R64" s="8">
        <f>IF((0=1),SUMIFS('Daily evaluations'!$E$2:$E$36,'Daily evaluations'!$B$2:$B$36,"=random_13",'Daily evaluations'!$C$2:$C$36,"=d20261013"),"")</f>
      </c>
      <c r="S64" s="8">
        <f>IF((0=1),SUMIFS('Daily evaluations'!$E$2:$E$36,'Daily evaluations'!$B$2:$B$36,"=random_13",'Daily evaluations'!$C$2:$C$36,"=d20261014"),"")</f>
      </c>
      <c r="T64" s="8">
        <f>IF((0=1),SUMIFS('Daily evaluations'!$E$2:$E$36,'Daily evaluations'!$B$2:$B$36,"=random_13",'Daily evaluations'!$C$2:$C$36,"=d20261015"),"")</f>
      </c>
      <c r="U64" s="8">
        <f>IF((0=1),SUMIFS('Daily evaluations'!$E$2:$E$36,'Daily evaluations'!$B$2:$B$36,"=random_13",'Daily evaluations'!$C$2:$C$36,"=d20261016"),"")</f>
      </c>
      <c r="V64" s="8">
        <f>IF((0=1),SUMIFS('Daily evaluations'!$E$2:$E$36,'Daily evaluations'!$B$2:$B$36,"=random_13",'Daily evaluations'!$C$2:$C$36,"=d20261019"),"")</f>
      </c>
      <c r="W64" s="8">
        <f>IF((0=1),SUMIFS('Daily evaluations'!$E$2:$E$36,'Daily evaluations'!$B$2:$B$36,"=random_13",'Daily evaluations'!$C$2:$C$36,"=d20261020"),"")</f>
      </c>
      <c r="X64" s="8">
        <f>IF((0=1),SUMIFS('Daily evaluations'!$E$2:$E$36,'Daily evaluations'!$B$2:$B$36,"=random_13",'Daily evaluations'!$C$2:$C$36,"=d20261021"),"")</f>
      </c>
      <c r="Y64" s="8">
        <f>IF((0=1),SUMIFS('Daily evaluations'!$E$2:$E$36,'Daily evaluations'!$B$2:$B$36,"=random_13",'Daily evaluations'!$C$2:$C$36,"=d20261022"),"")</f>
      </c>
      <c r="Z64" s="8">
        <f>IF((0=1),SUMIFS('Daily evaluations'!$E$2:$E$36,'Daily evaluations'!$B$2:$B$36,"=random_13",'Daily evaluations'!$C$2:$C$36,"=d20261023"),"")</f>
      </c>
      <c r="AA64" s="8">
        <f>IF((0=1),SUMIFS('Daily evaluations'!$E$2:$E$36,'Daily evaluations'!$B$2:$B$36,"=random_13",'Daily evaluations'!$C$2:$C$36,"=d20261026"),"")</f>
      </c>
      <c r="AB64" s="8">
        <f>IF((0=1),SUMIFS('Daily evaluations'!$E$2:$E$36,'Daily evaluations'!$B$2:$B$36,"=random_13",'Daily evaluations'!$C$2:$C$36,"=d20261027"),"")</f>
      </c>
      <c r="AC64" s="8">
        <f>IF((0=1),SUMIFS('Daily evaluations'!$E$2:$E$36,'Daily evaluations'!$B$2:$B$36,"=random_13",'Daily evaluations'!$C$2:$C$36,"=d20261028"),"")</f>
      </c>
      <c r="AD64" s="8">
        <f>IF((0=1),SUMIFS('Daily evaluations'!$E$2:$E$36,'Daily evaluations'!$B$2:$B$36,"=random_13",'Daily evaluations'!$C$2:$C$36,"=d20261029"),"")</f>
      </c>
      <c r="AE64" s="8">
        <f>IF((0=1),SUMIFS('Daily evaluations'!$E$2:$E$36,'Daily evaluations'!$B$2:$B$36,"=random_13",'Daily evaluations'!$C$2:$C$36,"=d20261030"),"")</f>
      </c>
      <c r="AF64" s="8">
        <f>IF((0=1),SUMIFS('Daily evaluations'!$E$2:$E$36,'Daily evaluations'!$B$2:$B$36,"=random_13",'Daily evaluations'!$C$2:$C$36,"=d20261102"),"")</f>
      </c>
      <c r="AG64" s="8">
        <f>IF((0=1),SUMIFS('Daily evaluations'!$E$2:$E$36,'Daily evaluations'!$B$2:$B$36,"=random_13",'Daily evaluations'!$C$2:$C$36,"=d20261103"),"")</f>
      </c>
      <c r="AH64" s="8">
        <f>IF((0=1),SUMIFS('Daily evaluations'!$E$2:$E$36,'Daily evaluations'!$B$2:$B$36,"=random_13",'Daily evaluations'!$C$2:$C$36,"=d20261104"),"")</f>
      </c>
      <c r="AI64" s="8">
        <f>IF((0=1),SUMIFS('Daily evaluations'!$E$2:$E$36,'Daily evaluations'!$B$2:$B$36,"=random_13",'Daily evaluations'!$C$2:$C$36,"=d20261105"),"")</f>
      </c>
      <c r="AJ64" s="8">
        <f>IF((0=1),SUMIFS('Daily evaluations'!$E$2:$E$36,'Daily evaluations'!$B$2:$B$36,"=random_13",'Daily evaluations'!$C$2:$C$36,"=d20261106"),"")</f>
      </c>
      <c r="AK64" s="8">
        <f>IF((0=1),SUMIFS('Daily evaluations'!$E$2:$E$36,'Daily evaluations'!$B$2:$B$36,"=random_13",'Daily evaluations'!$C$2:$C$36,"=d20261109"),"")</f>
      </c>
      <c r="AL64" s="8">
        <f>IF((0=1),SUMIFS('Daily evaluations'!$E$2:$E$36,'Daily evaluations'!$B$2:$B$36,"=random_13",'Daily evaluations'!$C$2:$C$36,"=d20261110"),"")</f>
      </c>
      <c r="AM64" s="8">
        <f>IF((0=1),SUMIFS('Daily evaluations'!$E$2:$E$36,'Daily evaluations'!$B$2:$B$36,"=random_13",'Daily evaluations'!$C$2:$C$36,"=d20261111"),"")</f>
      </c>
      <c r="AN64" s="8">
        <f>IF((0=1),SUMIFS('Daily evaluations'!$E$2:$E$36,'Daily evaluations'!$B$2:$B$36,"=random_13",'Daily evaluations'!$C$2:$C$36,"=d20261112"),"")</f>
      </c>
      <c r="AO64" s="8">
        <f>IF((0=1),SUMIFS('Daily evaluations'!$E$2:$E$36,'Daily evaluations'!$B$2:$B$36,"=random_13",'Daily evaluations'!$C$2:$C$36,"=d20261113"),"")</f>
      </c>
      <c r="AP64" s="8">
        <f>IF((0=1),SUMIFS('Daily evaluations'!$E$2:$E$36,'Daily evaluations'!$B$2:$B$36,"=random_13",'Daily evaluations'!$C$2:$C$36,"=d20261116"),"")</f>
      </c>
      <c r="AQ64" s="8">
        <f>IF((0=1),SUMIFS('Daily evaluations'!$E$2:$E$36,'Daily evaluations'!$B$2:$B$36,"=random_13",'Daily evaluations'!$C$2:$C$36,"=d20261117"),"")</f>
      </c>
      <c r="AR64" s="8">
        <f>IF((0=1),SUMIFS('Daily evaluations'!$E$2:$E$36,'Daily evaluations'!$B$2:$B$36,"=random_13",'Daily evaluations'!$C$2:$C$36,"=d20261118"),"")</f>
      </c>
      <c r="AS64" s="8">
        <f>IF((0=1),SUMIFS('Daily evaluations'!$E$2:$E$36,'Daily evaluations'!$B$2:$B$36,"=random_13",'Daily evaluations'!$C$2:$C$36,"=d20261119"),"")</f>
      </c>
      <c r="AT64" s="8">
        <f>IF((0=1),SUMIFS('Daily evaluations'!$E$2:$E$36,'Daily evaluations'!$B$2:$B$36,"=random_13",'Daily evaluations'!$C$2:$C$36,"=d20261120"),"")</f>
      </c>
      <c r="AU64" s="8">
        <f>IF((0=1),SUMIFS('Daily evaluations'!$E$2:$E$36,'Daily evaluations'!$B$2:$B$36,"=random_13",'Daily evaluations'!$C$2:$C$36,"=d20261123"),"")</f>
      </c>
      <c r="AV64" s="8">
        <f>IF((0=1),SUMIFS('Daily evaluations'!$E$2:$E$36,'Daily evaluations'!$B$2:$B$36,"=random_13",'Daily evaluations'!$C$2:$C$36,"=d20261124"),"")</f>
      </c>
      <c r="AW64" s="8">
        <f>IF((0=1),SUMIFS('Daily evaluations'!$E$2:$E$36,'Daily evaluations'!$B$2:$B$36,"=random_13",'Daily evaluations'!$C$2:$C$36,"=d20261125"),"")</f>
      </c>
      <c r="AX64" s="8">
        <f>IF((0=1),SUMIFS('Daily evaluations'!$E$2:$E$36,'Daily evaluations'!$B$2:$B$36,"=random_13",'Daily evaluations'!$C$2:$C$36,"=d20261127"),"")</f>
      </c>
      <c r="AY64" s="8">
        <f>IF((0=1),SUMIFS('Daily evaluations'!$E$2:$E$36,'Daily evaluations'!$B$2:$B$36,"=random_13",'Daily evaluations'!$C$2:$C$36,"=d20261130"),"")</f>
      </c>
      <c r="AZ64" s="8">
        <f>IF((0=1),SUMIFS('Daily evaluations'!$E$2:$E$36,'Daily evaluations'!$B$2:$B$36,"=random_13",'Daily evaluations'!$C$2:$C$36,"=d20261201"),"")</f>
      </c>
      <c r="BA64" s="8">
        <f>IF((0=1),SUMIFS('Daily evaluations'!$E$2:$E$36,'Daily evaluations'!$B$2:$B$36,"=random_13",'Daily evaluations'!$C$2:$C$36,"=d20261202"),"")</f>
      </c>
      <c r="BB64" s="8">
        <f>IF((0=1),SUMIFS('Daily evaluations'!$E$2:$E$36,'Daily evaluations'!$B$2:$B$36,"=random_13",'Daily evaluations'!$C$2:$C$36,"=d20261203"),"")</f>
      </c>
      <c r="BC64" s="8">
        <f>IF((0=1),SUMIFS('Daily evaluations'!$E$2:$E$36,'Daily evaluations'!$B$2:$B$36,"=random_13",'Daily evaluations'!$C$2:$C$36,"=d20261204"),"")</f>
      </c>
      <c r="BD64" s="8">
        <f>IF((0=1),SUMIFS('Daily evaluations'!$E$2:$E$36,'Daily evaluations'!$B$2:$B$36,"=random_13",'Daily evaluations'!$C$2:$C$36,"=d20261207"),"")</f>
      </c>
      <c r="BE64" s="8">
        <f>IF((0=1),SUMIFS('Daily evaluations'!$E$2:$E$36,'Daily evaluations'!$B$2:$B$36,"=random_13",'Daily evaluations'!$C$2:$C$36,"=d20261208"),"")</f>
      </c>
      <c r="BF64" s="8">
        <f>IF((0=1),SUMIFS('Daily evaluations'!$E$2:$E$36,'Daily evaluations'!$B$2:$B$36,"=random_13",'Daily evaluations'!$C$2:$C$36,"=d20261209"),"")</f>
      </c>
      <c r="BG64" s="8">
        <f>IF((0=1),SUMIFS('Daily evaluations'!$E$2:$E$36,'Daily evaluations'!$B$2:$B$36,"=random_13",'Daily evaluations'!$C$2:$C$36,"=d20261210"),"")</f>
      </c>
      <c r="BH64" s="8">
        <f>IF((0=1),SUMIFS('Daily evaluations'!$E$2:$E$36,'Daily evaluations'!$B$2:$B$36,"=random_13",'Daily evaluations'!$C$2:$C$36,"=d20261211"),"")</f>
      </c>
      <c r="BI64" s="8">
        <f>IF((0=1),SUMIFS('Daily evaluations'!$E$2:$E$36,'Daily evaluations'!$B$2:$B$36,"=random_13",'Daily evaluations'!$C$2:$C$36,"=d20261214"),"")</f>
      </c>
      <c r="BJ64" s="8">
        <f>IF((0=1),SUMIFS('Daily evaluations'!$E$2:$E$36,'Daily evaluations'!$B$2:$B$36,"=random_13",'Daily evaluations'!$C$2:$C$36,"=d20261215"),"")</f>
      </c>
      <c r="BK64" s="8">
        <f>IF((0=1),SUMIFS('Daily evaluations'!$E$2:$E$36,'Daily evaluations'!$B$2:$B$36,"=random_13",'Daily evaluations'!$C$2:$C$36,"=d20261216"),"")</f>
      </c>
      <c r="BL64" s="8">
        <f>IF((0=1),SUMIFS('Daily evaluations'!$E$2:$E$36,'Daily evaluations'!$B$2:$B$36,"=random_13",'Daily evaluations'!$C$2:$C$36,"=d20261217"),"")</f>
      </c>
      <c r="BM64" s="8">
        <f>IF((0=1),SUMIFS('Daily evaluations'!$E$2:$E$36,'Daily evaluations'!$B$2:$B$36,"=random_13",'Daily evaluations'!$C$2:$C$36,"=d20261218"),"")</f>
      </c>
      <c r="BN64" s="8">
        <f>IF((0=1),SUMIFS('Daily evaluations'!$E$2:$E$36,'Daily evaluations'!$B$2:$B$36,"=random_13",'Daily evaluations'!$C$2:$C$36,"=d20261221"),"")</f>
      </c>
      <c r="BO64" s="8">
        <f>IF((0=1),SUMIFS('Daily evaluations'!$E$2:$E$36,'Daily evaluations'!$B$2:$B$36,"=random_13",'Daily evaluations'!$C$2:$C$36,"=d20261222"),"")</f>
      </c>
      <c r="BP64" s="8">
        <f>IF((0=1),SUMIFS('Daily evaluations'!$E$2:$E$36,'Daily evaluations'!$B$2:$B$36,"=random_13",'Daily evaluations'!$C$2:$C$36,"=d20261223"),"")</f>
      </c>
      <c r="BQ64" s="8">
        <f>IF((0=1),SUMIFS('Daily evaluations'!$E$2:$E$36,'Daily evaluations'!$B$2:$B$36,"=random_13",'Daily evaluations'!$C$2:$C$36,"=d20261224"),"")</f>
      </c>
      <c r="BR64" s="8">
        <f>IF((0=1),SUMIFS('Daily evaluations'!$E$2:$E$36,'Daily evaluations'!$B$2:$B$36,"=random_13",'Daily evaluations'!$C$2:$C$36,"=d20261228"),"")</f>
      </c>
      <c r="BS64" s="8">
        <f>IF((0=1),SUMIFS('Daily evaluations'!$E$2:$E$36,'Daily evaluations'!$B$2:$B$36,"=random_13",'Daily evaluations'!$C$2:$C$36,"=d20261229"),"")</f>
      </c>
      <c r="BT64" s="8">
        <f>IF((0=1),SUMIFS('Daily evaluations'!$E$2:$E$36,'Daily evaluations'!$B$2:$B$36,"=random_13",'Daily evaluations'!$C$2:$C$36,"=d20261230"),"")</f>
      </c>
      <c r="BU64" s="8">
        <f>IF((0=1),SUMIFS('Daily evaluations'!$E$2:$E$36,'Daily evaluations'!$B$2:$B$36,"=random_13",'Daily evaluations'!$C$2:$C$36,"=d20261231"),"")</f>
      </c>
      <c r="BV64" s="8">
        <f>IF((0=1),SUMIFS('Daily evaluations'!$E$2:$E$36,'Daily evaluations'!$B$2:$B$36,"=random_13",'Daily evaluations'!$C$2:$C$36,"=d20270104"),"")</f>
      </c>
      <c r="BW64" s="8">
        <f>IF((0=1),SUMIFS('Daily evaluations'!$E$2:$E$36,'Daily evaluations'!$B$2:$B$36,"=random_13",'Daily evaluations'!$C$2:$C$36,"=d20270105"),"")</f>
      </c>
      <c r="BX64" s="8">
        <f>IF((0=1),SUMIFS('Daily evaluations'!$E$2:$E$36,'Daily evaluations'!$B$2:$B$36,"=random_13",'Daily evaluations'!$C$2:$C$36,"=d20270106"),"")</f>
      </c>
      <c r="BY64" s="8">
        <f>IF((0=1),SUMIFS('Daily evaluations'!$E$2:$E$36,'Daily evaluations'!$B$2:$B$36,"=random_13",'Daily evaluations'!$C$2:$C$36,"=d20270107"),"")</f>
      </c>
      <c r="BZ64" s="8">
        <f>IF((0=1),SUMIFS('Daily evaluations'!$E$2:$E$36,'Daily evaluations'!$B$2:$B$36,"=random_13",'Daily evaluations'!$C$2:$C$36,"=d20270108"),"")</f>
      </c>
      <c r="CA64" s="8">
        <f>IF((0=1),SUMIFS('Daily evaluations'!$E$2:$E$36,'Daily evaluations'!$B$2:$B$36,"=random_13",'Daily evaluations'!$C$2:$C$36,"=d20270111"),"")</f>
      </c>
      <c r="CB64" s="8">
        <f>IF((0=1),SUMIFS('Daily evaluations'!$E$2:$E$36,'Daily evaluations'!$B$2:$B$36,"=random_13",'Daily evaluations'!$C$2:$C$36,"=d20270112"),"")</f>
      </c>
      <c r="CC64" s="8">
        <f>IF((0=1),SUMIFS('Daily evaluations'!$E$2:$E$36,'Daily evaluations'!$B$2:$B$36,"=random_13",'Daily evaluations'!$C$2:$C$36,"=d20270113"),"")</f>
      </c>
      <c r="CD64" s="8">
        <f>IF((0=1),SUMIFS('Daily evaluations'!$E$2:$E$36,'Daily evaluations'!$B$2:$B$36,"=random_13",'Daily evaluations'!$C$2:$C$36,"=d20270114"),"")</f>
      </c>
      <c r="CE64" s="8">
        <f>IF((0=1),SUMIFS('Daily evaluations'!$E$2:$E$36,'Daily evaluations'!$B$2:$B$36,"=random_13",'Daily evaluations'!$C$2:$C$36,"=d20270115"),"")</f>
      </c>
      <c r="CF64" s="8">
        <f>IF((0=1),SUMIFS('Daily evaluations'!$E$2:$E$36,'Daily evaluations'!$B$2:$B$36,"=random_13",'Daily evaluations'!$C$2:$C$36,"=d20270119"),"")</f>
      </c>
      <c r="CG64" s="8">
        <f>IF((0=1),SUMIFS('Daily evaluations'!$E$2:$E$36,'Daily evaluations'!$B$2:$B$36,"=random_13",'Daily evaluations'!$C$2:$C$36,"=d20270120"),"")</f>
      </c>
      <c r="CH64" s="8">
        <f>IF((0=1),SUMIFS('Daily evaluations'!$E$2:$E$36,'Daily evaluations'!$B$2:$B$36,"=random_13",'Daily evaluations'!$C$2:$C$36,"=d20270121"),"")</f>
      </c>
      <c r="CI64" s="8">
        <f>IF((0=1),SUMIFS('Daily evaluations'!$E$2:$E$36,'Daily evaluations'!$B$2:$B$36,"=random_13",'Daily evaluations'!$C$2:$C$36,"=d20270122"),"")</f>
      </c>
      <c r="CJ64" s="8">
        <f>IF((0=1),SUMIFS('Daily evaluations'!$E$2:$E$36,'Daily evaluations'!$B$2:$B$36,"=random_13",'Daily evaluations'!$C$2:$C$36,"=d20270125"),"")</f>
      </c>
      <c r="CK64" s="8">
        <f>IF((0=1),SUMIFS('Daily evaluations'!$E$2:$E$36,'Daily evaluations'!$B$2:$B$36,"=random_13",'Daily evaluations'!$C$2:$C$36,"=d20270126"),"")</f>
      </c>
      <c r="CL64" s="8">
        <f>IF((0=1),SUMIFS('Daily evaluations'!$E$2:$E$36,'Daily evaluations'!$B$2:$B$36,"=random_13",'Daily evaluations'!$C$2:$C$36,"=d20270127"),"")</f>
      </c>
      <c r="CM64" s="8">
        <f>IF((0=1),SUMIFS('Daily evaluations'!$E$2:$E$36,'Daily evaluations'!$B$2:$B$36,"=random_13",'Daily evaluations'!$C$2:$C$36,"=d20270128"),"")</f>
      </c>
      <c r="CN64" s="8">
        <f>IF((0=1),SUMIFS('Daily evaluations'!$E$2:$E$36,'Daily evaluations'!$B$2:$B$36,"=random_13",'Daily evaluations'!$C$2:$C$36,"=d20270129"),"")</f>
      </c>
      <c r="CO64" s="8">
        <f>IF((0=1),SUMIFS('Daily evaluations'!$E$2:$E$36,'Daily evaluations'!$B$2:$B$36,"=random_13",'Daily evaluations'!$C$2:$C$36,"=d20270201"),"")</f>
      </c>
      <c r="CP64" s="8">
        <f>IF((0=1),SUMIFS('Daily evaluations'!$E$2:$E$36,'Daily evaluations'!$B$2:$B$36,"=random_13",'Daily evaluations'!$C$2:$C$36,"=d20270202"),"")</f>
      </c>
      <c r="CQ64" s="8">
        <f>IF((0=1),SUMIFS('Daily evaluations'!$E$2:$E$36,'Daily evaluations'!$B$2:$B$36,"=random_13",'Daily evaluations'!$C$2:$C$36,"=d20270203"),"")</f>
      </c>
      <c r="CR64" s="8">
        <f>IF((0=1),SUMIFS('Daily evaluations'!$E$2:$E$36,'Daily evaluations'!$B$2:$B$36,"=random_13",'Daily evaluations'!$C$2:$C$36,"=d20270204"),"")</f>
      </c>
      <c r="CS64" s="8">
        <f>IF((0=1),SUMIFS('Daily evaluations'!$E$2:$E$36,'Daily evaluations'!$B$2:$B$36,"=random_13",'Daily evaluations'!$C$2:$C$36,"=d20270205"),"")</f>
      </c>
      <c r="CT64" s="8">
        <f>IF((0=1),SUMIFS('Daily evaluations'!$E$2:$E$36,'Daily evaluations'!$B$2:$B$36,"=random_13",'Daily evaluations'!$C$2:$C$36,"=d20270208"),"")</f>
      </c>
      <c r="CU64" s="8">
        <f>IF((0=1),SUMIFS('Daily evaluations'!$E$2:$E$36,'Daily evaluations'!$B$2:$B$36,"=random_13",'Daily evaluations'!$C$2:$C$36,"=d20270209"),"")</f>
      </c>
      <c r="CV64" s="8">
        <f>IF((0=1),SUMIFS('Daily evaluations'!$E$2:$E$36,'Daily evaluations'!$B$2:$B$36,"=random_13",'Daily evaluations'!$C$2:$C$36,"=d20270210"),"")</f>
      </c>
      <c r="CW64" s="8">
        <f>IF((0=1),SUMIFS('Daily evaluations'!$E$2:$E$36,'Daily evaluations'!$B$2:$B$36,"=random_13",'Daily evaluations'!$C$2:$C$36,"=d20270211"),"")</f>
      </c>
      <c r="CX64" s="8">
        <f>IF((0=1),SUMIFS('Daily evaluations'!$E$2:$E$36,'Daily evaluations'!$B$2:$B$36,"=random_13",'Daily evaluations'!$C$2:$C$36,"=d20270212"),"")</f>
      </c>
    </row>
    <row r="65">
      <c r="A65" s="0" t="inlineStr">
        <is>
          <t xml:space="preserve">Overnight excess vs universe, bps</t>
        </is>
      </c>
      <c r="B65" s="0" t="inlineStr">
        <is>
          <t xml:space="preserve">Random 14</t>
        </is>
      </c>
      <c r="C65" s="8">
        <f>IF((1=1),SUMIFS('Daily evaluations'!$E$2:$E$36,'Daily evaluations'!$B$2:$B$36,"=random_14",'Daily evaluations'!$C$2:$C$36,"=d20260922"),"")</f>
        <v>4.727</v>
      </c>
      <c r="D65" s="8">
        <f>IF((0=1),SUMIFS('Daily evaluations'!$E$2:$E$36,'Daily evaluations'!$B$2:$B$36,"=random_14",'Daily evaluations'!$C$2:$C$36,"=d20260923"),"")</f>
      </c>
      <c r="E65" s="8">
        <f>IF((0=1),SUMIFS('Daily evaluations'!$E$2:$E$36,'Daily evaluations'!$B$2:$B$36,"=random_14",'Daily evaluations'!$C$2:$C$36,"=d20260924"),"")</f>
      </c>
      <c r="F65" s="8">
        <f>IF((0=1),SUMIFS('Daily evaluations'!$E$2:$E$36,'Daily evaluations'!$B$2:$B$36,"=random_14",'Daily evaluations'!$C$2:$C$36,"=d20260925"),"")</f>
      </c>
      <c r="G65" s="8">
        <f>IF((0=1),SUMIFS('Daily evaluations'!$E$2:$E$36,'Daily evaluations'!$B$2:$B$36,"=random_14",'Daily evaluations'!$C$2:$C$36,"=d20260928"),"")</f>
      </c>
      <c r="H65" s="8">
        <f>IF((0=1),SUMIFS('Daily evaluations'!$E$2:$E$36,'Daily evaluations'!$B$2:$B$36,"=random_14",'Daily evaluations'!$C$2:$C$36,"=d20260929"),"")</f>
      </c>
      <c r="I65" s="8">
        <f>IF((0=1),SUMIFS('Daily evaluations'!$E$2:$E$36,'Daily evaluations'!$B$2:$B$36,"=random_14",'Daily evaluations'!$C$2:$C$36,"=d20260930"),"")</f>
      </c>
      <c r="J65" s="8">
        <f>IF((0=1),SUMIFS('Daily evaluations'!$E$2:$E$36,'Daily evaluations'!$B$2:$B$36,"=random_14",'Daily evaluations'!$C$2:$C$36,"=d20261001"),"")</f>
      </c>
      <c r="K65" s="8">
        <f>IF((0=1),SUMIFS('Daily evaluations'!$E$2:$E$36,'Daily evaluations'!$B$2:$B$36,"=random_14",'Daily evaluations'!$C$2:$C$36,"=d20261002"),"")</f>
      </c>
      <c r="L65" s="8">
        <f>IF((0=1),SUMIFS('Daily evaluations'!$E$2:$E$36,'Daily evaluations'!$B$2:$B$36,"=random_14",'Daily evaluations'!$C$2:$C$36,"=d20261005"),"")</f>
      </c>
      <c r="M65" s="8">
        <f>IF((0=1),SUMIFS('Daily evaluations'!$E$2:$E$36,'Daily evaluations'!$B$2:$B$36,"=random_14",'Daily evaluations'!$C$2:$C$36,"=d20261006"),"")</f>
      </c>
      <c r="N65" s="8">
        <f>IF((0=1),SUMIFS('Daily evaluations'!$E$2:$E$36,'Daily evaluations'!$B$2:$B$36,"=random_14",'Daily evaluations'!$C$2:$C$36,"=d20261007"),"")</f>
      </c>
      <c r="O65" s="8">
        <f>IF((0=1),SUMIFS('Daily evaluations'!$E$2:$E$36,'Daily evaluations'!$B$2:$B$36,"=random_14",'Daily evaluations'!$C$2:$C$36,"=d20261008"),"")</f>
      </c>
      <c r="P65" s="8">
        <f>IF((0=1),SUMIFS('Daily evaluations'!$E$2:$E$36,'Daily evaluations'!$B$2:$B$36,"=random_14",'Daily evaluations'!$C$2:$C$36,"=d20261009"),"")</f>
      </c>
      <c r="Q65" s="8">
        <f>IF((0=1),SUMIFS('Daily evaluations'!$E$2:$E$36,'Daily evaluations'!$B$2:$B$36,"=random_14",'Daily evaluations'!$C$2:$C$36,"=d20261012"),"")</f>
      </c>
      <c r="R65" s="8">
        <f>IF((0=1),SUMIFS('Daily evaluations'!$E$2:$E$36,'Daily evaluations'!$B$2:$B$36,"=random_14",'Daily evaluations'!$C$2:$C$36,"=d20261013"),"")</f>
      </c>
      <c r="S65" s="8">
        <f>IF((0=1),SUMIFS('Daily evaluations'!$E$2:$E$36,'Daily evaluations'!$B$2:$B$36,"=random_14",'Daily evaluations'!$C$2:$C$36,"=d20261014"),"")</f>
      </c>
      <c r="T65" s="8">
        <f>IF((0=1),SUMIFS('Daily evaluations'!$E$2:$E$36,'Daily evaluations'!$B$2:$B$36,"=random_14",'Daily evaluations'!$C$2:$C$36,"=d20261015"),"")</f>
      </c>
      <c r="U65" s="8">
        <f>IF((0=1),SUMIFS('Daily evaluations'!$E$2:$E$36,'Daily evaluations'!$B$2:$B$36,"=random_14",'Daily evaluations'!$C$2:$C$36,"=d20261016"),"")</f>
      </c>
      <c r="V65" s="8">
        <f>IF((0=1),SUMIFS('Daily evaluations'!$E$2:$E$36,'Daily evaluations'!$B$2:$B$36,"=random_14",'Daily evaluations'!$C$2:$C$36,"=d20261019"),"")</f>
      </c>
      <c r="W65" s="8">
        <f>IF((0=1),SUMIFS('Daily evaluations'!$E$2:$E$36,'Daily evaluations'!$B$2:$B$36,"=random_14",'Daily evaluations'!$C$2:$C$36,"=d20261020"),"")</f>
      </c>
      <c r="X65" s="8">
        <f>IF((0=1),SUMIFS('Daily evaluations'!$E$2:$E$36,'Daily evaluations'!$B$2:$B$36,"=random_14",'Daily evaluations'!$C$2:$C$36,"=d20261021"),"")</f>
      </c>
      <c r="Y65" s="8">
        <f>IF((0=1),SUMIFS('Daily evaluations'!$E$2:$E$36,'Daily evaluations'!$B$2:$B$36,"=random_14",'Daily evaluations'!$C$2:$C$36,"=d20261022"),"")</f>
      </c>
      <c r="Z65" s="8">
        <f>IF((0=1),SUMIFS('Daily evaluations'!$E$2:$E$36,'Daily evaluations'!$B$2:$B$36,"=random_14",'Daily evaluations'!$C$2:$C$36,"=d20261023"),"")</f>
      </c>
      <c r="AA65" s="8">
        <f>IF((0=1),SUMIFS('Daily evaluations'!$E$2:$E$36,'Daily evaluations'!$B$2:$B$36,"=random_14",'Daily evaluations'!$C$2:$C$36,"=d20261026"),"")</f>
      </c>
      <c r="AB65" s="8">
        <f>IF((0=1),SUMIFS('Daily evaluations'!$E$2:$E$36,'Daily evaluations'!$B$2:$B$36,"=random_14",'Daily evaluations'!$C$2:$C$36,"=d20261027"),"")</f>
      </c>
      <c r="AC65" s="8">
        <f>IF((0=1),SUMIFS('Daily evaluations'!$E$2:$E$36,'Daily evaluations'!$B$2:$B$36,"=random_14",'Daily evaluations'!$C$2:$C$36,"=d20261028"),"")</f>
      </c>
      <c r="AD65" s="8">
        <f>IF((0=1),SUMIFS('Daily evaluations'!$E$2:$E$36,'Daily evaluations'!$B$2:$B$36,"=random_14",'Daily evaluations'!$C$2:$C$36,"=d20261029"),"")</f>
      </c>
      <c r="AE65" s="8">
        <f>IF((0=1),SUMIFS('Daily evaluations'!$E$2:$E$36,'Daily evaluations'!$B$2:$B$36,"=random_14",'Daily evaluations'!$C$2:$C$36,"=d20261030"),"")</f>
      </c>
      <c r="AF65" s="8">
        <f>IF((0=1),SUMIFS('Daily evaluations'!$E$2:$E$36,'Daily evaluations'!$B$2:$B$36,"=random_14",'Daily evaluations'!$C$2:$C$36,"=d20261102"),"")</f>
      </c>
      <c r="AG65" s="8">
        <f>IF((0=1),SUMIFS('Daily evaluations'!$E$2:$E$36,'Daily evaluations'!$B$2:$B$36,"=random_14",'Daily evaluations'!$C$2:$C$36,"=d20261103"),"")</f>
      </c>
      <c r="AH65" s="8">
        <f>IF((0=1),SUMIFS('Daily evaluations'!$E$2:$E$36,'Daily evaluations'!$B$2:$B$36,"=random_14",'Daily evaluations'!$C$2:$C$36,"=d20261104"),"")</f>
      </c>
      <c r="AI65" s="8">
        <f>IF((0=1),SUMIFS('Daily evaluations'!$E$2:$E$36,'Daily evaluations'!$B$2:$B$36,"=random_14",'Daily evaluations'!$C$2:$C$36,"=d20261105"),"")</f>
      </c>
      <c r="AJ65" s="8">
        <f>IF((0=1),SUMIFS('Daily evaluations'!$E$2:$E$36,'Daily evaluations'!$B$2:$B$36,"=random_14",'Daily evaluations'!$C$2:$C$36,"=d20261106"),"")</f>
      </c>
      <c r="AK65" s="8">
        <f>IF((0=1),SUMIFS('Daily evaluations'!$E$2:$E$36,'Daily evaluations'!$B$2:$B$36,"=random_14",'Daily evaluations'!$C$2:$C$36,"=d20261109"),"")</f>
      </c>
      <c r="AL65" s="8">
        <f>IF((0=1),SUMIFS('Daily evaluations'!$E$2:$E$36,'Daily evaluations'!$B$2:$B$36,"=random_14",'Daily evaluations'!$C$2:$C$36,"=d20261110"),"")</f>
      </c>
      <c r="AM65" s="8">
        <f>IF((0=1),SUMIFS('Daily evaluations'!$E$2:$E$36,'Daily evaluations'!$B$2:$B$36,"=random_14",'Daily evaluations'!$C$2:$C$36,"=d20261111"),"")</f>
      </c>
      <c r="AN65" s="8">
        <f>IF((0=1),SUMIFS('Daily evaluations'!$E$2:$E$36,'Daily evaluations'!$B$2:$B$36,"=random_14",'Daily evaluations'!$C$2:$C$36,"=d20261112"),"")</f>
      </c>
      <c r="AO65" s="8">
        <f>IF((0=1),SUMIFS('Daily evaluations'!$E$2:$E$36,'Daily evaluations'!$B$2:$B$36,"=random_14",'Daily evaluations'!$C$2:$C$36,"=d20261113"),"")</f>
      </c>
      <c r="AP65" s="8">
        <f>IF((0=1),SUMIFS('Daily evaluations'!$E$2:$E$36,'Daily evaluations'!$B$2:$B$36,"=random_14",'Daily evaluations'!$C$2:$C$36,"=d20261116"),"")</f>
      </c>
      <c r="AQ65" s="8">
        <f>IF((0=1),SUMIFS('Daily evaluations'!$E$2:$E$36,'Daily evaluations'!$B$2:$B$36,"=random_14",'Daily evaluations'!$C$2:$C$36,"=d20261117"),"")</f>
      </c>
      <c r="AR65" s="8">
        <f>IF((0=1),SUMIFS('Daily evaluations'!$E$2:$E$36,'Daily evaluations'!$B$2:$B$36,"=random_14",'Daily evaluations'!$C$2:$C$36,"=d20261118"),"")</f>
      </c>
      <c r="AS65" s="8">
        <f>IF((0=1),SUMIFS('Daily evaluations'!$E$2:$E$36,'Daily evaluations'!$B$2:$B$36,"=random_14",'Daily evaluations'!$C$2:$C$36,"=d20261119"),"")</f>
      </c>
      <c r="AT65" s="8">
        <f>IF((0=1),SUMIFS('Daily evaluations'!$E$2:$E$36,'Daily evaluations'!$B$2:$B$36,"=random_14",'Daily evaluations'!$C$2:$C$36,"=d20261120"),"")</f>
      </c>
      <c r="AU65" s="8">
        <f>IF((0=1),SUMIFS('Daily evaluations'!$E$2:$E$36,'Daily evaluations'!$B$2:$B$36,"=random_14",'Daily evaluations'!$C$2:$C$36,"=d20261123"),"")</f>
      </c>
      <c r="AV65" s="8">
        <f>IF((0=1),SUMIFS('Daily evaluations'!$E$2:$E$36,'Daily evaluations'!$B$2:$B$36,"=random_14",'Daily evaluations'!$C$2:$C$36,"=d20261124"),"")</f>
      </c>
      <c r="AW65" s="8">
        <f>IF((0=1),SUMIFS('Daily evaluations'!$E$2:$E$36,'Daily evaluations'!$B$2:$B$36,"=random_14",'Daily evaluations'!$C$2:$C$36,"=d20261125"),"")</f>
      </c>
      <c r="AX65" s="8">
        <f>IF((0=1),SUMIFS('Daily evaluations'!$E$2:$E$36,'Daily evaluations'!$B$2:$B$36,"=random_14",'Daily evaluations'!$C$2:$C$36,"=d20261127"),"")</f>
      </c>
      <c r="AY65" s="8">
        <f>IF((0=1),SUMIFS('Daily evaluations'!$E$2:$E$36,'Daily evaluations'!$B$2:$B$36,"=random_14",'Daily evaluations'!$C$2:$C$36,"=d20261130"),"")</f>
      </c>
      <c r="AZ65" s="8">
        <f>IF((0=1),SUMIFS('Daily evaluations'!$E$2:$E$36,'Daily evaluations'!$B$2:$B$36,"=random_14",'Daily evaluations'!$C$2:$C$36,"=d20261201"),"")</f>
      </c>
      <c r="BA65" s="8">
        <f>IF((0=1),SUMIFS('Daily evaluations'!$E$2:$E$36,'Daily evaluations'!$B$2:$B$36,"=random_14",'Daily evaluations'!$C$2:$C$36,"=d20261202"),"")</f>
      </c>
      <c r="BB65" s="8">
        <f>IF((0=1),SUMIFS('Daily evaluations'!$E$2:$E$36,'Daily evaluations'!$B$2:$B$36,"=random_14",'Daily evaluations'!$C$2:$C$36,"=d20261203"),"")</f>
      </c>
      <c r="BC65" s="8">
        <f>IF((0=1),SUMIFS('Daily evaluations'!$E$2:$E$36,'Daily evaluations'!$B$2:$B$36,"=random_14",'Daily evaluations'!$C$2:$C$36,"=d20261204"),"")</f>
      </c>
      <c r="BD65" s="8">
        <f>IF((0=1),SUMIFS('Daily evaluations'!$E$2:$E$36,'Daily evaluations'!$B$2:$B$36,"=random_14",'Daily evaluations'!$C$2:$C$36,"=d20261207"),"")</f>
      </c>
      <c r="BE65" s="8">
        <f>IF((0=1),SUMIFS('Daily evaluations'!$E$2:$E$36,'Daily evaluations'!$B$2:$B$36,"=random_14",'Daily evaluations'!$C$2:$C$36,"=d20261208"),"")</f>
      </c>
      <c r="BF65" s="8">
        <f>IF((0=1),SUMIFS('Daily evaluations'!$E$2:$E$36,'Daily evaluations'!$B$2:$B$36,"=random_14",'Daily evaluations'!$C$2:$C$36,"=d20261209"),"")</f>
      </c>
      <c r="BG65" s="8">
        <f>IF((0=1),SUMIFS('Daily evaluations'!$E$2:$E$36,'Daily evaluations'!$B$2:$B$36,"=random_14",'Daily evaluations'!$C$2:$C$36,"=d20261210"),"")</f>
      </c>
      <c r="BH65" s="8">
        <f>IF((0=1),SUMIFS('Daily evaluations'!$E$2:$E$36,'Daily evaluations'!$B$2:$B$36,"=random_14",'Daily evaluations'!$C$2:$C$36,"=d20261211"),"")</f>
      </c>
      <c r="BI65" s="8">
        <f>IF((0=1),SUMIFS('Daily evaluations'!$E$2:$E$36,'Daily evaluations'!$B$2:$B$36,"=random_14",'Daily evaluations'!$C$2:$C$36,"=d20261214"),"")</f>
      </c>
      <c r="BJ65" s="8">
        <f>IF((0=1),SUMIFS('Daily evaluations'!$E$2:$E$36,'Daily evaluations'!$B$2:$B$36,"=random_14",'Daily evaluations'!$C$2:$C$36,"=d20261215"),"")</f>
      </c>
      <c r="BK65" s="8">
        <f>IF((0=1),SUMIFS('Daily evaluations'!$E$2:$E$36,'Daily evaluations'!$B$2:$B$36,"=random_14",'Daily evaluations'!$C$2:$C$36,"=d20261216"),"")</f>
      </c>
      <c r="BL65" s="8">
        <f>IF((0=1),SUMIFS('Daily evaluations'!$E$2:$E$36,'Daily evaluations'!$B$2:$B$36,"=random_14",'Daily evaluations'!$C$2:$C$36,"=d20261217"),"")</f>
      </c>
      <c r="BM65" s="8">
        <f>IF((0=1),SUMIFS('Daily evaluations'!$E$2:$E$36,'Daily evaluations'!$B$2:$B$36,"=random_14",'Daily evaluations'!$C$2:$C$36,"=d20261218"),"")</f>
      </c>
      <c r="BN65" s="8">
        <f>IF((0=1),SUMIFS('Daily evaluations'!$E$2:$E$36,'Daily evaluations'!$B$2:$B$36,"=random_14",'Daily evaluations'!$C$2:$C$36,"=d20261221"),"")</f>
      </c>
      <c r="BO65" s="8">
        <f>IF((0=1),SUMIFS('Daily evaluations'!$E$2:$E$36,'Daily evaluations'!$B$2:$B$36,"=random_14",'Daily evaluations'!$C$2:$C$36,"=d20261222"),"")</f>
      </c>
      <c r="BP65" s="8">
        <f>IF((0=1),SUMIFS('Daily evaluations'!$E$2:$E$36,'Daily evaluations'!$B$2:$B$36,"=random_14",'Daily evaluations'!$C$2:$C$36,"=d20261223"),"")</f>
      </c>
      <c r="BQ65" s="8">
        <f>IF((0=1),SUMIFS('Daily evaluations'!$E$2:$E$36,'Daily evaluations'!$B$2:$B$36,"=random_14",'Daily evaluations'!$C$2:$C$36,"=d20261224"),"")</f>
      </c>
      <c r="BR65" s="8">
        <f>IF((0=1),SUMIFS('Daily evaluations'!$E$2:$E$36,'Daily evaluations'!$B$2:$B$36,"=random_14",'Daily evaluations'!$C$2:$C$36,"=d20261228"),"")</f>
      </c>
      <c r="BS65" s="8">
        <f>IF((0=1),SUMIFS('Daily evaluations'!$E$2:$E$36,'Daily evaluations'!$B$2:$B$36,"=random_14",'Daily evaluations'!$C$2:$C$36,"=d20261229"),"")</f>
      </c>
      <c r="BT65" s="8">
        <f>IF((0=1),SUMIFS('Daily evaluations'!$E$2:$E$36,'Daily evaluations'!$B$2:$B$36,"=random_14",'Daily evaluations'!$C$2:$C$36,"=d20261230"),"")</f>
      </c>
      <c r="BU65" s="8">
        <f>IF((0=1),SUMIFS('Daily evaluations'!$E$2:$E$36,'Daily evaluations'!$B$2:$B$36,"=random_14",'Daily evaluations'!$C$2:$C$36,"=d20261231"),"")</f>
      </c>
      <c r="BV65" s="8">
        <f>IF((0=1),SUMIFS('Daily evaluations'!$E$2:$E$36,'Daily evaluations'!$B$2:$B$36,"=random_14",'Daily evaluations'!$C$2:$C$36,"=d20270104"),"")</f>
      </c>
      <c r="BW65" s="8">
        <f>IF((0=1),SUMIFS('Daily evaluations'!$E$2:$E$36,'Daily evaluations'!$B$2:$B$36,"=random_14",'Daily evaluations'!$C$2:$C$36,"=d20270105"),"")</f>
      </c>
      <c r="BX65" s="8">
        <f>IF((0=1),SUMIFS('Daily evaluations'!$E$2:$E$36,'Daily evaluations'!$B$2:$B$36,"=random_14",'Daily evaluations'!$C$2:$C$36,"=d20270106"),"")</f>
      </c>
      <c r="BY65" s="8">
        <f>IF((0=1),SUMIFS('Daily evaluations'!$E$2:$E$36,'Daily evaluations'!$B$2:$B$36,"=random_14",'Daily evaluations'!$C$2:$C$36,"=d20270107"),"")</f>
      </c>
      <c r="BZ65" s="8">
        <f>IF((0=1),SUMIFS('Daily evaluations'!$E$2:$E$36,'Daily evaluations'!$B$2:$B$36,"=random_14",'Daily evaluations'!$C$2:$C$36,"=d20270108"),"")</f>
      </c>
      <c r="CA65" s="8">
        <f>IF((0=1),SUMIFS('Daily evaluations'!$E$2:$E$36,'Daily evaluations'!$B$2:$B$36,"=random_14",'Daily evaluations'!$C$2:$C$36,"=d20270111"),"")</f>
      </c>
      <c r="CB65" s="8">
        <f>IF((0=1),SUMIFS('Daily evaluations'!$E$2:$E$36,'Daily evaluations'!$B$2:$B$36,"=random_14",'Daily evaluations'!$C$2:$C$36,"=d20270112"),"")</f>
      </c>
      <c r="CC65" s="8">
        <f>IF((0=1),SUMIFS('Daily evaluations'!$E$2:$E$36,'Daily evaluations'!$B$2:$B$36,"=random_14",'Daily evaluations'!$C$2:$C$36,"=d20270113"),"")</f>
      </c>
      <c r="CD65" s="8">
        <f>IF((0=1),SUMIFS('Daily evaluations'!$E$2:$E$36,'Daily evaluations'!$B$2:$B$36,"=random_14",'Daily evaluations'!$C$2:$C$36,"=d20270114"),"")</f>
      </c>
      <c r="CE65" s="8">
        <f>IF((0=1),SUMIFS('Daily evaluations'!$E$2:$E$36,'Daily evaluations'!$B$2:$B$36,"=random_14",'Daily evaluations'!$C$2:$C$36,"=d20270115"),"")</f>
      </c>
      <c r="CF65" s="8">
        <f>IF((0=1),SUMIFS('Daily evaluations'!$E$2:$E$36,'Daily evaluations'!$B$2:$B$36,"=random_14",'Daily evaluations'!$C$2:$C$36,"=d20270119"),"")</f>
      </c>
      <c r="CG65" s="8">
        <f>IF((0=1),SUMIFS('Daily evaluations'!$E$2:$E$36,'Daily evaluations'!$B$2:$B$36,"=random_14",'Daily evaluations'!$C$2:$C$36,"=d20270120"),"")</f>
      </c>
      <c r="CH65" s="8">
        <f>IF((0=1),SUMIFS('Daily evaluations'!$E$2:$E$36,'Daily evaluations'!$B$2:$B$36,"=random_14",'Daily evaluations'!$C$2:$C$36,"=d20270121"),"")</f>
      </c>
      <c r="CI65" s="8">
        <f>IF((0=1),SUMIFS('Daily evaluations'!$E$2:$E$36,'Daily evaluations'!$B$2:$B$36,"=random_14",'Daily evaluations'!$C$2:$C$36,"=d20270122"),"")</f>
      </c>
      <c r="CJ65" s="8">
        <f>IF((0=1),SUMIFS('Daily evaluations'!$E$2:$E$36,'Daily evaluations'!$B$2:$B$36,"=random_14",'Daily evaluations'!$C$2:$C$36,"=d20270125"),"")</f>
      </c>
      <c r="CK65" s="8">
        <f>IF((0=1),SUMIFS('Daily evaluations'!$E$2:$E$36,'Daily evaluations'!$B$2:$B$36,"=random_14",'Daily evaluations'!$C$2:$C$36,"=d20270126"),"")</f>
      </c>
      <c r="CL65" s="8">
        <f>IF((0=1),SUMIFS('Daily evaluations'!$E$2:$E$36,'Daily evaluations'!$B$2:$B$36,"=random_14",'Daily evaluations'!$C$2:$C$36,"=d20270127"),"")</f>
      </c>
      <c r="CM65" s="8">
        <f>IF((0=1),SUMIFS('Daily evaluations'!$E$2:$E$36,'Daily evaluations'!$B$2:$B$36,"=random_14",'Daily evaluations'!$C$2:$C$36,"=d20270128"),"")</f>
      </c>
      <c r="CN65" s="8">
        <f>IF((0=1),SUMIFS('Daily evaluations'!$E$2:$E$36,'Daily evaluations'!$B$2:$B$36,"=random_14",'Daily evaluations'!$C$2:$C$36,"=d20270129"),"")</f>
      </c>
      <c r="CO65" s="8">
        <f>IF((0=1),SUMIFS('Daily evaluations'!$E$2:$E$36,'Daily evaluations'!$B$2:$B$36,"=random_14",'Daily evaluations'!$C$2:$C$36,"=d20270201"),"")</f>
      </c>
      <c r="CP65" s="8">
        <f>IF((0=1),SUMIFS('Daily evaluations'!$E$2:$E$36,'Daily evaluations'!$B$2:$B$36,"=random_14",'Daily evaluations'!$C$2:$C$36,"=d20270202"),"")</f>
      </c>
      <c r="CQ65" s="8">
        <f>IF((0=1),SUMIFS('Daily evaluations'!$E$2:$E$36,'Daily evaluations'!$B$2:$B$36,"=random_14",'Daily evaluations'!$C$2:$C$36,"=d20270203"),"")</f>
      </c>
      <c r="CR65" s="8">
        <f>IF((0=1),SUMIFS('Daily evaluations'!$E$2:$E$36,'Daily evaluations'!$B$2:$B$36,"=random_14",'Daily evaluations'!$C$2:$C$36,"=d20270204"),"")</f>
      </c>
      <c r="CS65" s="8">
        <f>IF((0=1),SUMIFS('Daily evaluations'!$E$2:$E$36,'Daily evaluations'!$B$2:$B$36,"=random_14",'Daily evaluations'!$C$2:$C$36,"=d20270205"),"")</f>
      </c>
      <c r="CT65" s="8">
        <f>IF((0=1),SUMIFS('Daily evaluations'!$E$2:$E$36,'Daily evaluations'!$B$2:$B$36,"=random_14",'Daily evaluations'!$C$2:$C$36,"=d20270208"),"")</f>
      </c>
      <c r="CU65" s="8">
        <f>IF((0=1),SUMIFS('Daily evaluations'!$E$2:$E$36,'Daily evaluations'!$B$2:$B$36,"=random_14",'Daily evaluations'!$C$2:$C$36,"=d20270209"),"")</f>
      </c>
      <c r="CV65" s="8">
        <f>IF((0=1),SUMIFS('Daily evaluations'!$E$2:$E$36,'Daily evaluations'!$B$2:$B$36,"=random_14",'Daily evaluations'!$C$2:$C$36,"=d20270210"),"")</f>
      </c>
      <c r="CW65" s="8">
        <f>IF((0=1),SUMIFS('Daily evaluations'!$E$2:$E$36,'Daily evaluations'!$B$2:$B$36,"=random_14",'Daily evaluations'!$C$2:$C$36,"=d20270211"),"")</f>
      </c>
      <c r="CX65" s="8">
        <f>IF((0=1),SUMIFS('Daily evaluations'!$E$2:$E$36,'Daily evaluations'!$B$2:$B$36,"=random_14",'Daily evaluations'!$C$2:$C$36,"=d20270212"),"")</f>
      </c>
    </row>
    <row r="66">
      <c r="A66" s="0" t="inlineStr">
        <is>
          <t xml:space="preserve">Overnight excess vs universe, bps</t>
        </is>
      </c>
      <c r="B66" s="0" t="inlineStr">
        <is>
          <t xml:space="preserve">Random 15</t>
        </is>
      </c>
      <c r="C66" s="8">
        <f>IF((1=1),SUMIFS('Daily evaluations'!$E$2:$E$36,'Daily evaluations'!$B$2:$B$36,"=random_15",'Daily evaluations'!$C$2:$C$36,"=d20260922"),"")</f>
        <v>-11.721</v>
      </c>
      <c r="D66" s="8">
        <f>IF((0=1),SUMIFS('Daily evaluations'!$E$2:$E$36,'Daily evaluations'!$B$2:$B$36,"=random_15",'Daily evaluations'!$C$2:$C$36,"=d20260923"),"")</f>
      </c>
      <c r="E66" s="8">
        <f>IF((0=1),SUMIFS('Daily evaluations'!$E$2:$E$36,'Daily evaluations'!$B$2:$B$36,"=random_15",'Daily evaluations'!$C$2:$C$36,"=d20260924"),"")</f>
      </c>
      <c r="F66" s="8">
        <f>IF((0=1),SUMIFS('Daily evaluations'!$E$2:$E$36,'Daily evaluations'!$B$2:$B$36,"=random_15",'Daily evaluations'!$C$2:$C$36,"=d20260925"),"")</f>
      </c>
      <c r="G66" s="8">
        <f>IF((0=1),SUMIFS('Daily evaluations'!$E$2:$E$36,'Daily evaluations'!$B$2:$B$36,"=random_15",'Daily evaluations'!$C$2:$C$36,"=d20260928"),"")</f>
      </c>
      <c r="H66" s="8">
        <f>IF((0=1),SUMIFS('Daily evaluations'!$E$2:$E$36,'Daily evaluations'!$B$2:$B$36,"=random_15",'Daily evaluations'!$C$2:$C$36,"=d20260929"),"")</f>
      </c>
      <c r="I66" s="8">
        <f>IF((0=1),SUMIFS('Daily evaluations'!$E$2:$E$36,'Daily evaluations'!$B$2:$B$36,"=random_15",'Daily evaluations'!$C$2:$C$36,"=d20260930"),"")</f>
      </c>
      <c r="J66" s="8">
        <f>IF((0=1),SUMIFS('Daily evaluations'!$E$2:$E$36,'Daily evaluations'!$B$2:$B$36,"=random_15",'Daily evaluations'!$C$2:$C$36,"=d20261001"),"")</f>
      </c>
      <c r="K66" s="8">
        <f>IF((0=1),SUMIFS('Daily evaluations'!$E$2:$E$36,'Daily evaluations'!$B$2:$B$36,"=random_15",'Daily evaluations'!$C$2:$C$36,"=d20261002"),"")</f>
      </c>
      <c r="L66" s="8">
        <f>IF((0=1),SUMIFS('Daily evaluations'!$E$2:$E$36,'Daily evaluations'!$B$2:$B$36,"=random_15",'Daily evaluations'!$C$2:$C$36,"=d20261005"),"")</f>
      </c>
      <c r="M66" s="8">
        <f>IF((0=1),SUMIFS('Daily evaluations'!$E$2:$E$36,'Daily evaluations'!$B$2:$B$36,"=random_15",'Daily evaluations'!$C$2:$C$36,"=d20261006"),"")</f>
      </c>
      <c r="N66" s="8">
        <f>IF((0=1),SUMIFS('Daily evaluations'!$E$2:$E$36,'Daily evaluations'!$B$2:$B$36,"=random_15",'Daily evaluations'!$C$2:$C$36,"=d20261007"),"")</f>
      </c>
      <c r="O66" s="8">
        <f>IF((0=1),SUMIFS('Daily evaluations'!$E$2:$E$36,'Daily evaluations'!$B$2:$B$36,"=random_15",'Daily evaluations'!$C$2:$C$36,"=d20261008"),"")</f>
      </c>
      <c r="P66" s="8">
        <f>IF((0=1),SUMIFS('Daily evaluations'!$E$2:$E$36,'Daily evaluations'!$B$2:$B$36,"=random_15",'Daily evaluations'!$C$2:$C$36,"=d20261009"),"")</f>
      </c>
      <c r="Q66" s="8">
        <f>IF((0=1),SUMIFS('Daily evaluations'!$E$2:$E$36,'Daily evaluations'!$B$2:$B$36,"=random_15",'Daily evaluations'!$C$2:$C$36,"=d20261012"),"")</f>
      </c>
      <c r="R66" s="8">
        <f>IF((0=1),SUMIFS('Daily evaluations'!$E$2:$E$36,'Daily evaluations'!$B$2:$B$36,"=random_15",'Daily evaluations'!$C$2:$C$36,"=d20261013"),"")</f>
      </c>
      <c r="S66" s="8">
        <f>IF((0=1),SUMIFS('Daily evaluations'!$E$2:$E$36,'Daily evaluations'!$B$2:$B$36,"=random_15",'Daily evaluations'!$C$2:$C$36,"=d20261014"),"")</f>
      </c>
      <c r="T66" s="8">
        <f>IF((0=1),SUMIFS('Daily evaluations'!$E$2:$E$36,'Daily evaluations'!$B$2:$B$36,"=random_15",'Daily evaluations'!$C$2:$C$36,"=d20261015"),"")</f>
      </c>
      <c r="U66" s="8">
        <f>IF((0=1),SUMIFS('Daily evaluations'!$E$2:$E$36,'Daily evaluations'!$B$2:$B$36,"=random_15",'Daily evaluations'!$C$2:$C$36,"=d20261016"),"")</f>
      </c>
      <c r="V66" s="8">
        <f>IF((0=1),SUMIFS('Daily evaluations'!$E$2:$E$36,'Daily evaluations'!$B$2:$B$36,"=random_15",'Daily evaluations'!$C$2:$C$36,"=d20261019"),"")</f>
      </c>
      <c r="W66" s="8">
        <f>IF((0=1),SUMIFS('Daily evaluations'!$E$2:$E$36,'Daily evaluations'!$B$2:$B$36,"=random_15",'Daily evaluations'!$C$2:$C$36,"=d20261020"),"")</f>
      </c>
      <c r="X66" s="8">
        <f>IF((0=1),SUMIFS('Daily evaluations'!$E$2:$E$36,'Daily evaluations'!$B$2:$B$36,"=random_15",'Daily evaluations'!$C$2:$C$36,"=d20261021"),"")</f>
      </c>
      <c r="Y66" s="8">
        <f>IF((0=1),SUMIFS('Daily evaluations'!$E$2:$E$36,'Daily evaluations'!$B$2:$B$36,"=random_15",'Daily evaluations'!$C$2:$C$36,"=d20261022"),"")</f>
      </c>
      <c r="Z66" s="8">
        <f>IF((0=1),SUMIFS('Daily evaluations'!$E$2:$E$36,'Daily evaluations'!$B$2:$B$36,"=random_15",'Daily evaluations'!$C$2:$C$36,"=d20261023"),"")</f>
      </c>
      <c r="AA66" s="8">
        <f>IF((0=1),SUMIFS('Daily evaluations'!$E$2:$E$36,'Daily evaluations'!$B$2:$B$36,"=random_15",'Daily evaluations'!$C$2:$C$36,"=d20261026"),"")</f>
      </c>
      <c r="AB66" s="8">
        <f>IF((0=1),SUMIFS('Daily evaluations'!$E$2:$E$36,'Daily evaluations'!$B$2:$B$36,"=random_15",'Daily evaluations'!$C$2:$C$36,"=d20261027"),"")</f>
      </c>
      <c r="AC66" s="8">
        <f>IF((0=1),SUMIFS('Daily evaluations'!$E$2:$E$36,'Daily evaluations'!$B$2:$B$36,"=random_15",'Daily evaluations'!$C$2:$C$36,"=d20261028"),"")</f>
      </c>
      <c r="AD66" s="8">
        <f>IF((0=1),SUMIFS('Daily evaluations'!$E$2:$E$36,'Daily evaluations'!$B$2:$B$36,"=random_15",'Daily evaluations'!$C$2:$C$36,"=d20261029"),"")</f>
      </c>
      <c r="AE66" s="8">
        <f>IF((0=1),SUMIFS('Daily evaluations'!$E$2:$E$36,'Daily evaluations'!$B$2:$B$36,"=random_15",'Daily evaluations'!$C$2:$C$36,"=d20261030"),"")</f>
      </c>
      <c r="AF66" s="8">
        <f>IF((0=1),SUMIFS('Daily evaluations'!$E$2:$E$36,'Daily evaluations'!$B$2:$B$36,"=random_15",'Daily evaluations'!$C$2:$C$36,"=d20261102"),"")</f>
      </c>
      <c r="AG66" s="8">
        <f>IF((0=1),SUMIFS('Daily evaluations'!$E$2:$E$36,'Daily evaluations'!$B$2:$B$36,"=random_15",'Daily evaluations'!$C$2:$C$36,"=d20261103"),"")</f>
      </c>
      <c r="AH66" s="8">
        <f>IF((0=1),SUMIFS('Daily evaluations'!$E$2:$E$36,'Daily evaluations'!$B$2:$B$36,"=random_15",'Daily evaluations'!$C$2:$C$36,"=d20261104"),"")</f>
      </c>
      <c r="AI66" s="8">
        <f>IF((0=1),SUMIFS('Daily evaluations'!$E$2:$E$36,'Daily evaluations'!$B$2:$B$36,"=random_15",'Daily evaluations'!$C$2:$C$36,"=d20261105"),"")</f>
      </c>
      <c r="AJ66" s="8">
        <f>IF((0=1),SUMIFS('Daily evaluations'!$E$2:$E$36,'Daily evaluations'!$B$2:$B$36,"=random_15",'Daily evaluations'!$C$2:$C$36,"=d20261106"),"")</f>
      </c>
      <c r="AK66" s="8">
        <f>IF((0=1),SUMIFS('Daily evaluations'!$E$2:$E$36,'Daily evaluations'!$B$2:$B$36,"=random_15",'Daily evaluations'!$C$2:$C$36,"=d20261109"),"")</f>
      </c>
      <c r="AL66" s="8">
        <f>IF((0=1),SUMIFS('Daily evaluations'!$E$2:$E$36,'Daily evaluations'!$B$2:$B$36,"=random_15",'Daily evaluations'!$C$2:$C$36,"=d20261110"),"")</f>
      </c>
      <c r="AM66" s="8">
        <f>IF((0=1),SUMIFS('Daily evaluations'!$E$2:$E$36,'Daily evaluations'!$B$2:$B$36,"=random_15",'Daily evaluations'!$C$2:$C$36,"=d20261111"),"")</f>
      </c>
      <c r="AN66" s="8">
        <f>IF((0=1),SUMIFS('Daily evaluations'!$E$2:$E$36,'Daily evaluations'!$B$2:$B$36,"=random_15",'Daily evaluations'!$C$2:$C$36,"=d20261112"),"")</f>
      </c>
      <c r="AO66" s="8">
        <f>IF((0=1),SUMIFS('Daily evaluations'!$E$2:$E$36,'Daily evaluations'!$B$2:$B$36,"=random_15",'Daily evaluations'!$C$2:$C$36,"=d20261113"),"")</f>
      </c>
      <c r="AP66" s="8">
        <f>IF((0=1),SUMIFS('Daily evaluations'!$E$2:$E$36,'Daily evaluations'!$B$2:$B$36,"=random_15",'Daily evaluations'!$C$2:$C$36,"=d20261116"),"")</f>
      </c>
      <c r="AQ66" s="8">
        <f>IF((0=1),SUMIFS('Daily evaluations'!$E$2:$E$36,'Daily evaluations'!$B$2:$B$36,"=random_15",'Daily evaluations'!$C$2:$C$36,"=d20261117"),"")</f>
      </c>
      <c r="AR66" s="8">
        <f>IF((0=1),SUMIFS('Daily evaluations'!$E$2:$E$36,'Daily evaluations'!$B$2:$B$36,"=random_15",'Daily evaluations'!$C$2:$C$36,"=d20261118"),"")</f>
      </c>
      <c r="AS66" s="8">
        <f>IF((0=1),SUMIFS('Daily evaluations'!$E$2:$E$36,'Daily evaluations'!$B$2:$B$36,"=random_15",'Daily evaluations'!$C$2:$C$36,"=d20261119"),"")</f>
      </c>
      <c r="AT66" s="8">
        <f>IF((0=1),SUMIFS('Daily evaluations'!$E$2:$E$36,'Daily evaluations'!$B$2:$B$36,"=random_15",'Daily evaluations'!$C$2:$C$36,"=d20261120"),"")</f>
      </c>
      <c r="AU66" s="8">
        <f>IF((0=1),SUMIFS('Daily evaluations'!$E$2:$E$36,'Daily evaluations'!$B$2:$B$36,"=random_15",'Daily evaluations'!$C$2:$C$36,"=d20261123"),"")</f>
      </c>
      <c r="AV66" s="8">
        <f>IF((0=1),SUMIFS('Daily evaluations'!$E$2:$E$36,'Daily evaluations'!$B$2:$B$36,"=random_15",'Daily evaluations'!$C$2:$C$36,"=d20261124"),"")</f>
      </c>
      <c r="AW66" s="8">
        <f>IF((0=1),SUMIFS('Daily evaluations'!$E$2:$E$36,'Daily evaluations'!$B$2:$B$36,"=random_15",'Daily evaluations'!$C$2:$C$36,"=d20261125"),"")</f>
      </c>
      <c r="AX66" s="8">
        <f>IF((0=1),SUMIFS('Daily evaluations'!$E$2:$E$36,'Daily evaluations'!$B$2:$B$36,"=random_15",'Daily evaluations'!$C$2:$C$36,"=d20261127"),"")</f>
      </c>
      <c r="AY66" s="8">
        <f>IF((0=1),SUMIFS('Daily evaluations'!$E$2:$E$36,'Daily evaluations'!$B$2:$B$36,"=random_15",'Daily evaluations'!$C$2:$C$36,"=d20261130"),"")</f>
      </c>
      <c r="AZ66" s="8">
        <f>IF((0=1),SUMIFS('Daily evaluations'!$E$2:$E$36,'Daily evaluations'!$B$2:$B$36,"=random_15",'Daily evaluations'!$C$2:$C$36,"=d20261201"),"")</f>
      </c>
      <c r="BA66" s="8">
        <f>IF((0=1),SUMIFS('Daily evaluations'!$E$2:$E$36,'Daily evaluations'!$B$2:$B$36,"=random_15",'Daily evaluations'!$C$2:$C$36,"=d20261202"),"")</f>
      </c>
      <c r="BB66" s="8">
        <f>IF((0=1),SUMIFS('Daily evaluations'!$E$2:$E$36,'Daily evaluations'!$B$2:$B$36,"=random_15",'Daily evaluations'!$C$2:$C$36,"=d20261203"),"")</f>
      </c>
      <c r="BC66" s="8">
        <f>IF((0=1),SUMIFS('Daily evaluations'!$E$2:$E$36,'Daily evaluations'!$B$2:$B$36,"=random_15",'Daily evaluations'!$C$2:$C$36,"=d20261204"),"")</f>
      </c>
      <c r="BD66" s="8">
        <f>IF((0=1),SUMIFS('Daily evaluations'!$E$2:$E$36,'Daily evaluations'!$B$2:$B$36,"=random_15",'Daily evaluations'!$C$2:$C$36,"=d20261207"),"")</f>
      </c>
      <c r="BE66" s="8">
        <f>IF((0=1),SUMIFS('Daily evaluations'!$E$2:$E$36,'Daily evaluations'!$B$2:$B$36,"=random_15",'Daily evaluations'!$C$2:$C$36,"=d20261208"),"")</f>
      </c>
      <c r="BF66" s="8">
        <f>IF((0=1),SUMIFS('Daily evaluations'!$E$2:$E$36,'Daily evaluations'!$B$2:$B$36,"=random_15",'Daily evaluations'!$C$2:$C$36,"=d20261209"),"")</f>
      </c>
      <c r="BG66" s="8">
        <f>IF((0=1),SUMIFS('Daily evaluations'!$E$2:$E$36,'Daily evaluations'!$B$2:$B$36,"=random_15",'Daily evaluations'!$C$2:$C$36,"=d20261210"),"")</f>
      </c>
      <c r="BH66" s="8">
        <f>IF((0=1),SUMIFS('Daily evaluations'!$E$2:$E$36,'Daily evaluations'!$B$2:$B$36,"=random_15",'Daily evaluations'!$C$2:$C$36,"=d20261211"),"")</f>
      </c>
      <c r="BI66" s="8">
        <f>IF((0=1),SUMIFS('Daily evaluations'!$E$2:$E$36,'Daily evaluations'!$B$2:$B$36,"=random_15",'Daily evaluations'!$C$2:$C$36,"=d20261214"),"")</f>
      </c>
      <c r="BJ66" s="8">
        <f>IF((0=1),SUMIFS('Daily evaluations'!$E$2:$E$36,'Daily evaluations'!$B$2:$B$36,"=random_15",'Daily evaluations'!$C$2:$C$36,"=d20261215"),"")</f>
      </c>
      <c r="BK66" s="8">
        <f>IF((0=1),SUMIFS('Daily evaluations'!$E$2:$E$36,'Daily evaluations'!$B$2:$B$36,"=random_15",'Daily evaluations'!$C$2:$C$36,"=d20261216"),"")</f>
      </c>
      <c r="BL66" s="8">
        <f>IF((0=1),SUMIFS('Daily evaluations'!$E$2:$E$36,'Daily evaluations'!$B$2:$B$36,"=random_15",'Daily evaluations'!$C$2:$C$36,"=d20261217"),"")</f>
      </c>
      <c r="BM66" s="8">
        <f>IF((0=1),SUMIFS('Daily evaluations'!$E$2:$E$36,'Daily evaluations'!$B$2:$B$36,"=random_15",'Daily evaluations'!$C$2:$C$36,"=d20261218"),"")</f>
      </c>
      <c r="BN66" s="8">
        <f>IF((0=1),SUMIFS('Daily evaluations'!$E$2:$E$36,'Daily evaluations'!$B$2:$B$36,"=random_15",'Daily evaluations'!$C$2:$C$36,"=d20261221"),"")</f>
      </c>
      <c r="BO66" s="8">
        <f>IF((0=1),SUMIFS('Daily evaluations'!$E$2:$E$36,'Daily evaluations'!$B$2:$B$36,"=random_15",'Daily evaluations'!$C$2:$C$36,"=d20261222"),"")</f>
      </c>
      <c r="BP66" s="8">
        <f>IF((0=1),SUMIFS('Daily evaluations'!$E$2:$E$36,'Daily evaluations'!$B$2:$B$36,"=random_15",'Daily evaluations'!$C$2:$C$36,"=d20261223"),"")</f>
      </c>
      <c r="BQ66" s="8">
        <f>IF((0=1),SUMIFS('Daily evaluations'!$E$2:$E$36,'Daily evaluations'!$B$2:$B$36,"=random_15",'Daily evaluations'!$C$2:$C$36,"=d20261224"),"")</f>
      </c>
      <c r="BR66" s="8">
        <f>IF((0=1),SUMIFS('Daily evaluations'!$E$2:$E$36,'Daily evaluations'!$B$2:$B$36,"=random_15",'Daily evaluations'!$C$2:$C$36,"=d20261228"),"")</f>
      </c>
      <c r="BS66" s="8">
        <f>IF((0=1),SUMIFS('Daily evaluations'!$E$2:$E$36,'Daily evaluations'!$B$2:$B$36,"=random_15",'Daily evaluations'!$C$2:$C$36,"=d20261229"),"")</f>
      </c>
      <c r="BT66" s="8">
        <f>IF((0=1),SUMIFS('Daily evaluations'!$E$2:$E$36,'Daily evaluations'!$B$2:$B$36,"=random_15",'Daily evaluations'!$C$2:$C$36,"=d20261230"),"")</f>
      </c>
      <c r="BU66" s="8">
        <f>IF((0=1),SUMIFS('Daily evaluations'!$E$2:$E$36,'Daily evaluations'!$B$2:$B$36,"=random_15",'Daily evaluations'!$C$2:$C$36,"=d20261231"),"")</f>
      </c>
      <c r="BV66" s="8">
        <f>IF((0=1),SUMIFS('Daily evaluations'!$E$2:$E$36,'Daily evaluations'!$B$2:$B$36,"=random_15",'Daily evaluations'!$C$2:$C$36,"=d20270104"),"")</f>
      </c>
      <c r="BW66" s="8">
        <f>IF((0=1),SUMIFS('Daily evaluations'!$E$2:$E$36,'Daily evaluations'!$B$2:$B$36,"=random_15",'Daily evaluations'!$C$2:$C$36,"=d20270105"),"")</f>
      </c>
      <c r="BX66" s="8">
        <f>IF((0=1),SUMIFS('Daily evaluations'!$E$2:$E$36,'Daily evaluations'!$B$2:$B$36,"=random_15",'Daily evaluations'!$C$2:$C$36,"=d20270106"),"")</f>
      </c>
      <c r="BY66" s="8">
        <f>IF((0=1),SUMIFS('Daily evaluations'!$E$2:$E$36,'Daily evaluations'!$B$2:$B$36,"=random_15",'Daily evaluations'!$C$2:$C$36,"=d20270107"),"")</f>
      </c>
      <c r="BZ66" s="8">
        <f>IF((0=1),SUMIFS('Daily evaluations'!$E$2:$E$36,'Daily evaluations'!$B$2:$B$36,"=random_15",'Daily evaluations'!$C$2:$C$36,"=d20270108"),"")</f>
      </c>
      <c r="CA66" s="8">
        <f>IF((0=1),SUMIFS('Daily evaluations'!$E$2:$E$36,'Daily evaluations'!$B$2:$B$36,"=random_15",'Daily evaluations'!$C$2:$C$36,"=d20270111"),"")</f>
      </c>
      <c r="CB66" s="8">
        <f>IF((0=1),SUMIFS('Daily evaluations'!$E$2:$E$36,'Daily evaluations'!$B$2:$B$36,"=random_15",'Daily evaluations'!$C$2:$C$36,"=d20270112"),"")</f>
      </c>
      <c r="CC66" s="8">
        <f>IF((0=1),SUMIFS('Daily evaluations'!$E$2:$E$36,'Daily evaluations'!$B$2:$B$36,"=random_15",'Daily evaluations'!$C$2:$C$36,"=d20270113"),"")</f>
      </c>
      <c r="CD66" s="8">
        <f>IF((0=1),SUMIFS('Daily evaluations'!$E$2:$E$36,'Daily evaluations'!$B$2:$B$36,"=random_15",'Daily evaluations'!$C$2:$C$36,"=d20270114"),"")</f>
      </c>
      <c r="CE66" s="8">
        <f>IF((0=1),SUMIFS('Daily evaluations'!$E$2:$E$36,'Daily evaluations'!$B$2:$B$36,"=random_15",'Daily evaluations'!$C$2:$C$36,"=d20270115"),"")</f>
      </c>
      <c r="CF66" s="8">
        <f>IF((0=1),SUMIFS('Daily evaluations'!$E$2:$E$36,'Daily evaluations'!$B$2:$B$36,"=random_15",'Daily evaluations'!$C$2:$C$36,"=d20270119"),"")</f>
      </c>
      <c r="CG66" s="8">
        <f>IF((0=1),SUMIFS('Daily evaluations'!$E$2:$E$36,'Daily evaluations'!$B$2:$B$36,"=random_15",'Daily evaluations'!$C$2:$C$36,"=d20270120"),"")</f>
      </c>
      <c r="CH66" s="8">
        <f>IF((0=1),SUMIFS('Daily evaluations'!$E$2:$E$36,'Daily evaluations'!$B$2:$B$36,"=random_15",'Daily evaluations'!$C$2:$C$36,"=d20270121"),"")</f>
      </c>
      <c r="CI66" s="8">
        <f>IF((0=1),SUMIFS('Daily evaluations'!$E$2:$E$36,'Daily evaluations'!$B$2:$B$36,"=random_15",'Daily evaluations'!$C$2:$C$36,"=d20270122"),"")</f>
      </c>
      <c r="CJ66" s="8">
        <f>IF((0=1),SUMIFS('Daily evaluations'!$E$2:$E$36,'Daily evaluations'!$B$2:$B$36,"=random_15",'Daily evaluations'!$C$2:$C$36,"=d20270125"),"")</f>
      </c>
      <c r="CK66" s="8">
        <f>IF((0=1),SUMIFS('Daily evaluations'!$E$2:$E$36,'Daily evaluations'!$B$2:$B$36,"=random_15",'Daily evaluations'!$C$2:$C$36,"=d20270126"),"")</f>
      </c>
      <c r="CL66" s="8">
        <f>IF((0=1),SUMIFS('Daily evaluations'!$E$2:$E$36,'Daily evaluations'!$B$2:$B$36,"=random_15",'Daily evaluations'!$C$2:$C$36,"=d20270127"),"")</f>
      </c>
      <c r="CM66" s="8">
        <f>IF((0=1),SUMIFS('Daily evaluations'!$E$2:$E$36,'Daily evaluations'!$B$2:$B$36,"=random_15",'Daily evaluations'!$C$2:$C$36,"=d20270128"),"")</f>
      </c>
      <c r="CN66" s="8">
        <f>IF((0=1),SUMIFS('Daily evaluations'!$E$2:$E$36,'Daily evaluations'!$B$2:$B$36,"=random_15",'Daily evaluations'!$C$2:$C$36,"=d20270129"),"")</f>
      </c>
      <c r="CO66" s="8">
        <f>IF((0=1),SUMIFS('Daily evaluations'!$E$2:$E$36,'Daily evaluations'!$B$2:$B$36,"=random_15",'Daily evaluations'!$C$2:$C$36,"=d20270201"),"")</f>
      </c>
      <c r="CP66" s="8">
        <f>IF((0=1),SUMIFS('Daily evaluations'!$E$2:$E$36,'Daily evaluations'!$B$2:$B$36,"=random_15",'Daily evaluations'!$C$2:$C$36,"=d20270202"),"")</f>
      </c>
      <c r="CQ66" s="8">
        <f>IF((0=1),SUMIFS('Daily evaluations'!$E$2:$E$36,'Daily evaluations'!$B$2:$B$36,"=random_15",'Daily evaluations'!$C$2:$C$36,"=d20270203"),"")</f>
      </c>
      <c r="CR66" s="8">
        <f>IF((0=1),SUMIFS('Daily evaluations'!$E$2:$E$36,'Daily evaluations'!$B$2:$B$36,"=random_15",'Daily evaluations'!$C$2:$C$36,"=d20270204"),"")</f>
      </c>
      <c r="CS66" s="8">
        <f>IF((0=1),SUMIFS('Daily evaluations'!$E$2:$E$36,'Daily evaluations'!$B$2:$B$36,"=random_15",'Daily evaluations'!$C$2:$C$36,"=d20270205"),"")</f>
      </c>
      <c r="CT66" s="8">
        <f>IF((0=1),SUMIFS('Daily evaluations'!$E$2:$E$36,'Daily evaluations'!$B$2:$B$36,"=random_15",'Daily evaluations'!$C$2:$C$36,"=d20270208"),"")</f>
      </c>
      <c r="CU66" s="8">
        <f>IF((0=1),SUMIFS('Daily evaluations'!$E$2:$E$36,'Daily evaluations'!$B$2:$B$36,"=random_15",'Daily evaluations'!$C$2:$C$36,"=d20270209"),"")</f>
      </c>
      <c r="CV66" s="8">
        <f>IF((0=1),SUMIFS('Daily evaluations'!$E$2:$E$36,'Daily evaluations'!$B$2:$B$36,"=random_15",'Daily evaluations'!$C$2:$C$36,"=d20270210"),"")</f>
      </c>
      <c r="CW66" s="8">
        <f>IF((0=1),SUMIFS('Daily evaluations'!$E$2:$E$36,'Daily evaluations'!$B$2:$B$36,"=random_15",'Daily evaluations'!$C$2:$C$36,"=d20270211"),"")</f>
      </c>
      <c r="CX66" s="8">
        <f>IF((0=1),SUMIFS('Daily evaluations'!$E$2:$E$36,'Daily evaluations'!$B$2:$B$36,"=random_15",'Daily evaluations'!$C$2:$C$36,"=d20270212"),"")</f>
      </c>
    </row>
    <row r="67">
      <c r="A67" s="0" t="inlineStr">
        <is>
          <t xml:space="preserve">Overnight excess vs universe, bps</t>
        </is>
      </c>
      <c r="B67" s="0" t="inlineStr">
        <is>
          <t xml:space="preserve">Random 16</t>
        </is>
      </c>
      <c r="C67" s="8">
        <f>IF((1=1),SUMIFS('Daily evaluations'!$E$2:$E$36,'Daily evaluations'!$B$2:$B$36,"=random_16",'Daily evaluations'!$C$2:$C$36,"=d20260922"),"")</f>
        <v>-1.774</v>
      </c>
      <c r="D67" s="8">
        <f>IF((0=1),SUMIFS('Daily evaluations'!$E$2:$E$36,'Daily evaluations'!$B$2:$B$36,"=random_16",'Daily evaluations'!$C$2:$C$36,"=d20260923"),"")</f>
      </c>
      <c r="E67" s="8">
        <f>IF((0=1),SUMIFS('Daily evaluations'!$E$2:$E$36,'Daily evaluations'!$B$2:$B$36,"=random_16",'Daily evaluations'!$C$2:$C$36,"=d20260924"),"")</f>
      </c>
      <c r="F67" s="8">
        <f>IF((0=1),SUMIFS('Daily evaluations'!$E$2:$E$36,'Daily evaluations'!$B$2:$B$36,"=random_16",'Daily evaluations'!$C$2:$C$36,"=d20260925"),"")</f>
      </c>
      <c r="G67" s="8">
        <f>IF((0=1),SUMIFS('Daily evaluations'!$E$2:$E$36,'Daily evaluations'!$B$2:$B$36,"=random_16",'Daily evaluations'!$C$2:$C$36,"=d20260928"),"")</f>
      </c>
      <c r="H67" s="8">
        <f>IF((0=1),SUMIFS('Daily evaluations'!$E$2:$E$36,'Daily evaluations'!$B$2:$B$36,"=random_16",'Daily evaluations'!$C$2:$C$36,"=d20260929"),"")</f>
      </c>
      <c r="I67" s="8">
        <f>IF((0=1),SUMIFS('Daily evaluations'!$E$2:$E$36,'Daily evaluations'!$B$2:$B$36,"=random_16",'Daily evaluations'!$C$2:$C$36,"=d20260930"),"")</f>
      </c>
      <c r="J67" s="8">
        <f>IF((0=1),SUMIFS('Daily evaluations'!$E$2:$E$36,'Daily evaluations'!$B$2:$B$36,"=random_16",'Daily evaluations'!$C$2:$C$36,"=d20261001"),"")</f>
      </c>
      <c r="K67" s="8">
        <f>IF((0=1),SUMIFS('Daily evaluations'!$E$2:$E$36,'Daily evaluations'!$B$2:$B$36,"=random_16",'Daily evaluations'!$C$2:$C$36,"=d20261002"),"")</f>
      </c>
      <c r="L67" s="8">
        <f>IF((0=1),SUMIFS('Daily evaluations'!$E$2:$E$36,'Daily evaluations'!$B$2:$B$36,"=random_16",'Daily evaluations'!$C$2:$C$36,"=d20261005"),"")</f>
      </c>
      <c r="M67" s="8">
        <f>IF((0=1),SUMIFS('Daily evaluations'!$E$2:$E$36,'Daily evaluations'!$B$2:$B$36,"=random_16",'Daily evaluations'!$C$2:$C$36,"=d20261006"),"")</f>
      </c>
      <c r="N67" s="8">
        <f>IF((0=1),SUMIFS('Daily evaluations'!$E$2:$E$36,'Daily evaluations'!$B$2:$B$36,"=random_16",'Daily evaluations'!$C$2:$C$36,"=d20261007"),"")</f>
      </c>
      <c r="O67" s="8">
        <f>IF((0=1),SUMIFS('Daily evaluations'!$E$2:$E$36,'Daily evaluations'!$B$2:$B$36,"=random_16",'Daily evaluations'!$C$2:$C$36,"=d20261008"),"")</f>
      </c>
      <c r="P67" s="8">
        <f>IF((0=1),SUMIFS('Daily evaluations'!$E$2:$E$36,'Daily evaluations'!$B$2:$B$36,"=random_16",'Daily evaluations'!$C$2:$C$36,"=d20261009"),"")</f>
      </c>
      <c r="Q67" s="8">
        <f>IF((0=1),SUMIFS('Daily evaluations'!$E$2:$E$36,'Daily evaluations'!$B$2:$B$36,"=random_16",'Daily evaluations'!$C$2:$C$36,"=d20261012"),"")</f>
      </c>
      <c r="R67" s="8">
        <f>IF((0=1),SUMIFS('Daily evaluations'!$E$2:$E$36,'Daily evaluations'!$B$2:$B$36,"=random_16",'Daily evaluations'!$C$2:$C$36,"=d20261013"),"")</f>
      </c>
      <c r="S67" s="8">
        <f>IF((0=1),SUMIFS('Daily evaluations'!$E$2:$E$36,'Daily evaluations'!$B$2:$B$36,"=random_16",'Daily evaluations'!$C$2:$C$36,"=d20261014"),"")</f>
      </c>
      <c r="T67" s="8">
        <f>IF((0=1),SUMIFS('Daily evaluations'!$E$2:$E$36,'Daily evaluations'!$B$2:$B$36,"=random_16",'Daily evaluations'!$C$2:$C$36,"=d20261015"),"")</f>
      </c>
      <c r="U67" s="8">
        <f>IF((0=1),SUMIFS('Daily evaluations'!$E$2:$E$36,'Daily evaluations'!$B$2:$B$36,"=random_16",'Daily evaluations'!$C$2:$C$36,"=d20261016"),"")</f>
      </c>
      <c r="V67" s="8">
        <f>IF((0=1),SUMIFS('Daily evaluations'!$E$2:$E$36,'Daily evaluations'!$B$2:$B$36,"=random_16",'Daily evaluations'!$C$2:$C$36,"=d20261019"),"")</f>
      </c>
      <c r="W67" s="8">
        <f>IF((0=1),SUMIFS('Daily evaluations'!$E$2:$E$36,'Daily evaluations'!$B$2:$B$36,"=random_16",'Daily evaluations'!$C$2:$C$36,"=d20261020"),"")</f>
      </c>
      <c r="X67" s="8">
        <f>IF((0=1),SUMIFS('Daily evaluations'!$E$2:$E$36,'Daily evaluations'!$B$2:$B$36,"=random_16",'Daily evaluations'!$C$2:$C$36,"=d20261021"),"")</f>
      </c>
      <c r="Y67" s="8">
        <f>IF((0=1),SUMIFS('Daily evaluations'!$E$2:$E$36,'Daily evaluations'!$B$2:$B$36,"=random_16",'Daily evaluations'!$C$2:$C$36,"=d20261022"),"")</f>
      </c>
      <c r="Z67" s="8">
        <f>IF((0=1),SUMIFS('Daily evaluations'!$E$2:$E$36,'Daily evaluations'!$B$2:$B$36,"=random_16",'Daily evaluations'!$C$2:$C$36,"=d20261023"),"")</f>
      </c>
      <c r="AA67" s="8">
        <f>IF((0=1),SUMIFS('Daily evaluations'!$E$2:$E$36,'Daily evaluations'!$B$2:$B$36,"=random_16",'Daily evaluations'!$C$2:$C$36,"=d20261026"),"")</f>
      </c>
      <c r="AB67" s="8">
        <f>IF((0=1),SUMIFS('Daily evaluations'!$E$2:$E$36,'Daily evaluations'!$B$2:$B$36,"=random_16",'Daily evaluations'!$C$2:$C$36,"=d20261027"),"")</f>
      </c>
      <c r="AC67" s="8">
        <f>IF((0=1),SUMIFS('Daily evaluations'!$E$2:$E$36,'Daily evaluations'!$B$2:$B$36,"=random_16",'Daily evaluations'!$C$2:$C$36,"=d20261028"),"")</f>
      </c>
      <c r="AD67" s="8">
        <f>IF((0=1),SUMIFS('Daily evaluations'!$E$2:$E$36,'Daily evaluations'!$B$2:$B$36,"=random_16",'Daily evaluations'!$C$2:$C$36,"=d20261029"),"")</f>
      </c>
      <c r="AE67" s="8">
        <f>IF((0=1),SUMIFS('Daily evaluations'!$E$2:$E$36,'Daily evaluations'!$B$2:$B$36,"=random_16",'Daily evaluations'!$C$2:$C$36,"=d20261030"),"")</f>
      </c>
      <c r="AF67" s="8">
        <f>IF((0=1),SUMIFS('Daily evaluations'!$E$2:$E$36,'Daily evaluations'!$B$2:$B$36,"=random_16",'Daily evaluations'!$C$2:$C$36,"=d20261102"),"")</f>
      </c>
      <c r="AG67" s="8">
        <f>IF((0=1),SUMIFS('Daily evaluations'!$E$2:$E$36,'Daily evaluations'!$B$2:$B$36,"=random_16",'Daily evaluations'!$C$2:$C$36,"=d20261103"),"")</f>
      </c>
      <c r="AH67" s="8">
        <f>IF((0=1),SUMIFS('Daily evaluations'!$E$2:$E$36,'Daily evaluations'!$B$2:$B$36,"=random_16",'Daily evaluations'!$C$2:$C$36,"=d20261104"),"")</f>
      </c>
      <c r="AI67" s="8">
        <f>IF((0=1),SUMIFS('Daily evaluations'!$E$2:$E$36,'Daily evaluations'!$B$2:$B$36,"=random_16",'Daily evaluations'!$C$2:$C$36,"=d20261105"),"")</f>
      </c>
      <c r="AJ67" s="8">
        <f>IF((0=1),SUMIFS('Daily evaluations'!$E$2:$E$36,'Daily evaluations'!$B$2:$B$36,"=random_16",'Daily evaluations'!$C$2:$C$36,"=d20261106"),"")</f>
      </c>
      <c r="AK67" s="8">
        <f>IF((0=1),SUMIFS('Daily evaluations'!$E$2:$E$36,'Daily evaluations'!$B$2:$B$36,"=random_16",'Daily evaluations'!$C$2:$C$36,"=d20261109"),"")</f>
      </c>
      <c r="AL67" s="8">
        <f>IF((0=1),SUMIFS('Daily evaluations'!$E$2:$E$36,'Daily evaluations'!$B$2:$B$36,"=random_16",'Daily evaluations'!$C$2:$C$36,"=d20261110"),"")</f>
      </c>
      <c r="AM67" s="8">
        <f>IF((0=1),SUMIFS('Daily evaluations'!$E$2:$E$36,'Daily evaluations'!$B$2:$B$36,"=random_16",'Daily evaluations'!$C$2:$C$36,"=d20261111"),"")</f>
      </c>
      <c r="AN67" s="8">
        <f>IF((0=1),SUMIFS('Daily evaluations'!$E$2:$E$36,'Daily evaluations'!$B$2:$B$36,"=random_16",'Daily evaluations'!$C$2:$C$36,"=d20261112"),"")</f>
      </c>
      <c r="AO67" s="8">
        <f>IF((0=1),SUMIFS('Daily evaluations'!$E$2:$E$36,'Daily evaluations'!$B$2:$B$36,"=random_16",'Daily evaluations'!$C$2:$C$36,"=d20261113"),"")</f>
      </c>
      <c r="AP67" s="8">
        <f>IF((0=1),SUMIFS('Daily evaluations'!$E$2:$E$36,'Daily evaluations'!$B$2:$B$36,"=random_16",'Daily evaluations'!$C$2:$C$36,"=d20261116"),"")</f>
      </c>
      <c r="AQ67" s="8">
        <f>IF((0=1),SUMIFS('Daily evaluations'!$E$2:$E$36,'Daily evaluations'!$B$2:$B$36,"=random_16",'Daily evaluations'!$C$2:$C$36,"=d20261117"),"")</f>
      </c>
      <c r="AR67" s="8">
        <f>IF((0=1),SUMIFS('Daily evaluations'!$E$2:$E$36,'Daily evaluations'!$B$2:$B$36,"=random_16",'Daily evaluations'!$C$2:$C$36,"=d20261118"),"")</f>
      </c>
      <c r="AS67" s="8">
        <f>IF((0=1),SUMIFS('Daily evaluations'!$E$2:$E$36,'Daily evaluations'!$B$2:$B$36,"=random_16",'Daily evaluations'!$C$2:$C$36,"=d20261119"),"")</f>
      </c>
      <c r="AT67" s="8">
        <f>IF((0=1),SUMIFS('Daily evaluations'!$E$2:$E$36,'Daily evaluations'!$B$2:$B$36,"=random_16",'Daily evaluations'!$C$2:$C$36,"=d20261120"),"")</f>
      </c>
      <c r="AU67" s="8">
        <f>IF((0=1),SUMIFS('Daily evaluations'!$E$2:$E$36,'Daily evaluations'!$B$2:$B$36,"=random_16",'Daily evaluations'!$C$2:$C$36,"=d20261123"),"")</f>
      </c>
      <c r="AV67" s="8">
        <f>IF((0=1),SUMIFS('Daily evaluations'!$E$2:$E$36,'Daily evaluations'!$B$2:$B$36,"=random_16",'Daily evaluations'!$C$2:$C$36,"=d20261124"),"")</f>
      </c>
      <c r="AW67" s="8">
        <f>IF((0=1),SUMIFS('Daily evaluations'!$E$2:$E$36,'Daily evaluations'!$B$2:$B$36,"=random_16",'Daily evaluations'!$C$2:$C$36,"=d20261125"),"")</f>
      </c>
      <c r="AX67" s="8">
        <f>IF((0=1),SUMIFS('Daily evaluations'!$E$2:$E$36,'Daily evaluations'!$B$2:$B$36,"=random_16",'Daily evaluations'!$C$2:$C$36,"=d20261127"),"")</f>
      </c>
      <c r="AY67" s="8">
        <f>IF((0=1),SUMIFS('Daily evaluations'!$E$2:$E$36,'Daily evaluations'!$B$2:$B$36,"=random_16",'Daily evaluations'!$C$2:$C$36,"=d20261130"),"")</f>
      </c>
      <c r="AZ67" s="8">
        <f>IF((0=1),SUMIFS('Daily evaluations'!$E$2:$E$36,'Daily evaluations'!$B$2:$B$36,"=random_16",'Daily evaluations'!$C$2:$C$36,"=d20261201"),"")</f>
      </c>
      <c r="BA67" s="8">
        <f>IF((0=1),SUMIFS('Daily evaluations'!$E$2:$E$36,'Daily evaluations'!$B$2:$B$36,"=random_16",'Daily evaluations'!$C$2:$C$36,"=d20261202"),"")</f>
      </c>
      <c r="BB67" s="8">
        <f>IF((0=1),SUMIFS('Daily evaluations'!$E$2:$E$36,'Daily evaluations'!$B$2:$B$36,"=random_16",'Daily evaluations'!$C$2:$C$36,"=d20261203"),"")</f>
      </c>
      <c r="BC67" s="8">
        <f>IF((0=1),SUMIFS('Daily evaluations'!$E$2:$E$36,'Daily evaluations'!$B$2:$B$36,"=random_16",'Daily evaluations'!$C$2:$C$36,"=d20261204"),"")</f>
      </c>
      <c r="BD67" s="8">
        <f>IF((0=1),SUMIFS('Daily evaluations'!$E$2:$E$36,'Daily evaluations'!$B$2:$B$36,"=random_16",'Daily evaluations'!$C$2:$C$36,"=d20261207"),"")</f>
      </c>
      <c r="BE67" s="8">
        <f>IF((0=1),SUMIFS('Daily evaluations'!$E$2:$E$36,'Daily evaluations'!$B$2:$B$36,"=random_16",'Daily evaluations'!$C$2:$C$36,"=d20261208"),"")</f>
      </c>
      <c r="BF67" s="8">
        <f>IF((0=1),SUMIFS('Daily evaluations'!$E$2:$E$36,'Daily evaluations'!$B$2:$B$36,"=random_16",'Daily evaluations'!$C$2:$C$36,"=d20261209"),"")</f>
      </c>
      <c r="BG67" s="8">
        <f>IF((0=1),SUMIFS('Daily evaluations'!$E$2:$E$36,'Daily evaluations'!$B$2:$B$36,"=random_16",'Daily evaluations'!$C$2:$C$36,"=d20261210"),"")</f>
      </c>
      <c r="BH67" s="8">
        <f>IF((0=1),SUMIFS('Daily evaluations'!$E$2:$E$36,'Daily evaluations'!$B$2:$B$36,"=random_16",'Daily evaluations'!$C$2:$C$36,"=d20261211"),"")</f>
      </c>
      <c r="BI67" s="8">
        <f>IF((0=1),SUMIFS('Daily evaluations'!$E$2:$E$36,'Daily evaluations'!$B$2:$B$36,"=random_16",'Daily evaluations'!$C$2:$C$36,"=d20261214"),"")</f>
      </c>
      <c r="BJ67" s="8">
        <f>IF((0=1),SUMIFS('Daily evaluations'!$E$2:$E$36,'Daily evaluations'!$B$2:$B$36,"=random_16",'Daily evaluations'!$C$2:$C$36,"=d20261215"),"")</f>
      </c>
      <c r="BK67" s="8">
        <f>IF((0=1),SUMIFS('Daily evaluations'!$E$2:$E$36,'Daily evaluations'!$B$2:$B$36,"=random_16",'Daily evaluations'!$C$2:$C$36,"=d20261216"),"")</f>
      </c>
      <c r="BL67" s="8">
        <f>IF((0=1),SUMIFS('Daily evaluations'!$E$2:$E$36,'Daily evaluations'!$B$2:$B$36,"=random_16",'Daily evaluations'!$C$2:$C$36,"=d20261217"),"")</f>
      </c>
      <c r="BM67" s="8">
        <f>IF((0=1),SUMIFS('Daily evaluations'!$E$2:$E$36,'Daily evaluations'!$B$2:$B$36,"=random_16",'Daily evaluations'!$C$2:$C$36,"=d20261218"),"")</f>
      </c>
      <c r="BN67" s="8">
        <f>IF((0=1),SUMIFS('Daily evaluations'!$E$2:$E$36,'Daily evaluations'!$B$2:$B$36,"=random_16",'Daily evaluations'!$C$2:$C$36,"=d20261221"),"")</f>
      </c>
      <c r="BO67" s="8">
        <f>IF((0=1),SUMIFS('Daily evaluations'!$E$2:$E$36,'Daily evaluations'!$B$2:$B$36,"=random_16",'Daily evaluations'!$C$2:$C$36,"=d20261222"),"")</f>
      </c>
      <c r="BP67" s="8">
        <f>IF((0=1),SUMIFS('Daily evaluations'!$E$2:$E$36,'Daily evaluations'!$B$2:$B$36,"=random_16",'Daily evaluations'!$C$2:$C$36,"=d20261223"),"")</f>
      </c>
      <c r="BQ67" s="8">
        <f>IF((0=1),SUMIFS('Daily evaluations'!$E$2:$E$36,'Daily evaluations'!$B$2:$B$36,"=random_16",'Daily evaluations'!$C$2:$C$36,"=d20261224"),"")</f>
      </c>
      <c r="BR67" s="8">
        <f>IF((0=1),SUMIFS('Daily evaluations'!$E$2:$E$36,'Daily evaluations'!$B$2:$B$36,"=random_16",'Daily evaluations'!$C$2:$C$36,"=d20261228"),"")</f>
      </c>
      <c r="BS67" s="8">
        <f>IF((0=1),SUMIFS('Daily evaluations'!$E$2:$E$36,'Daily evaluations'!$B$2:$B$36,"=random_16",'Daily evaluations'!$C$2:$C$36,"=d20261229"),"")</f>
      </c>
      <c r="BT67" s="8">
        <f>IF((0=1),SUMIFS('Daily evaluations'!$E$2:$E$36,'Daily evaluations'!$B$2:$B$36,"=random_16",'Daily evaluations'!$C$2:$C$36,"=d20261230"),"")</f>
      </c>
      <c r="BU67" s="8">
        <f>IF((0=1),SUMIFS('Daily evaluations'!$E$2:$E$36,'Daily evaluations'!$B$2:$B$36,"=random_16",'Daily evaluations'!$C$2:$C$36,"=d20261231"),"")</f>
      </c>
      <c r="BV67" s="8">
        <f>IF((0=1),SUMIFS('Daily evaluations'!$E$2:$E$36,'Daily evaluations'!$B$2:$B$36,"=random_16",'Daily evaluations'!$C$2:$C$36,"=d20270104"),"")</f>
      </c>
      <c r="BW67" s="8">
        <f>IF((0=1),SUMIFS('Daily evaluations'!$E$2:$E$36,'Daily evaluations'!$B$2:$B$36,"=random_16",'Daily evaluations'!$C$2:$C$36,"=d20270105"),"")</f>
      </c>
      <c r="BX67" s="8">
        <f>IF((0=1),SUMIFS('Daily evaluations'!$E$2:$E$36,'Daily evaluations'!$B$2:$B$36,"=random_16",'Daily evaluations'!$C$2:$C$36,"=d20270106"),"")</f>
      </c>
      <c r="BY67" s="8">
        <f>IF((0=1),SUMIFS('Daily evaluations'!$E$2:$E$36,'Daily evaluations'!$B$2:$B$36,"=random_16",'Daily evaluations'!$C$2:$C$36,"=d20270107"),"")</f>
      </c>
      <c r="BZ67" s="8">
        <f>IF((0=1),SUMIFS('Daily evaluations'!$E$2:$E$36,'Daily evaluations'!$B$2:$B$36,"=random_16",'Daily evaluations'!$C$2:$C$36,"=d20270108"),"")</f>
      </c>
      <c r="CA67" s="8">
        <f>IF((0=1),SUMIFS('Daily evaluations'!$E$2:$E$36,'Daily evaluations'!$B$2:$B$36,"=random_16",'Daily evaluations'!$C$2:$C$36,"=d20270111"),"")</f>
      </c>
      <c r="CB67" s="8">
        <f>IF((0=1),SUMIFS('Daily evaluations'!$E$2:$E$36,'Daily evaluations'!$B$2:$B$36,"=random_16",'Daily evaluations'!$C$2:$C$36,"=d20270112"),"")</f>
      </c>
      <c r="CC67" s="8">
        <f>IF((0=1),SUMIFS('Daily evaluations'!$E$2:$E$36,'Daily evaluations'!$B$2:$B$36,"=random_16",'Daily evaluations'!$C$2:$C$36,"=d20270113"),"")</f>
      </c>
      <c r="CD67" s="8">
        <f>IF((0=1),SUMIFS('Daily evaluations'!$E$2:$E$36,'Daily evaluations'!$B$2:$B$36,"=random_16",'Daily evaluations'!$C$2:$C$36,"=d20270114"),"")</f>
      </c>
      <c r="CE67" s="8">
        <f>IF((0=1),SUMIFS('Daily evaluations'!$E$2:$E$36,'Daily evaluations'!$B$2:$B$36,"=random_16",'Daily evaluations'!$C$2:$C$36,"=d20270115"),"")</f>
      </c>
      <c r="CF67" s="8">
        <f>IF((0=1),SUMIFS('Daily evaluations'!$E$2:$E$36,'Daily evaluations'!$B$2:$B$36,"=random_16",'Daily evaluations'!$C$2:$C$36,"=d20270119"),"")</f>
      </c>
      <c r="CG67" s="8">
        <f>IF((0=1),SUMIFS('Daily evaluations'!$E$2:$E$36,'Daily evaluations'!$B$2:$B$36,"=random_16",'Daily evaluations'!$C$2:$C$36,"=d20270120"),"")</f>
      </c>
      <c r="CH67" s="8">
        <f>IF((0=1),SUMIFS('Daily evaluations'!$E$2:$E$36,'Daily evaluations'!$B$2:$B$36,"=random_16",'Daily evaluations'!$C$2:$C$36,"=d20270121"),"")</f>
      </c>
      <c r="CI67" s="8">
        <f>IF((0=1),SUMIFS('Daily evaluations'!$E$2:$E$36,'Daily evaluations'!$B$2:$B$36,"=random_16",'Daily evaluations'!$C$2:$C$36,"=d20270122"),"")</f>
      </c>
      <c r="CJ67" s="8">
        <f>IF((0=1),SUMIFS('Daily evaluations'!$E$2:$E$36,'Daily evaluations'!$B$2:$B$36,"=random_16",'Daily evaluations'!$C$2:$C$36,"=d20270125"),"")</f>
      </c>
      <c r="CK67" s="8">
        <f>IF((0=1),SUMIFS('Daily evaluations'!$E$2:$E$36,'Daily evaluations'!$B$2:$B$36,"=random_16",'Daily evaluations'!$C$2:$C$36,"=d20270126"),"")</f>
      </c>
      <c r="CL67" s="8">
        <f>IF((0=1),SUMIFS('Daily evaluations'!$E$2:$E$36,'Daily evaluations'!$B$2:$B$36,"=random_16",'Daily evaluations'!$C$2:$C$36,"=d20270127"),"")</f>
      </c>
      <c r="CM67" s="8">
        <f>IF((0=1),SUMIFS('Daily evaluations'!$E$2:$E$36,'Daily evaluations'!$B$2:$B$36,"=random_16",'Daily evaluations'!$C$2:$C$36,"=d20270128"),"")</f>
      </c>
      <c r="CN67" s="8">
        <f>IF((0=1),SUMIFS('Daily evaluations'!$E$2:$E$36,'Daily evaluations'!$B$2:$B$36,"=random_16",'Daily evaluations'!$C$2:$C$36,"=d20270129"),"")</f>
      </c>
      <c r="CO67" s="8">
        <f>IF((0=1),SUMIFS('Daily evaluations'!$E$2:$E$36,'Daily evaluations'!$B$2:$B$36,"=random_16",'Daily evaluations'!$C$2:$C$36,"=d20270201"),"")</f>
      </c>
      <c r="CP67" s="8">
        <f>IF((0=1),SUMIFS('Daily evaluations'!$E$2:$E$36,'Daily evaluations'!$B$2:$B$36,"=random_16",'Daily evaluations'!$C$2:$C$36,"=d20270202"),"")</f>
      </c>
      <c r="CQ67" s="8">
        <f>IF((0=1),SUMIFS('Daily evaluations'!$E$2:$E$36,'Daily evaluations'!$B$2:$B$36,"=random_16",'Daily evaluations'!$C$2:$C$36,"=d20270203"),"")</f>
      </c>
      <c r="CR67" s="8">
        <f>IF((0=1),SUMIFS('Daily evaluations'!$E$2:$E$36,'Daily evaluations'!$B$2:$B$36,"=random_16",'Daily evaluations'!$C$2:$C$36,"=d20270204"),"")</f>
      </c>
      <c r="CS67" s="8">
        <f>IF((0=1),SUMIFS('Daily evaluations'!$E$2:$E$36,'Daily evaluations'!$B$2:$B$36,"=random_16",'Daily evaluations'!$C$2:$C$36,"=d20270205"),"")</f>
      </c>
      <c r="CT67" s="8">
        <f>IF((0=1),SUMIFS('Daily evaluations'!$E$2:$E$36,'Daily evaluations'!$B$2:$B$36,"=random_16",'Daily evaluations'!$C$2:$C$36,"=d20270208"),"")</f>
      </c>
      <c r="CU67" s="8">
        <f>IF((0=1),SUMIFS('Daily evaluations'!$E$2:$E$36,'Daily evaluations'!$B$2:$B$36,"=random_16",'Daily evaluations'!$C$2:$C$36,"=d20270209"),"")</f>
      </c>
      <c r="CV67" s="8">
        <f>IF((0=1),SUMIFS('Daily evaluations'!$E$2:$E$36,'Daily evaluations'!$B$2:$B$36,"=random_16",'Daily evaluations'!$C$2:$C$36,"=d20270210"),"")</f>
      </c>
      <c r="CW67" s="8">
        <f>IF((0=1),SUMIFS('Daily evaluations'!$E$2:$E$36,'Daily evaluations'!$B$2:$B$36,"=random_16",'Daily evaluations'!$C$2:$C$36,"=d20270211"),"")</f>
      </c>
      <c r="CX67" s="8">
        <f>IF((0=1),SUMIFS('Daily evaluations'!$E$2:$E$36,'Daily evaluations'!$B$2:$B$36,"=random_16",'Daily evaluations'!$C$2:$C$36,"=d20270212"),"")</f>
      </c>
    </row>
    <row r="68">
      <c r="A68" s="0" t="inlineStr">
        <is>
          <t xml:space="preserve">Overnight excess vs universe, bps</t>
        </is>
      </c>
      <c r="B68" s="0" t="inlineStr">
        <is>
          <t xml:space="preserve">Random 17</t>
        </is>
      </c>
      <c r="C68" s="8">
        <f>IF((1=1),SUMIFS('Daily evaluations'!$E$2:$E$36,'Daily evaluations'!$B$2:$B$36,"=random_17",'Daily evaluations'!$C$2:$C$36,"=d20260922"),"")</f>
        <v>-3.443</v>
      </c>
      <c r="D68" s="8">
        <f>IF((0=1),SUMIFS('Daily evaluations'!$E$2:$E$36,'Daily evaluations'!$B$2:$B$36,"=random_17",'Daily evaluations'!$C$2:$C$36,"=d20260923"),"")</f>
      </c>
      <c r="E68" s="8">
        <f>IF((0=1),SUMIFS('Daily evaluations'!$E$2:$E$36,'Daily evaluations'!$B$2:$B$36,"=random_17",'Daily evaluations'!$C$2:$C$36,"=d20260924"),"")</f>
      </c>
      <c r="F68" s="8">
        <f>IF((0=1),SUMIFS('Daily evaluations'!$E$2:$E$36,'Daily evaluations'!$B$2:$B$36,"=random_17",'Daily evaluations'!$C$2:$C$36,"=d20260925"),"")</f>
      </c>
      <c r="G68" s="8">
        <f>IF((0=1),SUMIFS('Daily evaluations'!$E$2:$E$36,'Daily evaluations'!$B$2:$B$36,"=random_17",'Daily evaluations'!$C$2:$C$36,"=d20260928"),"")</f>
      </c>
      <c r="H68" s="8">
        <f>IF((0=1),SUMIFS('Daily evaluations'!$E$2:$E$36,'Daily evaluations'!$B$2:$B$36,"=random_17",'Daily evaluations'!$C$2:$C$36,"=d20260929"),"")</f>
      </c>
      <c r="I68" s="8">
        <f>IF((0=1),SUMIFS('Daily evaluations'!$E$2:$E$36,'Daily evaluations'!$B$2:$B$36,"=random_17",'Daily evaluations'!$C$2:$C$36,"=d20260930"),"")</f>
      </c>
      <c r="J68" s="8">
        <f>IF((0=1),SUMIFS('Daily evaluations'!$E$2:$E$36,'Daily evaluations'!$B$2:$B$36,"=random_17",'Daily evaluations'!$C$2:$C$36,"=d20261001"),"")</f>
      </c>
      <c r="K68" s="8">
        <f>IF((0=1),SUMIFS('Daily evaluations'!$E$2:$E$36,'Daily evaluations'!$B$2:$B$36,"=random_17",'Daily evaluations'!$C$2:$C$36,"=d20261002"),"")</f>
      </c>
      <c r="L68" s="8">
        <f>IF((0=1),SUMIFS('Daily evaluations'!$E$2:$E$36,'Daily evaluations'!$B$2:$B$36,"=random_17",'Daily evaluations'!$C$2:$C$36,"=d20261005"),"")</f>
      </c>
      <c r="M68" s="8">
        <f>IF((0=1),SUMIFS('Daily evaluations'!$E$2:$E$36,'Daily evaluations'!$B$2:$B$36,"=random_17",'Daily evaluations'!$C$2:$C$36,"=d20261006"),"")</f>
      </c>
      <c r="N68" s="8">
        <f>IF((0=1),SUMIFS('Daily evaluations'!$E$2:$E$36,'Daily evaluations'!$B$2:$B$36,"=random_17",'Daily evaluations'!$C$2:$C$36,"=d20261007"),"")</f>
      </c>
      <c r="O68" s="8">
        <f>IF((0=1),SUMIFS('Daily evaluations'!$E$2:$E$36,'Daily evaluations'!$B$2:$B$36,"=random_17",'Daily evaluations'!$C$2:$C$36,"=d20261008"),"")</f>
      </c>
      <c r="P68" s="8">
        <f>IF((0=1),SUMIFS('Daily evaluations'!$E$2:$E$36,'Daily evaluations'!$B$2:$B$36,"=random_17",'Daily evaluations'!$C$2:$C$36,"=d20261009"),"")</f>
      </c>
      <c r="Q68" s="8">
        <f>IF((0=1),SUMIFS('Daily evaluations'!$E$2:$E$36,'Daily evaluations'!$B$2:$B$36,"=random_17",'Daily evaluations'!$C$2:$C$36,"=d20261012"),"")</f>
      </c>
      <c r="R68" s="8">
        <f>IF((0=1),SUMIFS('Daily evaluations'!$E$2:$E$36,'Daily evaluations'!$B$2:$B$36,"=random_17",'Daily evaluations'!$C$2:$C$36,"=d20261013"),"")</f>
      </c>
      <c r="S68" s="8">
        <f>IF((0=1),SUMIFS('Daily evaluations'!$E$2:$E$36,'Daily evaluations'!$B$2:$B$36,"=random_17",'Daily evaluations'!$C$2:$C$36,"=d20261014"),"")</f>
      </c>
      <c r="T68" s="8">
        <f>IF((0=1),SUMIFS('Daily evaluations'!$E$2:$E$36,'Daily evaluations'!$B$2:$B$36,"=random_17",'Daily evaluations'!$C$2:$C$36,"=d20261015"),"")</f>
      </c>
      <c r="U68" s="8">
        <f>IF((0=1),SUMIFS('Daily evaluations'!$E$2:$E$36,'Daily evaluations'!$B$2:$B$36,"=random_17",'Daily evaluations'!$C$2:$C$36,"=d20261016"),"")</f>
      </c>
      <c r="V68" s="8">
        <f>IF((0=1),SUMIFS('Daily evaluations'!$E$2:$E$36,'Daily evaluations'!$B$2:$B$36,"=random_17",'Daily evaluations'!$C$2:$C$36,"=d20261019"),"")</f>
      </c>
      <c r="W68" s="8">
        <f>IF((0=1),SUMIFS('Daily evaluations'!$E$2:$E$36,'Daily evaluations'!$B$2:$B$36,"=random_17",'Daily evaluations'!$C$2:$C$36,"=d20261020"),"")</f>
      </c>
      <c r="X68" s="8">
        <f>IF((0=1),SUMIFS('Daily evaluations'!$E$2:$E$36,'Daily evaluations'!$B$2:$B$36,"=random_17",'Daily evaluations'!$C$2:$C$36,"=d20261021"),"")</f>
      </c>
      <c r="Y68" s="8">
        <f>IF((0=1),SUMIFS('Daily evaluations'!$E$2:$E$36,'Daily evaluations'!$B$2:$B$36,"=random_17",'Daily evaluations'!$C$2:$C$36,"=d20261022"),"")</f>
      </c>
      <c r="Z68" s="8">
        <f>IF((0=1),SUMIFS('Daily evaluations'!$E$2:$E$36,'Daily evaluations'!$B$2:$B$36,"=random_17",'Daily evaluations'!$C$2:$C$36,"=d20261023"),"")</f>
      </c>
      <c r="AA68" s="8">
        <f>IF((0=1),SUMIFS('Daily evaluations'!$E$2:$E$36,'Daily evaluations'!$B$2:$B$36,"=random_17",'Daily evaluations'!$C$2:$C$36,"=d20261026"),"")</f>
      </c>
      <c r="AB68" s="8">
        <f>IF((0=1),SUMIFS('Daily evaluations'!$E$2:$E$36,'Daily evaluations'!$B$2:$B$36,"=random_17",'Daily evaluations'!$C$2:$C$36,"=d20261027"),"")</f>
      </c>
      <c r="AC68" s="8">
        <f>IF((0=1),SUMIFS('Daily evaluations'!$E$2:$E$36,'Daily evaluations'!$B$2:$B$36,"=random_17",'Daily evaluations'!$C$2:$C$36,"=d20261028"),"")</f>
      </c>
      <c r="AD68" s="8">
        <f>IF((0=1),SUMIFS('Daily evaluations'!$E$2:$E$36,'Daily evaluations'!$B$2:$B$36,"=random_17",'Daily evaluations'!$C$2:$C$36,"=d20261029"),"")</f>
      </c>
      <c r="AE68" s="8">
        <f>IF((0=1),SUMIFS('Daily evaluations'!$E$2:$E$36,'Daily evaluations'!$B$2:$B$36,"=random_17",'Daily evaluations'!$C$2:$C$36,"=d20261030"),"")</f>
      </c>
      <c r="AF68" s="8">
        <f>IF((0=1),SUMIFS('Daily evaluations'!$E$2:$E$36,'Daily evaluations'!$B$2:$B$36,"=random_17",'Daily evaluations'!$C$2:$C$36,"=d20261102"),"")</f>
      </c>
      <c r="AG68" s="8">
        <f>IF((0=1),SUMIFS('Daily evaluations'!$E$2:$E$36,'Daily evaluations'!$B$2:$B$36,"=random_17",'Daily evaluations'!$C$2:$C$36,"=d20261103"),"")</f>
      </c>
      <c r="AH68" s="8">
        <f>IF((0=1),SUMIFS('Daily evaluations'!$E$2:$E$36,'Daily evaluations'!$B$2:$B$36,"=random_17",'Daily evaluations'!$C$2:$C$36,"=d20261104"),"")</f>
      </c>
      <c r="AI68" s="8">
        <f>IF((0=1),SUMIFS('Daily evaluations'!$E$2:$E$36,'Daily evaluations'!$B$2:$B$36,"=random_17",'Daily evaluations'!$C$2:$C$36,"=d20261105"),"")</f>
      </c>
      <c r="AJ68" s="8">
        <f>IF((0=1),SUMIFS('Daily evaluations'!$E$2:$E$36,'Daily evaluations'!$B$2:$B$36,"=random_17",'Daily evaluations'!$C$2:$C$36,"=d20261106"),"")</f>
      </c>
      <c r="AK68" s="8">
        <f>IF((0=1),SUMIFS('Daily evaluations'!$E$2:$E$36,'Daily evaluations'!$B$2:$B$36,"=random_17",'Daily evaluations'!$C$2:$C$36,"=d20261109"),"")</f>
      </c>
      <c r="AL68" s="8">
        <f>IF((0=1),SUMIFS('Daily evaluations'!$E$2:$E$36,'Daily evaluations'!$B$2:$B$36,"=random_17",'Daily evaluations'!$C$2:$C$36,"=d20261110"),"")</f>
      </c>
      <c r="AM68" s="8">
        <f>IF((0=1),SUMIFS('Daily evaluations'!$E$2:$E$36,'Daily evaluations'!$B$2:$B$36,"=random_17",'Daily evaluations'!$C$2:$C$36,"=d20261111"),"")</f>
      </c>
      <c r="AN68" s="8">
        <f>IF((0=1),SUMIFS('Daily evaluations'!$E$2:$E$36,'Daily evaluations'!$B$2:$B$36,"=random_17",'Daily evaluations'!$C$2:$C$36,"=d20261112"),"")</f>
      </c>
      <c r="AO68" s="8">
        <f>IF((0=1),SUMIFS('Daily evaluations'!$E$2:$E$36,'Daily evaluations'!$B$2:$B$36,"=random_17",'Daily evaluations'!$C$2:$C$36,"=d20261113"),"")</f>
      </c>
      <c r="AP68" s="8">
        <f>IF((0=1),SUMIFS('Daily evaluations'!$E$2:$E$36,'Daily evaluations'!$B$2:$B$36,"=random_17",'Daily evaluations'!$C$2:$C$36,"=d20261116"),"")</f>
      </c>
      <c r="AQ68" s="8">
        <f>IF((0=1),SUMIFS('Daily evaluations'!$E$2:$E$36,'Daily evaluations'!$B$2:$B$36,"=random_17",'Daily evaluations'!$C$2:$C$36,"=d20261117"),"")</f>
      </c>
      <c r="AR68" s="8">
        <f>IF((0=1),SUMIFS('Daily evaluations'!$E$2:$E$36,'Daily evaluations'!$B$2:$B$36,"=random_17",'Daily evaluations'!$C$2:$C$36,"=d20261118"),"")</f>
      </c>
      <c r="AS68" s="8">
        <f>IF((0=1),SUMIFS('Daily evaluations'!$E$2:$E$36,'Daily evaluations'!$B$2:$B$36,"=random_17",'Daily evaluations'!$C$2:$C$36,"=d20261119"),"")</f>
      </c>
      <c r="AT68" s="8">
        <f>IF((0=1),SUMIFS('Daily evaluations'!$E$2:$E$36,'Daily evaluations'!$B$2:$B$36,"=random_17",'Daily evaluations'!$C$2:$C$36,"=d20261120"),"")</f>
      </c>
      <c r="AU68" s="8">
        <f>IF((0=1),SUMIFS('Daily evaluations'!$E$2:$E$36,'Daily evaluations'!$B$2:$B$36,"=random_17",'Daily evaluations'!$C$2:$C$36,"=d20261123"),"")</f>
      </c>
      <c r="AV68" s="8">
        <f>IF((0=1),SUMIFS('Daily evaluations'!$E$2:$E$36,'Daily evaluations'!$B$2:$B$36,"=random_17",'Daily evaluations'!$C$2:$C$36,"=d20261124"),"")</f>
      </c>
      <c r="AW68" s="8">
        <f>IF((0=1),SUMIFS('Daily evaluations'!$E$2:$E$36,'Daily evaluations'!$B$2:$B$36,"=random_17",'Daily evaluations'!$C$2:$C$36,"=d20261125"),"")</f>
      </c>
      <c r="AX68" s="8">
        <f>IF((0=1),SUMIFS('Daily evaluations'!$E$2:$E$36,'Daily evaluations'!$B$2:$B$36,"=random_17",'Daily evaluations'!$C$2:$C$36,"=d20261127"),"")</f>
      </c>
      <c r="AY68" s="8">
        <f>IF((0=1),SUMIFS('Daily evaluations'!$E$2:$E$36,'Daily evaluations'!$B$2:$B$36,"=random_17",'Daily evaluations'!$C$2:$C$36,"=d20261130"),"")</f>
      </c>
      <c r="AZ68" s="8">
        <f>IF((0=1),SUMIFS('Daily evaluations'!$E$2:$E$36,'Daily evaluations'!$B$2:$B$36,"=random_17",'Daily evaluations'!$C$2:$C$36,"=d20261201"),"")</f>
      </c>
      <c r="BA68" s="8">
        <f>IF((0=1),SUMIFS('Daily evaluations'!$E$2:$E$36,'Daily evaluations'!$B$2:$B$36,"=random_17",'Daily evaluations'!$C$2:$C$36,"=d20261202"),"")</f>
      </c>
      <c r="BB68" s="8">
        <f>IF((0=1),SUMIFS('Daily evaluations'!$E$2:$E$36,'Daily evaluations'!$B$2:$B$36,"=random_17",'Daily evaluations'!$C$2:$C$36,"=d20261203"),"")</f>
      </c>
      <c r="BC68" s="8">
        <f>IF((0=1),SUMIFS('Daily evaluations'!$E$2:$E$36,'Daily evaluations'!$B$2:$B$36,"=random_17",'Daily evaluations'!$C$2:$C$36,"=d20261204"),"")</f>
      </c>
      <c r="BD68" s="8">
        <f>IF((0=1),SUMIFS('Daily evaluations'!$E$2:$E$36,'Daily evaluations'!$B$2:$B$36,"=random_17",'Daily evaluations'!$C$2:$C$36,"=d20261207"),"")</f>
      </c>
      <c r="BE68" s="8">
        <f>IF((0=1),SUMIFS('Daily evaluations'!$E$2:$E$36,'Daily evaluations'!$B$2:$B$36,"=random_17",'Daily evaluations'!$C$2:$C$36,"=d20261208"),"")</f>
      </c>
      <c r="BF68" s="8">
        <f>IF((0=1),SUMIFS('Daily evaluations'!$E$2:$E$36,'Daily evaluations'!$B$2:$B$36,"=random_17",'Daily evaluations'!$C$2:$C$36,"=d20261209"),"")</f>
      </c>
      <c r="BG68" s="8">
        <f>IF((0=1),SUMIFS('Daily evaluations'!$E$2:$E$36,'Daily evaluations'!$B$2:$B$36,"=random_17",'Daily evaluations'!$C$2:$C$36,"=d20261210"),"")</f>
      </c>
      <c r="BH68" s="8">
        <f>IF((0=1),SUMIFS('Daily evaluations'!$E$2:$E$36,'Daily evaluations'!$B$2:$B$36,"=random_17",'Daily evaluations'!$C$2:$C$36,"=d20261211"),"")</f>
      </c>
      <c r="BI68" s="8">
        <f>IF((0=1),SUMIFS('Daily evaluations'!$E$2:$E$36,'Daily evaluations'!$B$2:$B$36,"=random_17",'Daily evaluations'!$C$2:$C$36,"=d20261214"),"")</f>
      </c>
      <c r="BJ68" s="8">
        <f>IF((0=1),SUMIFS('Daily evaluations'!$E$2:$E$36,'Daily evaluations'!$B$2:$B$36,"=random_17",'Daily evaluations'!$C$2:$C$36,"=d20261215"),"")</f>
      </c>
      <c r="BK68" s="8">
        <f>IF((0=1),SUMIFS('Daily evaluations'!$E$2:$E$36,'Daily evaluations'!$B$2:$B$36,"=random_17",'Daily evaluations'!$C$2:$C$36,"=d20261216"),"")</f>
      </c>
      <c r="BL68" s="8">
        <f>IF((0=1),SUMIFS('Daily evaluations'!$E$2:$E$36,'Daily evaluations'!$B$2:$B$36,"=random_17",'Daily evaluations'!$C$2:$C$36,"=d20261217"),"")</f>
      </c>
      <c r="BM68" s="8">
        <f>IF((0=1),SUMIFS('Daily evaluations'!$E$2:$E$36,'Daily evaluations'!$B$2:$B$36,"=random_17",'Daily evaluations'!$C$2:$C$36,"=d20261218"),"")</f>
      </c>
      <c r="BN68" s="8">
        <f>IF((0=1),SUMIFS('Daily evaluations'!$E$2:$E$36,'Daily evaluations'!$B$2:$B$36,"=random_17",'Daily evaluations'!$C$2:$C$36,"=d20261221"),"")</f>
      </c>
      <c r="BO68" s="8">
        <f>IF((0=1),SUMIFS('Daily evaluations'!$E$2:$E$36,'Daily evaluations'!$B$2:$B$36,"=random_17",'Daily evaluations'!$C$2:$C$36,"=d20261222"),"")</f>
      </c>
      <c r="BP68" s="8">
        <f>IF((0=1),SUMIFS('Daily evaluations'!$E$2:$E$36,'Daily evaluations'!$B$2:$B$36,"=random_17",'Daily evaluations'!$C$2:$C$36,"=d20261223"),"")</f>
      </c>
      <c r="BQ68" s="8">
        <f>IF((0=1),SUMIFS('Daily evaluations'!$E$2:$E$36,'Daily evaluations'!$B$2:$B$36,"=random_17",'Daily evaluations'!$C$2:$C$36,"=d20261224"),"")</f>
      </c>
      <c r="BR68" s="8">
        <f>IF((0=1),SUMIFS('Daily evaluations'!$E$2:$E$36,'Daily evaluations'!$B$2:$B$36,"=random_17",'Daily evaluations'!$C$2:$C$36,"=d20261228"),"")</f>
      </c>
      <c r="BS68" s="8">
        <f>IF((0=1),SUMIFS('Daily evaluations'!$E$2:$E$36,'Daily evaluations'!$B$2:$B$36,"=random_17",'Daily evaluations'!$C$2:$C$36,"=d20261229"),"")</f>
      </c>
      <c r="BT68" s="8">
        <f>IF((0=1),SUMIFS('Daily evaluations'!$E$2:$E$36,'Daily evaluations'!$B$2:$B$36,"=random_17",'Daily evaluations'!$C$2:$C$36,"=d20261230"),"")</f>
      </c>
      <c r="BU68" s="8">
        <f>IF((0=1),SUMIFS('Daily evaluations'!$E$2:$E$36,'Daily evaluations'!$B$2:$B$36,"=random_17",'Daily evaluations'!$C$2:$C$36,"=d20261231"),"")</f>
      </c>
      <c r="BV68" s="8">
        <f>IF((0=1),SUMIFS('Daily evaluations'!$E$2:$E$36,'Daily evaluations'!$B$2:$B$36,"=random_17",'Daily evaluations'!$C$2:$C$36,"=d20270104"),"")</f>
      </c>
      <c r="BW68" s="8">
        <f>IF((0=1),SUMIFS('Daily evaluations'!$E$2:$E$36,'Daily evaluations'!$B$2:$B$36,"=random_17",'Daily evaluations'!$C$2:$C$36,"=d20270105"),"")</f>
      </c>
      <c r="BX68" s="8">
        <f>IF((0=1),SUMIFS('Daily evaluations'!$E$2:$E$36,'Daily evaluations'!$B$2:$B$36,"=random_17",'Daily evaluations'!$C$2:$C$36,"=d20270106"),"")</f>
      </c>
      <c r="BY68" s="8">
        <f>IF((0=1),SUMIFS('Daily evaluations'!$E$2:$E$36,'Daily evaluations'!$B$2:$B$36,"=random_17",'Daily evaluations'!$C$2:$C$36,"=d20270107"),"")</f>
      </c>
      <c r="BZ68" s="8">
        <f>IF((0=1),SUMIFS('Daily evaluations'!$E$2:$E$36,'Daily evaluations'!$B$2:$B$36,"=random_17",'Daily evaluations'!$C$2:$C$36,"=d20270108"),"")</f>
      </c>
      <c r="CA68" s="8">
        <f>IF((0=1),SUMIFS('Daily evaluations'!$E$2:$E$36,'Daily evaluations'!$B$2:$B$36,"=random_17",'Daily evaluations'!$C$2:$C$36,"=d20270111"),"")</f>
      </c>
      <c r="CB68" s="8">
        <f>IF((0=1),SUMIFS('Daily evaluations'!$E$2:$E$36,'Daily evaluations'!$B$2:$B$36,"=random_17",'Daily evaluations'!$C$2:$C$36,"=d20270112"),"")</f>
      </c>
      <c r="CC68" s="8">
        <f>IF((0=1),SUMIFS('Daily evaluations'!$E$2:$E$36,'Daily evaluations'!$B$2:$B$36,"=random_17",'Daily evaluations'!$C$2:$C$36,"=d20270113"),"")</f>
      </c>
      <c r="CD68" s="8">
        <f>IF((0=1),SUMIFS('Daily evaluations'!$E$2:$E$36,'Daily evaluations'!$B$2:$B$36,"=random_17",'Daily evaluations'!$C$2:$C$36,"=d20270114"),"")</f>
      </c>
      <c r="CE68" s="8">
        <f>IF((0=1),SUMIFS('Daily evaluations'!$E$2:$E$36,'Daily evaluations'!$B$2:$B$36,"=random_17",'Daily evaluations'!$C$2:$C$36,"=d20270115"),"")</f>
      </c>
      <c r="CF68" s="8">
        <f>IF((0=1),SUMIFS('Daily evaluations'!$E$2:$E$36,'Daily evaluations'!$B$2:$B$36,"=random_17",'Daily evaluations'!$C$2:$C$36,"=d20270119"),"")</f>
      </c>
      <c r="CG68" s="8">
        <f>IF((0=1),SUMIFS('Daily evaluations'!$E$2:$E$36,'Daily evaluations'!$B$2:$B$36,"=random_17",'Daily evaluations'!$C$2:$C$36,"=d20270120"),"")</f>
      </c>
      <c r="CH68" s="8">
        <f>IF((0=1),SUMIFS('Daily evaluations'!$E$2:$E$36,'Daily evaluations'!$B$2:$B$36,"=random_17",'Daily evaluations'!$C$2:$C$36,"=d20270121"),"")</f>
      </c>
      <c r="CI68" s="8">
        <f>IF((0=1),SUMIFS('Daily evaluations'!$E$2:$E$36,'Daily evaluations'!$B$2:$B$36,"=random_17",'Daily evaluations'!$C$2:$C$36,"=d20270122"),"")</f>
      </c>
      <c r="CJ68" s="8">
        <f>IF((0=1),SUMIFS('Daily evaluations'!$E$2:$E$36,'Daily evaluations'!$B$2:$B$36,"=random_17",'Daily evaluations'!$C$2:$C$36,"=d20270125"),"")</f>
      </c>
      <c r="CK68" s="8">
        <f>IF((0=1),SUMIFS('Daily evaluations'!$E$2:$E$36,'Daily evaluations'!$B$2:$B$36,"=random_17",'Daily evaluations'!$C$2:$C$36,"=d20270126"),"")</f>
      </c>
      <c r="CL68" s="8">
        <f>IF((0=1),SUMIFS('Daily evaluations'!$E$2:$E$36,'Daily evaluations'!$B$2:$B$36,"=random_17",'Daily evaluations'!$C$2:$C$36,"=d20270127"),"")</f>
      </c>
      <c r="CM68" s="8">
        <f>IF((0=1),SUMIFS('Daily evaluations'!$E$2:$E$36,'Daily evaluations'!$B$2:$B$36,"=random_17",'Daily evaluations'!$C$2:$C$36,"=d20270128"),"")</f>
      </c>
      <c r="CN68" s="8">
        <f>IF((0=1),SUMIFS('Daily evaluations'!$E$2:$E$36,'Daily evaluations'!$B$2:$B$36,"=random_17",'Daily evaluations'!$C$2:$C$36,"=d20270129"),"")</f>
      </c>
      <c r="CO68" s="8">
        <f>IF((0=1),SUMIFS('Daily evaluations'!$E$2:$E$36,'Daily evaluations'!$B$2:$B$36,"=random_17",'Daily evaluations'!$C$2:$C$36,"=d20270201"),"")</f>
      </c>
      <c r="CP68" s="8">
        <f>IF((0=1),SUMIFS('Daily evaluations'!$E$2:$E$36,'Daily evaluations'!$B$2:$B$36,"=random_17",'Daily evaluations'!$C$2:$C$36,"=d20270202"),"")</f>
      </c>
      <c r="CQ68" s="8">
        <f>IF((0=1),SUMIFS('Daily evaluations'!$E$2:$E$36,'Daily evaluations'!$B$2:$B$36,"=random_17",'Daily evaluations'!$C$2:$C$36,"=d20270203"),"")</f>
      </c>
      <c r="CR68" s="8">
        <f>IF((0=1),SUMIFS('Daily evaluations'!$E$2:$E$36,'Daily evaluations'!$B$2:$B$36,"=random_17",'Daily evaluations'!$C$2:$C$36,"=d20270204"),"")</f>
      </c>
      <c r="CS68" s="8">
        <f>IF((0=1),SUMIFS('Daily evaluations'!$E$2:$E$36,'Daily evaluations'!$B$2:$B$36,"=random_17",'Daily evaluations'!$C$2:$C$36,"=d20270205"),"")</f>
      </c>
      <c r="CT68" s="8">
        <f>IF((0=1),SUMIFS('Daily evaluations'!$E$2:$E$36,'Daily evaluations'!$B$2:$B$36,"=random_17",'Daily evaluations'!$C$2:$C$36,"=d20270208"),"")</f>
      </c>
      <c r="CU68" s="8">
        <f>IF((0=1),SUMIFS('Daily evaluations'!$E$2:$E$36,'Daily evaluations'!$B$2:$B$36,"=random_17",'Daily evaluations'!$C$2:$C$36,"=d20270209"),"")</f>
      </c>
      <c r="CV68" s="8">
        <f>IF((0=1),SUMIFS('Daily evaluations'!$E$2:$E$36,'Daily evaluations'!$B$2:$B$36,"=random_17",'Daily evaluations'!$C$2:$C$36,"=d20270210"),"")</f>
      </c>
      <c r="CW68" s="8">
        <f>IF((0=1),SUMIFS('Daily evaluations'!$E$2:$E$36,'Daily evaluations'!$B$2:$B$36,"=random_17",'Daily evaluations'!$C$2:$C$36,"=d20270211"),"")</f>
      </c>
      <c r="CX68" s="8">
        <f>IF((0=1),SUMIFS('Daily evaluations'!$E$2:$E$36,'Daily evaluations'!$B$2:$B$36,"=random_17",'Daily evaluations'!$C$2:$C$36,"=d20270212"),"")</f>
      </c>
    </row>
    <row r="69">
      <c r="A69" s="0" t="inlineStr">
        <is>
          <t xml:space="preserve">Overnight excess vs universe, bps</t>
        </is>
      </c>
      <c r="B69" s="0" t="inlineStr">
        <is>
          <t xml:space="preserve">Random 18</t>
        </is>
      </c>
      <c r="C69" s="8">
        <f>IF((1=1),SUMIFS('Daily evaluations'!$E$2:$E$36,'Daily evaluations'!$B$2:$B$36,"=random_18",'Daily evaluations'!$C$2:$C$36,"=d20260922"),"")</f>
        <v>8.19</v>
      </c>
      <c r="D69" s="8">
        <f>IF((0=1),SUMIFS('Daily evaluations'!$E$2:$E$36,'Daily evaluations'!$B$2:$B$36,"=random_18",'Daily evaluations'!$C$2:$C$36,"=d20260923"),"")</f>
      </c>
      <c r="E69" s="8">
        <f>IF((0=1),SUMIFS('Daily evaluations'!$E$2:$E$36,'Daily evaluations'!$B$2:$B$36,"=random_18",'Daily evaluations'!$C$2:$C$36,"=d20260924"),"")</f>
      </c>
      <c r="F69" s="8">
        <f>IF((0=1),SUMIFS('Daily evaluations'!$E$2:$E$36,'Daily evaluations'!$B$2:$B$36,"=random_18",'Daily evaluations'!$C$2:$C$36,"=d20260925"),"")</f>
      </c>
      <c r="G69" s="8">
        <f>IF((0=1),SUMIFS('Daily evaluations'!$E$2:$E$36,'Daily evaluations'!$B$2:$B$36,"=random_18",'Daily evaluations'!$C$2:$C$36,"=d20260928"),"")</f>
      </c>
      <c r="H69" s="8">
        <f>IF((0=1),SUMIFS('Daily evaluations'!$E$2:$E$36,'Daily evaluations'!$B$2:$B$36,"=random_18",'Daily evaluations'!$C$2:$C$36,"=d20260929"),"")</f>
      </c>
      <c r="I69" s="8">
        <f>IF((0=1),SUMIFS('Daily evaluations'!$E$2:$E$36,'Daily evaluations'!$B$2:$B$36,"=random_18",'Daily evaluations'!$C$2:$C$36,"=d20260930"),"")</f>
      </c>
      <c r="J69" s="8">
        <f>IF((0=1),SUMIFS('Daily evaluations'!$E$2:$E$36,'Daily evaluations'!$B$2:$B$36,"=random_18",'Daily evaluations'!$C$2:$C$36,"=d20261001"),"")</f>
      </c>
      <c r="K69" s="8">
        <f>IF((0=1),SUMIFS('Daily evaluations'!$E$2:$E$36,'Daily evaluations'!$B$2:$B$36,"=random_18",'Daily evaluations'!$C$2:$C$36,"=d20261002"),"")</f>
      </c>
      <c r="L69" s="8">
        <f>IF((0=1),SUMIFS('Daily evaluations'!$E$2:$E$36,'Daily evaluations'!$B$2:$B$36,"=random_18",'Daily evaluations'!$C$2:$C$36,"=d20261005"),"")</f>
      </c>
      <c r="M69" s="8">
        <f>IF((0=1),SUMIFS('Daily evaluations'!$E$2:$E$36,'Daily evaluations'!$B$2:$B$36,"=random_18",'Daily evaluations'!$C$2:$C$36,"=d20261006"),"")</f>
      </c>
      <c r="N69" s="8">
        <f>IF((0=1),SUMIFS('Daily evaluations'!$E$2:$E$36,'Daily evaluations'!$B$2:$B$36,"=random_18",'Daily evaluations'!$C$2:$C$36,"=d20261007"),"")</f>
      </c>
      <c r="O69" s="8">
        <f>IF((0=1),SUMIFS('Daily evaluations'!$E$2:$E$36,'Daily evaluations'!$B$2:$B$36,"=random_18",'Daily evaluations'!$C$2:$C$36,"=d20261008"),"")</f>
      </c>
      <c r="P69" s="8">
        <f>IF((0=1),SUMIFS('Daily evaluations'!$E$2:$E$36,'Daily evaluations'!$B$2:$B$36,"=random_18",'Daily evaluations'!$C$2:$C$36,"=d20261009"),"")</f>
      </c>
      <c r="Q69" s="8">
        <f>IF((0=1),SUMIFS('Daily evaluations'!$E$2:$E$36,'Daily evaluations'!$B$2:$B$36,"=random_18",'Daily evaluations'!$C$2:$C$36,"=d20261012"),"")</f>
      </c>
      <c r="R69" s="8">
        <f>IF((0=1),SUMIFS('Daily evaluations'!$E$2:$E$36,'Daily evaluations'!$B$2:$B$36,"=random_18",'Daily evaluations'!$C$2:$C$36,"=d20261013"),"")</f>
      </c>
      <c r="S69" s="8">
        <f>IF((0=1),SUMIFS('Daily evaluations'!$E$2:$E$36,'Daily evaluations'!$B$2:$B$36,"=random_18",'Daily evaluations'!$C$2:$C$36,"=d20261014"),"")</f>
      </c>
      <c r="T69" s="8">
        <f>IF((0=1),SUMIFS('Daily evaluations'!$E$2:$E$36,'Daily evaluations'!$B$2:$B$36,"=random_18",'Daily evaluations'!$C$2:$C$36,"=d20261015"),"")</f>
      </c>
      <c r="U69" s="8">
        <f>IF((0=1),SUMIFS('Daily evaluations'!$E$2:$E$36,'Daily evaluations'!$B$2:$B$36,"=random_18",'Daily evaluations'!$C$2:$C$36,"=d20261016"),"")</f>
      </c>
      <c r="V69" s="8">
        <f>IF((0=1),SUMIFS('Daily evaluations'!$E$2:$E$36,'Daily evaluations'!$B$2:$B$36,"=random_18",'Daily evaluations'!$C$2:$C$36,"=d20261019"),"")</f>
      </c>
      <c r="W69" s="8">
        <f>IF((0=1),SUMIFS('Daily evaluations'!$E$2:$E$36,'Daily evaluations'!$B$2:$B$36,"=random_18",'Daily evaluations'!$C$2:$C$36,"=d20261020"),"")</f>
      </c>
      <c r="X69" s="8">
        <f>IF((0=1),SUMIFS('Daily evaluations'!$E$2:$E$36,'Daily evaluations'!$B$2:$B$36,"=random_18",'Daily evaluations'!$C$2:$C$36,"=d20261021"),"")</f>
      </c>
      <c r="Y69" s="8">
        <f>IF((0=1),SUMIFS('Daily evaluations'!$E$2:$E$36,'Daily evaluations'!$B$2:$B$36,"=random_18",'Daily evaluations'!$C$2:$C$36,"=d20261022"),"")</f>
      </c>
      <c r="Z69" s="8">
        <f>IF((0=1),SUMIFS('Daily evaluations'!$E$2:$E$36,'Daily evaluations'!$B$2:$B$36,"=random_18",'Daily evaluations'!$C$2:$C$36,"=d20261023"),"")</f>
      </c>
      <c r="AA69" s="8">
        <f>IF((0=1),SUMIFS('Daily evaluations'!$E$2:$E$36,'Daily evaluations'!$B$2:$B$36,"=random_18",'Daily evaluations'!$C$2:$C$36,"=d20261026"),"")</f>
      </c>
      <c r="AB69" s="8">
        <f>IF((0=1),SUMIFS('Daily evaluations'!$E$2:$E$36,'Daily evaluations'!$B$2:$B$36,"=random_18",'Daily evaluations'!$C$2:$C$36,"=d20261027"),"")</f>
      </c>
      <c r="AC69" s="8">
        <f>IF((0=1),SUMIFS('Daily evaluations'!$E$2:$E$36,'Daily evaluations'!$B$2:$B$36,"=random_18",'Daily evaluations'!$C$2:$C$36,"=d20261028"),"")</f>
      </c>
      <c r="AD69" s="8">
        <f>IF((0=1),SUMIFS('Daily evaluations'!$E$2:$E$36,'Daily evaluations'!$B$2:$B$36,"=random_18",'Daily evaluations'!$C$2:$C$36,"=d20261029"),"")</f>
      </c>
      <c r="AE69" s="8">
        <f>IF((0=1),SUMIFS('Daily evaluations'!$E$2:$E$36,'Daily evaluations'!$B$2:$B$36,"=random_18",'Daily evaluations'!$C$2:$C$36,"=d20261030"),"")</f>
      </c>
      <c r="AF69" s="8">
        <f>IF((0=1),SUMIFS('Daily evaluations'!$E$2:$E$36,'Daily evaluations'!$B$2:$B$36,"=random_18",'Daily evaluations'!$C$2:$C$36,"=d20261102"),"")</f>
      </c>
      <c r="AG69" s="8">
        <f>IF((0=1),SUMIFS('Daily evaluations'!$E$2:$E$36,'Daily evaluations'!$B$2:$B$36,"=random_18",'Daily evaluations'!$C$2:$C$36,"=d20261103"),"")</f>
      </c>
      <c r="AH69" s="8">
        <f>IF((0=1),SUMIFS('Daily evaluations'!$E$2:$E$36,'Daily evaluations'!$B$2:$B$36,"=random_18",'Daily evaluations'!$C$2:$C$36,"=d20261104"),"")</f>
      </c>
      <c r="AI69" s="8">
        <f>IF((0=1),SUMIFS('Daily evaluations'!$E$2:$E$36,'Daily evaluations'!$B$2:$B$36,"=random_18",'Daily evaluations'!$C$2:$C$36,"=d20261105"),"")</f>
      </c>
      <c r="AJ69" s="8">
        <f>IF((0=1),SUMIFS('Daily evaluations'!$E$2:$E$36,'Daily evaluations'!$B$2:$B$36,"=random_18",'Daily evaluations'!$C$2:$C$36,"=d20261106"),"")</f>
      </c>
      <c r="AK69" s="8">
        <f>IF((0=1),SUMIFS('Daily evaluations'!$E$2:$E$36,'Daily evaluations'!$B$2:$B$36,"=random_18",'Daily evaluations'!$C$2:$C$36,"=d20261109"),"")</f>
      </c>
      <c r="AL69" s="8">
        <f>IF((0=1),SUMIFS('Daily evaluations'!$E$2:$E$36,'Daily evaluations'!$B$2:$B$36,"=random_18",'Daily evaluations'!$C$2:$C$36,"=d20261110"),"")</f>
      </c>
      <c r="AM69" s="8">
        <f>IF((0=1),SUMIFS('Daily evaluations'!$E$2:$E$36,'Daily evaluations'!$B$2:$B$36,"=random_18",'Daily evaluations'!$C$2:$C$36,"=d20261111"),"")</f>
      </c>
      <c r="AN69" s="8">
        <f>IF((0=1),SUMIFS('Daily evaluations'!$E$2:$E$36,'Daily evaluations'!$B$2:$B$36,"=random_18",'Daily evaluations'!$C$2:$C$36,"=d20261112"),"")</f>
      </c>
      <c r="AO69" s="8">
        <f>IF((0=1),SUMIFS('Daily evaluations'!$E$2:$E$36,'Daily evaluations'!$B$2:$B$36,"=random_18",'Daily evaluations'!$C$2:$C$36,"=d20261113"),"")</f>
      </c>
      <c r="AP69" s="8">
        <f>IF((0=1),SUMIFS('Daily evaluations'!$E$2:$E$36,'Daily evaluations'!$B$2:$B$36,"=random_18",'Daily evaluations'!$C$2:$C$36,"=d20261116"),"")</f>
      </c>
      <c r="AQ69" s="8">
        <f>IF((0=1),SUMIFS('Daily evaluations'!$E$2:$E$36,'Daily evaluations'!$B$2:$B$36,"=random_18",'Daily evaluations'!$C$2:$C$36,"=d20261117"),"")</f>
      </c>
      <c r="AR69" s="8">
        <f>IF((0=1),SUMIFS('Daily evaluations'!$E$2:$E$36,'Daily evaluations'!$B$2:$B$36,"=random_18",'Daily evaluations'!$C$2:$C$36,"=d20261118"),"")</f>
      </c>
      <c r="AS69" s="8">
        <f>IF((0=1),SUMIFS('Daily evaluations'!$E$2:$E$36,'Daily evaluations'!$B$2:$B$36,"=random_18",'Daily evaluations'!$C$2:$C$36,"=d20261119"),"")</f>
      </c>
      <c r="AT69" s="8">
        <f>IF((0=1),SUMIFS('Daily evaluations'!$E$2:$E$36,'Daily evaluations'!$B$2:$B$36,"=random_18",'Daily evaluations'!$C$2:$C$36,"=d20261120"),"")</f>
      </c>
      <c r="AU69" s="8">
        <f>IF((0=1),SUMIFS('Daily evaluations'!$E$2:$E$36,'Daily evaluations'!$B$2:$B$36,"=random_18",'Daily evaluations'!$C$2:$C$36,"=d20261123"),"")</f>
      </c>
      <c r="AV69" s="8">
        <f>IF((0=1),SUMIFS('Daily evaluations'!$E$2:$E$36,'Daily evaluations'!$B$2:$B$36,"=random_18",'Daily evaluations'!$C$2:$C$36,"=d20261124"),"")</f>
      </c>
      <c r="AW69" s="8">
        <f>IF((0=1),SUMIFS('Daily evaluations'!$E$2:$E$36,'Daily evaluations'!$B$2:$B$36,"=random_18",'Daily evaluations'!$C$2:$C$36,"=d20261125"),"")</f>
      </c>
      <c r="AX69" s="8">
        <f>IF((0=1),SUMIFS('Daily evaluations'!$E$2:$E$36,'Daily evaluations'!$B$2:$B$36,"=random_18",'Daily evaluations'!$C$2:$C$36,"=d20261127"),"")</f>
      </c>
      <c r="AY69" s="8">
        <f>IF((0=1),SUMIFS('Daily evaluations'!$E$2:$E$36,'Daily evaluations'!$B$2:$B$36,"=random_18",'Daily evaluations'!$C$2:$C$36,"=d20261130"),"")</f>
      </c>
      <c r="AZ69" s="8">
        <f>IF((0=1),SUMIFS('Daily evaluations'!$E$2:$E$36,'Daily evaluations'!$B$2:$B$36,"=random_18",'Daily evaluations'!$C$2:$C$36,"=d20261201"),"")</f>
      </c>
      <c r="BA69" s="8">
        <f>IF((0=1),SUMIFS('Daily evaluations'!$E$2:$E$36,'Daily evaluations'!$B$2:$B$36,"=random_18",'Daily evaluations'!$C$2:$C$36,"=d20261202"),"")</f>
      </c>
      <c r="BB69" s="8">
        <f>IF((0=1),SUMIFS('Daily evaluations'!$E$2:$E$36,'Daily evaluations'!$B$2:$B$36,"=random_18",'Daily evaluations'!$C$2:$C$36,"=d20261203"),"")</f>
      </c>
      <c r="BC69" s="8">
        <f>IF((0=1),SUMIFS('Daily evaluations'!$E$2:$E$36,'Daily evaluations'!$B$2:$B$36,"=random_18",'Daily evaluations'!$C$2:$C$36,"=d20261204"),"")</f>
      </c>
      <c r="BD69" s="8">
        <f>IF((0=1),SUMIFS('Daily evaluations'!$E$2:$E$36,'Daily evaluations'!$B$2:$B$36,"=random_18",'Daily evaluations'!$C$2:$C$36,"=d20261207"),"")</f>
      </c>
      <c r="BE69" s="8">
        <f>IF((0=1),SUMIFS('Daily evaluations'!$E$2:$E$36,'Daily evaluations'!$B$2:$B$36,"=random_18",'Daily evaluations'!$C$2:$C$36,"=d20261208"),"")</f>
      </c>
      <c r="BF69" s="8">
        <f>IF((0=1),SUMIFS('Daily evaluations'!$E$2:$E$36,'Daily evaluations'!$B$2:$B$36,"=random_18",'Daily evaluations'!$C$2:$C$36,"=d20261209"),"")</f>
      </c>
      <c r="BG69" s="8">
        <f>IF((0=1),SUMIFS('Daily evaluations'!$E$2:$E$36,'Daily evaluations'!$B$2:$B$36,"=random_18",'Daily evaluations'!$C$2:$C$36,"=d20261210"),"")</f>
      </c>
      <c r="BH69" s="8">
        <f>IF((0=1),SUMIFS('Daily evaluations'!$E$2:$E$36,'Daily evaluations'!$B$2:$B$36,"=random_18",'Daily evaluations'!$C$2:$C$36,"=d20261211"),"")</f>
      </c>
      <c r="BI69" s="8">
        <f>IF((0=1),SUMIFS('Daily evaluations'!$E$2:$E$36,'Daily evaluations'!$B$2:$B$36,"=random_18",'Daily evaluations'!$C$2:$C$36,"=d20261214"),"")</f>
      </c>
      <c r="BJ69" s="8">
        <f>IF((0=1),SUMIFS('Daily evaluations'!$E$2:$E$36,'Daily evaluations'!$B$2:$B$36,"=random_18",'Daily evaluations'!$C$2:$C$36,"=d20261215"),"")</f>
      </c>
      <c r="BK69" s="8">
        <f>IF((0=1),SUMIFS('Daily evaluations'!$E$2:$E$36,'Daily evaluations'!$B$2:$B$36,"=random_18",'Daily evaluations'!$C$2:$C$36,"=d20261216"),"")</f>
      </c>
      <c r="BL69" s="8">
        <f>IF((0=1),SUMIFS('Daily evaluations'!$E$2:$E$36,'Daily evaluations'!$B$2:$B$36,"=random_18",'Daily evaluations'!$C$2:$C$36,"=d20261217"),"")</f>
      </c>
      <c r="BM69" s="8">
        <f>IF((0=1),SUMIFS('Daily evaluations'!$E$2:$E$36,'Daily evaluations'!$B$2:$B$36,"=random_18",'Daily evaluations'!$C$2:$C$36,"=d20261218"),"")</f>
      </c>
      <c r="BN69" s="8">
        <f>IF((0=1),SUMIFS('Daily evaluations'!$E$2:$E$36,'Daily evaluations'!$B$2:$B$36,"=random_18",'Daily evaluations'!$C$2:$C$36,"=d20261221"),"")</f>
      </c>
      <c r="BO69" s="8">
        <f>IF((0=1),SUMIFS('Daily evaluations'!$E$2:$E$36,'Daily evaluations'!$B$2:$B$36,"=random_18",'Daily evaluations'!$C$2:$C$36,"=d20261222"),"")</f>
      </c>
      <c r="BP69" s="8">
        <f>IF((0=1),SUMIFS('Daily evaluations'!$E$2:$E$36,'Daily evaluations'!$B$2:$B$36,"=random_18",'Daily evaluations'!$C$2:$C$36,"=d20261223"),"")</f>
      </c>
      <c r="BQ69" s="8">
        <f>IF((0=1),SUMIFS('Daily evaluations'!$E$2:$E$36,'Daily evaluations'!$B$2:$B$36,"=random_18",'Daily evaluations'!$C$2:$C$36,"=d20261224"),"")</f>
      </c>
      <c r="BR69" s="8">
        <f>IF((0=1),SUMIFS('Daily evaluations'!$E$2:$E$36,'Daily evaluations'!$B$2:$B$36,"=random_18",'Daily evaluations'!$C$2:$C$36,"=d20261228"),"")</f>
      </c>
      <c r="BS69" s="8">
        <f>IF((0=1),SUMIFS('Daily evaluations'!$E$2:$E$36,'Daily evaluations'!$B$2:$B$36,"=random_18",'Daily evaluations'!$C$2:$C$36,"=d20261229"),"")</f>
      </c>
      <c r="BT69" s="8">
        <f>IF((0=1),SUMIFS('Daily evaluations'!$E$2:$E$36,'Daily evaluations'!$B$2:$B$36,"=random_18",'Daily evaluations'!$C$2:$C$36,"=d20261230"),"")</f>
      </c>
      <c r="BU69" s="8">
        <f>IF((0=1),SUMIFS('Daily evaluations'!$E$2:$E$36,'Daily evaluations'!$B$2:$B$36,"=random_18",'Daily evaluations'!$C$2:$C$36,"=d20261231"),"")</f>
      </c>
      <c r="BV69" s="8">
        <f>IF((0=1),SUMIFS('Daily evaluations'!$E$2:$E$36,'Daily evaluations'!$B$2:$B$36,"=random_18",'Daily evaluations'!$C$2:$C$36,"=d20270104"),"")</f>
      </c>
      <c r="BW69" s="8">
        <f>IF((0=1),SUMIFS('Daily evaluations'!$E$2:$E$36,'Daily evaluations'!$B$2:$B$36,"=random_18",'Daily evaluations'!$C$2:$C$36,"=d20270105"),"")</f>
      </c>
      <c r="BX69" s="8">
        <f>IF((0=1),SUMIFS('Daily evaluations'!$E$2:$E$36,'Daily evaluations'!$B$2:$B$36,"=random_18",'Daily evaluations'!$C$2:$C$36,"=d20270106"),"")</f>
      </c>
      <c r="BY69" s="8">
        <f>IF((0=1),SUMIFS('Daily evaluations'!$E$2:$E$36,'Daily evaluations'!$B$2:$B$36,"=random_18",'Daily evaluations'!$C$2:$C$36,"=d20270107"),"")</f>
      </c>
      <c r="BZ69" s="8">
        <f>IF((0=1),SUMIFS('Daily evaluations'!$E$2:$E$36,'Daily evaluations'!$B$2:$B$36,"=random_18",'Daily evaluations'!$C$2:$C$36,"=d20270108"),"")</f>
      </c>
      <c r="CA69" s="8">
        <f>IF((0=1),SUMIFS('Daily evaluations'!$E$2:$E$36,'Daily evaluations'!$B$2:$B$36,"=random_18",'Daily evaluations'!$C$2:$C$36,"=d20270111"),"")</f>
      </c>
      <c r="CB69" s="8">
        <f>IF((0=1),SUMIFS('Daily evaluations'!$E$2:$E$36,'Daily evaluations'!$B$2:$B$36,"=random_18",'Daily evaluations'!$C$2:$C$36,"=d20270112"),"")</f>
      </c>
      <c r="CC69" s="8">
        <f>IF((0=1),SUMIFS('Daily evaluations'!$E$2:$E$36,'Daily evaluations'!$B$2:$B$36,"=random_18",'Daily evaluations'!$C$2:$C$36,"=d20270113"),"")</f>
      </c>
      <c r="CD69" s="8">
        <f>IF((0=1),SUMIFS('Daily evaluations'!$E$2:$E$36,'Daily evaluations'!$B$2:$B$36,"=random_18",'Daily evaluations'!$C$2:$C$36,"=d20270114"),"")</f>
      </c>
      <c r="CE69" s="8">
        <f>IF((0=1),SUMIFS('Daily evaluations'!$E$2:$E$36,'Daily evaluations'!$B$2:$B$36,"=random_18",'Daily evaluations'!$C$2:$C$36,"=d20270115"),"")</f>
      </c>
      <c r="CF69" s="8">
        <f>IF((0=1),SUMIFS('Daily evaluations'!$E$2:$E$36,'Daily evaluations'!$B$2:$B$36,"=random_18",'Daily evaluations'!$C$2:$C$36,"=d20270119"),"")</f>
      </c>
      <c r="CG69" s="8">
        <f>IF((0=1),SUMIFS('Daily evaluations'!$E$2:$E$36,'Daily evaluations'!$B$2:$B$36,"=random_18",'Daily evaluations'!$C$2:$C$36,"=d20270120"),"")</f>
      </c>
      <c r="CH69" s="8">
        <f>IF((0=1),SUMIFS('Daily evaluations'!$E$2:$E$36,'Daily evaluations'!$B$2:$B$36,"=random_18",'Daily evaluations'!$C$2:$C$36,"=d20270121"),"")</f>
      </c>
      <c r="CI69" s="8">
        <f>IF((0=1),SUMIFS('Daily evaluations'!$E$2:$E$36,'Daily evaluations'!$B$2:$B$36,"=random_18",'Daily evaluations'!$C$2:$C$36,"=d20270122"),"")</f>
      </c>
      <c r="CJ69" s="8">
        <f>IF((0=1),SUMIFS('Daily evaluations'!$E$2:$E$36,'Daily evaluations'!$B$2:$B$36,"=random_18",'Daily evaluations'!$C$2:$C$36,"=d20270125"),"")</f>
      </c>
      <c r="CK69" s="8">
        <f>IF((0=1),SUMIFS('Daily evaluations'!$E$2:$E$36,'Daily evaluations'!$B$2:$B$36,"=random_18",'Daily evaluations'!$C$2:$C$36,"=d20270126"),"")</f>
      </c>
      <c r="CL69" s="8">
        <f>IF((0=1),SUMIFS('Daily evaluations'!$E$2:$E$36,'Daily evaluations'!$B$2:$B$36,"=random_18",'Daily evaluations'!$C$2:$C$36,"=d20270127"),"")</f>
      </c>
      <c r="CM69" s="8">
        <f>IF((0=1),SUMIFS('Daily evaluations'!$E$2:$E$36,'Daily evaluations'!$B$2:$B$36,"=random_18",'Daily evaluations'!$C$2:$C$36,"=d20270128"),"")</f>
      </c>
      <c r="CN69" s="8">
        <f>IF((0=1),SUMIFS('Daily evaluations'!$E$2:$E$36,'Daily evaluations'!$B$2:$B$36,"=random_18",'Daily evaluations'!$C$2:$C$36,"=d20270129"),"")</f>
      </c>
      <c r="CO69" s="8">
        <f>IF((0=1),SUMIFS('Daily evaluations'!$E$2:$E$36,'Daily evaluations'!$B$2:$B$36,"=random_18",'Daily evaluations'!$C$2:$C$36,"=d20270201"),"")</f>
      </c>
      <c r="CP69" s="8">
        <f>IF((0=1),SUMIFS('Daily evaluations'!$E$2:$E$36,'Daily evaluations'!$B$2:$B$36,"=random_18",'Daily evaluations'!$C$2:$C$36,"=d20270202"),"")</f>
      </c>
      <c r="CQ69" s="8">
        <f>IF((0=1),SUMIFS('Daily evaluations'!$E$2:$E$36,'Daily evaluations'!$B$2:$B$36,"=random_18",'Daily evaluations'!$C$2:$C$36,"=d20270203"),"")</f>
      </c>
      <c r="CR69" s="8">
        <f>IF((0=1),SUMIFS('Daily evaluations'!$E$2:$E$36,'Daily evaluations'!$B$2:$B$36,"=random_18",'Daily evaluations'!$C$2:$C$36,"=d20270204"),"")</f>
      </c>
      <c r="CS69" s="8">
        <f>IF((0=1),SUMIFS('Daily evaluations'!$E$2:$E$36,'Daily evaluations'!$B$2:$B$36,"=random_18",'Daily evaluations'!$C$2:$C$36,"=d20270205"),"")</f>
      </c>
      <c r="CT69" s="8">
        <f>IF((0=1),SUMIFS('Daily evaluations'!$E$2:$E$36,'Daily evaluations'!$B$2:$B$36,"=random_18",'Daily evaluations'!$C$2:$C$36,"=d20270208"),"")</f>
      </c>
      <c r="CU69" s="8">
        <f>IF((0=1),SUMIFS('Daily evaluations'!$E$2:$E$36,'Daily evaluations'!$B$2:$B$36,"=random_18",'Daily evaluations'!$C$2:$C$36,"=d20270209"),"")</f>
      </c>
      <c r="CV69" s="8">
        <f>IF((0=1),SUMIFS('Daily evaluations'!$E$2:$E$36,'Daily evaluations'!$B$2:$B$36,"=random_18",'Daily evaluations'!$C$2:$C$36,"=d20270210"),"")</f>
      </c>
      <c r="CW69" s="8">
        <f>IF((0=1),SUMIFS('Daily evaluations'!$E$2:$E$36,'Daily evaluations'!$B$2:$B$36,"=random_18",'Daily evaluations'!$C$2:$C$36,"=d20270211"),"")</f>
      </c>
      <c r="CX69" s="8">
        <f>IF((0=1),SUMIFS('Daily evaluations'!$E$2:$E$36,'Daily evaluations'!$B$2:$B$36,"=random_18",'Daily evaluations'!$C$2:$C$36,"=d20270212"),"")</f>
      </c>
    </row>
    <row r="70">
      <c r="A70" s="0" t="inlineStr">
        <is>
          <t xml:space="preserve">Overnight excess vs universe, bps</t>
        </is>
      </c>
      <c r="B70" s="0" t="inlineStr">
        <is>
          <t xml:space="preserve">Random 19</t>
        </is>
      </c>
      <c r="C70" s="8">
        <f>IF((1=1),SUMIFS('Daily evaluations'!$E$2:$E$36,'Daily evaluations'!$B$2:$B$36,"=random_19",'Daily evaluations'!$C$2:$C$36,"=d20260922"),"")</f>
        <v>1.362</v>
      </c>
      <c r="D70" s="8">
        <f>IF((0=1),SUMIFS('Daily evaluations'!$E$2:$E$36,'Daily evaluations'!$B$2:$B$36,"=random_19",'Daily evaluations'!$C$2:$C$36,"=d20260923"),"")</f>
      </c>
      <c r="E70" s="8">
        <f>IF((0=1),SUMIFS('Daily evaluations'!$E$2:$E$36,'Daily evaluations'!$B$2:$B$36,"=random_19",'Daily evaluations'!$C$2:$C$36,"=d20260924"),"")</f>
      </c>
      <c r="F70" s="8">
        <f>IF((0=1),SUMIFS('Daily evaluations'!$E$2:$E$36,'Daily evaluations'!$B$2:$B$36,"=random_19",'Daily evaluations'!$C$2:$C$36,"=d20260925"),"")</f>
      </c>
      <c r="G70" s="8">
        <f>IF((0=1),SUMIFS('Daily evaluations'!$E$2:$E$36,'Daily evaluations'!$B$2:$B$36,"=random_19",'Daily evaluations'!$C$2:$C$36,"=d20260928"),"")</f>
      </c>
      <c r="H70" s="8">
        <f>IF((0=1),SUMIFS('Daily evaluations'!$E$2:$E$36,'Daily evaluations'!$B$2:$B$36,"=random_19",'Daily evaluations'!$C$2:$C$36,"=d20260929"),"")</f>
      </c>
      <c r="I70" s="8">
        <f>IF((0=1),SUMIFS('Daily evaluations'!$E$2:$E$36,'Daily evaluations'!$B$2:$B$36,"=random_19",'Daily evaluations'!$C$2:$C$36,"=d20260930"),"")</f>
      </c>
      <c r="J70" s="8">
        <f>IF((0=1),SUMIFS('Daily evaluations'!$E$2:$E$36,'Daily evaluations'!$B$2:$B$36,"=random_19",'Daily evaluations'!$C$2:$C$36,"=d20261001"),"")</f>
      </c>
      <c r="K70" s="8">
        <f>IF((0=1),SUMIFS('Daily evaluations'!$E$2:$E$36,'Daily evaluations'!$B$2:$B$36,"=random_19",'Daily evaluations'!$C$2:$C$36,"=d20261002"),"")</f>
      </c>
      <c r="L70" s="8">
        <f>IF((0=1),SUMIFS('Daily evaluations'!$E$2:$E$36,'Daily evaluations'!$B$2:$B$36,"=random_19",'Daily evaluations'!$C$2:$C$36,"=d20261005"),"")</f>
      </c>
      <c r="M70" s="8">
        <f>IF((0=1),SUMIFS('Daily evaluations'!$E$2:$E$36,'Daily evaluations'!$B$2:$B$36,"=random_19",'Daily evaluations'!$C$2:$C$36,"=d20261006"),"")</f>
      </c>
      <c r="N70" s="8">
        <f>IF((0=1),SUMIFS('Daily evaluations'!$E$2:$E$36,'Daily evaluations'!$B$2:$B$36,"=random_19",'Daily evaluations'!$C$2:$C$36,"=d20261007"),"")</f>
      </c>
      <c r="O70" s="8">
        <f>IF((0=1),SUMIFS('Daily evaluations'!$E$2:$E$36,'Daily evaluations'!$B$2:$B$36,"=random_19",'Daily evaluations'!$C$2:$C$36,"=d20261008"),"")</f>
      </c>
      <c r="P70" s="8">
        <f>IF((0=1),SUMIFS('Daily evaluations'!$E$2:$E$36,'Daily evaluations'!$B$2:$B$36,"=random_19",'Daily evaluations'!$C$2:$C$36,"=d20261009"),"")</f>
      </c>
      <c r="Q70" s="8">
        <f>IF((0=1),SUMIFS('Daily evaluations'!$E$2:$E$36,'Daily evaluations'!$B$2:$B$36,"=random_19",'Daily evaluations'!$C$2:$C$36,"=d20261012"),"")</f>
      </c>
      <c r="R70" s="8">
        <f>IF((0=1),SUMIFS('Daily evaluations'!$E$2:$E$36,'Daily evaluations'!$B$2:$B$36,"=random_19",'Daily evaluations'!$C$2:$C$36,"=d20261013"),"")</f>
      </c>
      <c r="S70" s="8">
        <f>IF((0=1),SUMIFS('Daily evaluations'!$E$2:$E$36,'Daily evaluations'!$B$2:$B$36,"=random_19",'Daily evaluations'!$C$2:$C$36,"=d20261014"),"")</f>
      </c>
      <c r="T70" s="8">
        <f>IF((0=1),SUMIFS('Daily evaluations'!$E$2:$E$36,'Daily evaluations'!$B$2:$B$36,"=random_19",'Daily evaluations'!$C$2:$C$36,"=d20261015"),"")</f>
      </c>
      <c r="U70" s="8">
        <f>IF((0=1),SUMIFS('Daily evaluations'!$E$2:$E$36,'Daily evaluations'!$B$2:$B$36,"=random_19",'Daily evaluations'!$C$2:$C$36,"=d20261016"),"")</f>
      </c>
      <c r="V70" s="8">
        <f>IF((0=1),SUMIFS('Daily evaluations'!$E$2:$E$36,'Daily evaluations'!$B$2:$B$36,"=random_19",'Daily evaluations'!$C$2:$C$36,"=d20261019"),"")</f>
      </c>
      <c r="W70" s="8">
        <f>IF((0=1),SUMIFS('Daily evaluations'!$E$2:$E$36,'Daily evaluations'!$B$2:$B$36,"=random_19",'Daily evaluations'!$C$2:$C$36,"=d20261020"),"")</f>
      </c>
      <c r="X70" s="8">
        <f>IF((0=1),SUMIFS('Daily evaluations'!$E$2:$E$36,'Daily evaluations'!$B$2:$B$36,"=random_19",'Daily evaluations'!$C$2:$C$36,"=d20261021"),"")</f>
      </c>
      <c r="Y70" s="8">
        <f>IF((0=1),SUMIFS('Daily evaluations'!$E$2:$E$36,'Daily evaluations'!$B$2:$B$36,"=random_19",'Daily evaluations'!$C$2:$C$36,"=d20261022"),"")</f>
      </c>
      <c r="Z70" s="8">
        <f>IF((0=1),SUMIFS('Daily evaluations'!$E$2:$E$36,'Daily evaluations'!$B$2:$B$36,"=random_19",'Daily evaluations'!$C$2:$C$36,"=d20261023"),"")</f>
      </c>
      <c r="AA70" s="8">
        <f>IF((0=1),SUMIFS('Daily evaluations'!$E$2:$E$36,'Daily evaluations'!$B$2:$B$36,"=random_19",'Daily evaluations'!$C$2:$C$36,"=d20261026"),"")</f>
      </c>
      <c r="AB70" s="8">
        <f>IF((0=1),SUMIFS('Daily evaluations'!$E$2:$E$36,'Daily evaluations'!$B$2:$B$36,"=random_19",'Daily evaluations'!$C$2:$C$36,"=d20261027"),"")</f>
      </c>
      <c r="AC70" s="8">
        <f>IF((0=1),SUMIFS('Daily evaluations'!$E$2:$E$36,'Daily evaluations'!$B$2:$B$36,"=random_19",'Daily evaluations'!$C$2:$C$36,"=d20261028"),"")</f>
      </c>
      <c r="AD70" s="8">
        <f>IF((0=1),SUMIFS('Daily evaluations'!$E$2:$E$36,'Daily evaluations'!$B$2:$B$36,"=random_19",'Daily evaluations'!$C$2:$C$36,"=d20261029"),"")</f>
      </c>
      <c r="AE70" s="8">
        <f>IF((0=1),SUMIFS('Daily evaluations'!$E$2:$E$36,'Daily evaluations'!$B$2:$B$36,"=random_19",'Daily evaluations'!$C$2:$C$36,"=d20261030"),"")</f>
      </c>
      <c r="AF70" s="8">
        <f>IF((0=1),SUMIFS('Daily evaluations'!$E$2:$E$36,'Daily evaluations'!$B$2:$B$36,"=random_19",'Daily evaluations'!$C$2:$C$36,"=d20261102"),"")</f>
      </c>
      <c r="AG70" s="8">
        <f>IF((0=1),SUMIFS('Daily evaluations'!$E$2:$E$36,'Daily evaluations'!$B$2:$B$36,"=random_19",'Daily evaluations'!$C$2:$C$36,"=d20261103"),"")</f>
      </c>
      <c r="AH70" s="8">
        <f>IF((0=1),SUMIFS('Daily evaluations'!$E$2:$E$36,'Daily evaluations'!$B$2:$B$36,"=random_19",'Daily evaluations'!$C$2:$C$36,"=d20261104"),"")</f>
      </c>
      <c r="AI70" s="8">
        <f>IF((0=1),SUMIFS('Daily evaluations'!$E$2:$E$36,'Daily evaluations'!$B$2:$B$36,"=random_19",'Daily evaluations'!$C$2:$C$36,"=d20261105"),"")</f>
      </c>
      <c r="AJ70" s="8">
        <f>IF((0=1),SUMIFS('Daily evaluations'!$E$2:$E$36,'Daily evaluations'!$B$2:$B$36,"=random_19",'Daily evaluations'!$C$2:$C$36,"=d20261106"),"")</f>
      </c>
      <c r="AK70" s="8">
        <f>IF((0=1),SUMIFS('Daily evaluations'!$E$2:$E$36,'Daily evaluations'!$B$2:$B$36,"=random_19",'Daily evaluations'!$C$2:$C$36,"=d20261109"),"")</f>
      </c>
      <c r="AL70" s="8">
        <f>IF((0=1),SUMIFS('Daily evaluations'!$E$2:$E$36,'Daily evaluations'!$B$2:$B$36,"=random_19",'Daily evaluations'!$C$2:$C$36,"=d20261110"),"")</f>
      </c>
      <c r="AM70" s="8">
        <f>IF((0=1),SUMIFS('Daily evaluations'!$E$2:$E$36,'Daily evaluations'!$B$2:$B$36,"=random_19",'Daily evaluations'!$C$2:$C$36,"=d20261111"),"")</f>
      </c>
      <c r="AN70" s="8">
        <f>IF((0=1),SUMIFS('Daily evaluations'!$E$2:$E$36,'Daily evaluations'!$B$2:$B$36,"=random_19",'Daily evaluations'!$C$2:$C$36,"=d20261112"),"")</f>
      </c>
      <c r="AO70" s="8">
        <f>IF((0=1),SUMIFS('Daily evaluations'!$E$2:$E$36,'Daily evaluations'!$B$2:$B$36,"=random_19",'Daily evaluations'!$C$2:$C$36,"=d20261113"),"")</f>
      </c>
      <c r="AP70" s="8">
        <f>IF((0=1),SUMIFS('Daily evaluations'!$E$2:$E$36,'Daily evaluations'!$B$2:$B$36,"=random_19",'Daily evaluations'!$C$2:$C$36,"=d20261116"),"")</f>
      </c>
      <c r="AQ70" s="8">
        <f>IF((0=1),SUMIFS('Daily evaluations'!$E$2:$E$36,'Daily evaluations'!$B$2:$B$36,"=random_19",'Daily evaluations'!$C$2:$C$36,"=d20261117"),"")</f>
      </c>
      <c r="AR70" s="8">
        <f>IF((0=1),SUMIFS('Daily evaluations'!$E$2:$E$36,'Daily evaluations'!$B$2:$B$36,"=random_19",'Daily evaluations'!$C$2:$C$36,"=d20261118"),"")</f>
      </c>
      <c r="AS70" s="8">
        <f>IF((0=1),SUMIFS('Daily evaluations'!$E$2:$E$36,'Daily evaluations'!$B$2:$B$36,"=random_19",'Daily evaluations'!$C$2:$C$36,"=d20261119"),"")</f>
      </c>
      <c r="AT70" s="8">
        <f>IF((0=1),SUMIFS('Daily evaluations'!$E$2:$E$36,'Daily evaluations'!$B$2:$B$36,"=random_19",'Daily evaluations'!$C$2:$C$36,"=d20261120"),"")</f>
      </c>
      <c r="AU70" s="8">
        <f>IF((0=1),SUMIFS('Daily evaluations'!$E$2:$E$36,'Daily evaluations'!$B$2:$B$36,"=random_19",'Daily evaluations'!$C$2:$C$36,"=d20261123"),"")</f>
      </c>
      <c r="AV70" s="8">
        <f>IF((0=1),SUMIFS('Daily evaluations'!$E$2:$E$36,'Daily evaluations'!$B$2:$B$36,"=random_19",'Daily evaluations'!$C$2:$C$36,"=d20261124"),"")</f>
      </c>
      <c r="AW70" s="8">
        <f>IF((0=1),SUMIFS('Daily evaluations'!$E$2:$E$36,'Daily evaluations'!$B$2:$B$36,"=random_19",'Daily evaluations'!$C$2:$C$36,"=d20261125"),"")</f>
      </c>
      <c r="AX70" s="8">
        <f>IF((0=1),SUMIFS('Daily evaluations'!$E$2:$E$36,'Daily evaluations'!$B$2:$B$36,"=random_19",'Daily evaluations'!$C$2:$C$36,"=d20261127"),"")</f>
      </c>
      <c r="AY70" s="8">
        <f>IF((0=1),SUMIFS('Daily evaluations'!$E$2:$E$36,'Daily evaluations'!$B$2:$B$36,"=random_19",'Daily evaluations'!$C$2:$C$36,"=d20261130"),"")</f>
      </c>
      <c r="AZ70" s="8">
        <f>IF((0=1),SUMIFS('Daily evaluations'!$E$2:$E$36,'Daily evaluations'!$B$2:$B$36,"=random_19",'Daily evaluations'!$C$2:$C$36,"=d20261201"),"")</f>
      </c>
      <c r="BA70" s="8">
        <f>IF((0=1),SUMIFS('Daily evaluations'!$E$2:$E$36,'Daily evaluations'!$B$2:$B$36,"=random_19",'Daily evaluations'!$C$2:$C$36,"=d20261202"),"")</f>
      </c>
      <c r="BB70" s="8">
        <f>IF((0=1),SUMIFS('Daily evaluations'!$E$2:$E$36,'Daily evaluations'!$B$2:$B$36,"=random_19",'Daily evaluations'!$C$2:$C$36,"=d20261203"),"")</f>
      </c>
      <c r="BC70" s="8">
        <f>IF((0=1),SUMIFS('Daily evaluations'!$E$2:$E$36,'Daily evaluations'!$B$2:$B$36,"=random_19",'Daily evaluations'!$C$2:$C$36,"=d20261204"),"")</f>
      </c>
      <c r="BD70" s="8">
        <f>IF((0=1),SUMIFS('Daily evaluations'!$E$2:$E$36,'Daily evaluations'!$B$2:$B$36,"=random_19",'Daily evaluations'!$C$2:$C$36,"=d20261207"),"")</f>
      </c>
      <c r="BE70" s="8">
        <f>IF((0=1),SUMIFS('Daily evaluations'!$E$2:$E$36,'Daily evaluations'!$B$2:$B$36,"=random_19",'Daily evaluations'!$C$2:$C$36,"=d20261208"),"")</f>
      </c>
      <c r="BF70" s="8">
        <f>IF((0=1),SUMIFS('Daily evaluations'!$E$2:$E$36,'Daily evaluations'!$B$2:$B$36,"=random_19",'Daily evaluations'!$C$2:$C$36,"=d20261209"),"")</f>
      </c>
      <c r="BG70" s="8">
        <f>IF((0=1),SUMIFS('Daily evaluations'!$E$2:$E$36,'Daily evaluations'!$B$2:$B$36,"=random_19",'Daily evaluations'!$C$2:$C$36,"=d20261210"),"")</f>
      </c>
      <c r="BH70" s="8">
        <f>IF((0=1),SUMIFS('Daily evaluations'!$E$2:$E$36,'Daily evaluations'!$B$2:$B$36,"=random_19",'Daily evaluations'!$C$2:$C$36,"=d20261211"),"")</f>
      </c>
      <c r="BI70" s="8">
        <f>IF((0=1),SUMIFS('Daily evaluations'!$E$2:$E$36,'Daily evaluations'!$B$2:$B$36,"=random_19",'Daily evaluations'!$C$2:$C$36,"=d20261214"),"")</f>
      </c>
      <c r="BJ70" s="8">
        <f>IF((0=1),SUMIFS('Daily evaluations'!$E$2:$E$36,'Daily evaluations'!$B$2:$B$36,"=random_19",'Daily evaluations'!$C$2:$C$36,"=d20261215"),"")</f>
      </c>
      <c r="BK70" s="8">
        <f>IF((0=1),SUMIFS('Daily evaluations'!$E$2:$E$36,'Daily evaluations'!$B$2:$B$36,"=random_19",'Daily evaluations'!$C$2:$C$36,"=d20261216"),"")</f>
      </c>
      <c r="BL70" s="8">
        <f>IF((0=1),SUMIFS('Daily evaluations'!$E$2:$E$36,'Daily evaluations'!$B$2:$B$36,"=random_19",'Daily evaluations'!$C$2:$C$36,"=d20261217"),"")</f>
      </c>
      <c r="BM70" s="8">
        <f>IF((0=1),SUMIFS('Daily evaluations'!$E$2:$E$36,'Daily evaluations'!$B$2:$B$36,"=random_19",'Daily evaluations'!$C$2:$C$36,"=d20261218"),"")</f>
      </c>
      <c r="BN70" s="8">
        <f>IF((0=1),SUMIFS('Daily evaluations'!$E$2:$E$36,'Daily evaluations'!$B$2:$B$36,"=random_19",'Daily evaluations'!$C$2:$C$36,"=d20261221"),"")</f>
      </c>
      <c r="BO70" s="8">
        <f>IF((0=1),SUMIFS('Daily evaluations'!$E$2:$E$36,'Daily evaluations'!$B$2:$B$36,"=random_19",'Daily evaluations'!$C$2:$C$36,"=d20261222"),"")</f>
      </c>
      <c r="BP70" s="8">
        <f>IF((0=1),SUMIFS('Daily evaluations'!$E$2:$E$36,'Daily evaluations'!$B$2:$B$36,"=random_19",'Daily evaluations'!$C$2:$C$36,"=d20261223"),"")</f>
      </c>
      <c r="BQ70" s="8">
        <f>IF((0=1),SUMIFS('Daily evaluations'!$E$2:$E$36,'Daily evaluations'!$B$2:$B$36,"=random_19",'Daily evaluations'!$C$2:$C$36,"=d20261224"),"")</f>
      </c>
      <c r="BR70" s="8">
        <f>IF((0=1),SUMIFS('Daily evaluations'!$E$2:$E$36,'Daily evaluations'!$B$2:$B$36,"=random_19",'Daily evaluations'!$C$2:$C$36,"=d20261228"),"")</f>
      </c>
      <c r="BS70" s="8">
        <f>IF((0=1),SUMIFS('Daily evaluations'!$E$2:$E$36,'Daily evaluations'!$B$2:$B$36,"=random_19",'Daily evaluations'!$C$2:$C$36,"=d20261229"),"")</f>
      </c>
      <c r="BT70" s="8">
        <f>IF((0=1),SUMIFS('Daily evaluations'!$E$2:$E$36,'Daily evaluations'!$B$2:$B$36,"=random_19",'Daily evaluations'!$C$2:$C$36,"=d20261230"),"")</f>
      </c>
      <c r="BU70" s="8">
        <f>IF((0=1),SUMIFS('Daily evaluations'!$E$2:$E$36,'Daily evaluations'!$B$2:$B$36,"=random_19",'Daily evaluations'!$C$2:$C$36,"=d20261231"),"")</f>
      </c>
      <c r="BV70" s="8">
        <f>IF((0=1),SUMIFS('Daily evaluations'!$E$2:$E$36,'Daily evaluations'!$B$2:$B$36,"=random_19",'Daily evaluations'!$C$2:$C$36,"=d20270104"),"")</f>
      </c>
      <c r="BW70" s="8">
        <f>IF((0=1),SUMIFS('Daily evaluations'!$E$2:$E$36,'Daily evaluations'!$B$2:$B$36,"=random_19",'Daily evaluations'!$C$2:$C$36,"=d20270105"),"")</f>
      </c>
      <c r="BX70" s="8">
        <f>IF((0=1),SUMIFS('Daily evaluations'!$E$2:$E$36,'Daily evaluations'!$B$2:$B$36,"=random_19",'Daily evaluations'!$C$2:$C$36,"=d20270106"),"")</f>
      </c>
      <c r="BY70" s="8">
        <f>IF((0=1),SUMIFS('Daily evaluations'!$E$2:$E$36,'Daily evaluations'!$B$2:$B$36,"=random_19",'Daily evaluations'!$C$2:$C$36,"=d20270107"),"")</f>
      </c>
      <c r="BZ70" s="8">
        <f>IF((0=1),SUMIFS('Daily evaluations'!$E$2:$E$36,'Daily evaluations'!$B$2:$B$36,"=random_19",'Daily evaluations'!$C$2:$C$36,"=d20270108"),"")</f>
      </c>
      <c r="CA70" s="8">
        <f>IF((0=1),SUMIFS('Daily evaluations'!$E$2:$E$36,'Daily evaluations'!$B$2:$B$36,"=random_19",'Daily evaluations'!$C$2:$C$36,"=d20270111"),"")</f>
      </c>
      <c r="CB70" s="8">
        <f>IF((0=1),SUMIFS('Daily evaluations'!$E$2:$E$36,'Daily evaluations'!$B$2:$B$36,"=random_19",'Daily evaluations'!$C$2:$C$36,"=d20270112"),"")</f>
      </c>
      <c r="CC70" s="8">
        <f>IF((0=1),SUMIFS('Daily evaluations'!$E$2:$E$36,'Daily evaluations'!$B$2:$B$36,"=random_19",'Daily evaluations'!$C$2:$C$36,"=d20270113"),"")</f>
      </c>
      <c r="CD70" s="8">
        <f>IF((0=1),SUMIFS('Daily evaluations'!$E$2:$E$36,'Daily evaluations'!$B$2:$B$36,"=random_19",'Daily evaluations'!$C$2:$C$36,"=d20270114"),"")</f>
      </c>
      <c r="CE70" s="8">
        <f>IF((0=1),SUMIFS('Daily evaluations'!$E$2:$E$36,'Daily evaluations'!$B$2:$B$36,"=random_19",'Daily evaluations'!$C$2:$C$36,"=d20270115"),"")</f>
      </c>
      <c r="CF70" s="8">
        <f>IF((0=1),SUMIFS('Daily evaluations'!$E$2:$E$36,'Daily evaluations'!$B$2:$B$36,"=random_19",'Daily evaluations'!$C$2:$C$36,"=d20270119"),"")</f>
      </c>
      <c r="CG70" s="8">
        <f>IF((0=1),SUMIFS('Daily evaluations'!$E$2:$E$36,'Daily evaluations'!$B$2:$B$36,"=random_19",'Daily evaluations'!$C$2:$C$36,"=d20270120"),"")</f>
      </c>
      <c r="CH70" s="8">
        <f>IF((0=1),SUMIFS('Daily evaluations'!$E$2:$E$36,'Daily evaluations'!$B$2:$B$36,"=random_19",'Daily evaluations'!$C$2:$C$36,"=d20270121"),"")</f>
      </c>
      <c r="CI70" s="8">
        <f>IF((0=1),SUMIFS('Daily evaluations'!$E$2:$E$36,'Daily evaluations'!$B$2:$B$36,"=random_19",'Daily evaluations'!$C$2:$C$36,"=d20270122"),"")</f>
      </c>
      <c r="CJ70" s="8">
        <f>IF((0=1),SUMIFS('Daily evaluations'!$E$2:$E$36,'Daily evaluations'!$B$2:$B$36,"=random_19",'Daily evaluations'!$C$2:$C$36,"=d20270125"),"")</f>
      </c>
      <c r="CK70" s="8">
        <f>IF((0=1),SUMIFS('Daily evaluations'!$E$2:$E$36,'Daily evaluations'!$B$2:$B$36,"=random_19",'Daily evaluations'!$C$2:$C$36,"=d20270126"),"")</f>
      </c>
      <c r="CL70" s="8">
        <f>IF((0=1),SUMIFS('Daily evaluations'!$E$2:$E$36,'Daily evaluations'!$B$2:$B$36,"=random_19",'Daily evaluations'!$C$2:$C$36,"=d20270127"),"")</f>
      </c>
      <c r="CM70" s="8">
        <f>IF((0=1),SUMIFS('Daily evaluations'!$E$2:$E$36,'Daily evaluations'!$B$2:$B$36,"=random_19",'Daily evaluations'!$C$2:$C$36,"=d20270128"),"")</f>
      </c>
      <c r="CN70" s="8">
        <f>IF((0=1),SUMIFS('Daily evaluations'!$E$2:$E$36,'Daily evaluations'!$B$2:$B$36,"=random_19",'Daily evaluations'!$C$2:$C$36,"=d20270129"),"")</f>
      </c>
      <c r="CO70" s="8">
        <f>IF((0=1),SUMIFS('Daily evaluations'!$E$2:$E$36,'Daily evaluations'!$B$2:$B$36,"=random_19",'Daily evaluations'!$C$2:$C$36,"=d20270201"),"")</f>
      </c>
      <c r="CP70" s="8">
        <f>IF((0=1),SUMIFS('Daily evaluations'!$E$2:$E$36,'Daily evaluations'!$B$2:$B$36,"=random_19",'Daily evaluations'!$C$2:$C$36,"=d20270202"),"")</f>
      </c>
      <c r="CQ70" s="8">
        <f>IF((0=1),SUMIFS('Daily evaluations'!$E$2:$E$36,'Daily evaluations'!$B$2:$B$36,"=random_19",'Daily evaluations'!$C$2:$C$36,"=d20270203"),"")</f>
      </c>
      <c r="CR70" s="8">
        <f>IF((0=1),SUMIFS('Daily evaluations'!$E$2:$E$36,'Daily evaluations'!$B$2:$B$36,"=random_19",'Daily evaluations'!$C$2:$C$36,"=d20270204"),"")</f>
      </c>
      <c r="CS70" s="8">
        <f>IF((0=1),SUMIFS('Daily evaluations'!$E$2:$E$36,'Daily evaluations'!$B$2:$B$36,"=random_19",'Daily evaluations'!$C$2:$C$36,"=d20270205"),"")</f>
      </c>
      <c r="CT70" s="8">
        <f>IF((0=1),SUMIFS('Daily evaluations'!$E$2:$E$36,'Daily evaluations'!$B$2:$B$36,"=random_19",'Daily evaluations'!$C$2:$C$36,"=d20270208"),"")</f>
      </c>
      <c r="CU70" s="8">
        <f>IF((0=1),SUMIFS('Daily evaluations'!$E$2:$E$36,'Daily evaluations'!$B$2:$B$36,"=random_19",'Daily evaluations'!$C$2:$C$36,"=d20270209"),"")</f>
      </c>
      <c r="CV70" s="8">
        <f>IF((0=1),SUMIFS('Daily evaluations'!$E$2:$E$36,'Daily evaluations'!$B$2:$B$36,"=random_19",'Daily evaluations'!$C$2:$C$36,"=d20270210"),"")</f>
      </c>
      <c r="CW70" s="8">
        <f>IF((0=1),SUMIFS('Daily evaluations'!$E$2:$E$36,'Daily evaluations'!$B$2:$B$36,"=random_19",'Daily evaluations'!$C$2:$C$36,"=d20270211"),"")</f>
      </c>
      <c r="CX70" s="8">
        <f>IF((0=1),SUMIFS('Daily evaluations'!$E$2:$E$36,'Daily evaluations'!$B$2:$B$36,"=random_19",'Daily evaluations'!$C$2:$C$36,"=d20270212"),"")</f>
      </c>
    </row>
    <row r="71">
      <c r="A71" s="0" t="inlineStr">
        <is>
          <t xml:space="preserve">Overnight excess vs universe, bps</t>
        </is>
      </c>
      <c r="B71" s="0" t="inlineStr">
        <is>
          <t xml:space="preserve">Random 20</t>
        </is>
      </c>
      <c r="C71" s="8">
        <f>IF((1=1),SUMIFS('Daily evaluations'!$E$2:$E$36,'Daily evaluations'!$B$2:$B$36,"=random_20",'Daily evaluations'!$C$2:$C$36,"=d20260922"),"")</f>
        <v>5.139</v>
      </c>
      <c r="D71" s="8">
        <f>IF((0=1),SUMIFS('Daily evaluations'!$E$2:$E$36,'Daily evaluations'!$B$2:$B$36,"=random_20",'Daily evaluations'!$C$2:$C$36,"=d20260923"),"")</f>
      </c>
      <c r="E71" s="8">
        <f>IF((0=1),SUMIFS('Daily evaluations'!$E$2:$E$36,'Daily evaluations'!$B$2:$B$36,"=random_20",'Daily evaluations'!$C$2:$C$36,"=d20260924"),"")</f>
      </c>
      <c r="F71" s="8">
        <f>IF((0=1),SUMIFS('Daily evaluations'!$E$2:$E$36,'Daily evaluations'!$B$2:$B$36,"=random_20",'Daily evaluations'!$C$2:$C$36,"=d20260925"),"")</f>
      </c>
      <c r="G71" s="8">
        <f>IF((0=1),SUMIFS('Daily evaluations'!$E$2:$E$36,'Daily evaluations'!$B$2:$B$36,"=random_20",'Daily evaluations'!$C$2:$C$36,"=d20260928"),"")</f>
      </c>
      <c r="H71" s="8">
        <f>IF((0=1),SUMIFS('Daily evaluations'!$E$2:$E$36,'Daily evaluations'!$B$2:$B$36,"=random_20",'Daily evaluations'!$C$2:$C$36,"=d20260929"),"")</f>
      </c>
      <c r="I71" s="8">
        <f>IF((0=1),SUMIFS('Daily evaluations'!$E$2:$E$36,'Daily evaluations'!$B$2:$B$36,"=random_20",'Daily evaluations'!$C$2:$C$36,"=d20260930"),"")</f>
      </c>
      <c r="J71" s="8">
        <f>IF((0=1),SUMIFS('Daily evaluations'!$E$2:$E$36,'Daily evaluations'!$B$2:$B$36,"=random_20",'Daily evaluations'!$C$2:$C$36,"=d20261001"),"")</f>
      </c>
      <c r="K71" s="8">
        <f>IF((0=1),SUMIFS('Daily evaluations'!$E$2:$E$36,'Daily evaluations'!$B$2:$B$36,"=random_20",'Daily evaluations'!$C$2:$C$36,"=d20261002"),"")</f>
      </c>
      <c r="L71" s="8">
        <f>IF((0=1),SUMIFS('Daily evaluations'!$E$2:$E$36,'Daily evaluations'!$B$2:$B$36,"=random_20",'Daily evaluations'!$C$2:$C$36,"=d20261005"),"")</f>
      </c>
      <c r="M71" s="8">
        <f>IF((0=1),SUMIFS('Daily evaluations'!$E$2:$E$36,'Daily evaluations'!$B$2:$B$36,"=random_20",'Daily evaluations'!$C$2:$C$36,"=d20261006"),"")</f>
      </c>
      <c r="N71" s="8">
        <f>IF((0=1),SUMIFS('Daily evaluations'!$E$2:$E$36,'Daily evaluations'!$B$2:$B$36,"=random_20",'Daily evaluations'!$C$2:$C$36,"=d20261007"),"")</f>
      </c>
      <c r="O71" s="8">
        <f>IF((0=1),SUMIFS('Daily evaluations'!$E$2:$E$36,'Daily evaluations'!$B$2:$B$36,"=random_20",'Daily evaluations'!$C$2:$C$36,"=d20261008"),"")</f>
      </c>
      <c r="P71" s="8">
        <f>IF((0=1),SUMIFS('Daily evaluations'!$E$2:$E$36,'Daily evaluations'!$B$2:$B$36,"=random_20",'Daily evaluations'!$C$2:$C$36,"=d20261009"),"")</f>
      </c>
      <c r="Q71" s="8">
        <f>IF((0=1),SUMIFS('Daily evaluations'!$E$2:$E$36,'Daily evaluations'!$B$2:$B$36,"=random_20",'Daily evaluations'!$C$2:$C$36,"=d20261012"),"")</f>
      </c>
      <c r="R71" s="8">
        <f>IF((0=1),SUMIFS('Daily evaluations'!$E$2:$E$36,'Daily evaluations'!$B$2:$B$36,"=random_20",'Daily evaluations'!$C$2:$C$36,"=d20261013"),"")</f>
      </c>
      <c r="S71" s="8">
        <f>IF((0=1),SUMIFS('Daily evaluations'!$E$2:$E$36,'Daily evaluations'!$B$2:$B$36,"=random_20",'Daily evaluations'!$C$2:$C$36,"=d20261014"),"")</f>
      </c>
      <c r="T71" s="8">
        <f>IF((0=1),SUMIFS('Daily evaluations'!$E$2:$E$36,'Daily evaluations'!$B$2:$B$36,"=random_20",'Daily evaluations'!$C$2:$C$36,"=d20261015"),"")</f>
      </c>
      <c r="U71" s="8">
        <f>IF((0=1),SUMIFS('Daily evaluations'!$E$2:$E$36,'Daily evaluations'!$B$2:$B$36,"=random_20",'Daily evaluations'!$C$2:$C$36,"=d20261016"),"")</f>
      </c>
      <c r="V71" s="8">
        <f>IF((0=1),SUMIFS('Daily evaluations'!$E$2:$E$36,'Daily evaluations'!$B$2:$B$36,"=random_20",'Daily evaluations'!$C$2:$C$36,"=d20261019"),"")</f>
      </c>
      <c r="W71" s="8">
        <f>IF((0=1),SUMIFS('Daily evaluations'!$E$2:$E$36,'Daily evaluations'!$B$2:$B$36,"=random_20",'Daily evaluations'!$C$2:$C$36,"=d20261020"),"")</f>
      </c>
      <c r="X71" s="8">
        <f>IF((0=1),SUMIFS('Daily evaluations'!$E$2:$E$36,'Daily evaluations'!$B$2:$B$36,"=random_20",'Daily evaluations'!$C$2:$C$36,"=d20261021"),"")</f>
      </c>
      <c r="Y71" s="8">
        <f>IF((0=1),SUMIFS('Daily evaluations'!$E$2:$E$36,'Daily evaluations'!$B$2:$B$36,"=random_20",'Daily evaluations'!$C$2:$C$36,"=d20261022"),"")</f>
      </c>
      <c r="Z71" s="8">
        <f>IF((0=1),SUMIFS('Daily evaluations'!$E$2:$E$36,'Daily evaluations'!$B$2:$B$36,"=random_20",'Daily evaluations'!$C$2:$C$36,"=d20261023"),"")</f>
      </c>
      <c r="AA71" s="8">
        <f>IF((0=1),SUMIFS('Daily evaluations'!$E$2:$E$36,'Daily evaluations'!$B$2:$B$36,"=random_20",'Daily evaluations'!$C$2:$C$36,"=d20261026"),"")</f>
      </c>
      <c r="AB71" s="8">
        <f>IF((0=1),SUMIFS('Daily evaluations'!$E$2:$E$36,'Daily evaluations'!$B$2:$B$36,"=random_20",'Daily evaluations'!$C$2:$C$36,"=d20261027"),"")</f>
      </c>
      <c r="AC71" s="8">
        <f>IF((0=1),SUMIFS('Daily evaluations'!$E$2:$E$36,'Daily evaluations'!$B$2:$B$36,"=random_20",'Daily evaluations'!$C$2:$C$36,"=d20261028"),"")</f>
      </c>
      <c r="AD71" s="8">
        <f>IF((0=1),SUMIFS('Daily evaluations'!$E$2:$E$36,'Daily evaluations'!$B$2:$B$36,"=random_20",'Daily evaluations'!$C$2:$C$36,"=d20261029"),"")</f>
      </c>
      <c r="AE71" s="8">
        <f>IF((0=1),SUMIFS('Daily evaluations'!$E$2:$E$36,'Daily evaluations'!$B$2:$B$36,"=random_20",'Daily evaluations'!$C$2:$C$36,"=d20261030"),"")</f>
      </c>
      <c r="AF71" s="8">
        <f>IF((0=1),SUMIFS('Daily evaluations'!$E$2:$E$36,'Daily evaluations'!$B$2:$B$36,"=random_20",'Daily evaluations'!$C$2:$C$36,"=d20261102"),"")</f>
      </c>
      <c r="AG71" s="8">
        <f>IF((0=1),SUMIFS('Daily evaluations'!$E$2:$E$36,'Daily evaluations'!$B$2:$B$36,"=random_20",'Daily evaluations'!$C$2:$C$36,"=d20261103"),"")</f>
      </c>
      <c r="AH71" s="8">
        <f>IF((0=1),SUMIFS('Daily evaluations'!$E$2:$E$36,'Daily evaluations'!$B$2:$B$36,"=random_20",'Daily evaluations'!$C$2:$C$36,"=d20261104"),"")</f>
      </c>
      <c r="AI71" s="8">
        <f>IF((0=1),SUMIFS('Daily evaluations'!$E$2:$E$36,'Daily evaluations'!$B$2:$B$36,"=random_20",'Daily evaluations'!$C$2:$C$36,"=d20261105"),"")</f>
      </c>
      <c r="AJ71" s="8">
        <f>IF((0=1),SUMIFS('Daily evaluations'!$E$2:$E$36,'Daily evaluations'!$B$2:$B$36,"=random_20",'Daily evaluations'!$C$2:$C$36,"=d20261106"),"")</f>
      </c>
      <c r="AK71" s="8">
        <f>IF((0=1),SUMIFS('Daily evaluations'!$E$2:$E$36,'Daily evaluations'!$B$2:$B$36,"=random_20",'Daily evaluations'!$C$2:$C$36,"=d20261109"),"")</f>
      </c>
      <c r="AL71" s="8">
        <f>IF((0=1),SUMIFS('Daily evaluations'!$E$2:$E$36,'Daily evaluations'!$B$2:$B$36,"=random_20",'Daily evaluations'!$C$2:$C$36,"=d20261110"),"")</f>
      </c>
      <c r="AM71" s="8">
        <f>IF((0=1),SUMIFS('Daily evaluations'!$E$2:$E$36,'Daily evaluations'!$B$2:$B$36,"=random_20",'Daily evaluations'!$C$2:$C$36,"=d20261111"),"")</f>
      </c>
      <c r="AN71" s="8">
        <f>IF((0=1),SUMIFS('Daily evaluations'!$E$2:$E$36,'Daily evaluations'!$B$2:$B$36,"=random_20",'Daily evaluations'!$C$2:$C$36,"=d20261112"),"")</f>
      </c>
      <c r="AO71" s="8">
        <f>IF((0=1),SUMIFS('Daily evaluations'!$E$2:$E$36,'Daily evaluations'!$B$2:$B$36,"=random_20",'Daily evaluations'!$C$2:$C$36,"=d20261113"),"")</f>
      </c>
      <c r="AP71" s="8">
        <f>IF((0=1),SUMIFS('Daily evaluations'!$E$2:$E$36,'Daily evaluations'!$B$2:$B$36,"=random_20",'Daily evaluations'!$C$2:$C$36,"=d20261116"),"")</f>
      </c>
      <c r="AQ71" s="8">
        <f>IF((0=1),SUMIFS('Daily evaluations'!$E$2:$E$36,'Daily evaluations'!$B$2:$B$36,"=random_20",'Daily evaluations'!$C$2:$C$36,"=d20261117"),"")</f>
      </c>
      <c r="AR71" s="8">
        <f>IF((0=1),SUMIFS('Daily evaluations'!$E$2:$E$36,'Daily evaluations'!$B$2:$B$36,"=random_20",'Daily evaluations'!$C$2:$C$36,"=d20261118"),"")</f>
      </c>
      <c r="AS71" s="8">
        <f>IF((0=1),SUMIFS('Daily evaluations'!$E$2:$E$36,'Daily evaluations'!$B$2:$B$36,"=random_20",'Daily evaluations'!$C$2:$C$36,"=d20261119"),"")</f>
      </c>
      <c r="AT71" s="8">
        <f>IF((0=1),SUMIFS('Daily evaluations'!$E$2:$E$36,'Daily evaluations'!$B$2:$B$36,"=random_20",'Daily evaluations'!$C$2:$C$36,"=d20261120"),"")</f>
      </c>
      <c r="AU71" s="8">
        <f>IF((0=1),SUMIFS('Daily evaluations'!$E$2:$E$36,'Daily evaluations'!$B$2:$B$36,"=random_20",'Daily evaluations'!$C$2:$C$36,"=d20261123"),"")</f>
      </c>
      <c r="AV71" s="8">
        <f>IF((0=1),SUMIFS('Daily evaluations'!$E$2:$E$36,'Daily evaluations'!$B$2:$B$36,"=random_20",'Daily evaluations'!$C$2:$C$36,"=d20261124"),"")</f>
      </c>
      <c r="AW71" s="8">
        <f>IF((0=1),SUMIFS('Daily evaluations'!$E$2:$E$36,'Daily evaluations'!$B$2:$B$36,"=random_20",'Daily evaluations'!$C$2:$C$36,"=d20261125"),"")</f>
      </c>
      <c r="AX71" s="8">
        <f>IF((0=1),SUMIFS('Daily evaluations'!$E$2:$E$36,'Daily evaluations'!$B$2:$B$36,"=random_20",'Daily evaluations'!$C$2:$C$36,"=d20261127"),"")</f>
      </c>
      <c r="AY71" s="8">
        <f>IF((0=1),SUMIFS('Daily evaluations'!$E$2:$E$36,'Daily evaluations'!$B$2:$B$36,"=random_20",'Daily evaluations'!$C$2:$C$36,"=d20261130"),"")</f>
      </c>
      <c r="AZ71" s="8">
        <f>IF((0=1),SUMIFS('Daily evaluations'!$E$2:$E$36,'Daily evaluations'!$B$2:$B$36,"=random_20",'Daily evaluations'!$C$2:$C$36,"=d20261201"),"")</f>
      </c>
      <c r="BA71" s="8">
        <f>IF((0=1),SUMIFS('Daily evaluations'!$E$2:$E$36,'Daily evaluations'!$B$2:$B$36,"=random_20",'Daily evaluations'!$C$2:$C$36,"=d20261202"),"")</f>
      </c>
      <c r="BB71" s="8">
        <f>IF((0=1),SUMIFS('Daily evaluations'!$E$2:$E$36,'Daily evaluations'!$B$2:$B$36,"=random_20",'Daily evaluations'!$C$2:$C$36,"=d20261203"),"")</f>
      </c>
      <c r="BC71" s="8">
        <f>IF((0=1),SUMIFS('Daily evaluations'!$E$2:$E$36,'Daily evaluations'!$B$2:$B$36,"=random_20",'Daily evaluations'!$C$2:$C$36,"=d20261204"),"")</f>
      </c>
      <c r="BD71" s="8">
        <f>IF((0=1),SUMIFS('Daily evaluations'!$E$2:$E$36,'Daily evaluations'!$B$2:$B$36,"=random_20",'Daily evaluations'!$C$2:$C$36,"=d20261207"),"")</f>
      </c>
      <c r="BE71" s="8">
        <f>IF((0=1),SUMIFS('Daily evaluations'!$E$2:$E$36,'Daily evaluations'!$B$2:$B$36,"=random_20",'Daily evaluations'!$C$2:$C$36,"=d20261208"),"")</f>
      </c>
      <c r="BF71" s="8">
        <f>IF((0=1),SUMIFS('Daily evaluations'!$E$2:$E$36,'Daily evaluations'!$B$2:$B$36,"=random_20",'Daily evaluations'!$C$2:$C$36,"=d20261209"),"")</f>
      </c>
      <c r="BG71" s="8">
        <f>IF((0=1),SUMIFS('Daily evaluations'!$E$2:$E$36,'Daily evaluations'!$B$2:$B$36,"=random_20",'Daily evaluations'!$C$2:$C$36,"=d20261210"),"")</f>
      </c>
      <c r="BH71" s="8">
        <f>IF((0=1),SUMIFS('Daily evaluations'!$E$2:$E$36,'Daily evaluations'!$B$2:$B$36,"=random_20",'Daily evaluations'!$C$2:$C$36,"=d20261211"),"")</f>
      </c>
      <c r="BI71" s="8">
        <f>IF((0=1),SUMIFS('Daily evaluations'!$E$2:$E$36,'Daily evaluations'!$B$2:$B$36,"=random_20",'Daily evaluations'!$C$2:$C$36,"=d20261214"),"")</f>
      </c>
      <c r="BJ71" s="8">
        <f>IF((0=1),SUMIFS('Daily evaluations'!$E$2:$E$36,'Daily evaluations'!$B$2:$B$36,"=random_20",'Daily evaluations'!$C$2:$C$36,"=d20261215"),"")</f>
      </c>
      <c r="BK71" s="8">
        <f>IF((0=1),SUMIFS('Daily evaluations'!$E$2:$E$36,'Daily evaluations'!$B$2:$B$36,"=random_20",'Daily evaluations'!$C$2:$C$36,"=d20261216"),"")</f>
      </c>
      <c r="BL71" s="8">
        <f>IF((0=1),SUMIFS('Daily evaluations'!$E$2:$E$36,'Daily evaluations'!$B$2:$B$36,"=random_20",'Daily evaluations'!$C$2:$C$36,"=d20261217"),"")</f>
      </c>
      <c r="BM71" s="8">
        <f>IF((0=1),SUMIFS('Daily evaluations'!$E$2:$E$36,'Daily evaluations'!$B$2:$B$36,"=random_20",'Daily evaluations'!$C$2:$C$36,"=d20261218"),"")</f>
      </c>
      <c r="BN71" s="8">
        <f>IF((0=1),SUMIFS('Daily evaluations'!$E$2:$E$36,'Daily evaluations'!$B$2:$B$36,"=random_20",'Daily evaluations'!$C$2:$C$36,"=d20261221"),"")</f>
      </c>
      <c r="BO71" s="8">
        <f>IF((0=1),SUMIFS('Daily evaluations'!$E$2:$E$36,'Daily evaluations'!$B$2:$B$36,"=random_20",'Daily evaluations'!$C$2:$C$36,"=d20261222"),"")</f>
      </c>
      <c r="BP71" s="8">
        <f>IF((0=1),SUMIFS('Daily evaluations'!$E$2:$E$36,'Daily evaluations'!$B$2:$B$36,"=random_20",'Daily evaluations'!$C$2:$C$36,"=d20261223"),"")</f>
      </c>
      <c r="BQ71" s="8">
        <f>IF((0=1),SUMIFS('Daily evaluations'!$E$2:$E$36,'Daily evaluations'!$B$2:$B$36,"=random_20",'Daily evaluations'!$C$2:$C$36,"=d20261224"),"")</f>
      </c>
      <c r="BR71" s="8">
        <f>IF((0=1),SUMIFS('Daily evaluations'!$E$2:$E$36,'Daily evaluations'!$B$2:$B$36,"=random_20",'Daily evaluations'!$C$2:$C$36,"=d20261228"),"")</f>
      </c>
      <c r="BS71" s="8">
        <f>IF((0=1),SUMIFS('Daily evaluations'!$E$2:$E$36,'Daily evaluations'!$B$2:$B$36,"=random_20",'Daily evaluations'!$C$2:$C$36,"=d20261229"),"")</f>
      </c>
      <c r="BT71" s="8">
        <f>IF((0=1),SUMIFS('Daily evaluations'!$E$2:$E$36,'Daily evaluations'!$B$2:$B$36,"=random_20",'Daily evaluations'!$C$2:$C$36,"=d20261230"),"")</f>
      </c>
      <c r="BU71" s="8">
        <f>IF((0=1),SUMIFS('Daily evaluations'!$E$2:$E$36,'Daily evaluations'!$B$2:$B$36,"=random_20",'Daily evaluations'!$C$2:$C$36,"=d20261231"),"")</f>
      </c>
      <c r="BV71" s="8">
        <f>IF((0=1),SUMIFS('Daily evaluations'!$E$2:$E$36,'Daily evaluations'!$B$2:$B$36,"=random_20",'Daily evaluations'!$C$2:$C$36,"=d20270104"),"")</f>
      </c>
      <c r="BW71" s="8">
        <f>IF((0=1),SUMIFS('Daily evaluations'!$E$2:$E$36,'Daily evaluations'!$B$2:$B$36,"=random_20",'Daily evaluations'!$C$2:$C$36,"=d20270105"),"")</f>
      </c>
      <c r="BX71" s="8">
        <f>IF((0=1),SUMIFS('Daily evaluations'!$E$2:$E$36,'Daily evaluations'!$B$2:$B$36,"=random_20",'Daily evaluations'!$C$2:$C$36,"=d20270106"),"")</f>
      </c>
      <c r="BY71" s="8">
        <f>IF((0=1),SUMIFS('Daily evaluations'!$E$2:$E$36,'Daily evaluations'!$B$2:$B$36,"=random_20",'Daily evaluations'!$C$2:$C$36,"=d20270107"),"")</f>
      </c>
      <c r="BZ71" s="8">
        <f>IF((0=1),SUMIFS('Daily evaluations'!$E$2:$E$36,'Daily evaluations'!$B$2:$B$36,"=random_20",'Daily evaluations'!$C$2:$C$36,"=d20270108"),"")</f>
      </c>
      <c r="CA71" s="8">
        <f>IF((0=1),SUMIFS('Daily evaluations'!$E$2:$E$36,'Daily evaluations'!$B$2:$B$36,"=random_20",'Daily evaluations'!$C$2:$C$36,"=d20270111"),"")</f>
      </c>
      <c r="CB71" s="8">
        <f>IF((0=1),SUMIFS('Daily evaluations'!$E$2:$E$36,'Daily evaluations'!$B$2:$B$36,"=random_20",'Daily evaluations'!$C$2:$C$36,"=d20270112"),"")</f>
      </c>
      <c r="CC71" s="8">
        <f>IF((0=1),SUMIFS('Daily evaluations'!$E$2:$E$36,'Daily evaluations'!$B$2:$B$36,"=random_20",'Daily evaluations'!$C$2:$C$36,"=d20270113"),"")</f>
      </c>
      <c r="CD71" s="8">
        <f>IF((0=1),SUMIFS('Daily evaluations'!$E$2:$E$36,'Daily evaluations'!$B$2:$B$36,"=random_20",'Daily evaluations'!$C$2:$C$36,"=d20270114"),"")</f>
      </c>
      <c r="CE71" s="8">
        <f>IF((0=1),SUMIFS('Daily evaluations'!$E$2:$E$36,'Daily evaluations'!$B$2:$B$36,"=random_20",'Daily evaluations'!$C$2:$C$36,"=d20270115"),"")</f>
      </c>
      <c r="CF71" s="8">
        <f>IF((0=1),SUMIFS('Daily evaluations'!$E$2:$E$36,'Daily evaluations'!$B$2:$B$36,"=random_20",'Daily evaluations'!$C$2:$C$36,"=d20270119"),"")</f>
      </c>
      <c r="CG71" s="8">
        <f>IF((0=1),SUMIFS('Daily evaluations'!$E$2:$E$36,'Daily evaluations'!$B$2:$B$36,"=random_20",'Daily evaluations'!$C$2:$C$36,"=d20270120"),"")</f>
      </c>
      <c r="CH71" s="8">
        <f>IF((0=1),SUMIFS('Daily evaluations'!$E$2:$E$36,'Daily evaluations'!$B$2:$B$36,"=random_20",'Daily evaluations'!$C$2:$C$36,"=d20270121"),"")</f>
      </c>
      <c r="CI71" s="8">
        <f>IF((0=1),SUMIFS('Daily evaluations'!$E$2:$E$36,'Daily evaluations'!$B$2:$B$36,"=random_20",'Daily evaluations'!$C$2:$C$36,"=d20270122"),"")</f>
      </c>
      <c r="CJ71" s="8">
        <f>IF((0=1),SUMIFS('Daily evaluations'!$E$2:$E$36,'Daily evaluations'!$B$2:$B$36,"=random_20",'Daily evaluations'!$C$2:$C$36,"=d20270125"),"")</f>
      </c>
      <c r="CK71" s="8">
        <f>IF((0=1),SUMIFS('Daily evaluations'!$E$2:$E$36,'Daily evaluations'!$B$2:$B$36,"=random_20",'Daily evaluations'!$C$2:$C$36,"=d20270126"),"")</f>
      </c>
      <c r="CL71" s="8">
        <f>IF((0=1),SUMIFS('Daily evaluations'!$E$2:$E$36,'Daily evaluations'!$B$2:$B$36,"=random_20",'Daily evaluations'!$C$2:$C$36,"=d20270127"),"")</f>
      </c>
      <c r="CM71" s="8">
        <f>IF((0=1),SUMIFS('Daily evaluations'!$E$2:$E$36,'Daily evaluations'!$B$2:$B$36,"=random_20",'Daily evaluations'!$C$2:$C$36,"=d20270128"),"")</f>
      </c>
      <c r="CN71" s="8">
        <f>IF((0=1),SUMIFS('Daily evaluations'!$E$2:$E$36,'Daily evaluations'!$B$2:$B$36,"=random_20",'Daily evaluations'!$C$2:$C$36,"=d20270129"),"")</f>
      </c>
      <c r="CO71" s="8">
        <f>IF((0=1),SUMIFS('Daily evaluations'!$E$2:$E$36,'Daily evaluations'!$B$2:$B$36,"=random_20",'Daily evaluations'!$C$2:$C$36,"=d20270201"),"")</f>
      </c>
      <c r="CP71" s="8">
        <f>IF((0=1),SUMIFS('Daily evaluations'!$E$2:$E$36,'Daily evaluations'!$B$2:$B$36,"=random_20",'Daily evaluations'!$C$2:$C$36,"=d20270202"),"")</f>
      </c>
      <c r="CQ71" s="8">
        <f>IF((0=1),SUMIFS('Daily evaluations'!$E$2:$E$36,'Daily evaluations'!$B$2:$B$36,"=random_20",'Daily evaluations'!$C$2:$C$36,"=d20270203"),"")</f>
      </c>
      <c r="CR71" s="8">
        <f>IF((0=1),SUMIFS('Daily evaluations'!$E$2:$E$36,'Daily evaluations'!$B$2:$B$36,"=random_20",'Daily evaluations'!$C$2:$C$36,"=d20270204"),"")</f>
      </c>
      <c r="CS71" s="8">
        <f>IF((0=1),SUMIFS('Daily evaluations'!$E$2:$E$36,'Daily evaluations'!$B$2:$B$36,"=random_20",'Daily evaluations'!$C$2:$C$36,"=d20270205"),"")</f>
      </c>
      <c r="CT71" s="8">
        <f>IF((0=1),SUMIFS('Daily evaluations'!$E$2:$E$36,'Daily evaluations'!$B$2:$B$36,"=random_20",'Daily evaluations'!$C$2:$C$36,"=d20270208"),"")</f>
      </c>
      <c r="CU71" s="8">
        <f>IF((0=1),SUMIFS('Daily evaluations'!$E$2:$E$36,'Daily evaluations'!$B$2:$B$36,"=random_20",'Daily evaluations'!$C$2:$C$36,"=d20270209"),"")</f>
      </c>
      <c r="CV71" s="8">
        <f>IF((0=1),SUMIFS('Daily evaluations'!$E$2:$E$36,'Daily evaluations'!$B$2:$B$36,"=random_20",'Daily evaluations'!$C$2:$C$36,"=d20270210"),"")</f>
      </c>
      <c r="CW71" s="8">
        <f>IF((0=1),SUMIFS('Daily evaluations'!$E$2:$E$36,'Daily evaluations'!$B$2:$B$36,"=random_20",'Daily evaluations'!$C$2:$C$36,"=d20270211"),"")</f>
      </c>
      <c r="CX71" s="8">
        <f>IF((0=1),SUMIFS('Daily evaluations'!$E$2:$E$36,'Daily evaluations'!$B$2:$B$36,"=random_20",'Daily evaluations'!$C$2:$C$36,"=d20270212"),"")</f>
      </c>
    </row>
    <row r="72">
      <c r="A72" s="0" t="inlineStr">
        <is>
          <t xml:space="preserve">Net of costs, bps</t>
        </is>
      </c>
      <c r="B72" s="0" t="inlineStr">
        <is>
          <t xml:space="preserve">worst 100 by yesterday's close-to-close return</t>
        </is>
      </c>
      <c r="C72" s="8">
        <f>IF((1=1),(C37-'Assumptions (edit)'!B4),"")</f>
        <v>27.378999999999998</v>
      </c>
      <c r="D72" s="8">
        <f>IF((0=1),(D37-'Assumptions (edit)'!B4),"")</f>
      </c>
      <c r="E72" s="8">
        <f>IF((0=1),(E37-'Assumptions (edit)'!B4),"")</f>
      </c>
      <c r="F72" s="8">
        <f>IF((0=1),(F37-'Assumptions (edit)'!B4),"")</f>
      </c>
      <c r="G72" s="8">
        <f>IF((0=1),(G37-'Assumptions (edit)'!B4),"")</f>
      </c>
      <c r="H72" s="8">
        <f>IF((0=1),(H37-'Assumptions (edit)'!B4),"")</f>
      </c>
      <c r="I72" s="8">
        <f>IF((0=1),(I37-'Assumptions (edit)'!B4),"")</f>
      </c>
      <c r="J72" s="8">
        <f>IF((0=1),(J37-'Assumptions (edit)'!B4),"")</f>
      </c>
      <c r="K72" s="8">
        <f>IF((0=1),(K37-'Assumptions (edit)'!B4),"")</f>
      </c>
      <c r="L72" s="8">
        <f>IF((0=1),(L37-'Assumptions (edit)'!B4),"")</f>
      </c>
      <c r="M72" s="8">
        <f>IF((0=1),(M37-'Assumptions (edit)'!B4),"")</f>
      </c>
      <c r="N72" s="8">
        <f>IF((0=1),(N37-'Assumptions (edit)'!B4),"")</f>
      </c>
      <c r="O72" s="8">
        <f>IF((0=1),(O37-'Assumptions (edit)'!B4),"")</f>
      </c>
      <c r="P72" s="8">
        <f>IF((0=1),(P37-'Assumptions (edit)'!B4),"")</f>
      </c>
      <c r="Q72" s="8">
        <f>IF((0=1),(Q37-'Assumptions (edit)'!B4),"")</f>
      </c>
      <c r="R72" s="8">
        <f>IF((0=1),(R37-'Assumptions (edit)'!B4),"")</f>
      </c>
      <c r="S72" s="8">
        <f>IF((0=1),(S37-'Assumptions (edit)'!B4),"")</f>
      </c>
      <c r="T72" s="8">
        <f>IF((0=1),(T37-'Assumptions (edit)'!B4),"")</f>
      </c>
      <c r="U72" s="8">
        <f>IF((0=1),(U37-'Assumptions (edit)'!B4),"")</f>
      </c>
      <c r="V72" s="8">
        <f>IF((0=1),(V37-'Assumptions (edit)'!B4),"")</f>
      </c>
      <c r="W72" s="8">
        <f>IF((0=1),(W37-'Assumptions (edit)'!B4),"")</f>
      </c>
      <c r="X72" s="8">
        <f>IF((0=1),(X37-'Assumptions (edit)'!B4),"")</f>
      </c>
      <c r="Y72" s="8">
        <f>IF((0=1),(Y37-'Assumptions (edit)'!B4),"")</f>
      </c>
      <c r="Z72" s="8">
        <f>IF((0=1),(Z37-'Assumptions (edit)'!B4),"")</f>
      </c>
      <c r="AA72" s="8">
        <f>IF((0=1),(AA37-'Assumptions (edit)'!B4),"")</f>
      </c>
      <c r="AB72" s="8">
        <f>IF((0=1),(AB37-'Assumptions (edit)'!B4),"")</f>
      </c>
      <c r="AC72" s="8">
        <f>IF((0=1),(AC37-'Assumptions (edit)'!B4),"")</f>
      </c>
      <c r="AD72" s="8">
        <f>IF((0=1),(AD37-'Assumptions (edit)'!B4),"")</f>
      </c>
      <c r="AE72" s="8">
        <f>IF((0=1),(AE37-'Assumptions (edit)'!B4),"")</f>
      </c>
      <c r="AF72" s="8">
        <f>IF((0=1),(AF37-'Assumptions (edit)'!B4),"")</f>
      </c>
      <c r="AG72" s="8">
        <f>IF((0=1),(AG37-'Assumptions (edit)'!B4),"")</f>
      </c>
      <c r="AH72" s="8">
        <f>IF((0=1),(AH37-'Assumptions (edit)'!B4),"")</f>
      </c>
      <c r="AI72" s="8">
        <f>IF((0=1),(AI37-'Assumptions (edit)'!B4),"")</f>
      </c>
      <c r="AJ72" s="8">
        <f>IF((0=1),(AJ37-'Assumptions (edit)'!B4),"")</f>
      </c>
      <c r="AK72" s="8">
        <f>IF((0=1),(AK37-'Assumptions (edit)'!B4),"")</f>
      </c>
      <c r="AL72" s="8">
        <f>IF((0=1),(AL37-'Assumptions (edit)'!B4),"")</f>
      </c>
      <c r="AM72" s="8">
        <f>IF((0=1),(AM37-'Assumptions (edit)'!B4),"")</f>
      </c>
      <c r="AN72" s="8">
        <f>IF((0=1),(AN37-'Assumptions (edit)'!B4),"")</f>
      </c>
      <c r="AO72" s="8">
        <f>IF((0=1),(AO37-'Assumptions (edit)'!B4),"")</f>
      </c>
      <c r="AP72" s="8">
        <f>IF((0=1),(AP37-'Assumptions (edit)'!B4),"")</f>
      </c>
      <c r="AQ72" s="8">
        <f>IF((0=1),(AQ37-'Assumptions (edit)'!B4),"")</f>
      </c>
      <c r="AR72" s="8">
        <f>IF((0=1),(AR37-'Assumptions (edit)'!B4),"")</f>
      </c>
      <c r="AS72" s="8">
        <f>IF((0=1),(AS37-'Assumptions (edit)'!B4),"")</f>
      </c>
      <c r="AT72" s="8">
        <f>IF((0=1),(AT37-'Assumptions (edit)'!B4),"")</f>
      </c>
      <c r="AU72" s="8">
        <f>IF((0=1),(AU37-'Assumptions (edit)'!B4),"")</f>
      </c>
      <c r="AV72" s="8">
        <f>IF((0=1),(AV37-'Assumptions (edit)'!B4),"")</f>
      </c>
      <c r="AW72" s="8">
        <f>IF((0=1),(AW37-'Assumptions (edit)'!B4),"")</f>
      </c>
      <c r="AX72" s="8">
        <f>IF((0=1),(AX37-'Assumptions (edit)'!B4),"")</f>
      </c>
      <c r="AY72" s="8">
        <f>IF((0=1),(AY37-'Assumptions (edit)'!B4),"")</f>
      </c>
      <c r="AZ72" s="8">
        <f>IF((0=1),(AZ37-'Assumptions (edit)'!B4),"")</f>
      </c>
      <c r="BA72" s="8">
        <f>IF((0=1),(BA37-'Assumptions (edit)'!B4),"")</f>
      </c>
      <c r="BB72" s="8">
        <f>IF((0=1),(BB37-'Assumptions (edit)'!B4),"")</f>
      </c>
      <c r="BC72" s="8">
        <f>IF((0=1),(BC37-'Assumptions (edit)'!B4),"")</f>
      </c>
      <c r="BD72" s="8">
        <f>IF((0=1),(BD37-'Assumptions (edit)'!B4),"")</f>
      </c>
      <c r="BE72" s="8">
        <f>IF((0=1),(BE37-'Assumptions (edit)'!B4),"")</f>
      </c>
      <c r="BF72" s="8">
        <f>IF((0=1),(BF37-'Assumptions (edit)'!B4),"")</f>
      </c>
      <c r="BG72" s="8">
        <f>IF((0=1),(BG37-'Assumptions (edit)'!B4),"")</f>
      </c>
      <c r="BH72" s="8">
        <f>IF((0=1),(BH37-'Assumptions (edit)'!B4),"")</f>
      </c>
      <c r="BI72" s="8">
        <f>IF((0=1),(BI37-'Assumptions (edit)'!B4),"")</f>
      </c>
      <c r="BJ72" s="8">
        <f>IF((0=1),(BJ37-'Assumptions (edit)'!B4),"")</f>
      </c>
      <c r="BK72" s="8">
        <f>IF((0=1),(BK37-'Assumptions (edit)'!B4),"")</f>
      </c>
      <c r="BL72" s="8">
        <f>IF((0=1),(BL37-'Assumptions (edit)'!B4),"")</f>
      </c>
      <c r="BM72" s="8">
        <f>IF((0=1),(BM37-'Assumptions (edit)'!B4),"")</f>
      </c>
      <c r="BN72" s="8">
        <f>IF((0=1),(BN37-'Assumptions (edit)'!B4),"")</f>
      </c>
      <c r="BO72" s="8">
        <f>IF((0=1),(BO37-'Assumptions (edit)'!B4),"")</f>
      </c>
      <c r="BP72" s="8">
        <f>IF((0=1),(BP37-'Assumptions (edit)'!B4),"")</f>
      </c>
      <c r="BQ72" s="8">
        <f>IF((0=1),(BQ37-'Assumptions (edit)'!B4),"")</f>
      </c>
      <c r="BR72" s="8">
        <f>IF((0=1),(BR37-'Assumptions (edit)'!B4),"")</f>
      </c>
      <c r="BS72" s="8">
        <f>IF((0=1),(BS37-'Assumptions (edit)'!B4),"")</f>
      </c>
      <c r="BT72" s="8">
        <f>IF((0=1),(BT37-'Assumptions (edit)'!B4),"")</f>
      </c>
      <c r="BU72" s="8">
        <f>IF((0=1),(BU37-'Assumptions (edit)'!B4),"")</f>
      </c>
      <c r="BV72" s="8">
        <f>IF((0=1),(BV37-'Assumptions (edit)'!B4),"")</f>
      </c>
      <c r="BW72" s="8">
        <f>IF((0=1),(BW37-'Assumptions (edit)'!B4),"")</f>
      </c>
      <c r="BX72" s="8">
        <f>IF((0=1),(BX37-'Assumptions (edit)'!B4),"")</f>
      </c>
      <c r="BY72" s="8">
        <f>IF((0=1),(BY37-'Assumptions (edit)'!B4),"")</f>
      </c>
      <c r="BZ72" s="8">
        <f>IF((0=1),(BZ37-'Assumptions (edit)'!B4),"")</f>
      </c>
      <c r="CA72" s="8">
        <f>IF((0=1),(CA37-'Assumptions (edit)'!B4),"")</f>
      </c>
      <c r="CB72" s="8">
        <f>IF((0=1),(CB37-'Assumptions (edit)'!B4),"")</f>
      </c>
      <c r="CC72" s="8">
        <f>IF((0=1),(CC37-'Assumptions (edit)'!B4),"")</f>
      </c>
      <c r="CD72" s="8">
        <f>IF((0=1),(CD37-'Assumptions (edit)'!B4),"")</f>
      </c>
      <c r="CE72" s="8">
        <f>IF((0=1),(CE37-'Assumptions (edit)'!B4),"")</f>
      </c>
      <c r="CF72" s="8">
        <f>IF((0=1),(CF37-'Assumptions (edit)'!B4),"")</f>
      </c>
      <c r="CG72" s="8">
        <f>IF((0=1),(CG37-'Assumptions (edit)'!B4),"")</f>
      </c>
      <c r="CH72" s="8">
        <f>IF((0=1),(CH37-'Assumptions (edit)'!B4),"")</f>
      </c>
      <c r="CI72" s="8">
        <f>IF((0=1),(CI37-'Assumptions (edit)'!B4),"")</f>
      </c>
      <c r="CJ72" s="8">
        <f>IF((0=1),(CJ37-'Assumptions (edit)'!B4),"")</f>
      </c>
      <c r="CK72" s="8">
        <f>IF((0=1),(CK37-'Assumptions (edit)'!B4),"")</f>
      </c>
      <c r="CL72" s="8">
        <f>IF((0=1),(CL37-'Assumptions (edit)'!B4),"")</f>
      </c>
      <c r="CM72" s="8">
        <f>IF((0=1),(CM37-'Assumptions (edit)'!B4),"")</f>
      </c>
      <c r="CN72" s="8">
        <f>IF((0=1),(CN37-'Assumptions (edit)'!B4),"")</f>
      </c>
      <c r="CO72" s="8">
        <f>IF((0=1),(CO37-'Assumptions (edit)'!B4),"")</f>
      </c>
      <c r="CP72" s="8">
        <f>IF((0=1),(CP37-'Assumptions (edit)'!B4),"")</f>
      </c>
      <c r="CQ72" s="8">
        <f>IF((0=1),(CQ37-'Assumptions (edit)'!B4),"")</f>
      </c>
      <c r="CR72" s="8">
        <f>IF((0=1),(CR37-'Assumptions (edit)'!B4),"")</f>
      </c>
      <c r="CS72" s="8">
        <f>IF((0=1),(CS37-'Assumptions (edit)'!B4),"")</f>
      </c>
      <c r="CT72" s="8">
        <f>IF((0=1),(CT37-'Assumptions (edit)'!B4),"")</f>
      </c>
      <c r="CU72" s="8">
        <f>IF((0=1),(CU37-'Assumptions (edit)'!B4),"")</f>
      </c>
      <c r="CV72" s="8">
        <f>IF((0=1),(CV37-'Assumptions (edit)'!B4),"")</f>
      </c>
      <c r="CW72" s="8">
        <f>IF((0=1),(CW37-'Assumptions (edit)'!B4),"")</f>
      </c>
      <c r="CX72" s="8">
        <f>IF((0=1),(CX37-'Assumptions (edit)'!B4),"")</f>
      </c>
    </row>
    <row r="73">
      <c r="A73" s="0" t="inlineStr">
        <is>
          <t xml:space="preserve">Net of costs, bps</t>
        </is>
      </c>
      <c r="B73" s="0" t="inlineStr">
        <is>
          <t xml:space="preserve">lowest 100 by 60-day volatility</t>
        </is>
      </c>
      <c r="C73" s="8">
        <f>IF((1=1),(C38-'Assumptions (edit)'!B4),"")</f>
        <v>-14.709</v>
      </c>
      <c r="D73" s="8">
        <f>IF((0=1),(D38-'Assumptions (edit)'!B4),"")</f>
      </c>
      <c r="E73" s="8">
        <f>IF((0=1),(E38-'Assumptions (edit)'!B4),"")</f>
      </c>
      <c r="F73" s="8">
        <f>IF((0=1),(F38-'Assumptions (edit)'!B4),"")</f>
      </c>
      <c r="G73" s="8">
        <f>IF((0=1),(G38-'Assumptions (edit)'!B4),"")</f>
      </c>
      <c r="H73" s="8">
        <f>IF((0=1),(H38-'Assumptions (edit)'!B4),"")</f>
      </c>
      <c r="I73" s="8">
        <f>IF((0=1),(I38-'Assumptions (edit)'!B4),"")</f>
      </c>
      <c r="J73" s="8">
        <f>IF((0=1),(J38-'Assumptions (edit)'!B4),"")</f>
      </c>
      <c r="K73" s="8">
        <f>IF((0=1),(K38-'Assumptions (edit)'!B4),"")</f>
      </c>
      <c r="L73" s="8">
        <f>IF((0=1),(L38-'Assumptions (edit)'!B4),"")</f>
      </c>
      <c r="M73" s="8">
        <f>IF((0=1),(M38-'Assumptions (edit)'!B4),"")</f>
      </c>
      <c r="N73" s="8">
        <f>IF((0=1),(N38-'Assumptions (edit)'!B4),"")</f>
      </c>
      <c r="O73" s="8">
        <f>IF((0=1),(O38-'Assumptions (edit)'!B4),"")</f>
      </c>
      <c r="P73" s="8">
        <f>IF((0=1),(P38-'Assumptions (edit)'!B4),"")</f>
      </c>
      <c r="Q73" s="8">
        <f>IF((0=1),(Q38-'Assumptions (edit)'!B4),"")</f>
      </c>
      <c r="R73" s="8">
        <f>IF((0=1),(R38-'Assumptions (edit)'!B4),"")</f>
      </c>
      <c r="S73" s="8">
        <f>IF((0=1),(S38-'Assumptions (edit)'!B4),"")</f>
      </c>
      <c r="T73" s="8">
        <f>IF((0=1),(T38-'Assumptions (edit)'!B4),"")</f>
      </c>
      <c r="U73" s="8">
        <f>IF((0=1),(U38-'Assumptions (edit)'!B4),"")</f>
      </c>
      <c r="V73" s="8">
        <f>IF((0=1),(V38-'Assumptions (edit)'!B4),"")</f>
      </c>
      <c r="W73" s="8">
        <f>IF((0=1),(W38-'Assumptions (edit)'!B4),"")</f>
      </c>
      <c r="X73" s="8">
        <f>IF((0=1),(X38-'Assumptions (edit)'!B4),"")</f>
      </c>
      <c r="Y73" s="8">
        <f>IF((0=1),(Y38-'Assumptions (edit)'!B4),"")</f>
      </c>
      <c r="Z73" s="8">
        <f>IF((0=1),(Z38-'Assumptions (edit)'!B4),"")</f>
      </c>
      <c r="AA73" s="8">
        <f>IF((0=1),(AA38-'Assumptions (edit)'!B4),"")</f>
      </c>
      <c r="AB73" s="8">
        <f>IF((0=1),(AB38-'Assumptions (edit)'!B4),"")</f>
      </c>
      <c r="AC73" s="8">
        <f>IF((0=1),(AC38-'Assumptions (edit)'!B4),"")</f>
      </c>
      <c r="AD73" s="8">
        <f>IF((0=1),(AD38-'Assumptions (edit)'!B4),"")</f>
      </c>
      <c r="AE73" s="8">
        <f>IF((0=1),(AE38-'Assumptions (edit)'!B4),"")</f>
      </c>
      <c r="AF73" s="8">
        <f>IF((0=1),(AF38-'Assumptions (edit)'!B4),"")</f>
      </c>
      <c r="AG73" s="8">
        <f>IF((0=1),(AG38-'Assumptions (edit)'!B4),"")</f>
      </c>
      <c r="AH73" s="8">
        <f>IF((0=1),(AH38-'Assumptions (edit)'!B4),"")</f>
      </c>
      <c r="AI73" s="8">
        <f>IF((0=1),(AI38-'Assumptions (edit)'!B4),"")</f>
      </c>
      <c r="AJ73" s="8">
        <f>IF((0=1),(AJ38-'Assumptions (edit)'!B4),"")</f>
      </c>
      <c r="AK73" s="8">
        <f>IF((0=1),(AK38-'Assumptions (edit)'!B4),"")</f>
      </c>
      <c r="AL73" s="8">
        <f>IF((0=1),(AL38-'Assumptions (edit)'!B4),"")</f>
      </c>
      <c r="AM73" s="8">
        <f>IF((0=1),(AM38-'Assumptions (edit)'!B4),"")</f>
      </c>
      <c r="AN73" s="8">
        <f>IF((0=1),(AN38-'Assumptions (edit)'!B4),"")</f>
      </c>
      <c r="AO73" s="8">
        <f>IF((0=1),(AO38-'Assumptions (edit)'!B4),"")</f>
      </c>
      <c r="AP73" s="8">
        <f>IF((0=1),(AP38-'Assumptions (edit)'!B4),"")</f>
      </c>
      <c r="AQ73" s="8">
        <f>IF((0=1),(AQ38-'Assumptions (edit)'!B4),"")</f>
      </c>
      <c r="AR73" s="8">
        <f>IF((0=1),(AR38-'Assumptions (edit)'!B4),"")</f>
      </c>
      <c r="AS73" s="8">
        <f>IF((0=1),(AS38-'Assumptions (edit)'!B4),"")</f>
      </c>
      <c r="AT73" s="8">
        <f>IF((0=1),(AT38-'Assumptions (edit)'!B4),"")</f>
      </c>
      <c r="AU73" s="8">
        <f>IF((0=1),(AU38-'Assumptions (edit)'!B4),"")</f>
      </c>
      <c r="AV73" s="8">
        <f>IF((0=1),(AV38-'Assumptions (edit)'!B4),"")</f>
      </c>
      <c r="AW73" s="8">
        <f>IF((0=1),(AW38-'Assumptions (edit)'!B4),"")</f>
      </c>
      <c r="AX73" s="8">
        <f>IF((0=1),(AX38-'Assumptions (edit)'!B4),"")</f>
      </c>
      <c r="AY73" s="8">
        <f>IF((0=1),(AY38-'Assumptions (edit)'!B4),"")</f>
      </c>
      <c r="AZ73" s="8">
        <f>IF((0=1),(AZ38-'Assumptions (edit)'!B4),"")</f>
      </c>
      <c r="BA73" s="8">
        <f>IF((0=1),(BA38-'Assumptions (edit)'!B4),"")</f>
      </c>
      <c r="BB73" s="8">
        <f>IF((0=1),(BB38-'Assumptions (edit)'!B4),"")</f>
      </c>
      <c r="BC73" s="8">
        <f>IF((0=1),(BC38-'Assumptions (edit)'!B4),"")</f>
      </c>
      <c r="BD73" s="8">
        <f>IF((0=1),(BD38-'Assumptions (edit)'!B4),"")</f>
      </c>
      <c r="BE73" s="8">
        <f>IF((0=1),(BE38-'Assumptions (edit)'!B4),"")</f>
      </c>
      <c r="BF73" s="8">
        <f>IF((0=1),(BF38-'Assumptions (edit)'!B4),"")</f>
      </c>
      <c r="BG73" s="8">
        <f>IF((0=1),(BG38-'Assumptions (edit)'!B4),"")</f>
      </c>
      <c r="BH73" s="8">
        <f>IF((0=1),(BH38-'Assumptions (edit)'!B4),"")</f>
      </c>
      <c r="BI73" s="8">
        <f>IF((0=1),(BI38-'Assumptions (edit)'!B4),"")</f>
      </c>
      <c r="BJ73" s="8">
        <f>IF((0=1),(BJ38-'Assumptions (edit)'!B4),"")</f>
      </c>
      <c r="BK73" s="8">
        <f>IF((0=1),(BK38-'Assumptions (edit)'!B4),"")</f>
      </c>
      <c r="BL73" s="8">
        <f>IF((0=1),(BL38-'Assumptions (edit)'!B4),"")</f>
      </c>
      <c r="BM73" s="8">
        <f>IF((0=1),(BM38-'Assumptions (edit)'!B4),"")</f>
      </c>
      <c r="BN73" s="8">
        <f>IF((0=1),(BN38-'Assumptions (edit)'!B4),"")</f>
      </c>
      <c r="BO73" s="8">
        <f>IF((0=1),(BO38-'Assumptions (edit)'!B4),"")</f>
      </c>
      <c r="BP73" s="8">
        <f>IF((0=1),(BP38-'Assumptions (edit)'!B4),"")</f>
      </c>
      <c r="BQ73" s="8">
        <f>IF((0=1),(BQ38-'Assumptions (edit)'!B4),"")</f>
      </c>
      <c r="BR73" s="8">
        <f>IF((0=1),(BR38-'Assumptions (edit)'!B4),"")</f>
      </c>
      <c r="BS73" s="8">
        <f>IF((0=1),(BS38-'Assumptions (edit)'!B4),"")</f>
      </c>
      <c r="BT73" s="8">
        <f>IF((0=1),(BT38-'Assumptions (edit)'!B4),"")</f>
      </c>
      <c r="BU73" s="8">
        <f>IF((0=1),(BU38-'Assumptions (edit)'!B4),"")</f>
      </c>
      <c r="BV73" s="8">
        <f>IF((0=1),(BV38-'Assumptions (edit)'!B4),"")</f>
      </c>
      <c r="BW73" s="8">
        <f>IF((0=1),(BW38-'Assumptions (edit)'!B4),"")</f>
      </c>
      <c r="BX73" s="8">
        <f>IF((0=1),(BX38-'Assumptions (edit)'!B4),"")</f>
      </c>
      <c r="BY73" s="8">
        <f>IF((0=1),(BY38-'Assumptions (edit)'!B4),"")</f>
      </c>
      <c r="BZ73" s="8">
        <f>IF((0=1),(BZ38-'Assumptions (edit)'!B4),"")</f>
      </c>
      <c r="CA73" s="8">
        <f>IF((0=1),(CA38-'Assumptions (edit)'!B4),"")</f>
      </c>
      <c r="CB73" s="8">
        <f>IF((0=1),(CB38-'Assumptions (edit)'!B4),"")</f>
      </c>
      <c r="CC73" s="8">
        <f>IF((0=1),(CC38-'Assumptions (edit)'!B4),"")</f>
      </c>
      <c r="CD73" s="8">
        <f>IF((0=1),(CD38-'Assumptions (edit)'!B4),"")</f>
      </c>
      <c r="CE73" s="8">
        <f>IF((0=1),(CE38-'Assumptions (edit)'!B4),"")</f>
      </c>
      <c r="CF73" s="8">
        <f>IF((0=1),(CF38-'Assumptions (edit)'!B4),"")</f>
      </c>
      <c r="CG73" s="8">
        <f>IF((0=1),(CG38-'Assumptions (edit)'!B4),"")</f>
      </c>
      <c r="CH73" s="8">
        <f>IF((0=1),(CH38-'Assumptions (edit)'!B4),"")</f>
      </c>
      <c r="CI73" s="8">
        <f>IF((0=1),(CI38-'Assumptions (edit)'!B4),"")</f>
      </c>
      <c r="CJ73" s="8">
        <f>IF((0=1),(CJ38-'Assumptions (edit)'!B4),"")</f>
      </c>
      <c r="CK73" s="8">
        <f>IF((0=1),(CK38-'Assumptions (edit)'!B4),"")</f>
      </c>
      <c r="CL73" s="8">
        <f>IF((0=1),(CL38-'Assumptions (edit)'!B4),"")</f>
      </c>
      <c r="CM73" s="8">
        <f>IF((0=1),(CM38-'Assumptions (edit)'!B4),"")</f>
      </c>
      <c r="CN73" s="8">
        <f>IF((0=1),(CN38-'Assumptions (edit)'!B4),"")</f>
      </c>
      <c r="CO73" s="8">
        <f>IF((0=1),(CO38-'Assumptions (edit)'!B4),"")</f>
      </c>
      <c r="CP73" s="8">
        <f>IF((0=1),(CP38-'Assumptions (edit)'!B4),"")</f>
      </c>
      <c r="CQ73" s="8">
        <f>IF((0=1),(CQ38-'Assumptions (edit)'!B4),"")</f>
      </c>
      <c r="CR73" s="8">
        <f>IF((0=1),(CR38-'Assumptions (edit)'!B4),"")</f>
      </c>
      <c r="CS73" s="8">
        <f>IF((0=1),(CS38-'Assumptions (edit)'!B4),"")</f>
      </c>
      <c r="CT73" s="8">
        <f>IF((0=1),(CT38-'Assumptions (edit)'!B4),"")</f>
      </c>
      <c r="CU73" s="8">
        <f>IF((0=1),(CU38-'Assumptions (edit)'!B4),"")</f>
      </c>
      <c r="CV73" s="8">
        <f>IF((0=1),(CV38-'Assumptions (edit)'!B4),"")</f>
      </c>
      <c r="CW73" s="8">
        <f>IF((0=1),(CW38-'Assumptions (edit)'!B4),"")</f>
      </c>
      <c r="CX73" s="8">
        <f>IF((0=1),(CX38-'Assumptions (edit)'!B4),"")</f>
      </c>
    </row>
    <row r="74">
      <c r="A74" s="0" t="inlineStr">
        <is>
          <t xml:space="preserve">Net of costs, bps</t>
        </is>
      </c>
      <c r="B74" s="0" t="inlineStr">
        <is>
          <t xml:space="preserve">largest 100 by market cap</t>
        </is>
      </c>
      <c r="C74" s="8">
        <f>IF((1=1),(C39-'Assumptions (edit)'!B4),"")</f>
        <v>4.964</v>
      </c>
      <c r="D74" s="8">
        <f>IF((0=1),(D39-'Assumptions (edit)'!B4),"")</f>
      </c>
      <c r="E74" s="8">
        <f>IF((0=1),(E39-'Assumptions (edit)'!B4),"")</f>
      </c>
      <c r="F74" s="8">
        <f>IF((0=1),(F39-'Assumptions (edit)'!B4),"")</f>
      </c>
      <c r="G74" s="8">
        <f>IF((0=1),(G39-'Assumptions (edit)'!B4),"")</f>
      </c>
      <c r="H74" s="8">
        <f>IF((0=1),(H39-'Assumptions (edit)'!B4),"")</f>
      </c>
      <c r="I74" s="8">
        <f>IF((0=1),(I39-'Assumptions (edit)'!B4),"")</f>
      </c>
      <c r="J74" s="8">
        <f>IF((0=1),(J39-'Assumptions (edit)'!B4),"")</f>
      </c>
      <c r="K74" s="8">
        <f>IF((0=1),(K39-'Assumptions (edit)'!B4),"")</f>
      </c>
      <c r="L74" s="8">
        <f>IF((0=1),(L39-'Assumptions (edit)'!B4),"")</f>
      </c>
      <c r="M74" s="8">
        <f>IF((0=1),(M39-'Assumptions (edit)'!B4),"")</f>
      </c>
      <c r="N74" s="8">
        <f>IF((0=1),(N39-'Assumptions (edit)'!B4),"")</f>
      </c>
      <c r="O74" s="8">
        <f>IF((0=1),(O39-'Assumptions (edit)'!B4),"")</f>
      </c>
      <c r="P74" s="8">
        <f>IF((0=1),(P39-'Assumptions (edit)'!B4),"")</f>
      </c>
      <c r="Q74" s="8">
        <f>IF((0=1),(Q39-'Assumptions (edit)'!B4),"")</f>
      </c>
      <c r="R74" s="8">
        <f>IF((0=1),(R39-'Assumptions (edit)'!B4),"")</f>
      </c>
      <c r="S74" s="8">
        <f>IF((0=1),(S39-'Assumptions (edit)'!B4),"")</f>
      </c>
      <c r="T74" s="8">
        <f>IF((0=1),(T39-'Assumptions (edit)'!B4),"")</f>
      </c>
      <c r="U74" s="8">
        <f>IF((0=1),(U39-'Assumptions (edit)'!B4),"")</f>
      </c>
      <c r="V74" s="8">
        <f>IF((0=1),(V39-'Assumptions (edit)'!B4),"")</f>
      </c>
      <c r="W74" s="8">
        <f>IF((0=1),(W39-'Assumptions (edit)'!B4),"")</f>
      </c>
      <c r="X74" s="8">
        <f>IF((0=1),(X39-'Assumptions (edit)'!B4),"")</f>
      </c>
      <c r="Y74" s="8">
        <f>IF((0=1),(Y39-'Assumptions (edit)'!B4),"")</f>
      </c>
      <c r="Z74" s="8">
        <f>IF((0=1),(Z39-'Assumptions (edit)'!B4),"")</f>
      </c>
      <c r="AA74" s="8">
        <f>IF((0=1),(AA39-'Assumptions (edit)'!B4),"")</f>
      </c>
      <c r="AB74" s="8">
        <f>IF((0=1),(AB39-'Assumptions (edit)'!B4),"")</f>
      </c>
      <c r="AC74" s="8">
        <f>IF((0=1),(AC39-'Assumptions (edit)'!B4),"")</f>
      </c>
      <c r="AD74" s="8">
        <f>IF((0=1),(AD39-'Assumptions (edit)'!B4),"")</f>
      </c>
      <c r="AE74" s="8">
        <f>IF((0=1),(AE39-'Assumptions (edit)'!B4),"")</f>
      </c>
      <c r="AF74" s="8">
        <f>IF((0=1),(AF39-'Assumptions (edit)'!B4),"")</f>
      </c>
      <c r="AG74" s="8">
        <f>IF((0=1),(AG39-'Assumptions (edit)'!B4),"")</f>
      </c>
      <c r="AH74" s="8">
        <f>IF((0=1),(AH39-'Assumptions (edit)'!B4),"")</f>
      </c>
      <c r="AI74" s="8">
        <f>IF((0=1),(AI39-'Assumptions (edit)'!B4),"")</f>
      </c>
      <c r="AJ74" s="8">
        <f>IF((0=1),(AJ39-'Assumptions (edit)'!B4),"")</f>
      </c>
      <c r="AK74" s="8">
        <f>IF((0=1),(AK39-'Assumptions (edit)'!B4),"")</f>
      </c>
      <c r="AL74" s="8">
        <f>IF((0=1),(AL39-'Assumptions (edit)'!B4),"")</f>
      </c>
      <c r="AM74" s="8">
        <f>IF((0=1),(AM39-'Assumptions (edit)'!B4),"")</f>
      </c>
      <c r="AN74" s="8">
        <f>IF((0=1),(AN39-'Assumptions (edit)'!B4),"")</f>
      </c>
      <c r="AO74" s="8">
        <f>IF((0=1),(AO39-'Assumptions (edit)'!B4),"")</f>
      </c>
      <c r="AP74" s="8">
        <f>IF((0=1),(AP39-'Assumptions (edit)'!B4),"")</f>
      </c>
      <c r="AQ74" s="8">
        <f>IF((0=1),(AQ39-'Assumptions (edit)'!B4),"")</f>
      </c>
      <c r="AR74" s="8">
        <f>IF((0=1),(AR39-'Assumptions (edit)'!B4),"")</f>
      </c>
      <c r="AS74" s="8">
        <f>IF((0=1),(AS39-'Assumptions (edit)'!B4),"")</f>
      </c>
      <c r="AT74" s="8">
        <f>IF((0=1),(AT39-'Assumptions (edit)'!B4),"")</f>
      </c>
      <c r="AU74" s="8">
        <f>IF((0=1),(AU39-'Assumptions (edit)'!B4),"")</f>
      </c>
      <c r="AV74" s="8">
        <f>IF((0=1),(AV39-'Assumptions (edit)'!B4),"")</f>
      </c>
      <c r="AW74" s="8">
        <f>IF((0=1),(AW39-'Assumptions (edit)'!B4),"")</f>
      </c>
      <c r="AX74" s="8">
        <f>IF((0=1),(AX39-'Assumptions (edit)'!B4),"")</f>
      </c>
      <c r="AY74" s="8">
        <f>IF((0=1),(AY39-'Assumptions (edit)'!B4),"")</f>
      </c>
      <c r="AZ74" s="8">
        <f>IF((0=1),(AZ39-'Assumptions (edit)'!B4),"")</f>
      </c>
      <c r="BA74" s="8">
        <f>IF((0=1),(BA39-'Assumptions (edit)'!B4),"")</f>
      </c>
      <c r="BB74" s="8">
        <f>IF((0=1),(BB39-'Assumptions (edit)'!B4),"")</f>
      </c>
      <c r="BC74" s="8">
        <f>IF((0=1),(BC39-'Assumptions (edit)'!B4),"")</f>
      </c>
      <c r="BD74" s="8">
        <f>IF((0=1),(BD39-'Assumptions (edit)'!B4),"")</f>
      </c>
      <c r="BE74" s="8">
        <f>IF((0=1),(BE39-'Assumptions (edit)'!B4),"")</f>
      </c>
      <c r="BF74" s="8">
        <f>IF((0=1),(BF39-'Assumptions (edit)'!B4),"")</f>
      </c>
      <c r="BG74" s="8">
        <f>IF((0=1),(BG39-'Assumptions (edit)'!B4),"")</f>
      </c>
      <c r="BH74" s="8">
        <f>IF((0=1),(BH39-'Assumptions (edit)'!B4),"")</f>
      </c>
      <c r="BI74" s="8">
        <f>IF((0=1),(BI39-'Assumptions (edit)'!B4),"")</f>
      </c>
      <c r="BJ74" s="8">
        <f>IF((0=1),(BJ39-'Assumptions (edit)'!B4),"")</f>
      </c>
      <c r="BK74" s="8">
        <f>IF((0=1),(BK39-'Assumptions (edit)'!B4),"")</f>
      </c>
      <c r="BL74" s="8">
        <f>IF((0=1),(BL39-'Assumptions (edit)'!B4),"")</f>
      </c>
      <c r="BM74" s="8">
        <f>IF((0=1),(BM39-'Assumptions (edit)'!B4),"")</f>
      </c>
      <c r="BN74" s="8">
        <f>IF((0=1),(BN39-'Assumptions (edit)'!B4),"")</f>
      </c>
      <c r="BO74" s="8">
        <f>IF((0=1),(BO39-'Assumptions (edit)'!B4),"")</f>
      </c>
      <c r="BP74" s="8">
        <f>IF((0=1),(BP39-'Assumptions (edit)'!B4),"")</f>
      </c>
      <c r="BQ74" s="8">
        <f>IF((0=1),(BQ39-'Assumptions (edit)'!B4),"")</f>
      </c>
      <c r="BR74" s="8">
        <f>IF((0=1),(BR39-'Assumptions (edit)'!B4),"")</f>
      </c>
      <c r="BS74" s="8">
        <f>IF((0=1),(BS39-'Assumptions (edit)'!B4),"")</f>
      </c>
      <c r="BT74" s="8">
        <f>IF((0=1),(BT39-'Assumptions (edit)'!B4),"")</f>
      </c>
      <c r="BU74" s="8">
        <f>IF((0=1),(BU39-'Assumptions (edit)'!B4),"")</f>
      </c>
      <c r="BV74" s="8">
        <f>IF((0=1),(BV39-'Assumptions (edit)'!B4),"")</f>
      </c>
      <c r="BW74" s="8">
        <f>IF((0=1),(BW39-'Assumptions (edit)'!B4),"")</f>
      </c>
      <c r="BX74" s="8">
        <f>IF((0=1),(BX39-'Assumptions (edit)'!B4),"")</f>
      </c>
      <c r="BY74" s="8">
        <f>IF((0=1),(BY39-'Assumptions (edit)'!B4),"")</f>
      </c>
      <c r="BZ74" s="8">
        <f>IF((0=1),(BZ39-'Assumptions (edit)'!B4),"")</f>
      </c>
      <c r="CA74" s="8">
        <f>IF((0=1),(CA39-'Assumptions (edit)'!B4),"")</f>
      </c>
      <c r="CB74" s="8">
        <f>IF((0=1),(CB39-'Assumptions (edit)'!B4),"")</f>
      </c>
      <c r="CC74" s="8">
        <f>IF((0=1),(CC39-'Assumptions (edit)'!B4),"")</f>
      </c>
      <c r="CD74" s="8">
        <f>IF((0=1),(CD39-'Assumptions (edit)'!B4),"")</f>
      </c>
      <c r="CE74" s="8">
        <f>IF((0=1),(CE39-'Assumptions (edit)'!B4),"")</f>
      </c>
      <c r="CF74" s="8">
        <f>IF((0=1),(CF39-'Assumptions (edit)'!B4),"")</f>
      </c>
      <c r="CG74" s="8">
        <f>IF((0=1),(CG39-'Assumptions (edit)'!B4),"")</f>
      </c>
      <c r="CH74" s="8">
        <f>IF((0=1),(CH39-'Assumptions (edit)'!B4),"")</f>
      </c>
      <c r="CI74" s="8">
        <f>IF((0=1),(CI39-'Assumptions (edit)'!B4),"")</f>
      </c>
      <c r="CJ74" s="8">
        <f>IF((0=1),(CJ39-'Assumptions (edit)'!B4),"")</f>
      </c>
      <c r="CK74" s="8">
        <f>IF((0=1),(CK39-'Assumptions (edit)'!B4),"")</f>
      </c>
      <c r="CL74" s="8">
        <f>IF((0=1),(CL39-'Assumptions (edit)'!B4),"")</f>
      </c>
      <c r="CM74" s="8">
        <f>IF((0=1),(CM39-'Assumptions (edit)'!B4),"")</f>
      </c>
      <c r="CN74" s="8">
        <f>IF((0=1),(CN39-'Assumptions (edit)'!B4),"")</f>
      </c>
      <c r="CO74" s="8">
        <f>IF((0=1),(CO39-'Assumptions (edit)'!B4),"")</f>
      </c>
      <c r="CP74" s="8">
        <f>IF((0=1),(CP39-'Assumptions (edit)'!B4),"")</f>
      </c>
      <c r="CQ74" s="8">
        <f>IF((0=1),(CQ39-'Assumptions (edit)'!B4),"")</f>
      </c>
      <c r="CR74" s="8">
        <f>IF((0=1),(CR39-'Assumptions (edit)'!B4),"")</f>
      </c>
      <c r="CS74" s="8">
        <f>IF((0=1),(CS39-'Assumptions (edit)'!B4),"")</f>
      </c>
      <c r="CT74" s="8">
        <f>IF((0=1),(CT39-'Assumptions (edit)'!B4),"")</f>
      </c>
      <c r="CU74" s="8">
        <f>IF((0=1),(CU39-'Assumptions (edit)'!B4),"")</f>
      </c>
      <c r="CV74" s="8">
        <f>IF((0=1),(CV39-'Assumptions (edit)'!B4),"")</f>
      </c>
      <c r="CW74" s="8">
        <f>IF((0=1),(CW39-'Assumptions (edit)'!B4),"")</f>
      </c>
      <c r="CX74" s="8">
        <f>IF((0=1),(CX39-'Assumptions (edit)'!B4),"")</f>
      </c>
    </row>
    <row r="75">
      <c r="A75" s="0" t="inlineStr">
        <is>
          <t xml:space="preserve">Net of costs, bps</t>
        </is>
      </c>
      <c r="B75" s="0" t="inlineStr">
        <is>
          <t xml:space="preserve">top 100 by 12-1 month return</t>
        </is>
      </c>
      <c r="C75" s="8">
        <f>IF((1=1),(C40-'Assumptions (edit)'!B4),"")</f>
        <v>-12.603</v>
      </c>
      <c r="D75" s="8">
        <f>IF((0=1),(D40-'Assumptions (edit)'!B4),"")</f>
      </c>
      <c r="E75" s="8">
        <f>IF((0=1),(E40-'Assumptions (edit)'!B4),"")</f>
      </c>
      <c r="F75" s="8">
        <f>IF((0=1),(F40-'Assumptions (edit)'!B4),"")</f>
      </c>
      <c r="G75" s="8">
        <f>IF((0=1),(G40-'Assumptions (edit)'!B4),"")</f>
      </c>
      <c r="H75" s="8">
        <f>IF((0=1),(H40-'Assumptions (edit)'!B4),"")</f>
      </c>
      <c r="I75" s="8">
        <f>IF((0=1),(I40-'Assumptions (edit)'!B4),"")</f>
      </c>
      <c r="J75" s="8">
        <f>IF((0=1),(J40-'Assumptions (edit)'!B4),"")</f>
      </c>
      <c r="K75" s="8">
        <f>IF((0=1),(K40-'Assumptions (edit)'!B4),"")</f>
      </c>
      <c r="L75" s="8">
        <f>IF((0=1),(L40-'Assumptions (edit)'!B4),"")</f>
      </c>
      <c r="M75" s="8">
        <f>IF((0=1),(M40-'Assumptions (edit)'!B4),"")</f>
      </c>
      <c r="N75" s="8">
        <f>IF((0=1),(N40-'Assumptions (edit)'!B4),"")</f>
      </c>
      <c r="O75" s="8">
        <f>IF((0=1),(O40-'Assumptions (edit)'!B4),"")</f>
      </c>
      <c r="P75" s="8">
        <f>IF((0=1),(P40-'Assumptions (edit)'!B4),"")</f>
      </c>
      <c r="Q75" s="8">
        <f>IF((0=1),(Q40-'Assumptions (edit)'!B4),"")</f>
      </c>
      <c r="R75" s="8">
        <f>IF((0=1),(R40-'Assumptions (edit)'!B4),"")</f>
      </c>
      <c r="S75" s="8">
        <f>IF((0=1),(S40-'Assumptions (edit)'!B4),"")</f>
      </c>
      <c r="T75" s="8">
        <f>IF((0=1),(T40-'Assumptions (edit)'!B4),"")</f>
      </c>
      <c r="U75" s="8">
        <f>IF((0=1),(U40-'Assumptions (edit)'!B4),"")</f>
      </c>
      <c r="V75" s="8">
        <f>IF((0=1),(V40-'Assumptions (edit)'!B4),"")</f>
      </c>
      <c r="W75" s="8">
        <f>IF((0=1),(W40-'Assumptions (edit)'!B4),"")</f>
      </c>
      <c r="X75" s="8">
        <f>IF((0=1),(X40-'Assumptions (edit)'!B4),"")</f>
      </c>
      <c r="Y75" s="8">
        <f>IF((0=1),(Y40-'Assumptions (edit)'!B4),"")</f>
      </c>
      <c r="Z75" s="8">
        <f>IF((0=1),(Z40-'Assumptions (edit)'!B4),"")</f>
      </c>
      <c r="AA75" s="8">
        <f>IF((0=1),(AA40-'Assumptions (edit)'!B4),"")</f>
      </c>
      <c r="AB75" s="8">
        <f>IF((0=1),(AB40-'Assumptions (edit)'!B4),"")</f>
      </c>
      <c r="AC75" s="8">
        <f>IF((0=1),(AC40-'Assumptions (edit)'!B4),"")</f>
      </c>
      <c r="AD75" s="8">
        <f>IF((0=1),(AD40-'Assumptions (edit)'!B4),"")</f>
      </c>
      <c r="AE75" s="8">
        <f>IF((0=1),(AE40-'Assumptions (edit)'!B4),"")</f>
      </c>
      <c r="AF75" s="8">
        <f>IF((0=1),(AF40-'Assumptions (edit)'!B4),"")</f>
      </c>
      <c r="AG75" s="8">
        <f>IF((0=1),(AG40-'Assumptions (edit)'!B4),"")</f>
      </c>
      <c r="AH75" s="8">
        <f>IF((0=1),(AH40-'Assumptions (edit)'!B4),"")</f>
      </c>
      <c r="AI75" s="8">
        <f>IF((0=1),(AI40-'Assumptions (edit)'!B4),"")</f>
      </c>
      <c r="AJ75" s="8">
        <f>IF((0=1),(AJ40-'Assumptions (edit)'!B4),"")</f>
      </c>
      <c r="AK75" s="8">
        <f>IF((0=1),(AK40-'Assumptions (edit)'!B4),"")</f>
      </c>
      <c r="AL75" s="8">
        <f>IF((0=1),(AL40-'Assumptions (edit)'!B4),"")</f>
      </c>
      <c r="AM75" s="8">
        <f>IF((0=1),(AM40-'Assumptions (edit)'!B4),"")</f>
      </c>
      <c r="AN75" s="8">
        <f>IF((0=1),(AN40-'Assumptions (edit)'!B4),"")</f>
      </c>
      <c r="AO75" s="8">
        <f>IF((0=1),(AO40-'Assumptions (edit)'!B4),"")</f>
      </c>
      <c r="AP75" s="8">
        <f>IF((0=1),(AP40-'Assumptions (edit)'!B4),"")</f>
      </c>
      <c r="AQ75" s="8">
        <f>IF((0=1),(AQ40-'Assumptions (edit)'!B4),"")</f>
      </c>
      <c r="AR75" s="8">
        <f>IF((0=1),(AR40-'Assumptions (edit)'!B4),"")</f>
      </c>
      <c r="AS75" s="8">
        <f>IF((0=1),(AS40-'Assumptions (edit)'!B4),"")</f>
      </c>
      <c r="AT75" s="8">
        <f>IF((0=1),(AT40-'Assumptions (edit)'!B4),"")</f>
      </c>
      <c r="AU75" s="8">
        <f>IF((0=1),(AU40-'Assumptions (edit)'!B4),"")</f>
      </c>
      <c r="AV75" s="8">
        <f>IF((0=1),(AV40-'Assumptions (edit)'!B4),"")</f>
      </c>
      <c r="AW75" s="8">
        <f>IF((0=1),(AW40-'Assumptions (edit)'!B4),"")</f>
      </c>
      <c r="AX75" s="8">
        <f>IF((0=1),(AX40-'Assumptions (edit)'!B4),"")</f>
      </c>
      <c r="AY75" s="8">
        <f>IF((0=1),(AY40-'Assumptions (edit)'!B4),"")</f>
      </c>
      <c r="AZ75" s="8">
        <f>IF((0=1),(AZ40-'Assumptions (edit)'!B4),"")</f>
      </c>
      <c r="BA75" s="8">
        <f>IF((0=1),(BA40-'Assumptions (edit)'!B4),"")</f>
      </c>
      <c r="BB75" s="8">
        <f>IF((0=1),(BB40-'Assumptions (edit)'!B4),"")</f>
      </c>
      <c r="BC75" s="8">
        <f>IF((0=1),(BC40-'Assumptions (edit)'!B4),"")</f>
      </c>
      <c r="BD75" s="8">
        <f>IF((0=1),(BD40-'Assumptions (edit)'!B4),"")</f>
      </c>
      <c r="BE75" s="8">
        <f>IF((0=1),(BE40-'Assumptions (edit)'!B4),"")</f>
      </c>
      <c r="BF75" s="8">
        <f>IF((0=1),(BF40-'Assumptions (edit)'!B4),"")</f>
      </c>
      <c r="BG75" s="8">
        <f>IF((0=1),(BG40-'Assumptions (edit)'!B4),"")</f>
      </c>
      <c r="BH75" s="8">
        <f>IF((0=1),(BH40-'Assumptions (edit)'!B4),"")</f>
      </c>
      <c r="BI75" s="8">
        <f>IF((0=1),(BI40-'Assumptions (edit)'!B4),"")</f>
      </c>
      <c r="BJ75" s="8">
        <f>IF((0=1),(BJ40-'Assumptions (edit)'!B4),"")</f>
      </c>
      <c r="BK75" s="8">
        <f>IF((0=1),(BK40-'Assumptions (edit)'!B4),"")</f>
      </c>
      <c r="BL75" s="8">
        <f>IF((0=1),(BL40-'Assumptions (edit)'!B4),"")</f>
      </c>
      <c r="BM75" s="8">
        <f>IF((0=1),(BM40-'Assumptions (edit)'!B4),"")</f>
      </c>
      <c r="BN75" s="8">
        <f>IF((0=1),(BN40-'Assumptions (edit)'!B4),"")</f>
      </c>
      <c r="BO75" s="8">
        <f>IF((0=1),(BO40-'Assumptions (edit)'!B4),"")</f>
      </c>
      <c r="BP75" s="8">
        <f>IF((0=1),(BP40-'Assumptions (edit)'!B4),"")</f>
      </c>
      <c r="BQ75" s="8">
        <f>IF((0=1),(BQ40-'Assumptions (edit)'!B4),"")</f>
      </c>
      <c r="BR75" s="8">
        <f>IF((0=1),(BR40-'Assumptions (edit)'!B4),"")</f>
      </c>
      <c r="BS75" s="8">
        <f>IF((0=1),(BS40-'Assumptions (edit)'!B4),"")</f>
      </c>
      <c r="BT75" s="8">
        <f>IF((0=1),(BT40-'Assumptions (edit)'!B4),"")</f>
      </c>
      <c r="BU75" s="8">
        <f>IF((0=1),(BU40-'Assumptions (edit)'!B4),"")</f>
      </c>
      <c r="BV75" s="8">
        <f>IF((0=1),(BV40-'Assumptions (edit)'!B4),"")</f>
      </c>
      <c r="BW75" s="8">
        <f>IF((0=1),(BW40-'Assumptions (edit)'!B4),"")</f>
      </c>
      <c r="BX75" s="8">
        <f>IF((0=1),(BX40-'Assumptions (edit)'!B4),"")</f>
      </c>
      <c r="BY75" s="8">
        <f>IF((0=1),(BY40-'Assumptions (edit)'!B4),"")</f>
      </c>
      <c r="BZ75" s="8">
        <f>IF((0=1),(BZ40-'Assumptions (edit)'!B4),"")</f>
      </c>
      <c r="CA75" s="8">
        <f>IF((0=1),(CA40-'Assumptions (edit)'!B4),"")</f>
      </c>
      <c r="CB75" s="8">
        <f>IF((0=1),(CB40-'Assumptions (edit)'!B4),"")</f>
      </c>
      <c r="CC75" s="8">
        <f>IF((0=1),(CC40-'Assumptions (edit)'!B4),"")</f>
      </c>
      <c r="CD75" s="8">
        <f>IF((0=1),(CD40-'Assumptions (edit)'!B4),"")</f>
      </c>
      <c r="CE75" s="8">
        <f>IF((0=1),(CE40-'Assumptions (edit)'!B4),"")</f>
      </c>
      <c r="CF75" s="8">
        <f>IF((0=1),(CF40-'Assumptions (edit)'!B4),"")</f>
      </c>
      <c r="CG75" s="8">
        <f>IF((0=1),(CG40-'Assumptions (edit)'!B4),"")</f>
      </c>
      <c r="CH75" s="8">
        <f>IF((0=1),(CH40-'Assumptions (edit)'!B4),"")</f>
      </c>
      <c r="CI75" s="8">
        <f>IF((0=1),(CI40-'Assumptions (edit)'!B4),"")</f>
      </c>
      <c r="CJ75" s="8">
        <f>IF((0=1),(CJ40-'Assumptions (edit)'!B4),"")</f>
      </c>
      <c r="CK75" s="8">
        <f>IF((0=1),(CK40-'Assumptions (edit)'!B4),"")</f>
      </c>
      <c r="CL75" s="8">
        <f>IF((0=1),(CL40-'Assumptions (edit)'!B4),"")</f>
      </c>
      <c r="CM75" s="8">
        <f>IF((0=1),(CM40-'Assumptions (edit)'!B4),"")</f>
      </c>
      <c r="CN75" s="8">
        <f>IF((0=1),(CN40-'Assumptions (edit)'!B4),"")</f>
      </c>
      <c r="CO75" s="8">
        <f>IF((0=1),(CO40-'Assumptions (edit)'!B4),"")</f>
      </c>
      <c r="CP75" s="8">
        <f>IF((0=1),(CP40-'Assumptions (edit)'!B4),"")</f>
      </c>
      <c r="CQ75" s="8">
        <f>IF((0=1),(CQ40-'Assumptions (edit)'!B4),"")</f>
      </c>
      <c r="CR75" s="8">
        <f>IF((0=1),(CR40-'Assumptions (edit)'!B4),"")</f>
      </c>
      <c r="CS75" s="8">
        <f>IF((0=1),(CS40-'Assumptions (edit)'!B4),"")</f>
      </c>
      <c r="CT75" s="8">
        <f>IF((0=1),(CT40-'Assumptions (edit)'!B4),"")</f>
      </c>
      <c r="CU75" s="8">
        <f>IF((0=1),(CU40-'Assumptions (edit)'!B4),"")</f>
      </c>
      <c r="CV75" s="8">
        <f>IF((0=1),(CV40-'Assumptions (edit)'!B4),"")</f>
      </c>
      <c r="CW75" s="8">
        <f>IF((0=1),(CW40-'Assumptions (edit)'!B4),"")</f>
      </c>
      <c r="CX75" s="8">
        <f>IF((0=1),(CX40-'Assumptions (edit)'!B4),"")</f>
      </c>
    </row>
    <row r="76">
      <c r="A76" s="0" t="inlineStr">
        <is>
          <t xml:space="preserve">Net of costs, bps</t>
        </is>
      </c>
      <c r="B76" s="0" t="inlineStr">
        <is>
          <t xml:space="preserve">best 100 by yesterday's close-to-close return</t>
        </is>
      </c>
      <c r="C76" s="8">
        <f>IF((1=1),(C41-'Assumptions (edit)'!B4),"")</f>
        <v>-5.67</v>
      </c>
      <c r="D76" s="8">
        <f>IF((0=1),(D41-'Assumptions (edit)'!B4),"")</f>
      </c>
      <c r="E76" s="8">
        <f>IF((0=1),(E41-'Assumptions (edit)'!B4),"")</f>
      </c>
      <c r="F76" s="8">
        <f>IF((0=1),(F41-'Assumptions (edit)'!B4),"")</f>
      </c>
      <c r="G76" s="8">
        <f>IF((0=1),(G41-'Assumptions (edit)'!B4),"")</f>
      </c>
      <c r="H76" s="8">
        <f>IF((0=1),(H41-'Assumptions (edit)'!B4),"")</f>
      </c>
      <c r="I76" s="8">
        <f>IF((0=1),(I41-'Assumptions (edit)'!B4),"")</f>
      </c>
      <c r="J76" s="8">
        <f>IF((0=1),(J41-'Assumptions (edit)'!B4),"")</f>
      </c>
      <c r="K76" s="8">
        <f>IF((0=1),(K41-'Assumptions (edit)'!B4),"")</f>
      </c>
      <c r="L76" s="8">
        <f>IF((0=1),(L41-'Assumptions (edit)'!B4),"")</f>
      </c>
      <c r="M76" s="8">
        <f>IF((0=1),(M41-'Assumptions (edit)'!B4),"")</f>
      </c>
      <c r="N76" s="8">
        <f>IF((0=1),(N41-'Assumptions (edit)'!B4),"")</f>
      </c>
      <c r="O76" s="8">
        <f>IF((0=1),(O41-'Assumptions (edit)'!B4),"")</f>
      </c>
      <c r="P76" s="8">
        <f>IF((0=1),(P41-'Assumptions (edit)'!B4),"")</f>
      </c>
      <c r="Q76" s="8">
        <f>IF((0=1),(Q41-'Assumptions (edit)'!B4),"")</f>
      </c>
      <c r="R76" s="8">
        <f>IF((0=1),(R41-'Assumptions (edit)'!B4),"")</f>
      </c>
      <c r="S76" s="8">
        <f>IF((0=1),(S41-'Assumptions (edit)'!B4),"")</f>
      </c>
      <c r="T76" s="8">
        <f>IF((0=1),(T41-'Assumptions (edit)'!B4),"")</f>
      </c>
      <c r="U76" s="8">
        <f>IF((0=1),(U41-'Assumptions (edit)'!B4),"")</f>
      </c>
      <c r="V76" s="8">
        <f>IF((0=1),(V41-'Assumptions (edit)'!B4),"")</f>
      </c>
      <c r="W76" s="8">
        <f>IF((0=1),(W41-'Assumptions (edit)'!B4),"")</f>
      </c>
      <c r="X76" s="8">
        <f>IF((0=1),(X41-'Assumptions (edit)'!B4),"")</f>
      </c>
      <c r="Y76" s="8">
        <f>IF((0=1),(Y41-'Assumptions (edit)'!B4),"")</f>
      </c>
      <c r="Z76" s="8">
        <f>IF((0=1),(Z41-'Assumptions (edit)'!B4),"")</f>
      </c>
      <c r="AA76" s="8">
        <f>IF((0=1),(AA41-'Assumptions (edit)'!B4),"")</f>
      </c>
      <c r="AB76" s="8">
        <f>IF((0=1),(AB41-'Assumptions (edit)'!B4),"")</f>
      </c>
      <c r="AC76" s="8">
        <f>IF((0=1),(AC41-'Assumptions (edit)'!B4),"")</f>
      </c>
      <c r="AD76" s="8">
        <f>IF((0=1),(AD41-'Assumptions (edit)'!B4),"")</f>
      </c>
      <c r="AE76" s="8">
        <f>IF((0=1),(AE41-'Assumptions (edit)'!B4),"")</f>
      </c>
      <c r="AF76" s="8">
        <f>IF((0=1),(AF41-'Assumptions (edit)'!B4),"")</f>
      </c>
      <c r="AG76" s="8">
        <f>IF((0=1),(AG41-'Assumptions (edit)'!B4),"")</f>
      </c>
      <c r="AH76" s="8">
        <f>IF((0=1),(AH41-'Assumptions (edit)'!B4),"")</f>
      </c>
      <c r="AI76" s="8">
        <f>IF((0=1),(AI41-'Assumptions (edit)'!B4),"")</f>
      </c>
      <c r="AJ76" s="8">
        <f>IF((0=1),(AJ41-'Assumptions (edit)'!B4),"")</f>
      </c>
      <c r="AK76" s="8">
        <f>IF((0=1),(AK41-'Assumptions (edit)'!B4),"")</f>
      </c>
      <c r="AL76" s="8">
        <f>IF((0=1),(AL41-'Assumptions (edit)'!B4),"")</f>
      </c>
      <c r="AM76" s="8">
        <f>IF((0=1),(AM41-'Assumptions (edit)'!B4),"")</f>
      </c>
      <c r="AN76" s="8">
        <f>IF((0=1),(AN41-'Assumptions (edit)'!B4),"")</f>
      </c>
      <c r="AO76" s="8">
        <f>IF((0=1),(AO41-'Assumptions (edit)'!B4),"")</f>
      </c>
      <c r="AP76" s="8">
        <f>IF((0=1),(AP41-'Assumptions (edit)'!B4),"")</f>
      </c>
      <c r="AQ76" s="8">
        <f>IF((0=1),(AQ41-'Assumptions (edit)'!B4),"")</f>
      </c>
      <c r="AR76" s="8">
        <f>IF((0=1),(AR41-'Assumptions (edit)'!B4),"")</f>
      </c>
      <c r="AS76" s="8">
        <f>IF((0=1),(AS41-'Assumptions (edit)'!B4),"")</f>
      </c>
      <c r="AT76" s="8">
        <f>IF((0=1),(AT41-'Assumptions (edit)'!B4),"")</f>
      </c>
      <c r="AU76" s="8">
        <f>IF((0=1),(AU41-'Assumptions (edit)'!B4),"")</f>
      </c>
      <c r="AV76" s="8">
        <f>IF((0=1),(AV41-'Assumptions (edit)'!B4),"")</f>
      </c>
      <c r="AW76" s="8">
        <f>IF((0=1),(AW41-'Assumptions (edit)'!B4),"")</f>
      </c>
      <c r="AX76" s="8">
        <f>IF((0=1),(AX41-'Assumptions (edit)'!B4),"")</f>
      </c>
      <c r="AY76" s="8">
        <f>IF((0=1),(AY41-'Assumptions (edit)'!B4),"")</f>
      </c>
      <c r="AZ76" s="8">
        <f>IF((0=1),(AZ41-'Assumptions (edit)'!B4),"")</f>
      </c>
      <c r="BA76" s="8">
        <f>IF((0=1),(BA41-'Assumptions (edit)'!B4),"")</f>
      </c>
      <c r="BB76" s="8">
        <f>IF((0=1),(BB41-'Assumptions (edit)'!B4),"")</f>
      </c>
      <c r="BC76" s="8">
        <f>IF((0=1),(BC41-'Assumptions (edit)'!B4),"")</f>
      </c>
      <c r="BD76" s="8">
        <f>IF((0=1),(BD41-'Assumptions (edit)'!B4),"")</f>
      </c>
      <c r="BE76" s="8">
        <f>IF((0=1),(BE41-'Assumptions (edit)'!B4),"")</f>
      </c>
      <c r="BF76" s="8">
        <f>IF((0=1),(BF41-'Assumptions (edit)'!B4),"")</f>
      </c>
      <c r="BG76" s="8">
        <f>IF((0=1),(BG41-'Assumptions (edit)'!B4),"")</f>
      </c>
      <c r="BH76" s="8">
        <f>IF((0=1),(BH41-'Assumptions (edit)'!B4),"")</f>
      </c>
      <c r="BI76" s="8">
        <f>IF((0=1),(BI41-'Assumptions (edit)'!B4),"")</f>
      </c>
      <c r="BJ76" s="8">
        <f>IF((0=1),(BJ41-'Assumptions (edit)'!B4),"")</f>
      </c>
      <c r="BK76" s="8">
        <f>IF((0=1),(BK41-'Assumptions (edit)'!B4),"")</f>
      </c>
      <c r="BL76" s="8">
        <f>IF((0=1),(BL41-'Assumptions (edit)'!B4),"")</f>
      </c>
      <c r="BM76" s="8">
        <f>IF((0=1),(BM41-'Assumptions (edit)'!B4),"")</f>
      </c>
      <c r="BN76" s="8">
        <f>IF((0=1),(BN41-'Assumptions (edit)'!B4),"")</f>
      </c>
      <c r="BO76" s="8">
        <f>IF((0=1),(BO41-'Assumptions (edit)'!B4),"")</f>
      </c>
      <c r="BP76" s="8">
        <f>IF((0=1),(BP41-'Assumptions (edit)'!B4),"")</f>
      </c>
      <c r="BQ76" s="8">
        <f>IF((0=1),(BQ41-'Assumptions (edit)'!B4),"")</f>
      </c>
      <c r="BR76" s="8">
        <f>IF((0=1),(BR41-'Assumptions (edit)'!B4),"")</f>
      </c>
      <c r="BS76" s="8">
        <f>IF((0=1),(BS41-'Assumptions (edit)'!B4),"")</f>
      </c>
      <c r="BT76" s="8">
        <f>IF((0=1),(BT41-'Assumptions (edit)'!B4),"")</f>
      </c>
      <c r="BU76" s="8">
        <f>IF((0=1),(BU41-'Assumptions (edit)'!B4),"")</f>
      </c>
      <c r="BV76" s="8">
        <f>IF((0=1),(BV41-'Assumptions (edit)'!B4),"")</f>
      </c>
      <c r="BW76" s="8">
        <f>IF((0=1),(BW41-'Assumptions (edit)'!B4),"")</f>
      </c>
      <c r="BX76" s="8">
        <f>IF((0=1),(BX41-'Assumptions (edit)'!B4),"")</f>
      </c>
      <c r="BY76" s="8">
        <f>IF((0=1),(BY41-'Assumptions (edit)'!B4),"")</f>
      </c>
      <c r="BZ76" s="8">
        <f>IF((0=1),(BZ41-'Assumptions (edit)'!B4),"")</f>
      </c>
      <c r="CA76" s="8">
        <f>IF((0=1),(CA41-'Assumptions (edit)'!B4),"")</f>
      </c>
      <c r="CB76" s="8">
        <f>IF((0=1),(CB41-'Assumptions (edit)'!B4),"")</f>
      </c>
      <c r="CC76" s="8">
        <f>IF((0=1),(CC41-'Assumptions (edit)'!B4),"")</f>
      </c>
      <c r="CD76" s="8">
        <f>IF((0=1),(CD41-'Assumptions (edit)'!B4),"")</f>
      </c>
      <c r="CE76" s="8">
        <f>IF((0=1),(CE41-'Assumptions (edit)'!B4),"")</f>
      </c>
      <c r="CF76" s="8">
        <f>IF((0=1),(CF41-'Assumptions (edit)'!B4),"")</f>
      </c>
      <c r="CG76" s="8">
        <f>IF((0=1),(CG41-'Assumptions (edit)'!B4),"")</f>
      </c>
      <c r="CH76" s="8">
        <f>IF((0=1),(CH41-'Assumptions (edit)'!B4),"")</f>
      </c>
      <c r="CI76" s="8">
        <f>IF((0=1),(CI41-'Assumptions (edit)'!B4),"")</f>
      </c>
      <c r="CJ76" s="8">
        <f>IF((0=1),(CJ41-'Assumptions (edit)'!B4),"")</f>
      </c>
      <c r="CK76" s="8">
        <f>IF((0=1),(CK41-'Assumptions (edit)'!B4),"")</f>
      </c>
      <c r="CL76" s="8">
        <f>IF((0=1),(CL41-'Assumptions (edit)'!B4),"")</f>
      </c>
      <c r="CM76" s="8">
        <f>IF((0=1),(CM41-'Assumptions (edit)'!B4),"")</f>
      </c>
      <c r="CN76" s="8">
        <f>IF((0=1),(CN41-'Assumptions (edit)'!B4),"")</f>
      </c>
      <c r="CO76" s="8">
        <f>IF((0=1),(CO41-'Assumptions (edit)'!B4),"")</f>
      </c>
      <c r="CP76" s="8">
        <f>IF((0=1),(CP41-'Assumptions (edit)'!B4),"")</f>
      </c>
      <c r="CQ76" s="8">
        <f>IF((0=1),(CQ41-'Assumptions (edit)'!B4),"")</f>
      </c>
      <c r="CR76" s="8">
        <f>IF((0=1),(CR41-'Assumptions (edit)'!B4),"")</f>
      </c>
      <c r="CS76" s="8">
        <f>IF((0=1),(CS41-'Assumptions (edit)'!B4),"")</f>
      </c>
      <c r="CT76" s="8">
        <f>IF((0=1),(CT41-'Assumptions (edit)'!B4),"")</f>
      </c>
      <c r="CU76" s="8">
        <f>IF((0=1),(CU41-'Assumptions (edit)'!B4),"")</f>
      </c>
      <c r="CV76" s="8">
        <f>IF((0=1),(CV41-'Assumptions (edit)'!B4),"")</f>
      </c>
      <c r="CW76" s="8">
        <f>IF((0=1),(CW41-'Assumptions (edit)'!B4),"")</f>
      </c>
      <c r="CX76" s="8">
        <f>IF((0=1),(CX41-'Assumptions (edit)'!B4),"")</f>
      </c>
    </row>
    <row r="77">
      <c r="A77" s="0" t="inlineStr">
        <is>
          <t xml:space="preserve">Net of costs, bps</t>
        </is>
      </c>
      <c r="B77" s="0" t="inlineStr">
        <is>
          <t xml:space="preserve">Retail Attention Overnight</t>
        </is>
      </c>
      <c r="C77" s="8">
        <f>IF((1=1),(C42-'Assumptions (edit)'!B4),"")</f>
        <v>-27.227</v>
      </c>
      <c r="D77" s="8">
        <f>IF((0=1),(D42-'Assumptions (edit)'!B4),"")</f>
      </c>
      <c r="E77" s="8">
        <f>IF((0=1),(E42-'Assumptions (edit)'!B4),"")</f>
      </c>
      <c r="F77" s="8">
        <f>IF((0=1),(F42-'Assumptions (edit)'!B4),"")</f>
      </c>
      <c r="G77" s="8">
        <f>IF((0=1),(G42-'Assumptions (edit)'!B4),"")</f>
      </c>
      <c r="H77" s="8">
        <f>IF((0=1),(H42-'Assumptions (edit)'!B4),"")</f>
      </c>
      <c r="I77" s="8">
        <f>IF((0=1),(I42-'Assumptions (edit)'!B4),"")</f>
      </c>
      <c r="J77" s="8">
        <f>IF((0=1),(J42-'Assumptions (edit)'!B4),"")</f>
      </c>
      <c r="K77" s="8">
        <f>IF((0=1),(K42-'Assumptions (edit)'!B4),"")</f>
      </c>
      <c r="L77" s="8">
        <f>IF((0=1),(L42-'Assumptions (edit)'!B4),"")</f>
      </c>
      <c r="M77" s="8">
        <f>IF((0=1),(M42-'Assumptions (edit)'!B4),"")</f>
      </c>
      <c r="N77" s="8">
        <f>IF((0=1),(N42-'Assumptions (edit)'!B4),"")</f>
      </c>
      <c r="O77" s="8">
        <f>IF((0=1),(O42-'Assumptions (edit)'!B4),"")</f>
      </c>
      <c r="P77" s="8">
        <f>IF((0=1),(P42-'Assumptions (edit)'!B4),"")</f>
      </c>
      <c r="Q77" s="8">
        <f>IF((0=1),(Q42-'Assumptions (edit)'!B4),"")</f>
      </c>
      <c r="R77" s="8">
        <f>IF((0=1),(R42-'Assumptions (edit)'!B4),"")</f>
      </c>
      <c r="S77" s="8">
        <f>IF((0=1),(S42-'Assumptions (edit)'!B4),"")</f>
      </c>
      <c r="T77" s="8">
        <f>IF((0=1),(T42-'Assumptions (edit)'!B4),"")</f>
      </c>
      <c r="U77" s="8">
        <f>IF((0=1),(U42-'Assumptions (edit)'!B4),"")</f>
      </c>
      <c r="V77" s="8">
        <f>IF((0=1),(V42-'Assumptions (edit)'!B4),"")</f>
      </c>
      <c r="W77" s="8">
        <f>IF((0=1),(W42-'Assumptions (edit)'!B4),"")</f>
      </c>
      <c r="X77" s="8">
        <f>IF((0=1),(X42-'Assumptions (edit)'!B4),"")</f>
      </c>
      <c r="Y77" s="8">
        <f>IF((0=1),(Y42-'Assumptions (edit)'!B4),"")</f>
      </c>
      <c r="Z77" s="8">
        <f>IF((0=1),(Z42-'Assumptions (edit)'!B4),"")</f>
      </c>
      <c r="AA77" s="8">
        <f>IF((0=1),(AA42-'Assumptions (edit)'!B4),"")</f>
      </c>
      <c r="AB77" s="8">
        <f>IF((0=1),(AB42-'Assumptions (edit)'!B4),"")</f>
      </c>
      <c r="AC77" s="8">
        <f>IF((0=1),(AC42-'Assumptions (edit)'!B4),"")</f>
      </c>
      <c r="AD77" s="8">
        <f>IF((0=1),(AD42-'Assumptions (edit)'!B4),"")</f>
      </c>
      <c r="AE77" s="8">
        <f>IF((0=1),(AE42-'Assumptions (edit)'!B4),"")</f>
      </c>
      <c r="AF77" s="8">
        <f>IF((0=1),(AF42-'Assumptions (edit)'!B4),"")</f>
      </c>
      <c r="AG77" s="8">
        <f>IF((0=1),(AG42-'Assumptions (edit)'!B4),"")</f>
      </c>
      <c r="AH77" s="8">
        <f>IF((0=1),(AH42-'Assumptions (edit)'!B4),"")</f>
      </c>
      <c r="AI77" s="8">
        <f>IF((0=1),(AI42-'Assumptions (edit)'!B4),"")</f>
      </c>
      <c r="AJ77" s="8">
        <f>IF((0=1),(AJ42-'Assumptions (edit)'!B4),"")</f>
      </c>
      <c r="AK77" s="8">
        <f>IF((0=1),(AK42-'Assumptions (edit)'!B4),"")</f>
      </c>
      <c r="AL77" s="8">
        <f>IF((0=1),(AL42-'Assumptions (edit)'!B4),"")</f>
      </c>
      <c r="AM77" s="8">
        <f>IF((0=1),(AM42-'Assumptions (edit)'!B4),"")</f>
      </c>
      <c r="AN77" s="8">
        <f>IF((0=1),(AN42-'Assumptions (edit)'!B4),"")</f>
      </c>
      <c r="AO77" s="8">
        <f>IF((0=1),(AO42-'Assumptions (edit)'!B4),"")</f>
      </c>
      <c r="AP77" s="8">
        <f>IF((0=1),(AP42-'Assumptions (edit)'!B4),"")</f>
      </c>
      <c r="AQ77" s="8">
        <f>IF((0=1),(AQ42-'Assumptions (edit)'!B4),"")</f>
      </c>
      <c r="AR77" s="8">
        <f>IF((0=1),(AR42-'Assumptions (edit)'!B4),"")</f>
      </c>
      <c r="AS77" s="8">
        <f>IF((0=1),(AS42-'Assumptions (edit)'!B4),"")</f>
      </c>
      <c r="AT77" s="8">
        <f>IF((0=1),(AT42-'Assumptions (edit)'!B4),"")</f>
      </c>
      <c r="AU77" s="8">
        <f>IF((0=1),(AU42-'Assumptions (edit)'!B4),"")</f>
      </c>
      <c r="AV77" s="8">
        <f>IF((0=1),(AV42-'Assumptions (edit)'!B4),"")</f>
      </c>
      <c r="AW77" s="8">
        <f>IF((0=1),(AW42-'Assumptions (edit)'!B4),"")</f>
      </c>
      <c r="AX77" s="8">
        <f>IF((0=1),(AX42-'Assumptions (edit)'!B4),"")</f>
      </c>
      <c r="AY77" s="8">
        <f>IF((0=1),(AY42-'Assumptions (edit)'!B4),"")</f>
      </c>
      <c r="AZ77" s="8">
        <f>IF((0=1),(AZ42-'Assumptions (edit)'!B4),"")</f>
      </c>
      <c r="BA77" s="8">
        <f>IF((0=1),(BA42-'Assumptions (edit)'!B4),"")</f>
      </c>
      <c r="BB77" s="8">
        <f>IF((0=1),(BB42-'Assumptions (edit)'!B4),"")</f>
      </c>
      <c r="BC77" s="8">
        <f>IF((0=1),(BC42-'Assumptions (edit)'!B4),"")</f>
      </c>
      <c r="BD77" s="8">
        <f>IF((0=1),(BD42-'Assumptions (edit)'!B4),"")</f>
      </c>
      <c r="BE77" s="8">
        <f>IF((0=1),(BE42-'Assumptions (edit)'!B4),"")</f>
      </c>
      <c r="BF77" s="8">
        <f>IF((0=1),(BF42-'Assumptions (edit)'!B4),"")</f>
      </c>
      <c r="BG77" s="8">
        <f>IF((0=1),(BG42-'Assumptions (edit)'!B4),"")</f>
      </c>
      <c r="BH77" s="8">
        <f>IF((0=1),(BH42-'Assumptions (edit)'!B4),"")</f>
      </c>
      <c r="BI77" s="8">
        <f>IF((0=1),(BI42-'Assumptions (edit)'!B4),"")</f>
      </c>
      <c r="BJ77" s="8">
        <f>IF((0=1),(BJ42-'Assumptions (edit)'!B4),"")</f>
      </c>
      <c r="BK77" s="8">
        <f>IF((0=1),(BK42-'Assumptions (edit)'!B4),"")</f>
      </c>
      <c r="BL77" s="8">
        <f>IF((0=1),(BL42-'Assumptions (edit)'!B4),"")</f>
      </c>
      <c r="BM77" s="8">
        <f>IF((0=1),(BM42-'Assumptions (edit)'!B4),"")</f>
      </c>
      <c r="BN77" s="8">
        <f>IF((0=1),(BN42-'Assumptions (edit)'!B4),"")</f>
      </c>
      <c r="BO77" s="8">
        <f>IF((0=1),(BO42-'Assumptions (edit)'!B4),"")</f>
      </c>
      <c r="BP77" s="8">
        <f>IF((0=1),(BP42-'Assumptions (edit)'!B4),"")</f>
      </c>
      <c r="BQ77" s="8">
        <f>IF((0=1),(BQ42-'Assumptions (edit)'!B4),"")</f>
      </c>
      <c r="BR77" s="8">
        <f>IF((0=1),(BR42-'Assumptions (edit)'!B4),"")</f>
      </c>
      <c r="BS77" s="8">
        <f>IF((0=1),(BS42-'Assumptions (edit)'!B4),"")</f>
      </c>
      <c r="BT77" s="8">
        <f>IF((0=1),(BT42-'Assumptions (edit)'!B4),"")</f>
      </c>
      <c r="BU77" s="8">
        <f>IF((0=1),(BU42-'Assumptions (edit)'!B4),"")</f>
      </c>
      <c r="BV77" s="8">
        <f>IF((0=1),(BV42-'Assumptions (edit)'!B4),"")</f>
      </c>
      <c r="BW77" s="8">
        <f>IF((0=1),(BW42-'Assumptions (edit)'!B4),"")</f>
      </c>
      <c r="BX77" s="8">
        <f>IF((0=1),(BX42-'Assumptions (edit)'!B4),"")</f>
      </c>
      <c r="BY77" s="8">
        <f>IF((0=1),(BY42-'Assumptions (edit)'!B4),"")</f>
      </c>
      <c r="BZ77" s="8">
        <f>IF((0=1),(BZ42-'Assumptions (edit)'!B4),"")</f>
      </c>
      <c r="CA77" s="8">
        <f>IF((0=1),(CA42-'Assumptions (edit)'!B4),"")</f>
      </c>
      <c r="CB77" s="8">
        <f>IF((0=1),(CB42-'Assumptions (edit)'!B4),"")</f>
      </c>
      <c r="CC77" s="8">
        <f>IF((0=1),(CC42-'Assumptions (edit)'!B4),"")</f>
      </c>
      <c r="CD77" s="8">
        <f>IF((0=1),(CD42-'Assumptions (edit)'!B4),"")</f>
      </c>
      <c r="CE77" s="8">
        <f>IF((0=1),(CE42-'Assumptions (edit)'!B4),"")</f>
      </c>
      <c r="CF77" s="8">
        <f>IF((0=1),(CF42-'Assumptions (edit)'!B4),"")</f>
      </c>
      <c r="CG77" s="8">
        <f>IF((0=1),(CG42-'Assumptions (edit)'!B4),"")</f>
      </c>
      <c r="CH77" s="8">
        <f>IF((0=1),(CH42-'Assumptions (edit)'!B4),"")</f>
      </c>
      <c r="CI77" s="8">
        <f>IF((0=1),(CI42-'Assumptions (edit)'!B4),"")</f>
      </c>
      <c r="CJ77" s="8">
        <f>IF((0=1),(CJ42-'Assumptions (edit)'!B4),"")</f>
      </c>
      <c r="CK77" s="8">
        <f>IF((0=1),(CK42-'Assumptions (edit)'!B4),"")</f>
      </c>
      <c r="CL77" s="8">
        <f>IF((0=1),(CL42-'Assumptions (edit)'!B4),"")</f>
      </c>
      <c r="CM77" s="8">
        <f>IF((0=1),(CM42-'Assumptions (edit)'!B4),"")</f>
      </c>
      <c r="CN77" s="8">
        <f>IF((0=1),(CN42-'Assumptions (edit)'!B4),"")</f>
      </c>
      <c r="CO77" s="8">
        <f>IF((0=1),(CO42-'Assumptions (edit)'!B4),"")</f>
      </c>
      <c r="CP77" s="8">
        <f>IF((0=1),(CP42-'Assumptions (edit)'!B4),"")</f>
      </c>
      <c r="CQ77" s="8">
        <f>IF((0=1),(CQ42-'Assumptions (edit)'!B4),"")</f>
      </c>
      <c r="CR77" s="8">
        <f>IF((0=1),(CR42-'Assumptions (edit)'!B4),"")</f>
      </c>
      <c r="CS77" s="8">
        <f>IF((0=1),(CS42-'Assumptions (edit)'!B4),"")</f>
      </c>
      <c r="CT77" s="8">
        <f>IF((0=1),(CT42-'Assumptions (edit)'!B4),"")</f>
      </c>
      <c r="CU77" s="8">
        <f>IF((0=1),(CU42-'Assumptions (edit)'!B4),"")</f>
      </c>
      <c r="CV77" s="8">
        <f>IF((0=1),(CV42-'Assumptions (edit)'!B4),"")</f>
      </c>
      <c r="CW77" s="8">
        <f>IF((0=1),(CW42-'Assumptions (edit)'!B4),"")</f>
      </c>
      <c r="CX77" s="8">
        <f>IF((0=1),(CX42-'Assumptions (edit)'!B4),"")</f>
      </c>
    </row>
    <row r="78">
      <c r="A78" s="0" t="inlineStr">
        <is>
          <t xml:space="preserve">Net of costs, bps</t>
        </is>
      </c>
      <c r="B78" s="0" t="inlineStr">
        <is>
          <t xml:space="preserve">Post-Earnings Drift, Overnight Leg</t>
        </is>
      </c>
      <c r="C78" s="8">
        <f>IF((1=1),(C43-'Assumptions (edit)'!B4),"")</f>
        <v>5.228999999999999</v>
      </c>
      <c r="D78" s="8">
        <f>IF((0=1),(D43-'Assumptions (edit)'!B4),"")</f>
      </c>
      <c r="E78" s="8">
        <f>IF((0=1),(E43-'Assumptions (edit)'!B4),"")</f>
      </c>
      <c r="F78" s="8">
        <f>IF((0=1),(F43-'Assumptions (edit)'!B4),"")</f>
      </c>
      <c r="G78" s="8">
        <f>IF((0=1),(G43-'Assumptions (edit)'!B4),"")</f>
      </c>
      <c r="H78" s="8">
        <f>IF((0=1),(H43-'Assumptions (edit)'!B4),"")</f>
      </c>
      <c r="I78" s="8">
        <f>IF((0=1),(I43-'Assumptions (edit)'!B4),"")</f>
      </c>
      <c r="J78" s="8">
        <f>IF((0=1),(J43-'Assumptions (edit)'!B4),"")</f>
      </c>
      <c r="K78" s="8">
        <f>IF((0=1),(K43-'Assumptions (edit)'!B4),"")</f>
      </c>
      <c r="L78" s="8">
        <f>IF((0=1),(L43-'Assumptions (edit)'!B4),"")</f>
      </c>
      <c r="M78" s="8">
        <f>IF((0=1),(M43-'Assumptions (edit)'!B4),"")</f>
      </c>
      <c r="N78" s="8">
        <f>IF((0=1),(N43-'Assumptions (edit)'!B4),"")</f>
      </c>
      <c r="O78" s="8">
        <f>IF((0=1),(O43-'Assumptions (edit)'!B4),"")</f>
      </c>
      <c r="P78" s="8">
        <f>IF((0=1),(P43-'Assumptions (edit)'!B4),"")</f>
      </c>
      <c r="Q78" s="8">
        <f>IF((0=1),(Q43-'Assumptions (edit)'!B4),"")</f>
      </c>
      <c r="R78" s="8">
        <f>IF((0=1),(R43-'Assumptions (edit)'!B4),"")</f>
      </c>
      <c r="S78" s="8">
        <f>IF((0=1),(S43-'Assumptions (edit)'!B4),"")</f>
      </c>
      <c r="T78" s="8">
        <f>IF((0=1),(T43-'Assumptions (edit)'!B4),"")</f>
      </c>
      <c r="U78" s="8">
        <f>IF((0=1),(U43-'Assumptions (edit)'!B4),"")</f>
      </c>
      <c r="V78" s="8">
        <f>IF((0=1),(V43-'Assumptions (edit)'!B4),"")</f>
      </c>
      <c r="W78" s="8">
        <f>IF((0=1),(W43-'Assumptions (edit)'!B4),"")</f>
      </c>
      <c r="X78" s="8">
        <f>IF((0=1),(X43-'Assumptions (edit)'!B4),"")</f>
      </c>
      <c r="Y78" s="8">
        <f>IF((0=1),(Y43-'Assumptions (edit)'!B4),"")</f>
      </c>
      <c r="Z78" s="8">
        <f>IF((0=1),(Z43-'Assumptions (edit)'!B4),"")</f>
      </c>
      <c r="AA78" s="8">
        <f>IF((0=1),(AA43-'Assumptions (edit)'!B4),"")</f>
      </c>
      <c r="AB78" s="8">
        <f>IF((0=1),(AB43-'Assumptions (edit)'!B4),"")</f>
      </c>
      <c r="AC78" s="8">
        <f>IF((0=1),(AC43-'Assumptions (edit)'!B4),"")</f>
      </c>
      <c r="AD78" s="8">
        <f>IF((0=1),(AD43-'Assumptions (edit)'!B4),"")</f>
      </c>
      <c r="AE78" s="8">
        <f>IF((0=1),(AE43-'Assumptions (edit)'!B4),"")</f>
      </c>
      <c r="AF78" s="8">
        <f>IF((0=1),(AF43-'Assumptions (edit)'!B4),"")</f>
      </c>
      <c r="AG78" s="8">
        <f>IF((0=1),(AG43-'Assumptions (edit)'!B4),"")</f>
      </c>
      <c r="AH78" s="8">
        <f>IF((0=1),(AH43-'Assumptions (edit)'!B4),"")</f>
      </c>
      <c r="AI78" s="8">
        <f>IF((0=1),(AI43-'Assumptions (edit)'!B4),"")</f>
      </c>
      <c r="AJ78" s="8">
        <f>IF((0=1),(AJ43-'Assumptions (edit)'!B4),"")</f>
      </c>
      <c r="AK78" s="8">
        <f>IF((0=1),(AK43-'Assumptions (edit)'!B4),"")</f>
      </c>
      <c r="AL78" s="8">
        <f>IF((0=1),(AL43-'Assumptions (edit)'!B4),"")</f>
      </c>
      <c r="AM78" s="8">
        <f>IF((0=1),(AM43-'Assumptions (edit)'!B4),"")</f>
      </c>
      <c r="AN78" s="8">
        <f>IF((0=1),(AN43-'Assumptions (edit)'!B4),"")</f>
      </c>
      <c r="AO78" s="8">
        <f>IF((0=1),(AO43-'Assumptions (edit)'!B4),"")</f>
      </c>
      <c r="AP78" s="8">
        <f>IF((0=1),(AP43-'Assumptions (edit)'!B4),"")</f>
      </c>
      <c r="AQ78" s="8">
        <f>IF((0=1),(AQ43-'Assumptions (edit)'!B4),"")</f>
      </c>
      <c r="AR78" s="8">
        <f>IF((0=1),(AR43-'Assumptions (edit)'!B4),"")</f>
      </c>
      <c r="AS78" s="8">
        <f>IF((0=1),(AS43-'Assumptions (edit)'!B4),"")</f>
      </c>
      <c r="AT78" s="8">
        <f>IF((0=1),(AT43-'Assumptions (edit)'!B4),"")</f>
      </c>
      <c r="AU78" s="8">
        <f>IF((0=1),(AU43-'Assumptions (edit)'!B4),"")</f>
      </c>
      <c r="AV78" s="8">
        <f>IF((0=1),(AV43-'Assumptions (edit)'!B4),"")</f>
      </c>
      <c r="AW78" s="8">
        <f>IF((0=1),(AW43-'Assumptions (edit)'!B4),"")</f>
      </c>
      <c r="AX78" s="8">
        <f>IF((0=1),(AX43-'Assumptions (edit)'!B4),"")</f>
      </c>
      <c r="AY78" s="8">
        <f>IF((0=1),(AY43-'Assumptions (edit)'!B4),"")</f>
      </c>
      <c r="AZ78" s="8">
        <f>IF((0=1),(AZ43-'Assumptions (edit)'!B4),"")</f>
      </c>
      <c r="BA78" s="8">
        <f>IF((0=1),(BA43-'Assumptions (edit)'!B4),"")</f>
      </c>
      <c r="BB78" s="8">
        <f>IF((0=1),(BB43-'Assumptions (edit)'!B4),"")</f>
      </c>
      <c r="BC78" s="8">
        <f>IF((0=1),(BC43-'Assumptions (edit)'!B4),"")</f>
      </c>
      <c r="BD78" s="8">
        <f>IF((0=1),(BD43-'Assumptions (edit)'!B4),"")</f>
      </c>
      <c r="BE78" s="8">
        <f>IF((0=1),(BE43-'Assumptions (edit)'!B4),"")</f>
      </c>
      <c r="BF78" s="8">
        <f>IF((0=1),(BF43-'Assumptions (edit)'!B4),"")</f>
      </c>
      <c r="BG78" s="8">
        <f>IF((0=1),(BG43-'Assumptions (edit)'!B4),"")</f>
      </c>
      <c r="BH78" s="8">
        <f>IF((0=1),(BH43-'Assumptions (edit)'!B4),"")</f>
      </c>
      <c r="BI78" s="8">
        <f>IF((0=1),(BI43-'Assumptions (edit)'!B4),"")</f>
      </c>
      <c r="BJ78" s="8">
        <f>IF((0=1),(BJ43-'Assumptions (edit)'!B4),"")</f>
      </c>
      <c r="BK78" s="8">
        <f>IF((0=1),(BK43-'Assumptions (edit)'!B4),"")</f>
      </c>
      <c r="BL78" s="8">
        <f>IF((0=1),(BL43-'Assumptions (edit)'!B4),"")</f>
      </c>
      <c r="BM78" s="8">
        <f>IF((0=1),(BM43-'Assumptions (edit)'!B4),"")</f>
      </c>
      <c r="BN78" s="8">
        <f>IF((0=1),(BN43-'Assumptions (edit)'!B4),"")</f>
      </c>
      <c r="BO78" s="8">
        <f>IF((0=1),(BO43-'Assumptions (edit)'!B4),"")</f>
      </c>
      <c r="BP78" s="8">
        <f>IF((0=1),(BP43-'Assumptions (edit)'!B4),"")</f>
      </c>
      <c r="BQ78" s="8">
        <f>IF((0=1),(BQ43-'Assumptions (edit)'!B4),"")</f>
      </c>
      <c r="BR78" s="8">
        <f>IF((0=1),(BR43-'Assumptions (edit)'!B4),"")</f>
      </c>
      <c r="BS78" s="8">
        <f>IF((0=1),(BS43-'Assumptions (edit)'!B4),"")</f>
      </c>
      <c r="BT78" s="8">
        <f>IF((0=1),(BT43-'Assumptions (edit)'!B4),"")</f>
      </c>
      <c r="BU78" s="8">
        <f>IF((0=1),(BU43-'Assumptions (edit)'!B4),"")</f>
      </c>
      <c r="BV78" s="8">
        <f>IF((0=1),(BV43-'Assumptions (edit)'!B4),"")</f>
      </c>
      <c r="BW78" s="8">
        <f>IF((0=1),(BW43-'Assumptions (edit)'!B4),"")</f>
      </c>
      <c r="BX78" s="8">
        <f>IF((0=1),(BX43-'Assumptions (edit)'!B4),"")</f>
      </c>
      <c r="BY78" s="8">
        <f>IF((0=1),(BY43-'Assumptions (edit)'!B4),"")</f>
      </c>
      <c r="BZ78" s="8">
        <f>IF((0=1),(BZ43-'Assumptions (edit)'!B4),"")</f>
      </c>
      <c r="CA78" s="8">
        <f>IF((0=1),(CA43-'Assumptions (edit)'!B4),"")</f>
      </c>
      <c r="CB78" s="8">
        <f>IF((0=1),(CB43-'Assumptions (edit)'!B4),"")</f>
      </c>
      <c r="CC78" s="8">
        <f>IF((0=1),(CC43-'Assumptions (edit)'!B4),"")</f>
      </c>
      <c r="CD78" s="8">
        <f>IF((0=1),(CD43-'Assumptions (edit)'!B4),"")</f>
      </c>
      <c r="CE78" s="8">
        <f>IF((0=1),(CE43-'Assumptions (edit)'!B4),"")</f>
      </c>
      <c r="CF78" s="8">
        <f>IF((0=1),(CF43-'Assumptions (edit)'!B4),"")</f>
      </c>
      <c r="CG78" s="8">
        <f>IF((0=1),(CG43-'Assumptions (edit)'!B4),"")</f>
      </c>
      <c r="CH78" s="8">
        <f>IF((0=1),(CH43-'Assumptions (edit)'!B4),"")</f>
      </c>
      <c r="CI78" s="8">
        <f>IF((0=1),(CI43-'Assumptions (edit)'!B4),"")</f>
      </c>
      <c r="CJ78" s="8">
        <f>IF((0=1),(CJ43-'Assumptions (edit)'!B4),"")</f>
      </c>
      <c r="CK78" s="8">
        <f>IF((0=1),(CK43-'Assumptions (edit)'!B4),"")</f>
      </c>
      <c r="CL78" s="8">
        <f>IF((0=1),(CL43-'Assumptions (edit)'!B4),"")</f>
      </c>
      <c r="CM78" s="8">
        <f>IF((0=1),(CM43-'Assumptions (edit)'!B4),"")</f>
      </c>
      <c r="CN78" s="8">
        <f>IF((0=1),(CN43-'Assumptions (edit)'!B4),"")</f>
      </c>
      <c r="CO78" s="8">
        <f>IF((0=1),(CO43-'Assumptions (edit)'!B4),"")</f>
      </c>
      <c r="CP78" s="8">
        <f>IF((0=1),(CP43-'Assumptions (edit)'!B4),"")</f>
      </c>
      <c r="CQ78" s="8">
        <f>IF((0=1),(CQ43-'Assumptions (edit)'!B4),"")</f>
      </c>
      <c r="CR78" s="8">
        <f>IF((0=1),(CR43-'Assumptions (edit)'!B4),"")</f>
      </c>
      <c r="CS78" s="8">
        <f>IF((0=1),(CS43-'Assumptions (edit)'!B4),"")</f>
      </c>
      <c r="CT78" s="8">
        <f>IF((0=1),(CT43-'Assumptions (edit)'!B4),"")</f>
      </c>
      <c r="CU78" s="8">
        <f>IF((0=1),(CU43-'Assumptions (edit)'!B4),"")</f>
      </c>
      <c r="CV78" s="8">
        <f>IF((0=1),(CV43-'Assumptions (edit)'!B4),"")</f>
      </c>
      <c r="CW78" s="8">
        <f>IF((0=1),(CW43-'Assumptions (edit)'!B4),"")</f>
      </c>
      <c r="CX78" s="8">
        <f>IF((0=1),(CX43-'Assumptions (edit)'!B4),"")</f>
      </c>
    </row>
    <row r="79">
      <c r="A79" s="0" t="inlineStr">
        <is>
          <t xml:space="preserve">Net of costs, bps</t>
        </is>
      </c>
      <c r="B79" s="0" t="inlineStr">
        <is>
          <t xml:space="preserve">Intraday-to-Overnight Reversal</t>
        </is>
      </c>
      <c r="C79" s="8">
        <f>IF((1=1),(C44-'Assumptions (edit)'!B4),"")</f>
        <v>-7.452999999999999</v>
      </c>
      <c r="D79" s="8">
        <f>IF((0=1),(D44-'Assumptions (edit)'!B4),"")</f>
      </c>
      <c r="E79" s="8">
        <f>IF((0=1),(E44-'Assumptions (edit)'!B4),"")</f>
      </c>
      <c r="F79" s="8">
        <f>IF((0=1),(F44-'Assumptions (edit)'!B4),"")</f>
      </c>
      <c r="G79" s="8">
        <f>IF((0=1),(G44-'Assumptions (edit)'!B4),"")</f>
      </c>
      <c r="H79" s="8">
        <f>IF((0=1),(H44-'Assumptions (edit)'!B4),"")</f>
      </c>
      <c r="I79" s="8">
        <f>IF((0=1),(I44-'Assumptions (edit)'!B4),"")</f>
      </c>
      <c r="J79" s="8">
        <f>IF((0=1),(J44-'Assumptions (edit)'!B4),"")</f>
      </c>
      <c r="K79" s="8">
        <f>IF((0=1),(K44-'Assumptions (edit)'!B4),"")</f>
      </c>
      <c r="L79" s="8">
        <f>IF((0=1),(L44-'Assumptions (edit)'!B4),"")</f>
      </c>
      <c r="M79" s="8">
        <f>IF((0=1),(M44-'Assumptions (edit)'!B4),"")</f>
      </c>
      <c r="N79" s="8">
        <f>IF((0=1),(N44-'Assumptions (edit)'!B4),"")</f>
      </c>
      <c r="O79" s="8">
        <f>IF((0=1),(O44-'Assumptions (edit)'!B4),"")</f>
      </c>
      <c r="P79" s="8">
        <f>IF((0=1),(P44-'Assumptions (edit)'!B4),"")</f>
      </c>
      <c r="Q79" s="8">
        <f>IF((0=1),(Q44-'Assumptions (edit)'!B4),"")</f>
      </c>
      <c r="R79" s="8">
        <f>IF((0=1),(R44-'Assumptions (edit)'!B4),"")</f>
      </c>
      <c r="S79" s="8">
        <f>IF((0=1),(S44-'Assumptions (edit)'!B4),"")</f>
      </c>
      <c r="T79" s="8">
        <f>IF((0=1),(T44-'Assumptions (edit)'!B4),"")</f>
      </c>
      <c r="U79" s="8">
        <f>IF((0=1),(U44-'Assumptions (edit)'!B4),"")</f>
      </c>
      <c r="V79" s="8">
        <f>IF((0=1),(V44-'Assumptions (edit)'!B4),"")</f>
      </c>
      <c r="W79" s="8">
        <f>IF((0=1),(W44-'Assumptions (edit)'!B4),"")</f>
      </c>
      <c r="X79" s="8">
        <f>IF((0=1),(X44-'Assumptions (edit)'!B4),"")</f>
      </c>
      <c r="Y79" s="8">
        <f>IF((0=1),(Y44-'Assumptions (edit)'!B4),"")</f>
      </c>
      <c r="Z79" s="8">
        <f>IF((0=1),(Z44-'Assumptions (edit)'!B4),"")</f>
      </c>
      <c r="AA79" s="8">
        <f>IF((0=1),(AA44-'Assumptions (edit)'!B4),"")</f>
      </c>
      <c r="AB79" s="8">
        <f>IF((0=1),(AB44-'Assumptions (edit)'!B4),"")</f>
      </c>
      <c r="AC79" s="8">
        <f>IF((0=1),(AC44-'Assumptions (edit)'!B4),"")</f>
      </c>
      <c r="AD79" s="8">
        <f>IF((0=1),(AD44-'Assumptions (edit)'!B4),"")</f>
      </c>
      <c r="AE79" s="8">
        <f>IF((0=1),(AE44-'Assumptions (edit)'!B4),"")</f>
      </c>
      <c r="AF79" s="8">
        <f>IF((0=1),(AF44-'Assumptions (edit)'!B4),"")</f>
      </c>
      <c r="AG79" s="8">
        <f>IF((0=1),(AG44-'Assumptions (edit)'!B4),"")</f>
      </c>
      <c r="AH79" s="8">
        <f>IF((0=1),(AH44-'Assumptions (edit)'!B4),"")</f>
      </c>
      <c r="AI79" s="8">
        <f>IF((0=1),(AI44-'Assumptions (edit)'!B4),"")</f>
      </c>
      <c r="AJ79" s="8">
        <f>IF((0=1),(AJ44-'Assumptions (edit)'!B4),"")</f>
      </c>
      <c r="AK79" s="8">
        <f>IF((0=1),(AK44-'Assumptions (edit)'!B4),"")</f>
      </c>
      <c r="AL79" s="8">
        <f>IF((0=1),(AL44-'Assumptions (edit)'!B4),"")</f>
      </c>
      <c r="AM79" s="8">
        <f>IF((0=1),(AM44-'Assumptions (edit)'!B4),"")</f>
      </c>
      <c r="AN79" s="8">
        <f>IF((0=1),(AN44-'Assumptions (edit)'!B4),"")</f>
      </c>
      <c r="AO79" s="8">
        <f>IF((0=1),(AO44-'Assumptions (edit)'!B4),"")</f>
      </c>
      <c r="AP79" s="8">
        <f>IF((0=1),(AP44-'Assumptions (edit)'!B4),"")</f>
      </c>
      <c r="AQ79" s="8">
        <f>IF((0=1),(AQ44-'Assumptions (edit)'!B4),"")</f>
      </c>
      <c r="AR79" s="8">
        <f>IF((0=1),(AR44-'Assumptions (edit)'!B4),"")</f>
      </c>
      <c r="AS79" s="8">
        <f>IF((0=1),(AS44-'Assumptions (edit)'!B4),"")</f>
      </c>
      <c r="AT79" s="8">
        <f>IF((0=1),(AT44-'Assumptions (edit)'!B4),"")</f>
      </c>
      <c r="AU79" s="8">
        <f>IF((0=1),(AU44-'Assumptions (edit)'!B4),"")</f>
      </c>
      <c r="AV79" s="8">
        <f>IF((0=1),(AV44-'Assumptions (edit)'!B4),"")</f>
      </c>
      <c r="AW79" s="8">
        <f>IF((0=1),(AW44-'Assumptions (edit)'!B4),"")</f>
      </c>
      <c r="AX79" s="8">
        <f>IF((0=1),(AX44-'Assumptions (edit)'!B4),"")</f>
      </c>
      <c r="AY79" s="8">
        <f>IF((0=1),(AY44-'Assumptions (edit)'!B4),"")</f>
      </c>
      <c r="AZ79" s="8">
        <f>IF((0=1),(AZ44-'Assumptions (edit)'!B4),"")</f>
      </c>
      <c r="BA79" s="8">
        <f>IF((0=1),(BA44-'Assumptions (edit)'!B4),"")</f>
      </c>
      <c r="BB79" s="8">
        <f>IF((0=1),(BB44-'Assumptions (edit)'!B4),"")</f>
      </c>
      <c r="BC79" s="8">
        <f>IF((0=1),(BC44-'Assumptions (edit)'!B4),"")</f>
      </c>
      <c r="BD79" s="8">
        <f>IF((0=1),(BD44-'Assumptions (edit)'!B4),"")</f>
      </c>
      <c r="BE79" s="8">
        <f>IF((0=1),(BE44-'Assumptions (edit)'!B4),"")</f>
      </c>
      <c r="BF79" s="8">
        <f>IF((0=1),(BF44-'Assumptions (edit)'!B4),"")</f>
      </c>
      <c r="BG79" s="8">
        <f>IF((0=1),(BG44-'Assumptions (edit)'!B4),"")</f>
      </c>
      <c r="BH79" s="8">
        <f>IF((0=1),(BH44-'Assumptions (edit)'!B4),"")</f>
      </c>
      <c r="BI79" s="8">
        <f>IF((0=1),(BI44-'Assumptions (edit)'!B4),"")</f>
      </c>
      <c r="BJ79" s="8">
        <f>IF((0=1),(BJ44-'Assumptions (edit)'!B4),"")</f>
      </c>
      <c r="BK79" s="8">
        <f>IF((0=1),(BK44-'Assumptions (edit)'!B4),"")</f>
      </c>
      <c r="BL79" s="8">
        <f>IF((0=1),(BL44-'Assumptions (edit)'!B4),"")</f>
      </c>
      <c r="BM79" s="8">
        <f>IF((0=1),(BM44-'Assumptions (edit)'!B4),"")</f>
      </c>
      <c r="BN79" s="8">
        <f>IF((0=1),(BN44-'Assumptions (edit)'!B4),"")</f>
      </c>
      <c r="BO79" s="8">
        <f>IF((0=1),(BO44-'Assumptions (edit)'!B4),"")</f>
      </c>
      <c r="BP79" s="8">
        <f>IF((0=1),(BP44-'Assumptions (edit)'!B4),"")</f>
      </c>
      <c r="BQ79" s="8">
        <f>IF((0=1),(BQ44-'Assumptions (edit)'!B4),"")</f>
      </c>
      <c r="BR79" s="8">
        <f>IF((0=1),(BR44-'Assumptions (edit)'!B4),"")</f>
      </c>
      <c r="BS79" s="8">
        <f>IF((0=1),(BS44-'Assumptions (edit)'!B4),"")</f>
      </c>
      <c r="BT79" s="8">
        <f>IF((0=1),(BT44-'Assumptions (edit)'!B4),"")</f>
      </c>
      <c r="BU79" s="8">
        <f>IF((0=1),(BU44-'Assumptions (edit)'!B4),"")</f>
      </c>
      <c r="BV79" s="8">
        <f>IF((0=1),(BV44-'Assumptions (edit)'!B4),"")</f>
      </c>
      <c r="BW79" s="8">
        <f>IF((0=1),(BW44-'Assumptions (edit)'!B4),"")</f>
      </c>
      <c r="BX79" s="8">
        <f>IF((0=1),(BX44-'Assumptions (edit)'!B4),"")</f>
      </c>
      <c r="BY79" s="8">
        <f>IF((0=1),(BY44-'Assumptions (edit)'!B4),"")</f>
      </c>
      <c r="BZ79" s="8">
        <f>IF((0=1),(BZ44-'Assumptions (edit)'!B4),"")</f>
      </c>
      <c r="CA79" s="8">
        <f>IF((0=1),(CA44-'Assumptions (edit)'!B4),"")</f>
      </c>
      <c r="CB79" s="8">
        <f>IF((0=1),(CB44-'Assumptions (edit)'!B4),"")</f>
      </c>
      <c r="CC79" s="8">
        <f>IF((0=1),(CC44-'Assumptions (edit)'!B4),"")</f>
      </c>
      <c r="CD79" s="8">
        <f>IF((0=1),(CD44-'Assumptions (edit)'!B4),"")</f>
      </c>
      <c r="CE79" s="8">
        <f>IF((0=1),(CE44-'Assumptions (edit)'!B4),"")</f>
      </c>
      <c r="CF79" s="8">
        <f>IF((0=1),(CF44-'Assumptions (edit)'!B4),"")</f>
      </c>
      <c r="CG79" s="8">
        <f>IF((0=1),(CG44-'Assumptions (edit)'!B4),"")</f>
      </c>
      <c r="CH79" s="8">
        <f>IF((0=1),(CH44-'Assumptions (edit)'!B4),"")</f>
      </c>
      <c r="CI79" s="8">
        <f>IF((0=1),(CI44-'Assumptions (edit)'!B4),"")</f>
      </c>
      <c r="CJ79" s="8">
        <f>IF((0=1),(CJ44-'Assumptions (edit)'!B4),"")</f>
      </c>
      <c r="CK79" s="8">
        <f>IF((0=1),(CK44-'Assumptions (edit)'!B4),"")</f>
      </c>
      <c r="CL79" s="8">
        <f>IF((0=1),(CL44-'Assumptions (edit)'!B4),"")</f>
      </c>
      <c r="CM79" s="8">
        <f>IF((0=1),(CM44-'Assumptions (edit)'!B4),"")</f>
      </c>
      <c r="CN79" s="8">
        <f>IF((0=1),(CN44-'Assumptions (edit)'!B4),"")</f>
      </c>
      <c r="CO79" s="8">
        <f>IF((0=1),(CO44-'Assumptions (edit)'!B4),"")</f>
      </c>
      <c r="CP79" s="8">
        <f>IF((0=1),(CP44-'Assumptions (edit)'!B4),"")</f>
      </c>
      <c r="CQ79" s="8">
        <f>IF((0=1),(CQ44-'Assumptions (edit)'!B4),"")</f>
      </c>
      <c r="CR79" s="8">
        <f>IF((0=1),(CR44-'Assumptions (edit)'!B4),"")</f>
      </c>
      <c r="CS79" s="8">
        <f>IF((0=1),(CS44-'Assumptions (edit)'!B4),"")</f>
      </c>
      <c r="CT79" s="8">
        <f>IF((0=1),(CT44-'Assumptions (edit)'!B4),"")</f>
      </c>
      <c r="CU79" s="8">
        <f>IF((0=1),(CU44-'Assumptions (edit)'!B4),"")</f>
      </c>
      <c r="CV79" s="8">
        <f>IF((0=1),(CV44-'Assumptions (edit)'!B4),"")</f>
      </c>
      <c r="CW79" s="8">
        <f>IF((0=1),(CW44-'Assumptions (edit)'!B4),"")</f>
      </c>
      <c r="CX79" s="8">
        <f>IF((0=1),(CX44-'Assumptions (edit)'!B4),"")</f>
      </c>
    </row>
    <row r="80">
      <c r="A80" s="0" t="inlineStr">
        <is>
          <t xml:space="preserve">Net of costs, bps</t>
        </is>
      </c>
      <c r="B80" s="0" t="inlineStr">
        <is>
          <t xml:space="preserve">Analyst Revision Momentum</t>
        </is>
      </c>
      <c r="C80" s="8">
        <f>IF((1=1),(C45-'Assumptions (edit)'!B4),"")</f>
        <v>-16.285</v>
      </c>
      <c r="D80" s="8">
        <f>IF((0=1),(D45-'Assumptions (edit)'!B4),"")</f>
      </c>
      <c r="E80" s="8">
        <f>IF((0=1),(E45-'Assumptions (edit)'!B4),"")</f>
      </c>
      <c r="F80" s="8">
        <f>IF((0=1),(F45-'Assumptions (edit)'!B4),"")</f>
      </c>
      <c r="G80" s="8">
        <f>IF((0=1),(G45-'Assumptions (edit)'!B4),"")</f>
      </c>
      <c r="H80" s="8">
        <f>IF((0=1),(H45-'Assumptions (edit)'!B4),"")</f>
      </c>
      <c r="I80" s="8">
        <f>IF((0=1),(I45-'Assumptions (edit)'!B4),"")</f>
      </c>
      <c r="J80" s="8">
        <f>IF((0=1),(J45-'Assumptions (edit)'!B4),"")</f>
      </c>
      <c r="K80" s="8">
        <f>IF((0=1),(K45-'Assumptions (edit)'!B4),"")</f>
      </c>
      <c r="L80" s="8">
        <f>IF((0=1),(L45-'Assumptions (edit)'!B4),"")</f>
      </c>
      <c r="M80" s="8">
        <f>IF((0=1),(M45-'Assumptions (edit)'!B4),"")</f>
      </c>
      <c r="N80" s="8">
        <f>IF((0=1),(N45-'Assumptions (edit)'!B4),"")</f>
      </c>
      <c r="O80" s="8">
        <f>IF((0=1),(O45-'Assumptions (edit)'!B4),"")</f>
      </c>
      <c r="P80" s="8">
        <f>IF((0=1),(P45-'Assumptions (edit)'!B4),"")</f>
      </c>
      <c r="Q80" s="8">
        <f>IF((0=1),(Q45-'Assumptions (edit)'!B4),"")</f>
      </c>
      <c r="R80" s="8">
        <f>IF((0=1),(R45-'Assumptions (edit)'!B4),"")</f>
      </c>
      <c r="S80" s="8">
        <f>IF((0=1),(S45-'Assumptions (edit)'!B4),"")</f>
      </c>
      <c r="T80" s="8">
        <f>IF((0=1),(T45-'Assumptions (edit)'!B4),"")</f>
      </c>
      <c r="U80" s="8">
        <f>IF((0=1),(U45-'Assumptions (edit)'!B4),"")</f>
      </c>
      <c r="V80" s="8">
        <f>IF((0=1),(V45-'Assumptions (edit)'!B4),"")</f>
      </c>
      <c r="W80" s="8">
        <f>IF((0=1),(W45-'Assumptions (edit)'!B4),"")</f>
      </c>
      <c r="X80" s="8">
        <f>IF((0=1),(X45-'Assumptions (edit)'!B4),"")</f>
      </c>
      <c r="Y80" s="8">
        <f>IF((0=1),(Y45-'Assumptions (edit)'!B4),"")</f>
      </c>
      <c r="Z80" s="8">
        <f>IF((0=1),(Z45-'Assumptions (edit)'!B4),"")</f>
      </c>
      <c r="AA80" s="8">
        <f>IF((0=1),(AA45-'Assumptions (edit)'!B4),"")</f>
      </c>
      <c r="AB80" s="8">
        <f>IF((0=1),(AB45-'Assumptions (edit)'!B4),"")</f>
      </c>
      <c r="AC80" s="8">
        <f>IF((0=1),(AC45-'Assumptions (edit)'!B4),"")</f>
      </c>
      <c r="AD80" s="8">
        <f>IF((0=1),(AD45-'Assumptions (edit)'!B4),"")</f>
      </c>
      <c r="AE80" s="8">
        <f>IF((0=1),(AE45-'Assumptions (edit)'!B4),"")</f>
      </c>
      <c r="AF80" s="8">
        <f>IF((0=1),(AF45-'Assumptions (edit)'!B4),"")</f>
      </c>
      <c r="AG80" s="8">
        <f>IF((0=1),(AG45-'Assumptions (edit)'!B4),"")</f>
      </c>
      <c r="AH80" s="8">
        <f>IF((0=1),(AH45-'Assumptions (edit)'!B4),"")</f>
      </c>
      <c r="AI80" s="8">
        <f>IF((0=1),(AI45-'Assumptions (edit)'!B4),"")</f>
      </c>
      <c r="AJ80" s="8">
        <f>IF((0=1),(AJ45-'Assumptions (edit)'!B4),"")</f>
      </c>
      <c r="AK80" s="8">
        <f>IF((0=1),(AK45-'Assumptions (edit)'!B4),"")</f>
      </c>
      <c r="AL80" s="8">
        <f>IF((0=1),(AL45-'Assumptions (edit)'!B4),"")</f>
      </c>
      <c r="AM80" s="8">
        <f>IF((0=1),(AM45-'Assumptions (edit)'!B4),"")</f>
      </c>
      <c r="AN80" s="8">
        <f>IF((0=1),(AN45-'Assumptions (edit)'!B4),"")</f>
      </c>
      <c r="AO80" s="8">
        <f>IF((0=1),(AO45-'Assumptions (edit)'!B4),"")</f>
      </c>
      <c r="AP80" s="8">
        <f>IF((0=1),(AP45-'Assumptions (edit)'!B4),"")</f>
      </c>
      <c r="AQ80" s="8">
        <f>IF((0=1),(AQ45-'Assumptions (edit)'!B4),"")</f>
      </c>
      <c r="AR80" s="8">
        <f>IF((0=1),(AR45-'Assumptions (edit)'!B4),"")</f>
      </c>
      <c r="AS80" s="8">
        <f>IF((0=1),(AS45-'Assumptions (edit)'!B4),"")</f>
      </c>
      <c r="AT80" s="8">
        <f>IF((0=1),(AT45-'Assumptions (edit)'!B4),"")</f>
      </c>
      <c r="AU80" s="8">
        <f>IF((0=1),(AU45-'Assumptions (edit)'!B4),"")</f>
      </c>
      <c r="AV80" s="8">
        <f>IF((0=1),(AV45-'Assumptions (edit)'!B4),"")</f>
      </c>
      <c r="AW80" s="8">
        <f>IF((0=1),(AW45-'Assumptions (edit)'!B4),"")</f>
      </c>
      <c r="AX80" s="8">
        <f>IF((0=1),(AX45-'Assumptions (edit)'!B4),"")</f>
      </c>
      <c r="AY80" s="8">
        <f>IF((0=1),(AY45-'Assumptions (edit)'!B4),"")</f>
      </c>
      <c r="AZ80" s="8">
        <f>IF((0=1),(AZ45-'Assumptions (edit)'!B4),"")</f>
      </c>
      <c r="BA80" s="8">
        <f>IF((0=1),(BA45-'Assumptions (edit)'!B4),"")</f>
      </c>
      <c r="BB80" s="8">
        <f>IF((0=1),(BB45-'Assumptions (edit)'!B4),"")</f>
      </c>
      <c r="BC80" s="8">
        <f>IF((0=1),(BC45-'Assumptions (edit)'!B4),"")</f>
      </c>
      <c r="BD80" s="8">
        <f>IF((0=1),(BD45-'Assumptions (edit)'!B4),"")</f>
      </c>
      <c r="BE80" s="8">
        <f>IF((0=1),(BE45-'Assumptions (edit)'!B4),"")</f>
      </c>
      <c r="BF80" s="8">
        <f>IF((0=1),(BF45-'Assumptions (edit)'!B4),"")</f>
      </c>
      <c r="BG80" s="8">
        <f>IF((0=1),(BG45-'Assumptions (edit)'!B4),"")</f>
      </c>
      <c r="BH80" s="8">
        <f>IF((0=1),(BH45-'Assumptions (edit)'!B4),"")</f>
      </c>
      <c r="BI80" s="8">
        <f>IF((0=1),(BI45-'Assumptions (edit)'!B4),"")</f>
      </c>
      <c r="BJ80" s="8">
        <f>IF((0=1),(BJ45-'Assumptions (edit)'!B4),"")</f>
      </c>
      <c r="BK80" s="8">
        <f>IF((0=1),(BK45-'Assumptions (edit)'!B4),"")</f>
      </c>
      <c r="BL80" s="8">
        <f>IF((0=1),(BL45-'Assumptions (edit)'!B4),"")</f>
      </c>
      <c r="BM80" s="8">
        <f>IF((0=1),(BM45-'Assumptions (edit)'!B4),"")</f>
      </c>
      <c r="BN80" s="8">
        <f>IF((0=1),(BN45-'Assumptions (edit)'!B4),"")</f>
      </c>
      <c r="BO80" s="8">
        <f>IF((0=1),(BO45-'Assumptions (edit)'!B4),"")</f>
      </c>
      <c r="BP80" s="8">
        <f>IF((0=1),(BP45-'Assumptions (edit)'!B4),"")</f>
      </c>
      <c r="BQ80" s="8">
        <f>IF((0=1),(BQ45-'Assumptions (edit)'!B4),"")</f>
      </c>
      <c r="BR80" s="8">
        <f>IF((0=1),(BR45-'Assumptions (edit)'!B4),"")</f>
      </c>
      <c r="BS80" s="8">
        <f>IF((0=1),(BS45-'Assumptions (edit)'!B4),"")</f>
      </c>
      <c r="BT80" s="8">
        <f>IF((0=1),(BT45-'Assumptions (edit)'!B4),"")</f>
      </c>
      <c r="BU80" s="8">
        <f>IF((0=1),(BU45-'Assumptions (edit)'!B4),"")</f>
      </c>
      <c r="BV80" s="8">
        <f>IF((0=1),(BV45-'Assumptions (edit)'!B4),"")</f>
      </c>
      <c r="BW80" s="8">
        <f>IF((0=1),(BW45-'Assumptions (edit)'!B4),"")</f>
      </c>
      <c r="BX80" s="8">
        <f>IF((0=1),(BX45-'Assumptions (edit)'!B4),"")</f>
      </c>
      <c r="BY80" s="8">
        <f>IF((0=1),(BY45-'Assumptions (edit)'!B4),"")</f>
      </c>
      <c r="BZ80" s="8">
        <f>IF((0=1),(BZ45-'Assumptions (edit)'!B4),"")</f>
      </c>
      <c r="CA80" s="8">
        <f>IF((0=1),(CA45-'Assumptions (edit)'!B4),"")</f>
      </c>
      <c r="CB80" s="8">
        <f>IF((0=1),(CB45-'Assumptions (edit)'!B4),"")</f>
      </c>
      <c r="CC80" s="8">
        <f>IF((0=1),(CC45-'Assumptions (edit)'!B4),"")</f>
      </c>
      <c r="CD80" s="8">
        <f>IF((0=1),(CD45-'Assumptions (edit)'!B4),"")</f>
      </c>
      <c r="CE80" s="8">
        <f>IF((0=1),(CE45-'Assumptions (edit)'!B4),"")</f>
      </c>
      <c r="CF80" s="8">
        <f>IF((0=1),(CF45-'Assumptions (edit)'!B4),"")</f>
      </c>
      <c r="CG80" s="8">
        <f>IF((0=1),(CG45-'Assumptions (edit)'!B4),"")</f>
      </c>
      <c r="CH80" s="8">
        <f>IF((0=1),(CH45-'Assumptions (edit)'!B4),"")</f>
      </c>
      <c r="CI80" s="8">
        <f>IF((0=1),(CI45-'Assumptions (edit)'!B4),"")</f>
      </c>
      <c r="CJ80" s="8">
        <f>IF((0=1),(CJ45-'Assumptions (edit)'!B4),"")</f>
      </c>
      <c r="CK80" s="8">
        <f>IF((0=1),(CK45-'Assumptions (edit)'!B4),"")</f>
      </c>
      <c r="CL80" s="8">
        <f>IF((0=1),(CL45-'Assumptions (edit)'!B4),"")</f>
      </c>
      <c r="CM80" s="8">
        <f>IF((0=1),(CM45-'Assumptions (edit)'!B4),"")</f>
      </c>
      <c r="CN80" s="8">
        <f>IF((0=1),(CN45-'Assumptions (edit)'!B4),"")</f>
      </c>
      <c r="CO80" s="8">
        <f>IF((0=1),(CO45-'Assumptions (edit)'!B4),"")</f>
      </c>
      <c r="CP80" s="8">
        <f>IF((0=1),(CP45-'Assumptions (edit)'!B4),"")</f>
      </c>
      <c r="CQ80" s="8">
        <f>IF((0=1),(CQ45-'Assumptions (edit)'!B4),"")</f>
      </c>
      <c r="CR80" s="8">
        <f>IF((0=1),(CR45-'Assumptions (edit)'!B4),"")</f>
      </c>
      <c r="CS80" s="8">
        <f>IF((0=1),(CS45-'Assumptions (edit)'!B4),"")</f>
      </c>
      <c r="CT80" s="8">
        <f>IF((0=1),(CT45-'Assumptions (edit)'!B4),"")</f>
      </c>
      <c r="CU80" s="8">
        <f>IF((0=1),(CU45-'Assumptions (edit)'!B4),"")</f>
      </c>
      <c r="CV80" s="8">
        <f>IF((0=1),(CV45-'Assumptions (edit)'!B4),"")</f>
      </c>
      <c r="CW80" s="8">
        <f>IF((0=1),(CW45-'Assumptions (edit)'!B4),"")</f>
      </c>
      <c r="CX80" s="8">
        <f>IF((0=1),(CX45-'Assumptions (edit)'!B4),"")</f>
      </c>
    </row>
    <row r="81">
      <c r="A81" s="0" t="inlineStr">
        <is>
          <t xml:space="preserve">Net of costs, bps</t>
        </is>
      </c>
      <c r="B81" s="0" t="inlineStr">
        <is>
          <t xml:space="preserve">Clustered Insider Buying</t>
        </is>
      </c>
      <c r="C81" s="8">
        <f>IF((1=1),(C46-'Assumptions (edit)'!B4),"")</f>
        <v>4.195</v>
      </c>
      <c r="D81" s="8">
        <f>IF((0=1),(D46-'Assumptions (edit)'!B4),"")</f>
      </c>
      <c r="E81" s="8">
        <f>IF((0=1),(E46-'Assumptions (edit)'!B4),"")</f>
      </c>
      <c r="F81" s="8">
        <f>IF((0=1),(F46-'Assumptions (edit)'!B4),"")</f>
      </c>
      <c r="G81" s="8">
        <f>IF((0=1),(G46-'Assumptions (edit)'!B4),"")</f>
      </c>
      <c r="H81" s="8">
        <f>IF((0=1),(H46-'Assumptions (edit)'!B4),"")</f>
      </c>
      <c r="I81" s="8">
        <f>IF((0=1),(I46-'Assumptions (edit)'!B4),"")</f>
      </c>
      <c r="J81" s="8">
        <f>IF((0=1),(J46-'Assumptions (edit)'!B4),"")</f>
      </c>
      <c r="K81" s="8">
        <f>IF((0=1),(K46-'Assumptions (edit)'!B4),"")</f>
      </c>
      <c r="L81" s="8">
        <f>IF((0=1),(L46-'Assumptions (edit)'!B4),"")</f>
      </c>
      <c r="M81" s="8">
        <f>IF((0=1),(M46-'Assumptions (edit)'!B4),"")</f>
      </c>
      <c r="N81" s="8">
        <f>IF((0=1),(N46-'Assumptions (edit)'!B4),"")</f>
      </c>
      <c r="O81" s="8">
        <f>IF((0=1),(O46-'Assumptions (edit)'!B4),"")</f>
      </c>
      <c r="P81" s="8">
        <f>IF((0=1),(P46-'Assumptions (edit)'!B4),"")</f>
      </c>
      <c r="Q81" s="8">
        <f>IF((0=1),(Q46-'Assumptions (edit)'!B4),"")</f>
      </c>
      <c r="R81" s="8">
        <f>IF((0=1),(R46-'Assumptions (edit)'!B4),"")</f>
      </c>
      <c r="S81" s="8">
        <f>IF((0=1),(S46-'Assumptions (edit)'!B4),"")</f>
      </c>
      <c r="T81" s="8">
        <f>IF((0=1),(T46-'Assumptions (edit)'!B4),"")</f>
      </c>
      <c r="U81" s="8">
        <f>IF((0=1),(U46-'Assumptions (edit)'!B4),"")</f>
      </c>
      <c r="V81" s="8">
        <f>IF((0=1),(V46-'Assumptions (edit)'!B4),"")</f>
      </c>
      <c r="W81" s="8">
        <f>IF((0=1),(W46-'Assumptions (edit)'!B4),"")</f>
      </c>
      <c r="X81" s="8">
        <f>IF((0=1),(X46-'Assumptions (edit)'!B4),"")</f>
      </c>
      <c r="Y81" s="8">
        <f>IF((0=1),(Y46-'Assumptions (edit)'!B4),"")</f>
      </c>
      <c r="Z81" s="8">
        <f>IF((0=1),(Z46-'Assumptions (edit)'!B4),"")</f>
      </c>
      <c r="AA81" s="8">
        <f>IF((0=1),(AA46-'Assumptions (edit)'!B4),"")</f>
      </c>
      <c r="AB81" s="8">
        <f>IF((0=1),(AB46-'Assumptions (edit)'!B4),"")</f>
      </c>
      <c r="AC81" s="8">
        <f>IF((0=1),(AC46-'Assumptions (edit)'!B4),"")</f>
      </c>
      <c r="AD81" s="8">
        <f>IF((0=1),(AD46-'Assumptions (edit)'!B4),"")</f>
      </c>
      <c r="AE81" s="8">
        <f>IF((0=1),(AE46-'Assumptions (edit)'!B4),"")</f>
      </c>
      <c r="AF81" s="8">
        <f>IF((0=1),(AF46-'Assumptions (edit)'!B4),"")</f>
      </c>
      <c r="AG81" s="8">
        <f>IF((0=1),(AG46-'Assumptions (edit)'!B4),"")</f>
      </c>
      <c r="AH81" s="8">
        <f>IF((0=1),(AH46-'Assumptions (edit)'!B4),"")</f>
      </c>
      <c r="AI81" s="8">
        <f>IF((0=1),(AI46-'Assumptions (edit)'!B4),"")</f>
      </c>
      <c r="AJ81" s="8">
        <f>IF((0=1),(AJ46-'Assumptions (edit)'!B4),"")</f>
      </c>
      <c r="AK81" s="8">
        <f>IF((0=1),(AK46-'Assumptions (edit)'!B4),"")</f>
      </c>
      <c r="AL81" s="8">
        <f>IF((0=1),(AL46-'Assumptions (edit)'!B4),"")</f>
      </c>
      <c r="AM81" s="8">
        <f>IF((0=1),(AM46-'Assumptions (edit)'!B4),"")</f>
      </c>
      <c r="AN81" s="8">
        <f>IF((0=1),(AN46-'Assumptions (edit)'!B4),"")</f>
      </c>
      <c r="AO81" s="8">
        <f>IF((0=1),(AO46-'Assumptions (edit)'!B4),"")</f>
      </c>
      <c r="AP81" s="8">
        <f>IF((0=1),(AP46-'Assumptions (edit)'!B4),"")</f>
      </c>
      <c r="AQ81" s="8">
        <f>IF((0=1),(AQ46-'Assumptions (edit)'!B4),"")</f>
      </c>
      <c r="AR81" s="8">
        <f>IF((0=1),(AR46-'Assumptions (edit)'!B4),"")</f>
      </c>
      <c r="AS81" s="8">
        <f>IF((0=1),(AS46-'Assumptions (edit)'!B4),"")</f>
      </c>
      <c r="AT81" s="8">
        <f>IF((0=1),(AT46-'Assumptions (edit)'!B4),"")</f>
      </c>
      <c r="AU81" s="8">
        <f>IF((0=1),(AU46-'Assumptions (edit)'!B4),"")</f>
      </c>
      <c r="AV81" s="8">
        <f>IF((0=1),(AV46-'Assumptions (edit)'!B4),"")</f>
      </c>
      <c r="AW81" s="8">
        <f>IF((0=1),(AW46-'Assumptions (edit)'!B4),"")</f>
      </c>
      <c r="AX81" s="8">
        <f>IF((0=1),(AX46-'Assumptions (edit)'!B4),"")</f>
      </c>
      <c r="AY81" s="8">
        <f>IF((0=1),(AY46-'Assumptions (edit)'!B4),"")</f>
      </c>
      <c r="AZ81" s="8">
        <f>IF((0=1),(AZ46-'Assumptions (edit)'!B4),"")</f>
      </c>
      <c r="BA81" s="8">
        <f>IF((0=1),(BA46-'Assumptions (edit)'!B4),"")</f>
      </c>
      <c r="BB81" s="8">
        <f>IF((0=1),(BB46-'Assumptions (edit)'!B4),"")</f>
      </c>
      <c r="BC81" s="8">
        <f>IF((0=1),(BC46-'Assumptions (edit)'!B4),"")</f>
      </c>
      <c r="BD81" s="8">
        <f>IF((0=1),(BD46-'Assumptions (edit)'!B4),"")</f>
      </c>
      <c r="BE81" s="8">
        <f>IF((0=1),(BE46-'Assumptions (edit)'!B4),"")</f>
      </c>
      <c r="BF81" s="8">
        <f>IF((0=1),(BF46-'Assumptions (edit)'!B4),"")</f>
      </c>
      <c r="BG81" s="8">
        <f>IF((0=1),(BG46-'Assumptions (edit)'!B4),"")</f>
      </c>
      <c r="BH81" s="8">
        <f>IF((0=1),(BH46-'Assumptions (edit)'!B4),"")</f>
      </c>
      <c r="BI81" s="8">
        <f>IF((0=1),(BI46-'Assumptions (edit)'!B4),"")</f>
      </c>
      <c r="BJ81" s="8">
        <f>IF((0=1),(BJ46-'Assumptions (edit)'!B4),"")</f>
      </c>
      <c r="BK81" s="8">
        <f>IF((0=1),(BK46-'Assumptions (edit)'!B4),"")</f>
      </c>
      <c r="BL81" s="8">
        <f>IF((0=1),(BL46-'Assumptions (edit)'!B4),"")</f>
      </c>
      <c r="BM81" s="8">
        <f>IF((0=1),(BM46-'Assumptions (edit)'!B4),"")</f>
      </c>
      <c r="BN81" s="8">
        <f>IF((0=1),(BN46-'Assumptions (edit)'!B4),"")</f>
      </c>
      <c r="BO81" s="8">
        <f>IF((0=1),(BO46-'Assumptions (edit)'!B4),"")</f>
      </c>
      <c r="BP81" s="8">
        <f>IF((0=1),(BP46-'Assumptions (edit)'!B4),"")</f>
      </c>
      <c r="BQ81" s="8">
        <f>IF((0=1),(BQ46-'Assumptions (edit)'!B4),"")</f>
      </c>
      <c r="BR81" s="8">
        <f>IF((0=1),(BR46-'Assumptions (edit)'!B4),"")</f>
      </c>
      <c r="BS81" s="8">
        <f>IF((0=1),(BS46-'Assumptions (edit)'!B4),"")</f>
      </c>
      <c r="BT81" s="8">
        <f>IF((0=1),(BT46-'Assumptions (edit)'!B4),"")</f>
      </c>
      <c r="BU81" s="8">
        <f>IF((0=1),(BU46-'Assumptions (edit)'!B4),"")</f>
      </c>
      <c r="BV81" s="8">
        <f>IF((0=1),(BV46-'Assumptions (edit)'!B4),"")</f>
      </c>
      <c r="BW81" s="8">
        <f>IF((0=1),(BW46-'Assumptions (edit)'!B4),"")</f>
      </c>
      <c r="BX81" s="8">
        <f>IF((0=1),(BX46-'Assumptions (edit)'!B4),"")</f>
      </c>
      <c r="BY81" s="8">
        <f>IF((0=1),(BY46-'Assumptions (edit)'!B4),"")</f>
      </c>
      <c r="BZ81" s="8">
        <f>IF((0=1),(BZ46-'Assumptions (edit)'!B4),"")</f>
      </c>
      <c r="CA81" s="8">
        <f>IF((0=1),(CA46-'Assumptions (edit)'!B4),"")</f>
      </c>
      <c r="CB81" s="8">
        <f>IF((0=1),(CB46-'Assumptions (edit)'!B4),"")</f>
      </c>
      <c r="CC81" s="8">
        <f>IF((0=1),(CC46-'Assumptions (edit)'!B4),"")</f>
      </c>
      <c r="CD81" s="8">
        <f>IF((0=1),(CD46-'Assumptions (edit)'!B4),"")</f>
      </c>
      <c r="CE81" s="8">
        <f>IF((0=1),(CE46-'Assumptions (edit)'!B4),"")</f>
      </c>
      <c r="CF81" s="8">
        <f>IF((0=1),(CF46-'Assumptions (edit)'!B4),"")</f>
      </c>
      <c r="CG81" s="8">
        <f>IF((0=1),(CG46-'Assumptions (edit)'!B4),"")</f>
      </c>
      <c r="CH81" s="8">
        <f>IF((0=1),(CH46-'Assumptions (edit)'!B4),"")</f>
      </c>
      <c r="CI81" s="8">
        <f>IF((0=1),(CI46-'Assumptions (edit)'!B4),"")</f>
      </c>
      <c r="CJ81" s="8">
        <f>IF((0=1),(CJ46-'Assumptions (edit)'!B4),"")</f>
      </c>
      <c r="CK81" s="8">
        <f>IF((0=1),(CK46-'Assumptions (edit)'!B4),"")</f>
      </c>
      <c r="CL81" s="8">
        <f>IF((0=1),(CL46-'Assumptions (edit)'!B4),"")</f>
      </c>
      <c r="CM81" s="8">
        <f>IF((0=1),(CM46-'Assumptions (edit)'!B4),"")</f>
      </c>
      <c r="CN81" s="8">
        <f>IF((0=1),(CN46-'Assumptions (edit)'!B4),"")</f>
      </c>
      <c r="CO81" s="8">
        <f>IF((0=1),(CO46-'Assumptions (edit)'!B4),"")</f>
      </c>
      <c r="CP81" s="8">
        <f>IF((0=1),(CP46-'Assumptions (edit)'!B4),"")</f>
      </c>
      <c r="CQ81" s="8">
        <f>IF((0=1),(CQ46-'Assumptions (edit)'!B4),"")</f>
      </c>
      <c r="CR81" s="8">
        <f>IF((0=1),(CR46-'Assumptions (edit)'!B4),"")</f>
      </c>
      <c r="CS81" s="8">
        <f>IF((0=1),(CS46-'Assumptions (edit)'!B4),"")</f>
      </c>
      <c r="CT81" s="8">
        <f>IF((0=1),(CT46-'Assumptions (edit)'!B4),"")</f>
      </c>
      <c r="CU81" s="8">
        <f>IF((0=1),(CU46-'Assumptions (edit)'!B4),"")</f>
      </c>
      <c r="CV81" s="8">
        <f>IF((0=1),(CV46-'Assumptions (edit)'!B4),"")</f>
      </c>
      <c r="CW81" s="8">
        <f>IF((0=1),(CW46-'Assumptions (edit)'!B4),"")</f>
      </c>
      <c r="CX81" s="8">
        <f>IF((0=1),(CX46-'Assumptions (edit)'!B4),"")</f>
      </c>
    </row>
    <row r="82">
      <c r="A82" s="0" t="inlineStr">
        <is>
          <t xml:space="preserve">Net of costs, bps</t>
        </is>
      </c>
      <c r="B82" s="0" t="inlineStr">
        <is>
          <t xml:space="preserve">Same-Month Seasonality</t>
        </is>
      </c>
      <c r="C82" s="8">
        <f>IF((1=1),(C47-'Assumptions (edit)'!B4),"")</f>
        <v>-18.298000000000002</v>
      </c>
      <c r="D82" s="8">
        <f>IF((0=1),(D47-'Assumptions (edit)'!B4),"")</f>
      </c>
      <c r="E82" s="8">
        <f>IF((0=1),(E47-'Assumptions (edit)'!B4),"")</f>
      </c>
      <c r="F82" s="8">
        <f>IF((0=1),(F47-'Assumptions (edit)'!B4),"")</f>
      </c>
      <c r="G82" s="8">
        <f>IF((0=1),(G47-'Assumptions (edit)'!B4),"")</f>
      </c>
      <c r="H82" s="8">
        <f>IF((0=1),(H47-'Assumptions (edit)'!B4),"")</f>
      </c>
      <c r="I82" s="8">
        <f>IF((0=1),(I47-'Assumptions (edit)'!B4),"")</f>
      </c>
      <c r="J82" s="8">
        <f>IF((0=1),(J47-'Assumptions (edit)'!B4),"")</f>
      </c>
      <c r="K82" s="8">
        <f>IF((0=1),(K47-'Assumptions (edit)'!B4),"")</f>
      </c>
      <c r="L82" s="8">
        <f>IF((0=1),(L47-'Assumptions (edit)'!B4),"")</f>
      </c>
      <c r="M82" s="8">
        <f>IF((0=1),(M47-'Assumptions (edit)'!B4),"")</f>
      </c>
      <c r="N82" s="8">
        <f>IF((0=1),(N47-'Assumptions (edit)'!B4),"")</f>
      </c>
      <c r="O82" s="8">
        <f>IF((0=1),(O47-'Assumptions (edit)'!B4),"")</f>
      </c>
      <c r="P82" s="8">
        <f>IF((0=1),(P47-'Assumptions (edit)'!B4),"")</f>
      </c>
      <c r="Q82" s="8">
        <f>IF((0=1),(Q47-'Assumptions (edit)'!B4),"")</f>
      </c>
      <c r="R82" s="8">
        <f>IF((0=1),(R47-'Assumptions (edit)'!B4),"")</f>
      </c>
      <c r="S82" s="8">
        <f>IF((0=1),(S47-'Assumptions (edit)'!B4),"")</f>
      </c>
      <c r="T82" s="8">
        <f>IF((0=1),(T47-'Assumptions (edit)'!B4),"")</f>
      </c>
      <c r="U82" s="8">
        <f>IF((0=1),(U47-'Assumptions (edit)'!B4),"")</f>
      </c>
      <c r="V82" s="8">
        <f>IF((0=1),(V47-'Assumptions (edit)'!B4),"")</f>
      </c>
      <c r="W82" s="8">
        <f>IF((0=1),(W47-'Assumptions (edit)'!B4),"")</f>
      </c>
      <c r="X82" s="8">
        <f>IF((0=1),(X47-'Assumptions (edit)'!B4),"")</f>
      </c>
      <c r="Y82" s="8">
        <f>IF((0=1),(Y47-'Assumptions (edit)'!B4),"")</f>
      </c>
      <c r="Z82" s="8">
        <f>IF((0=1),(Z47-'Assumptions (edit)'!B4),"")</f>
      </c>
      <c r="AA82" s="8">
        <f>IF((0=1),(AA47-'Assumptions (edit)'!B4),"")</f>
      </c>
      <c r="AB82" s="8">
        <f>IF((0=1),(AB47-'Assumptions (edit)'!B4),"")</f>
      </c>
      <c r="AC82" s="8">
        <f>IF((0=1),(AC47-'Assumptions (edit)'!B4),"")</f>
      </c>
      <c r="AD82" s="8">
        <f>IF((0=1),(AD47-'Assumptions (edit)'!B4),"")</f>
      </c>
      <c r="AE82" s="8">
        <f>IF((0=1),(AE47-'Assumptions (edit)'!B4),"")</f>
      </c>
      <c r="AF82" s="8">
        <f>IF((0=1),(AF47-'Assumptions (edit)'!B4),"")</f>
      </c>
      <c r="AG82" s="8">
        <f>IF((0=1),(AG47-'Assumptions (edit)'!B4),"")</f>
      </c>
      <c r="AH82" s="8">
        <f>IF((0=1),(AH47-'Assumptions (edit)'!B4),"")</f>
      </c>
      <c r="AI82" s="8">
        <f>IF((0=1),(AI47-'Assumptions (edit)'!B4),"")</f>
      </c>
      <c r="AJ82" s="8">
        <f>IF((0=1),(AJ47-'Assumptions (edit)'!B4),"")</f>
      </c>
      <c r="AK82" s="8">
        <f>IF((0=1),(AK47-'Assumptions (edit)'!B4),"")</f>
      </c>
      <c r="AL82" s="8">
        <f>IF((0=1),(AL47-'Assumptions (edit)'!B4),"")</f>
      </c>
      <c r="AM82" s="8">
        <f>IF((0=1),(AM47-'Assumptions (edit)'!B4),"")</f>
      </c>
      <c r="AN82" s="8">
        <f>IF((0=1),(AN47-'Assumptions (edit)'!B4),"")</f>
      </c>
      <c r="AO82" s="8">
        <f>IF((0=1),(AO47-'Assumptions (edit)'!B4),"")</f>
      </c>
      <c r="AP82" s="8">
        <f>IF((0=1),(AP47-'Assumptions (edit)'!B4),"")</f>
      </c>
      <c r="AQ82" s="8">
        <f>IF((0=1),(AQ47-'Assumptions (edit)'!B4),"")</f>
      </c>
      <c r="AR82" s="8">
        <f>IF((0=1),(AR47-'Assumptions (edit)'!B4),"")</f>
      </c>
      <c r="AS82" s="8">
        <f>IF((0=1),(AS47-'Assumptions (edit)'!B4),"")</f>
      </c>
      <c r="AT82" s="8">
        <f>IF((0=1),(AT47-'Assumptions (edit)'!B4),"")</f>
      </c>
      <c r="AU82" s="8">
        <f>IF((0=1),(AU47-'Assumptions (edit)'!B4),"")</f>
      </c>
      <c r="AV82" s="8">
        <f>IF((0=1),(AV47-'Assumptions (edit)'!B4),"")</f>
      </c>
      <c r="AW82" s="8">
        <f>IF((0=1),(AW47-'Assumptions (edit)'!B4),"")</f>
      </c>
      <c r="AX82" s="8">
        <f>IF((0=1),(AX47-'Assumptions (edit)'!B4),"")</f>
      </c>
      <c r="AY82" s="8">
        <f>IF((0=1),(AY47-'Assumptions (edit)'!B4),"")</f>
      </c>
      <c r="AZ82" s="8">
        <f>IF((0=1),(AZ47-'Assumptions (edit)'!B4),"")</f>
      </c>
      <c r="BA82" s="8">
        <f>IF((0=1),(BA47-'Assumptions (edit)'!B4),"")</f>
      </c>
      <c r="BB82" s="8">
        <f>IF((0=1),(BB47-'Assumptions (edit)'!B4),"")</f>
      </c>
      <c r="BC82" s="8">
        <f>IF((0=1),(BC47-'Assumptions (edit)'!B4),"")</f>
      </c>
      <c r="BD82" s="8">
        <f>IF((0=1),(BD47-'Assumptions (edit)'!B4),"")</f>
      </c>
      <c r="BE82" s="8">
        <f>IF((0=1),(BE47-'Assumptions (edit)'!B4),"")</f>
      </c>
      <c r="BF82" s="8">
        <f>IF((0=1),(BF47-'Assumptions (edit)'!B4),"")</f>
      </c>
      <c r="BG82" s="8">
        <f>IF((0=1),(BG47-'Assumptions (edit)'!B4),"")</f>
      </c>
      <c r="BH82" s="8">
        <f>IF((0=1),(BH47-'Assumptions (edit)'!B4),"")</f>
      </c>
      <c r="BI82" s="8">
        <f>IF((0=1),(BI47-'Assumptions (edit)'!B4),"")</f>
      </c>
      <c r="BJ82" s="8">
        <f>IF((0=1),(BJ47-'Assumptions (edit)'!B4),"")</f>
      </c>
      <c r="BK82" s="8">
        <f>IF((0=1),(BK47-'Assumptions (edit)'!B4),"")</f>
      </c>
      <c r="BL82" s="8">
        <f>IF((0=1),(BL47-'Assumptions (edit)'!B4),"")</f>
      </c>
      <c r="BM82" s="8">
        <f>IF((0=1),(BM47-'Assumptions (edit)'!B4),"")</f>
      </c>
      <c r="BN82" s="8">
        <f>IF((0=1),(BN47-'Assumptions (edit)'!B4),"")</f>
      </c>
      <c r="BO82" s="8">
        <f>IF((0=1),(BO47-'Assumptions (edit)'!B4),"")</f>
      </c>
      <c r="BP82" s="8">
        <f>IF((0=1),(BP47-'Assumptions (edit)'!B4),"")</f>
      </c>
      <c r="BQ82" s="8">
        <f>IF((0=1),(BQ47-'Assumptions (edit)'!B4),"")</f>
      </c>
      <c r="BR82" s="8">
        <f>IF((0=1),(BR47-'Assumptions (edit)'!B4),"")</f>
      </c>
      <c r="BS82" s="8">
        <f>IF((0=1),(BS47-'Assumptions (edit)'!B4),"")</f>
      </c>
      <c r="BT82" s="8">
        <f>IF((0=1),(BT47-'Assumptions (edit)'!B4),"")</f>
      </c>
      <c r="BU82" s="8">
        <f>IF((0=1),(BU47-'Assumptions (edit)'!B4),"")</f>
      </c>
      <c r="BV82" s="8">
        <f>IF((0=1),(BV47-'Assumptions (edit)'!B4),"")</f>
      </c>
      <c r="BW82" s="8">
        <f>IF((0=1),(BW47-'Assumptions (edit)'!B4),"")</f>
      </c>
      <c r="BX82" s="8">
        <f>IF((0=1),(BX47-'Assumptions (edit)'!B4),"")</f>
      </c>
      <c r="BY82" s="8">
        <f>IF((0=1),(BY47-'Assumptions (edit)'!B4),"")</f>
      </c>
      <c r="BZ82" s="8">
        <f>IF((0=1),(BZ47-'Assumptions (edit)'!B4),"")</f>
      </c>
      <c r="CA82" s="8">
        <f>IF((0=1),(CA47-'Assumptions (edit)'!B4),"")</f>
      </c>
      <c r="CB82" s="8">
        <f>IF((0=1),(CB47-'Assumptions (edit)'!B4),"")</f>
      </c>
      <c r="CC82" s="8">
        <f>IF((0=1),(CC47-'Assumptions (edit)'!B4),"")</f>
      </c>
      <c r="CD82" s="8">
        <f>IF((0=1),(CD47-'Assumptions (edit)'!B4),"")</f>
      </c>
      <c r="CE82" s="8">
        <f>IF((0=1),(CE47-'Assumptions (edit)'!B4),"")</f>
      </c>
      <c r="CF82" s="8">
        <f>IF((0=1),(CF47-'Assumptions (edit)'!B4),"")</f>
      </c>
      <c r="CG82" s="8">
        <f>IF((0=1),(CG47-'Assumptions (edit)'!B4),"")</f>
      </c>
      <c r="CH82" s="8">
        <f>IF((0=1),(CH47-'Assumptions (edit)'!B4),"")</f>
      </c>
      <c r="CI82" s="8">
        <f>IF((0=1),(CI47-'Assumptions (edit)'!B4),"")</f>
      </c>
      <c r="CJ82" s="8">
        <f>IF((0=1),(CJ47-'Assumptions (edit)'!B4),"")</f>
      </c>
      <c r="CK82" s="8">
        <f>IF((0=1),(CK47-'Assumptions (edit)'!B4),"")</f>
      </c>
      <c r="CL82" s="8">
        <f>IF((0=1),(CL47-'Assumptions (edit)'!B4),"")</f>
      </c>
      <c r="CM82" s="8">
        <f>IF((0=1),(CM47-'Assumptions (edit)'!B4),"")</f>
      </c>
      <c r="CN82" s="8">
        <f>IF((0=1),(CN47-'Assumptions (edit)'!B4),"")</f>
      </c>
      <c r="CO82" s="8">
        <f>IF((0=1),(CO47-'Assumptions (edit)'!B4),"")</f>
      </c>
      <c r="CP82" s="8">
        <f>IF((0=1),(CP47-'Assumptions (edit)'!B4),"")</f>
      </c>
      <c r="CQ82" s="8">
        <f>IF((0=1),(CQ47-'Assumptions (edit)'!B4),"")</f>
      </c>
      <c r="CR82" s="8">
        <f>IF((0=1),(CR47-'Assumptions (edit)'!B4),"")</f>
      </c>
      <c r="CS82" s="8">
        <f>IF((0=1),(CS47-'Assumptions (edit)'!B4),"")</f>
      </c>
      <c r="CT82" s="8">
        <f>IF((0=1),(CT47-'Assumptions (edit)'!B4),"")</f>
      </c>
      <c r="CU82" s="8">
        <f>IF((0=1),(CU47-'Assumptions (edit)'!B4),"")</f>
      </c>
      <c r="CV82" s="8">
        <f>IF((0=1),(CV47-'Assumptions (edit)'!B4),"")</f>
      </c>
      <c r="CW82" s="8">
        <f>IF((0=1),(CW47-'Assumptions (edit)'!B4),"")</f>
      </c>
      <c r="CX82" s="8">
        <f>IF((0=1),(CX47-'Assumptions (edit)'!B4),"")</f>
      </c>
    </row>
    <row r="83">
      <c r="A83" s="0" t="inlineStr">
        <is>
          <t xml:space="preserve">Net of costs, bps</t>
        </is>
      </c>
      <c r="B83" s="0" t="inlineStr">
        <is>
          <t xml:space="preserve">Quality at a Reasonable Price</t>
        </is>
      </c>
      <c r="C83" s="8">
        <f>IF((1=1),(C48-'Assumptions (edit)'!B4),"")</f>
        <v>0.1899999999999995</v>
      </c>
      <c r="D83" s="8">
        <f>IF((0=1),(D48-'Assumptions (edit)'!B4),"")</f>
      </c>
      <c r="E83" s="8">
        <f>IF((0=1),(E48-'Assumptions (edit)'!B4),"")</f>
      </c>
      <c r="F83" s="8">
        <f>IF((0=1),(F48-'Assumptions (edit)'!B4),"")</f>
      </c>
      <c r="G83" s="8">
        <f>IF((0=1),(G48-'Assumptions (edit)'!B4),"")</f>
      </c>
      <c r="H83" s="8">
        <f>IF((0=1),(H48-'Assumptions (edit)'!B4),"")</f>
      </c>
      <c r="I83" s="8">
        <f>IF((0=1),(I48-'Assumptions (edit)'!B4),"")</f>
      </c>
      <c r="J83" s="8">
        <f>IF((0=1),(J48-'Assumptions (edit)'!B4),"")</f>
      </c>
      <c r="K83" s="8">
        <f>IF((0=1),(K48-'Assumptions (edit)'!B4),"")</f>
      </c>
      <c r="L83" s="8">
        <f>IF((0=1),(L48-'Assumptions (edit)'!B4),"")</f>
      </c>
      <c r="M83" s="8">
        <f>IF((0=1),(M48-'Assumptions (edit)'!B4),"")</f>
      </c>
      <c r="N83" s="8">
        <f>IF((0=1),(N48-'Assumptions (edit)'!B4),"")</f>
      </c>
      <c r="O83" s="8">
        <f>IF((0=1),(O48-'Assumptions (edit)'!B4),"")</f>
      </c>
      <c r="P83" s="8">
        <f>IF((0=1),(P48-'Assumptions (edit)'!B4),"")</f>
      </c>
      <c r="Q83" s="8">
        <f>IF((0=1),(Q48-'Assumptions (edit)'!B4),"")</f>
      </c>
      <c r="R83" s="8">
        <f>IF((0=1),(R48-'Assumptions (edit)'!B4),"")</f>
      </c>
      <c r="S83" s="8">
        <f>IF((0=1),(S48-'Assumptions (edit)'!B4),"")</f>
      </c>
      <c r="T83" s="8">
        <f>IF((0=1),(T48-'Assumptions (edit)'!B4),"")</f>
      </c>
      <c r="U83" s="8">
        <f>IF((0=1),(U48-'Assumptions (edit)'!B4),"")</f>
      </c>
      <c r="V83" s="8">
        <f>IF((0=1),(V48-'Assumptions (edit)'!B4),"")</f>
      </c>
      <c r="W83" s="8">
        <f>IF((0=1),(W48-'Assumptions (edit)'!B4),"")</f>
      </c>
      <c r="X83" s="8">
        <f>IF((0=1),(X48-'Assumptions (edit)'!B4),"")</f>
      </c>
      <c r="Y83" s="8">
        <f>IF((0=1),(Y48-'Assumptions (edit)'!B4),"")</f>
      </c>
      <c r="Z83" s="8">
        <f>IF((0=1),(Z48-'Assumptions (edit)'!B4),"")</f>
      </c>
      <c r="AA83" s="8">
        <f>IF((0=1),(AA48-'Assumptions (edit)'!B4),"")</f>
      </c>
      <c r="AB83" s="8">
        <f>IF((0=1),(AB48-'Assumptions (edit)'!B4),"")</f>
      </c>
      <c r="AC83" s="8">
        <f>IF((0=1),(AC48-'Assumptions (edit)'!B4),"")</f>
      </c>
      <c r="AD83" s="8">
        <f>IF((0=1),(AD48-'Assumptions (edit)'!B4),"")</f>
      </c>
      <c r="AE83" s="8">
        <f>IF((0=1),(AE48-'Assumptions (edit)'!B4),"")</f>
      </c>
      <c r="AF83" s="8">
        <f>IF((0=1),(AF48-'Assumptions (edit)'!B4),"")</f>
      </c>
      <c r="AG83" s="8">
        <f>IF((0=1),(AG48-'Assumptions (edit)'!B4),"")</f>
      </c>
      <c r="AH83" s="8">
        <f>IF((0=1),(AH48-'Assumptions (edit)'!B4),"")</f>
      </c>
      <c r="AI83" s="8">
        <f>IF((0=1),(AI48-'Assumptions (edit)'!B4),"")</f>
      </c>
      <c r="AJ83" s="8">
        <f>IF((0=1),(AJ48-'Assumptions (edit)'!B4),"")</f>
      </c>
      <c r="AK83" s="8">
        <f>IF((0=1),(AK48-'Assumptions (edit)'!B4),"")</f>
      </c>
      <c r="AL83" s="8">
        <f>IF((0=1),(AL48-'Assumptions (edit)'!B4),"")</f>
      </c>
      <c r="AM83" s="8">
        <f>IF((0=1),(AM48-'Assumptions (edit)'!B4),"")</f>
      </c>
      <c r="AN83" s="8">
        <f>IF((0=1),(AN48-'Assumptions (edit)'!B4),"")</f>
      </c>
      <c r="AO83" s="8">
        <f>IF((0=1),(AO48-'Assumptions (edit)'!B4),"")</f>
      </c>
      <c r="AP83" s="8">
        <f>IF((0=1),(AP48-'Assumptions (edit)'!B4),"")</f>
      </c>
      <c r="AQ83" s="8">
        <f>IF((0=1),(AQ48-'Assumptions (edit)'!B4),"")</f>
      </c>
      <c r="AR83" s="8">
        <f>IF((0=1),(AR48-'Assumptions (edit)'!B4),"")</f>
      </c>
      <c r="AS83" s="8">
        <f>IF((0=1),(AS48-'Assumptions (edit)'!B4),"")</f>
      </c>
      <c r="AT83" s="8">
        <f>IF((0=1),(AT48-'Assumptions (edit)'!B4),"")</f>
      </c>
      <c r="AU83" s="8">
        <f>IF((0=1),(AU48-'Assumptions (edit)'!B4),"")</f>
      </c>
      <c r="AV83" s="8">
        <f>IF((0=1),(AV48-'Assumptions (edit)'!B4),"")</f>
      </c>
      <c r="AW83" s="8">
        <f>IF((0=1),(AW48-'Assumptions (edit)'!B4),"")</f>
      </c>
      <c r="AX83" s="8">
        <f>IF((0=1),(AX48-'Assumptions (edit)'!B4),"")</f>
      </c>
      <c r="AY83" s="8">
        <f>IF((0=1),(AY48-'Assumptions (edit)'!B4),"")</f>
      </c>
      <c r="AZ83" s="8">
        <f>IF((0=1),(AZ48-'Assumptions (edit)'!B4),"")</f>
      </c>
      <c r="BA83" s="8">
        <f>IF((0=1),(BA48-'Assumptions (edit)'!B4),"")</f>
      </c>
      <c r="BB83" s="8">
        <f>IF((0=1),(BB48-'Assumptions (edit)'!B4),"")</f>
      </c>
      <c r="BC83" s="8">
        <f>IF((0=1),(BC48-'Assumptions (edit)'!B4),"")</f>
      </c>
      <c r="BD83" s="8">
        <f>IF((0=1),(BD48-'Assumptions (edit)'!B4),"")</f>
      </c>
      <c r="BE83" s="8">
        <f>IF((0=1),(BE48-'Assumptions (edit)'!B4),"")</f>
      </c>
      <c r="BF83" s="8">
        <f>IF((0=1),(BF48-'Assumptions (edit)'!B4),"")</f>
      </c>
      <c r="BG83" s="8">
        <f>IF((0=1),(BG48-'Assumptions (edit)'!B4),"")</f>
      </c>
      <c r="BH83" s="8">
        <f>IF((0=1),(BH48-'Assumptions (edit)'!B4),"")</f>
      </c>
      <c r="BI83" s="8">
        <f>IF((0=1),(BI48-'Assumptions (edit)'!B4),"")</f>
      </c>
      <c r="BJ83" s="8">
        <f>IF((0=1),(BJ48-'Assumptions (edit)'!B4),"")</f>
      </c>
      <c r="BK83" s="8">
        <f>IF((0=1),(BK48-'Assumptions (edit)'!B4),"")</f>
      </c>
      <c r="BL83" s="8">
        <f>IF((0=1),(BL48-'Assumptions (edit)'!B4),"")</f>
      </c>
      <c r="BM83" s="8">
        <f>IF((0=1),(BM48-'Assumptions (edit)'!B4),"")</f>
      </c>
      <c r="BN83" s="8">
        <f>IF((0=1),(BN48-'Assumptions (edit)'!B4),"")</f>
      </c>
      <c r="BO83" s="8">
        <f>IF((0=1),(BO48-'Assumptions (edit)'!B4),"")</f>
      </c>
      <c r="BP83" s="8">
        <f>IF((0=1),(BP48-'Assumptions (edit)'!B4),"")</f>
      </c>
      <c r="BQ83" s="8">
        <f>IF((0=1),(BQ48-'Assumptions (edit)'!B4),"")</f>
      </c>
      <c r="BR83" s="8">
        <f>IF((0=1),(BR48-'Assumptions (edit)'!B4),"")</f>
      </c>
      <c r="BS83" s="8">
        <f>IF((0=1),(BS48-'Assumptions (edit)'!B4),"")</f>
      </c>
      <c r="BT83" s="8">
        <f>IF((0=1),(BT48-'Assumptions (edit)'!B4),"")</f>
      </c>
      <c r="BU83" s="8">
        <f>IF((0=1),(BU48-'Assumptions (edit)'!B4),"")</f>
      </c>
      <c r="BV83" s="8">
        <f>IF((0=1),(BV48-'Assumptions (edit)'!B4),"")</f>
      </c>
      <c r="BW83" s="8">
        <f>IF((0=1),(BW48-'Assumptions (edit)'!B4),"")</f>
      </c>
      <c r="BX83" s="8">
        <f>IF((0=1),(BX48-'Assumptions (edit)'!B4),"")</f>
      </c>
      <c r="BY83" s="8">
        <f>IF((0=1),(BY48-'Assumptions (edit)'!B4),"")</f>
      </c>
      <c r="BZ83" s="8">
        <f>IF((0=1),(BZ48-'Assumptions (edit)'!B4),"")</f>
      </c>
      <c r="CA83" s="8">
        <f>IF((0=1),(CA48-'Assumptions (edit)'!B4),"")</f>
      </c>
      <c r="CB83" s="8">
        <f>IF((0=1),(CB48-'Assumptions (edit)'!B4),"")</f>
      </c>
      <c r="CC83" s="8">
        <f>IF((0=1),(CC48-'Assumptions (edit)'!B4),"")</f>
      </c>
      <c r="CD83" s="8">
        <f>IF((0=1),(CD48-'Assumptions (edit)'!B4),"")</f>
      </c>
      <c r="CE83" s="8">
        <f>IF((0=1),(CE48-'Assumptions (edit)'!B4),"")</f>
      </c>
      <c r="CF83" s="8">
        <f>IF((0=1),(CF48-'Assumptions (edit)'!B4),"")</f>
      </c>
      <c r="CG83" s="8">
        <f>IF((0=1),(CG48-'Assumptions (edit)'!B4),"")</f>
      </c>
      <c r="CH83" s="8">
        <f>IF((0=1),(CH48-'Assumptions (edit)'!B4),"")</f>
      </c>
      <c r="CI83" s="8">
        <f>IF((0=1),(CI48-'Assumptions (edit)'!B4),"")</f>
      </c>
      <c r="CJ83" s="8">
        <f>IF((0=1),(CJ48-'Assumptions (edit)'!B4),"")</f>
      </c>
      <c r="CK83" s="8">
        <f>IF((0=1),(CK48-'Assumptions (edit)'!B4),"")</f>
      </c>
      <c r="CL83" s="8">
        <f>IF((0=1),(CL48-'Assumptions (edit)'!B4),"")</f>
      </c>
      <c r="CM83" s="8">
        <f>IF((0=1),(CM48-'Assumptions (edit)'!B4),"")</f>
      </c>
      <c r="CN83" s="8">
        <f>IF((0=1),(CN48-'Assumptions (edit)'!B4),"")</f>
      </c>
      <c r="CO83" s="8">
        <f>IF((0=1),(CO48-'Assumptions (edit)'!B4),"")</f>
      </c>
      <c r="CP83" s="8">
        <f>IF((0=1),(CP48-'Assumptions (edit)'!B4),"")</f>
      </c>
      <c r="CQ83" s="8">
        <f>IF((0=1),(CQ48-'Assumptions (edit)'!B4),"")</f>
      </c>
      <c r="CR83" s="8">
        <f>IF((0=1),(CR48-'Assumptions (edit)'!B4),"")</f>
      </c>
      <c r="CS83" s="8">
        <f>IF((0=1),(CS48-'Assumptions (edit)'!B4),"")</f>
      </c>
      <c r="CT83" s="8">
        <f>IF((0=1),(CT48-'Assumptions (edit)'!B4),"")</f>
      </c>
      <c r="CU83" s="8">
        <f>IF((0=1),(CU48-'Assumptions (edit)'!B4),"")</f>
      </c>
      <c r="CV83" s="8">
        <f>IF((0=1),(CV48-'Assumptions (edit)'!B4),"")</f>
      </c>
      <c r="CW83" s="8">
        <f>IF((0=1),(CW48-'Assumptions (edit)'!B4),"")</f>
      </c>
      <c r="CX83" s="8">
        <f>IF((0=1),(CX48-'Assumptions (edit)'!B4),"")</f>
      </c>
    </row>
    <row r="84">
      <c r="A84" s="0" t="inlineStr">
        <is>
          <t xml:space="preserve">Net of costs, bps</t>
        </is>
      </c>
      <c r="B84" s="0" t="inlineStr">
        <is>
          <t xml:space="preserve">Residual Momentum</t>
        </is>
      </c>
      <c r="C84" s="8">
        <f>IF((1=1),(C49-'Assumptions (edit)'!B4),"")</f>
        <v>4.833</v>
      </c>
      <c r="D84" s="8">
        <f>IF((0=1),(D49-'Assumptions (edit)'!B4),"")</f>
      </c>
      <c r="E84" s="8">
        <f>IF((0=1),(E49-'Assumptions (edit)'!B4),"")</f>
      </c>
      <c r="F84" s="8">
        <f>IF((0=1),(F49-'Assumptions (edit)'!B4),"")</f>
      </c>
      <c r="G84" s="8">
        <f>IF((0=1),(G49-'Assumptions (edit)'!B4),"")</f>
      </c>
      <c r="H84" s="8">
        <f>IF((0=1),(H49-'Assumptions (edit)'!B4),"")</f>
      </c>
      <c r="I84" s="8">
        <f>IF((0=1),(I49-'Assumptions (edit)'!B4),"")</f>
      </c>
      <c r="J84" s="8">
        <f>IF((0=1),(J49-'Assumptions (edit)'!B4),"")</f>
      </c>
      <c r="K84" s="8">
        <f>IF((0=1),(K49-'Assumptions (edit)'!B4),"")</f>
      </c>
      <c r="L84" s="8">
        <f>IF((0=1),(L49-'Assumptions (edit)'!B4),"")</f>
      </c>
      <c r="M84" s="8">
        <f>IF((0=1),(M49-'Assumptions (edit)'!B4),"")</f>
      </c>
      <c r="N84" s="8">
        <f>IF((0=1),(N49-'Assumptions (edit)'!B4),"")</f>
      </c>
      <c r="O84" s="8">
        <f>IF((0=1),(O49-'Assumptions (edit)'!B4),"")</f>
      </c>
      <c r="P84" s="8">
        <f>IF((0=1),(P49-'Assumptions (edit)'!B4),"")</f>
      </c>
      <c r="Q84" s="8">
        <f>IF((0=1),(Q49-'Assumptions (edit)'!B4),"")</f>
      </c>
      <c r="R84" s="8">
        <f>IF((0=1),(R49-'Assumptions (edit)'!B4),"")</f>
      </c>
      <c r="S84" s="8">
        <f>IF((0=1),(S49-'Assumptions (edit)'!B4),"")</f>
      </c>
      <c r="T84" s="8">
        <f>IF((0=1),(T49-'Assumptions (edit)'!B4),"")</f>
      </c>
      <c r="U84" s="8">
        <f>IF((0=1),(U49-'Assumptions (edit)'!B4),"")</f>
      </c>
      <c r="V84" s="8">
        <f>IF((0=1),(V49-'Assumptions (edit)'!B4),"")</f>
      </c>
      <c r="W84" s="8">
        <f>IF((0=1),(W49-'Assumptions (edit)'!B4),"")</f>
      </c>
      <c r="X84" s="8">
        <f>IF((0=1),(X49-'Assumptions (edit)'!B4),"")</f>
      </c>
      <c r="Y84" s="8">
        <f>IF((0=1),(Y49-'Assumptions (edit)'!B4),"")</f>
      </c>
      <c r="Z84" s="8">
        <f>IF((0=1),(Z49-'Assumptions (edit)'!B4),"")</f>
      </c>
      <c r="AA84" s="8">
        <f>IF((0=1),(AA49-'Assumptions (edit)'!B4),"")</f>
      </c>
      <c r="AB84" s="8">
        <f>IF((0=1),(AB49-'Assumptions (edit)'!B4),"")</f>
      </c>
      <c r="AC84" s="8">
        <f>IF((0=1),(AC49-'Assumptions (edit)'!B4),"")</f>
      </c>
      <c r="AD84" s="8">
        <f>IF((0=1),(AD49-'Assumptions (edit)'!B4),"")</f>
      </c>
      <c r="AE84" s="8">
        <f>IF((0=1),(AE49-'Assumptions (edit)'!B4),"")</f>
      </c>
      <c r="AF84" s="8">
        <f>IF((0=1),(AF49-'Assumptions (edit)'!B4),"")</f>
      </c>
      <c r="AG84" s="8">
        <f>IF((0=1),(AG49-'Assumptions (edit)'!B4),"")</f>
      </c>
      <c r="AH84" s="8">
        <f>IF((0=1),(AH49-'Assumptions (edit)'!B4),"")</f>
      </c>
      <c r="AI84" s="8">
        <f>IF((0=1),(AI49-'Assumptions (edit)'!B4),"")</f>
      </c>
      <c r="AJ84" s="8">
        <f>IF((0=1),(AJ49-'Assumptions (edit)'!B4),"")</f>
      </c>
      <c r="AK84" s="8">
        <f>IF((0=1),(AK49-'Assumptions (edit)'!B4),"")</f>
      </c>
      <c r="AL84" s="8">
        <f>IF((0=1),(AL49-'Assumptions (edit)'!B4),"")</f>
      </c>
      <c r="AM84" s="8">
        <f>IF((0=1),(AM49-'Assumptions (edit)'!B4),"")</f>
      </c>
      <c r="AN84" s="8">
        <f>IF((0=1),(AN49-'Assumptions (edit)'!B4),"")</f>
      </c>
      <c r="AO84" s="8">
        <f>IF((0=1),(AO49-'Assumptions (edit)'!B4),"")</f>
      </c>
      <c r="AP84" s="8">
        <f>IF((0=1),(AP49-'Assumptions (edit)'!B4),"")</f>
      </c>
      <c r="AQ84" s="8">
        <f>IF((0=1),(AQ49-'Assumptions (edit)'!B4),"")</f>
      </c>
      <c r="AR84" s="8">
        <f>IF((0=1),(AR49-'Assumptions (edit)'!B4),"")</f>
      </c>
      <c r="AS84" s="8">
        <f>IF((0=1),(AS49-'Assumptions (edit)'!B4),"")</f>
      </c>
      <c r="AT84" s="8">
        <f>IF((0=1),(AT49-'Assumptions (edit)'!B4),"")</f>
      </c>
      <c r="AU84" s="8">
        <f>IF((0=1),(AU49-'Assumptions (edit)'!B4),"")</f>
      </c>
      <c r="AV84" s="8">
        <f>IF((0=1),(AV49-'Assumptions (edit)'!B4),"")</f>
      </c>
      <c r="AW84" s="8">
        <f>IF((0=1),(AW49-'Assumptions (edit)'!B4),"")</f>
      </c>
      <c r="AX84" s="8">
        <f>IF((0=1),(AX49-'Assumptions (edit)'!B4),"")</f>
      </c>
      <c r="AY84" s="8">
        <f>IF((0=1),(AY49-'Assumptions (edit)'!B4),"")</f>
      </c>
      <c r="AZ84" s="8">
        <f>IF((0=1),(AZ49-'Assumptions (edit)'!B4),"")</f>
      </c>
      <c r="BA84" s="8">
        <f>IF((0=1),(BA49-'Assumptions (edit)'!B4),"")</f>
      </c>
      <c r="BB84" s="8">
        <f>IF((0=1),(BB49-'Assumptions (edit)'!B4),"")</f>
      </c>
      <c r="BC84" s="8">
        <f>IF((0=1),(BC49-'Assumptions (edit)'!B4),"")</f>
      </c>
      <c r="BD84" s="8">
        <f>IF((0=1),(BD49-'Assumptions (edit)'!B4),"")</f>
      </c>
      <c r="BE84" s="8">
        <f>IF((0=1),(BE49-'Assumptions (edit)'!B4),"")</f>
      </c>
      <c r="BF84" s="8">
        <f>IF((0=1),(BF49-'Assumptions (edit)'!B4),"")</f>
      </c>
      <c r="BG84" s="8">
        <f>IF((0=1),(BG49-'Assumptions (edit)'!B4),"")</f>
      </c>
      <c r="BH84" s="8">
        <f>IF((0=1),(BH49-'Assumptions (edit)'!B4),"")</f>
      </c>
      <c r="BI84" s="8">
        <f>IF((0=1),(BI49-'Assumptions (edit)'!B4),"")</f>
      </c>
      <c r="BJ84" s="8">
        <f>IF((0=1),(BJ49-'Assumptions (edit)'!B4),"")</f>
      </c>
      <c r="BK84" s="8">
        <f>IF((0=1),(BK49-'Assumptions (edit)'!B4),"")</f>
      </c>
      <c r="BL84" s="8">
        <f>IF((0=1),(BL49-'Assumptions (edit)'!B4),"")</f>
      </c>
      <c r="BM84" s="8">
        <f>IF((0=1),(BM49-'Assumptions (edit)'!B4),"")</f>
      </c>
      <c r="BN84" s="8">
        <f>IF((0=1),(BN49-'Assumptions (edit)'!B4),"")</f>
      </c>
      <c r="BO84" s="8">
        <f>IF((0=1),(BO49-'Assumptions (edit)'!B4),"")</f>
      </c>
      <c r="BP84" s="8">
        <f>IF((0=1),(BP49-'Assumptions (edit)'!B4),"")</f>
      </c>
      <c r="BQ84" s="8">
        <f>IF((0=1),(BQ49-'Assumptions (edit)'!B4),"")</f>
      </c>
      <c r="BR84" s="8">
        <f>IF((0=1),(BR49-'Assumptions (edit)'!B4),"")</f>
      </c>
      <c r="BS84" s="8">
        <f>IF((0=1),(BS49-'Assumptions (edit)'!B4),"")</f>
      </c>
      <c r="BT84" s="8">
        <f>IF((0=1),(BT49-'Assumptions (edit)'!B4),"")</f>
      </c>
      <c r="BU84" s="8">
        <f>IF((0=1),(BU49-'Assumptions (edit)'!B4),"")</f>
      </c>
      <c r="BV84" s="8">
        <f>IF((0=1),(BV49-'Assumptions (edit)'!B4),"")</f>
      </c>
      <c r="BW84" s="8">
        <f>IF((0=1),(BW49-'Assumptions (edit)'!B4),"")</f>
      </c>
      <c r="BX84" s="8">
        <f>IF((0=1),(BX49-'Assumptions (edit)'!B4),"")</f>
      </c>
      <c r="BY84" s="8">
        <f>IF((0=1),(BY49-'Assumptions (edit)'!B4),"")</f>
      </c>
      <c r="BZ84" s="8">
        <f>IF((0=1),(BZ49-'Assumptions (edit)'!B4),"")</f>
      </c>
      <c r="CA84" s="8">
        <f>IF((0=1),(CA49-'Assumptions (edit)'!B4),"")</f>
      </c>
      <c r="CB84" s="8">
        <f>IF((0=1),(CB49-'Assumptions (edit)'!B4),"")</f>
      </c>
      <c r="CC84" s="8">
        <f>IF((0=1),(CC49-'Assumptions (edit)'!B4),"")</f>
      </c>
      <c r="CD84" s="8">
        <f>IF((0=1),(CD49-'Assumptions (edit)'!B4),"")</f>
      </c>
      <c r="CE84" s="8">
        <f>IF((0=1),(CE49-'Assumptions (edit)'!B4),"")</f>
      </c>
      <c r="CF84" s="8">
        <f>IF((0=1),(CF49-'Assumptions (edit)'!B4),"")</f>
      </c>
      <c r="CG84" s="8">
        <f>IF((0=1),(CG49-'Assumptions (edit)'!B4),"")</f>
      </c>
      <c r="CH84" s="8">
        <f>IF((0=1),(CH49-'Assumptions (edit)'!B4),"")</f>
      </c>
      <c r="CI84" s="8">
        <f>IF((0=1),(CI49-'Assumptions (edit)'!B4),"")</f>
      </c>
      <c r="CJ84" s="8">
        <f>IF((0=1),(CJ49-'Assumptions (edit)'!B4),"")</f>
      </c>
      <c r="CK84" s="8">
        <f>IF((0=1),(CK49-'Assumptions (edit)'!B4),"")</f>
      </c>
      <c r="CL84" s="8">
        <f>IF((0=1),(CL49-'Assumptions (edit)'!B4),"")</f>
      </c>
      <c r="CM84" s="8">
        <f>IF((0=1),(CM49-'Assumptions (edit)'!B4),"")</f>
      </c>
      <c r="CN84" s="8">
        <f>IF((0=1),(CN49-'Assumptions (edit)'!B4),"")</f>
      </c>
      <c r="CO84" s="8">
        <f>IF((0=1),(CO49-'Assumptions (edit)'!B4),"")</f>
      </c>
      <c r="CP84" s="8">
        <f>IF((0=1),(CP49-'Assumptions (edit)'!B4),"")</f>
      </c>
      <c r="CQ84" s="8">
        <f>IF((0=1),(CQ49-'Assumptions (edit)'!B4),"")</f>
      </c>
      <c r="CR84" s="8">
        <f>IF((0=1),(CR49-'Assumptions (edit)'!B4),"")</f>
      </c>
      <c r="CS84" s="8">
        <f>IF((0=1),(CS49-'Assumptions (edit)'!B4),"")</f>
      </c>
      <c r="CT84" s="8">
        <f>IF((0=1),(CT49-'Assumptions (edit)'!B4),"")</f>
      </c>
      <c r="CU84" s="8">
        <f>IF((0=1),(CU49-'Assumptions (edit)'!B4),"")</f>
      </c>
      <c r="CV84" s="8">
        <f>IF((0=1),(CV49-'Assumptions (edit)'!B4),"")</f>
      </c>
      <c r="CW84" s="8">
        <f>IF((0=1),(CW49-'Assumptions (edit)'!B4),"")</f>
      </c>
      <c r="CX84" s="8">
        <f>IF((0=1),(CX49-'Assumptions (edit)'!B4),"")</f>
      </c>
    </row>
    <row r="85">
      <c r="A85" s="0" t="inlineStr">
        <is>
          <t xml:space="preserve">Net of costs, bps</t>
        </is>
      </c>
      <c r="B85" s="0" t="inlineStr">
        <is>
          <t xml:space="preserve">Overnight Return Persistence</t>
        </is>
      </c>
      <c r="C85" s="8">
        <f>IF((1=1),(C50-'Assumptions (edit)'!B4),"")</f>
        <v>-8.522</v>
      </c>
      <c r="D85" s="8">
        <f>IF((0=1),(D50-'Assumptions (edit)'!B4),"")</f>
      </c>
      <c r="E85" s="8">
        <f>IF((0=1),(E50-'Assumptions (edit)'!B4),"")</f>
      </c>
      <c r="F85" s="8">
        <f>IF((0=1),(F50-'Assumptions (edit)'!B4),"")</f>
      </c>
      <c r="G85" s="8">
        <f>IF((0=1),(G50-'Assumptions (edit)'!B4),"")</f>
      </c>
      <c r="H85" s="8">
        <f>IF((0=1),(H50-'Assumptions (edit)'!B4),"")</f>
      </c>
      <c r="I85" s="8">
        <f>IF((0=1),(I50-'Assumptions (edit)'!B4),"")</f>
      </c>
      <c r="J85" s="8">
        <f>IF((0=1),(J50-'Assumptions (edit)'!B4),"")</f>
      </c>
      <c r="K85" s="8">
        <f>IF((0=1),(K50-'Assumptions (edit)'!B4),"")</f>
      </c>
      <c r="L85" s="8">
        <f>IF((0=1),(L50-'Assumptions (edit)'!B4),"")</f>
      </c>
      <c r="M85" s="8">
        <f>IF((0=1),(M50-'Assumptions (edit)'!B4),"")</f>
      </c>
      <c r="N85" s="8">
        <f>IF((0=1),(N50-'Assumptions (edit)'!B4),"")</f>
      </c>
      <c r="O85" s="8">
        <f>IF((0=1),(O50-'Assumptions (edit)'!B4),"")</f>
      </c>
      <c r="P85" s="8">
        <f>IF((0=1),(P50-'Assumptions (edit)'!B4),"")</f>
      </c>
      <c r="Q85" s="8">
        <f>IF((0=1),(Q50-'Assumptions (edit)'!B4),"")</f>
      </c>
      <c r="R85" s="8">
        <f>IF((0=1),(R50-'Assumptions (edit)'!B4),"")</f>
      </c>
      <c r="S85" s="8">
        <f>IF((0=1),(S50-'Assumptions (edit)'!B4),"")</f>
      </c>
      <c r="T85" s="8">
        <f>IF((0=1),(T50-'Assumptions (edit)'!B4),"")</f>
      </c>
      <c r="U85" s="8">
        <f>IF((0=1),(U50-'Assumptions (edit)'!B4),"")</f>
      </c>
      <c r="V85" s="8">
        <f>IF((0=1),(V50-'Assumptions (edit)'!B4),"")</f>
      </c>
      <c r="W85" s="8">
        <f>IF((0=1),(W50-'Assumptions (edit)'!B4),"")</f>
      </c>
      <c r="X85" s="8">
        <f>IF((0=1),(X50-'Assumptions (edit)'!B4),"")</f>
      </c>
      <c r="Y85" s="8">
        <f>IF((0=1),(Y50-'Assumptions (edit)'!B4),"")</f>
      </c>
      <c r="Z85" s="8">
        <f>IF((0=1),(Z50-'Assumptions (edit)'!B4),"")</f>
      </c>
      <c r="AA85" s="8">
        <f>IF((0=1),(AA50-'Assumptions (edit)'!B4),"")</f>
      </c>
      <c r="AB85" s="8">
        <f>IF((0=1),(AB50-'Assumptions (edit)'!B4),"")</f>
      </c>
      <c r="AC85" s="8">
        <f>IF((0=1),(AC50-'Assumptions (edit)'!B4),"")</f>
      </c>
      <c r="AD85" s="8">
        <f>IF((0=1),(AD50-'Assumptions (edit)'!B4),"")</f>
      </c>
      <c r="AE85" s="8">
        <f>IF((0=1),(AE50-'Assumptions (edit)'!B4),"")</f>
      </c>
      <c r="AF85" s="8">
        <f>IF((0=1),(AF50-'Assumptions (edit)'!B4),"")</f>
      </c>
      <c r="AG85" s="8">
        <f>IF((0=1),(AG50-'Assumptions (edit)'!B4),"")</f>
      </c>
      <c r="AH85" s="8">
        <f>IF((0=1),(AH50-'Assumptions (edit)'!B4),"")</f>
      </c>
      <c r="AI85" s="8">
        <f>IF((0=1),(AI50-'Assumptions (edit)'!B4),"")</f>
      </c>
      <c r="AJ85" s="8">
        <f>IF((0=1),(AJ50-'Assumptions (edit)'!B4),"")</f>
      </c>
      <c r="AK85" s="8">
        <f>IF((0=1),(AK50-'Assumptions (edit)'!B4),"")</f>
      </c>
      <c r="AL85" s="8">
        <f>IF((0=1),(AL50-'Assumptions (edit)'!B4),"")</f>
      </c>
      <c r="AM85" s="8">
        <f>IF((0=1),(AM50-'Assumptions (edit)'!B4),"")</f>
      </c>
      <c r="AN85" s="8">
        <f>IF((0=1),(AN50-'Assumptions (edit)'!B4),"")</f>
      </c>
      <c r="AO85" s="8">
        <f>IF((0=1),(AO50-'Assumptions (edit)'!B4),"")</f>
      </c>
      <c r="AP85" s="8">
        <f>IF((0=1),(AP50-'Assumptions (edit)'!B4),"")</f>
      </c>
      <c r="AQ85" s="8">
        <f>IF((0=1),(AQ50-'Assumptions (edit)'!B4),"")</f>
      </c>
      <c r="AR85" s="8">
        <f>IF((0=1),(AR50-'Assumptions (edit)'!B4),"")</f>
      </c>
      <c r="AS85" s="8">
        <f>IF((0=1),(AS50-'Assumptions (edit)'!B4),"")</f>
      </c>
      <c r="AT85" s="8">
        <f>IF((0=1),(AT50-'Assumptions (edit)'!B4),"")</f>
      </c>
      <c r="AU85" s="8">
        <f>IF((0=1),(AU50-'Assumptions (edit)'!B4),"")</f>
      </c>
      <c r="AV85" s="8">
        <f>IF((0=1),(AV50-'Assumptions (edit)'!B4),"")</f>
      </c>
      <c r="AW85" s="8">
        <f>IF((0=1),(AW50-'Assumptions (edit)'!B4),"")</f>
      </c>
      <c r="AX85" s="8">
        <f>IF((0=1),(AX50-'Assumptions (edit)'!B4),"")</f>
      </c>
      <c r="AY85" s="8">
        <f>IF((0=1),(AY50-'Assumptions (edit)'!B4),"")</f>
      </c>
      <c r="AZ85" s="8">
        <f>IF((0=1),(AZ50-'Assumptions (edit)'!B4),"")</f>
      </c>
      <c r="BA85" s="8">
        <f>IF((0=1),(BA50-'Assumptions (edit)'!B4),"")</f>
      </c>
      <c r="BB85" s="8">
        <f>IF((0=1),(BB50-'Assumptions (edit)'!B4),"")</f>
      </c>
      <c r="BC85" s="8">
        <f>IF((0=1),(BC50-'Assumptions (edit)'!B4),"")</f>
      </c>
      <c r="BD85" s="8">
        <f>IF((0=1),(BD50-'Assumptions (edit)'!B4),"")</f>
      </c>
      <c r="BE85" s="8">
        <f>IF((0=1),(BE50-'Assumptions (edit)'!B4),"")</f>
      </c>
      <c r="BF85" s="8">
        <f>IF((0=1),(BF50-'Assumptions (edit)'!B4),"")</f>
      </c>
      <c r="BG85" s="8">
        <f>IF((0=1),(BG50-'Assumptions (edit)'!B4),"")</f>
      </c>
      <c r="BH85" s="8">
        <f>IF((0=1),(BH50-'Assumptions (edit)'!B4),"")</f>
      </c>
      <c r="BI85" s="8">
        <f>IF((0=1),(BI50-'Assumptions (edit)'!B4),"")</f>
      </c>
      <c r="BJ85" s="8">
        <f>IF((0=1),(BJ50-'Assumptions (edit)'!B4),"")</f>
      </c>
      <c r="BK85" s="8">
        <f>IF((0=1),(BK50-'Assumptions (edit)'!B4),"")</f>
      </c>
      <c r="BL85" s="8">
        <f>IF((0=1),(BL50-'Assumptions (edit)'!B4),"")</f>
      </c>
      <c r="BM85" s="8">
        <f>IF((0=1),(BM50-'Assumptions (edit)'!B4),"")</f>
      </c>
      <c r="BN85" s="8">
        <f>IF((0=1),(BN50-'Assumptions (edit)'!B4),"")</f>
      </c>
      <c r="BO85" s="8">
        <f>IF((0=1),(BO50-'Assumptions (edit)'!B4),"")</f>
      </c>
      <c r="BP85" s="8">
        <f>IF((0=1),(BP50-'Assumptions (edit)'!B4),"")</f>
      </c>
      <c r="BQ85" s="8">
        <f>IF((0=1),(BQ50-'Assumptions (edit)'!B4),"")</f>
      </c>
      <c r="BR85" s="8">
        <f>IF((0=1),(BR50-'Assumptions (edit)'!B4),"")</f>
      </c>
      <c r="BS85" s="8">
        <f>IF((0=1),(BS50-'Assumptions (edit)'!B4),"")</f>
      </c>
      <c r="BT85" s="8">
        <f>IF((0=1),(BT50-'Assumptions (edit)'!B4),"")</f>
      </c>
      <c r="BU85" s="8">
        <f>IF((0=1),(BU50-'Assumptions (edit)'!B4),"")</f>
      </c>
      <c r="BV85" s="8">
        <f>IF((0=1),(BV50-'Assumptions (edit)'!B4),"")</f>
      </c>
      <c r="BW85" s="8">
        <f>IF((0=1),(BW50-'Assumptions (edit)'!B4),"")</f>
      </c>
      <c r="BX85" s="8">
        <f>IF((0=1),(BX50-'Assumptions (edit)'!B4),"")</f>
      </c>
      <c r="BY85" s="8">
        <f>IF((0=1),(BY50-'Assumptions (edit)'!B4),"")</f>
      </c>
      <c r="BZ85" s="8">
        <f>IF((0=1),(BZ50-'Assumptions (edit)'!B4),"")</f>
      </c>
      <c r="CA85" s="8">
        <f>IF((0=1),(CA50-'Assumptions (edit)'!B4),"")</f>
      </c>
      <c r="CB85" s="8">
        <f>IF((0=1),(CB50-'Assumptions (edit)'!B4),"")</f>
      </c>
      <c r="CC85" s="8">
        <f>IF((0=1),(CC50-'Assumptions (edit)'!B4),"")</f>
      </c>
      <c r="CD85" s="8">
        <f>IF((0=1),(CD50-'Assumptions (edit)'!B4),"")</f>
      </c>
      <c r="CE85" s="8">
        <f>IF((0=1),(CE50-'Assumptions (edit)'!B4),"")</f>
      </c>
      <c r="CF85" s="8">
        <f>IF((0=1),(CF50-'Assumptions (edit)'!B4),"")</f>
      </c>
      <c r="CG85" s="8">
        <f>IF((0=1),(CG50-'Assumptions (edit)'!B4),"")</f>
      </c>
      <c r="CH85" s="8">
        <f>IF((0=1),(CH50-'Assumptions (edit)'!B4),"")</f>
      </c>
      <c r="CI85" s="8">
        <f>IF((0=1),(CI50-'Assumptions (edit)'!B4),"")</f>
      </c>
      <c r="CJ85" s="8">
        <f>IF((0=1),(CJ50-'Assumptions (edit)'!B4),"")</f>
      </c>
      <c r="CK85" s="8">
        <f>IF((0=1),(CK50-'Assumptions (edit)'!B4),"")</f>
      </c>
      <c r="CL85" s="8">
        <f>IF((0=1),(CL50-'Assumptions (edit)'!B4),"")</f>
      </c>
      <c r="CM85" s="8">
        <f>IF((0=1),(CM50-'Assumptions (edit)'!B4),"")</f>
      </c>
      <c r="CN85" s="8">
        <f>IF((0=1),(CN50-'Assumptions (edit)'!B4),"")</f>
      </c>
      <c r="CO85" s="8">
        <f>IF((0=1),(CO50-'Assumptions (edit)'!B4),"")</f>
      </c>
      <c r="CP85" s="8">
        <f>IF((0=1),(CP50-'Assumptions (edit)'!B4),"")</f>
      </c>
      <c r="CQ85" s="8">
        <f>IF((0=1),(CQ50-'Assumptions (edit)'!B4),"")</f>
      </c>
      <c r="CR85" s="8">
        <f>IF((0=1),(CR50-'Assumptions (edit)'!B4),"")</f>
      </c>
      <c r="CS85" s="8">
        <f>IF((0=1),(CS50-'Assumptions (edit)'!B4),"")</f>
      </c>
      <c r="CT85" s="8">
        <f>IF((0=1),(CT50-'Assumptions (edit)'!B4),"")</f>
      </c>
      <c r="CU85" s="8">
        <f>IF((0=1),(CU50-'Assumptions (edit)'!B4),"")</f>
      </c>
      <c r="CV85" s="8">
        <f>IF((0=1),(CV50-'Assumptions (edit)'!B4),"")</f>
      </c>
      <c r="CW85" s="8">
        <f>IF((0=1),(CW50-'Assumptions (edit)'!B4),"")</f>
      </c>
      <c r="CX85" s="8">
        <f>IF((0=1),(CX50-'Assumptions (edit)'!B4),"")</f>
      </c>
    </row>
    <row r="86">
      <c r="A86" s="0" t="inlineStr">
        <is>
          <t xml:space="preserve">Net of costs, bps</t>
        </is>
      </c>
      <c r="B86" s="0" t="inlineStr">
        <is>
          <t xml:space="preserve">52-Week-High Anchoring</t>
        </is>
      </c>
      <c r="C86" s="8">
        <f>IF((1=1),(C51-'Assumptions (edit)'!B4),"")</f>
        <v>29.110999999999997</v>
      </c>
      <c r="D86" s="8">
        <f>IF((0=1),(D51-'Assumptions (edit)'!B4),"")</f>
      </c>
      <c r="E86" s="8">
        <f>IF((0=1),(E51-'Assumptions (edit)'!B4),"")</f>
      </c>
      <c r="F86" s="8">
        <f>IF((0=1),(F51-'Assumptions (edit)'!B4),"")</f>
      </c>
      <c r="G86" s="8">
        <f>IF((0=1),(G51-'Assumptions (edit)'!B4),"")</f>
      </c>
      <c r="H86" s="8">
        <f>IF((0=1),(H51-'Assumptions (edit)'!B4),"")</f>
      </c>
      <c r="I86" s="8">
        <f>IF((0=1),(I51-'Assumptions (edit)'!B4),"")</f>
      </c>
      <c r="J86" s="8">
        <f>IF((0=1),(J51-'Assumptions (edit)'!B4),"")</f>
      </c>
      <c r="K86" s="8">
        <f>IF((0=1),(K51-'Assumptions (edit)'!B4),"")</f>
      </c>
      <c r="L86" s="8">
        <f>IF((0=1),(L51-'Assumptions (edit)'!B4),"")</f>
      </c>
      <c r="M86" s="8">
        <f>IF((0=1),(M51-'Assumptions (edit)'!B4),"")</f>
      </c>
      <c r="N86" s="8">
        <f>IF((0=1),(N51-'Assumptions (edit)'!B4),"")</f>
      </c>
      <c r="O86" s="8">
        <f>IF((0=1),(O51-'Assumptions (edit)'!B4),"")</f>
      </c>
      <c r="P86" s="8">
        <f>IF((0=1),(P51-'Assumptions (edit)'!B4),"")</f>
      </c>
      <c r="Q86" s="8">
        <f>IF((0=1),(Q51-'Assumptions (edit)'!B4),"")</f>
      </c>
      <c r="R86" s="8">
        <f>IF((0=1),(R51-'Assumptions (edit)'!B4),"")</f>
      </c>
      <c r="S86" s="8">
        <f>IF((0=1),(S51-'Assumptions (edit)'!B4),"")</f>
      </c>
      <c r="T86" s="8">
        <f>IF((0=1),(T51-'Assumptions (edit)'!B4),"")</f>
      </c>
      <c r="U86" s="8">
        <f>IF((0=1),(U51-'Assumptions (edit)'!B4),"")</f>
      </c>
      <c r="V86" s="8">
        <f>IF((0=1),(V51-'Assumptions (edit)'!B4),"")</f>
      </c>
      <c r="W86" s="8">
        <f>IF((0=1),(W51-'Assumptions (edit)'!B4),"")</f>
      </c>
      <c r="X86" s="8">
        <f>IF((0=1),(X51-'Assumptions (edit)'!B4),"")</f>
      </c>
      <c r="Y86" s="8">
        <f>IF((0=1),(Y51-'Assumptions (edit)'!B4),"")</f>
      </c>
      <c r="Z86" s="8">
        <f>IF((0=1),(Z51-'Assumptions (edit)'!B4),"")</f>
      </c>
      <c r="AA86" s="8">
        <f>IF((0=1),(AA51-'Assumptions (edit)'!B4),"")</f>
      </c>
      <c r="AB86" s="8">
        <f>IF((0=1),(AB51-'Assumptions (edit)'!B4),"")</f>
      </c>
      <c r="AC86" s="8">
        <f>IF((0=1),(AC51-'Assumptions (edit)'!B4),"")</f>
      </c>
      <c r="AD86" s="8">
        <f>IF((0=1),(AD51-'Assumptions (edit)'!B4),"")</f>
      </c>
      <c r="AE86" s="8">
        <f>IF((0=1),(AE51-'Assumptions (edit)'!B4),"")</f>
      </c>
      <c r="AF86" s="8">
        <f>IF((0=1),(AF51-'Assumptions (edit)'!B4),"")</f>
      </c>
      <c r="AG86" s="8">
        <f>IF((0=1),(AG51-'Assumptions (edit)'!B4),"")</f>
      </c>
      <c r="AH86" s="8">
        <f>IF((0=1),(AH51-'Assumptions (edit)'!B4),"")</f>
      </c>
      <c r="AI86" s="8">
        <f>IF((0=1),(AI51-'Assumptions (edit)'!B4),"")</f>
      </c>
      <c r="AJ86" s="8">
        <f>IF((0=1),(AJ51-'Assumptions (edit)'!B4),"")</f>
      </c>
      <c r="AK86" s="8">
        <f>IF((0=1),(AK51-'Assumptions (edit)'!B4),"")</f>
      </c>
      <c r="AL86" s="8">
        <f>IF((0=1),(AL51-'Assumptions (edit)'!B4),"")</f>
      </c>
      <c r="AM86" s="8">
        <f>IF((0=1),(AM51-'Assumptions (edit)'!B4),"")</f>
      </c>
      <c r="AN86" s="8">
        <f>IF((0=1),(AN51-'Assumptions (edit)'!B4),"")</f>
      </c>
      <c r="AO86" s="8">
        <f>IF((0=1),(AO51-'Assumptions (edit)'!B4),"")</f>
      </c>
      <c r="AP86" s="8">
        <f>IF((0=1),(AP51-'Assumptions (edit)'!B4),"")</f>
      </c>
      <c r="AQ86" s="8">
        <f>IF((0=1),(AQ51-'Assumptions (edit)'!B4),"")</f>
      </c>
      <c r="AR86" s="8">
        <f>IF((0=1),(AR51-'Assumptions (edit)'!B4),"")</f>
      </c>
      <c r="AS86" s="8">
        <f>IF((0=1),(AS51-'Assumptions (edit)'!B4),"")</f>
      </c>
      <c r="AT86" s="8">
        <f>IF((0=1),(AT51-'Assumptions (edit)'!B4),"")</f>
      </c>
      <c r="AU86" s="8">
        <f>IF((0=1),(AU51-'Assumptions (edit)'!B4),"")</f>
      </c>
      <c r="AV86" s="8">
        <f>IF((0=1),(AV51-'Assumptions (edit)'!B4),"")</f>
      </c>
      <c r="AW86" s="8">
        <f>IF((0=1),(AW51-'Assumptions (edit)'!B4),"")</f>
      </c>
      <c r="AX86" s="8">
        <f>IF((0=1),(AX51-'Assumptions (edit)'!B4),"")</f>
      </c>
      <c r="AY86" s="8">
        <f>IF((0=1),(AY51-'Assumptions (edit)'!B4),"")</f>
      </c>
      <c r="AZ86" s="8">
        <f>IF((0=1),(AZ51-'Assumptions (edit)'!B4),"")</f>
      </c>
      <c r="BA86" s="8">
        <f>IF((0=1),(BA51-'Assumptions (edit)'!B4),"")</f>
      </c>
      <c r="BB86" s="8">
        <f>IF((0=1),(BB51-'Assumptions (edit)'!B4),"")</f>
      </c>
      <c r="BC86" s="8">
        <f>IF((0=1),(BC51-'Assumptions (edit)'!B4),"")</f>
      </c>
      <c r="BD86" s="8">
        <f>IF((0=1),(BD51-'Assumptions (edit)'!B4),"")</f>
      </c>
      <c r="BE86" s="8">
        <f>IF((0=1),(BE51-'Assumptions (edit)'!B4),"")</f>
      </c>
      <c r="BF86" s="8">
        <f>IF((0=1),(BF51-'Assumptions (edit)'!B4),"")</f>
      </c>
      <c r="BG86" s="8">
        <f>IF((0=1),(BG51-'Assumptions (edit)'!B4),"")</f>
      </c>
      <c r="BH86" s="8">
        <f>IF((0=1),(BH51-'Assumptions (edit)'!B4),"")</f>
      </c>
      <c r="BI86" s="8">
        <f>IF((0=1),(BI51-'Assumptions (edit)'!B4),"")</f>
      </c>
      <c r="BJ86" s="8">
        <f>IF((0=1),(BJ51-'Assumptions (edit)'!B4),"")</f>
      </c>
      <c r="BK86" s="8">
        <f>IF((0=1),(BK51-'Assumptions (edit)'!B4),"")</f>
      </c>
      <c r="BL86" s="8">
        <f>IF((0=1),(BL51-'Assumptions (edit)'!B4),"")</f>
      </c>
      <c r="BM86" s="8">
        <f>IF((0=1),(BM51-'Assumptions (edit)'!B4),"")</f>
      </c>
      <c r="BN86" s="8">
        <f>IF((0=1),(BN51-'Assumptions (edit)'!B4),"")</f>
      </c>
      <c r="BO86" s="8">
        <f>IF((0=1),(BO51-'Assumptions (edit)'!B4),"")</f>
      </c>
      <c r="BP86" s="8">
        <f>IF((0=1),(BP51-'Assumptions (edit)'!B4),"")</f>
      </c>
      <c r="BQ86" s="8">
        <f>IF((0=1),(BQ51-'Assumptions (edit)'!B4),"")</f>
      </c>
      <c r="BR86" s="8">
        <f>IF((0=1),(BR51-'Assumptions (edit)'!B4),"")</f>
      </c>
      <c r="BS86" s="8">
        <f>IF((0=1),(BS51-'Assumptions (edit)'!B4),"")</f>
      </c>
      <c r="BT86" s="8">
        <f>IF((0=1),(BT51-'Assumptions (edit)'!B4),"")</f>
      </c>
      <c r="BU86" s="8">
        <f>IF((0=1),(BU51-'Assumptions (edit)'!B4),"")</f>
      </c>
      <c r="BV86" s="8">
        <f>IF((0=1),(BV51-'Assumptions (edit)'!B4),"")</f>
      </c>
      <c r="BW86" s="8">
        <f>IF((0=1),(BW51-'Assumptions (edit)'!B4),"")</f>
      </c>
      <c r="BX86" s="8">
        <f>IF((0=1),(BX51-'Assumptions (edit)'!B4),"")</f>
      </c>
      <c r="BY86" s="8">
        <f>IF((0=1),(BY51-'Assumptions (edit)'!B4),"")</f>
      </c>
      <c r="BZ86" s="8">
        <f>IF((0=1),(BZ51-'Assumptions (edit)'!B4),"")</f>
      </c>
      <c r="CA86" s="8">
        <f>IF((0=1),(CA51-'Assumptions (edit)'!B4),"")</f>
      </c>
      <c r="CB86" s="8">
        <f>IF((0=1),(CB51-'Assumptions (edit)'!B4),"")</f>
      </c>
      <c r="CC86" s="8">
        <f>IF((0=1),(CC51-'Assumptions (edit)'!B4),"")</f>
      </c>
      <c r="CD86" s="8">
        <f>IF((0=1),(CD51-'Assumptions (edit)'!B4),"")</f>
      </c>
      <c r="CE86" s="8">
        <f>IF((0=1),(CE51-'Assumptions (edit)'!B4),"")</f>
      </c>
      <c r="CF86" s="8">
        <f>IF((0=1),(CF51-'Assumptions (edit)'!B4),"")</f>
      </c>
      <c r="CG86" s="8">
        <f>IF((0=1),(CG51-'Assumptions (edit)'!B4),"")</f>
      </c>
      <c r="CH86" s="8">
        <f>IF((0=1),(CH51-'Assumptions (edit)'!B4),"")</f>
      </c>
      <c r="CI86" s="8">
        <f>IF((0=1),(CI51-'Assumptions (edit)'!B4),"")</f>
      </c>
      <c r="CJ86" s="8">
        <f>IF((0=1),(CJ51-'Assumptions (edit)'!B4),"")</f>
      </c>
      <c r="CK86" s="8">
        <f>IF((0=1),(CK51-'Assumptions (edit)'!B4),"")</f>
      </c>
      <c r="CL86" s="8">
        <f>IF((0=1),(CL51-'Assumptions (edit)'!B4),"")</f>
      </c>
      <c r="CM86" s="8">
        <f>IF((0=1),(CM51-'Assumptions (edit)'!B4),"")</f>
      </c>
      <c r="CN86" s="8">
        <f>IF((0=1),(CN51-'Assumptions (edit)'!B4),"")</f>
      </c>
      <c r="CO86" s="8">
        <f>IF((0=1),(CO51-'Assumptions (edit)'!B4),"")</f>
      </c>
      <c r="CP86" s="8">
        <f>IF((0=1),(CP51-'Assumptions (edit)'!B4),"")</f>
      </c>
      <c r="CQ86" s="8">
        <f>IF((0=1),(CQ51-'Assumptions (edit)'!B4),"")</f>
      </c>
      <c r="CR86" s="8">
        <f>IF((0=1),(CR51-'Assumptions (edit)'!B4),"")</f>
      </c>
      <c r="CS86" s="8">
        <f>IF((0=1),(CS51-'Assumptions (edit)'!B4),"")</f>
      </c>
      <c r="CT86" s="8">
        <f>IF((0=1),(CT51-'Assumptions (edit)'!B4),"")</f>
      </c>
      <c r="CU86" s="8">
        <f>IF((0=1),(CU51-'Assumptions (edit)'!B4),"")</f>
      </c>
      <c r="CV86" s="8">
        <f>IF((0=1),(CV51-'Assumptions (edit)'!B4),"")</f>
      </c>
      <c r="CW86" s="8">
        <f>IF((0=1),(CW51-'Assumptions (edit)'!B4),"")</f>
      </c>
      <c r="CX86" s="8">
        <f>IF((0=1),(CX51-'Assumptions (edit)'!B4),"")</f>
      </c>
    </row>
    <row r="87">
      <c r="A87" s="0" t="inlineStr">
        <is>
          <t xml:space="preserve">Net of costs, bps</t>
        </is>
      </c>
      <c r="B87" s="0" t="inlineStr">
        <is>
          <t xml:space="preserve">Random 1</t>
        </is>
      </c>
      <c r="C87" s="8">
        <f>IF((1=1),(C52-'Assumptions (edit)'!B4),"")</f>
        <v>-12.933</v>
      </c>
      <c r="D87" s="8">
        <f>IF((0=1),(D52-'Assumptions (edit)'!B4),"")</f>
      </c>
      <c r="E87" s="8">
        <f>IF((0=1),(E52-'Assumptions (edit)'!B4),"")</f>
      </c>
      <c r="F87" s="8">
        <f>IF((0=1),(F52-'Assumptions (edit)'!B4),"")</f>
      </c>
      <c r="G87" s="8">
        <f>IF((0=1),(G52-'Assumptions (edit)'!B4),"")</f>
      </c>
      <c r="H87" s="8">
        <f>IF((0=1),(H52-'Assumptions (edit)'!B4),"")</f>
      </c>
      <c r="I87" s="8">
        <f>IF((0=1),(I52-'Assumptions (edit)'!B4),"")</f>
      </c>
      <c r="J87" s="8">
        <f>IF((0=1),(J52-'Assumptions (edit)'!B4),"")</f>
      </c>
      <c r="K87" s="8">
        <f>IF((0=1),(K52-'Assumptions (edit)'!B4),"")</f>
      </c>
      <c r="L87" s="8">
        <f>IF((0=1),(L52-'Assumptions (edit)'!B4),"")</f>
      </c>
      <c r="M87" s="8">
        <f>IF((0=1),(M52-'Assumptions (edit)'!B4),"")</f>
      </c>
      <c r="N87" s="8">
        <f>IF((0=1),(N52-'Assumptions (edit)'!B4),"")</f>
      </c>
      <c r="O87" s="8">
        <f>IF((0=1),(O52-'Assumptions (edit)'!B4),"")</f>
      </c>
      <c r="P87" s="8">
        <f>IF((0=1),(P52-'Assumptions (edit)'!B4),"")</f>
      </c>
      <c r="Q87" s="8">
        <f>IF((0=1),(Q52-'Assumptions (edit)'!B4),"")</f>
      </c>
      <c r="R87" s="8">
        <f>IF((0=1),(R52-'Assumptions (edit)'!B4),"")</f>
      </c>
      <c r="S87" s="8">
        <f>IF((0=1),(S52-'Assumptions (edit)'!B4),"")</f>
      </c>
      <c r="T87" s="8">
        <f>IF((0=1),(T52-'Assumptions (edit)'!B4),"")</f>
      </c>
      <c r="U87" s="8">
        <f>IF((0=1),(U52-'Assumptions (edit)'!B4),"")</f>
      </c>
      <c r="V87" s="8">
        <f>IF((0=1),(V52-'Assumptions (edit)'!B4),"")</f>
      </c>
      <c r="W87" s="8">
        <f>IF((0=1),(W52-'Assumptions (edit)'!B4),"")</f>
      </c>
      <c r="X87" s="8">
        <f>IF((0=1),(X52-'Assumptions (edit)'!B4),"")</f>
      </c>
      <c r="Y87" s="8">
        <f>IF((0=1),(Y52-'Assumptions (edit)'!B4),"")</f>
      </c>
      <c r="Z87" s="8">
        <f>IF((0=1),(Z52-'Assumptions (edit)'!B4),"")</f>
      </c>
      <c r="AA87" s="8">
        <f>IF((0=1),(AA52-'Assumptions (edit)'!B4),"")</f>
      </c>
      <c r="AB87" s="8">
        <f>IF((0=1),(AB52-'Assumptions (edit)'!B4),"")</f>
      </c>
      <c r="AC87" s="8">
        <f>IF((0=1),(AC52-'Assumptions (edit)'!B4),"")</f>
      </c>
      <c r="AD87" s="8">
        <f>IF((0=1),(AD52-'Assumptions (edit)'!B4),"")</f>
      </c>
      <c r="AE87" s="8">
        <f>IF((0=1),(AE52-'Assumptions (edit)'!B4),"")</f>
      </c>
      <c r="AF87" s="8">
        <f>IF((0=1),(AF52-'Assumptions (edit)'!B4),"")</f>
      </c>
      <c r="AG87" s="8">
        <f>IF((0=1),(AG52-'Assumptions (edit)'!B4),"")</f>
      </c>
      <c r="AH87" s="8">
        <f>IF((0=1),(AH52-'Assumptions (edit)'!B4),"")</f>
      </c>
      <c r="AI87" s="8">
        <f>IF((0=1),(AI52-'Assumptions (edit)'!B4),"")</f>
      </c>
      <c r="AJ87" s="8">
        <f>IF((0=1),(AJ52-'Assumptions (edit)'!B4),"")</f>
      </c>
      <c r="AK87" s="8">
        <f>IF((0=1),(AK52-'Assumptions (edit)'!B4),"")</f>
      </c>
      <c r="AL87" s="8">
        <f>IF((0=1),(AL52-'Assumptions (edit)'!B4),"")</f>
      </c>
      <c r="AM87" s="8">
        <f>IF((0=1),(AM52-'Assumptions (edit)'!B4),"")</f>
      </c>
      <c r="AN87" s="8">
        <f>IF((0=1),(AN52-'Assumptions (edit)'!B4),"")</f>
      </c>
      <c r="AO87" s="8">
        <f>IF((0=1),(AO52-'Assumptions (edit)'!B4),"")</f>
      </c>
      <c r="AP87" s="8">
        <f>IF((0=1),(AP52-'Assumptions (edit)'!B4),"")</f>
      </c>
      <c r="AQ87" s="8">
        <f>IF((0=1),(AQ52-'Assumptions (edit)'!B4),"")</f>
      </c>
      <c r="AR87" s="8">
        <f>IF((0=1),(AR52-'Assumptions (edit)'!B4),"")</f>
      </c>
      <c r="AS87" s="8">
        <f>IF((0=1),(AS52-'Assumptions (edit)'!B4),"")</f>
      </c>
      <c r="AT87" s="8">
        <f>IF((0=1),(AT52-'Assumptions (edit)'!B4),"")</f>
      </c>
      <c r="AU87" s="8">
        <f>IF((0=1),(AU52-'Assumptions (edit)'!B4),"")</f>
      </c>
      <c r="AV87" s="8">
        <f>IF((0=1),(AV52-'Assumptions (edit)'!B4),"")</f>
      </c>
      <c r="AW87" s="8">
        <f>IF((0=1),(AW52-'Assumptions (edit)'!B4),"")</f>
      </c>
      <c r="AX87" s="8">
        <f>IF((0=1),(AX52-'Assumptions (edit)'!B4),"")</f>
      </c>
      <c r="AY87" s="8">
        <f>IF((0=1),(AY52-'Assumptions (edit)'!B4),"")</f>
      </c>
      <c r="AZ87" s="8">
        <f>IF((0=1),(AZ52-'Assumptions (edit)'!B4),"")</f>
      </c>
      <c r="BA87" s="8">
        <f>IF((0=1),(BA52-'Assumptions (edit)'!B4),"")</f>
      </c>
      <c r="BB87" s="8">
        <f>IF((0=1),(BB52-'Assumptions (edit)'!B4),"")</f>
      </c>
      <c r="BC87" s="8">
        <f>IF((0=1),(BC52-'Assumptions (edit)'!B4),"")</f>
      </c>
      <c r="BD87" s="8">
        <f>IF((0=1),(BD52-'Assumptions (edit)'!B4),"")</f>
      </c>
      <c r="BE87" s="8">
        <f>IF((0=1),(BE52-'Assumptions (edit)'!B4),"")</f>
      </c>
      <c r="BF87" s="8">
        <f>IF((0=1),(BF52-'Assumptions (edit)'!B4),"")</f>
      </c>
      <c r="BG87" s="8">
        <f>IF((0=1),(BG52-'Assumptions (edit)'!B4),"")</f>
      </c>
      <c r="BH87" s="8">
        <f>IF((0=1),(BH52-'Assumptions (edit)'!B4),"")</f>
      </c>
      <c r="BI87" s="8">
        <f>IF((0=1),(BI52-'Assumptions (edit)'!B4),"")</f>
      </c>
      <c r="BJ87" s="8">
        <f>IF((0=1),(BJ52-'Assumptions (edit)'!B4),"")</f>
      </c>
      <c r="BK87" s="8">
        <f>IF((0=1),(BK52-'Assumptions (edit)'!B4),"")</f>
      </c>
      <c r="BL87" s="8">
        <f>IF((0=1),(BL52-'Assumptions (edit)'!B4),"")</f>
      </c>
      <c r="BM87" s="8">
        <f>IF((0=1),(BM52-'Assumptions (edit)'!B4),"")</f>
      </c>
      <c r="BN87" s="8">
        <f>IF((0=1),(BN52-'Assumptions (edit)'!B4),"")</f>
      </c>
      <c r="BO87" s="8">
        <f>IF((0=1),(BO52-'Assumptions (edit)'!B4),"")</f>
      </c>
      <c r="BP87" s="8">
        <f>IF((0=1),(BP52-'Assumptions (edit)'!B4),"")</f>
      </c>
      <c r="BQ87" s="8">
        <f>IF((0=1),(BQ52-'Assumptions (edit)'!B4),"")</f>
      </c>
      <c r="BR87" s="8">
        <f>IF((0=1),(BR52-'Assumptions (edit)'!B4),"")</f>
      </c>
      <c r="BS87" s="8">
        <f>IF((0=1),(BS52-'Assumptions (edit)'!B4),"")</f>
      </c>
      <c r="BT87" s="8">
        <f>IF((0=1),(BT52-'Assumptions (edit)'!B4),"")</f>
      </c>
      <c r="BU87" s="8">
        <f>IF((0=1),(BU52-'Assumptions (edit)'!B4),"")</f>
      </c>
      <c r="BV87" s="8">
        <f>IF((0=1),(BV52-'Assumptions (edit)'!B4),"")</f>
      </c>
      <c r="BW87" s="8">
        <f>IF((0=1),(BW52-'Assumptions (edit)'!B4),"")</f>
      </c>
      <c r="BX87" s="8">
        <f>IF((0=1),(BX52-'Assumptions (edit)'!B4),"")</f>
      </c>
      <c r="BY87" s="8">
        <f>IF((0=1),(BY52-'Assumptions (edit)'!B4),"")</f>
      </c>
      <c r="BZ87" s="8">
        <f>IF((0=1),(BZ52-'Assumptions (edit)'!B4),"")</f>
      </c>
      <c r="CA87" s="8">
        <f>IF((0=1),(CA52-'Assumptions (edit)'!B4),"")</f>
      </c>
      <c r="CB87" s="8">
        <f>IF((0=1),(CB52-'Assumptions (edit)'!B4),"")</f>
      </c>
      <c r="CC87" s="8">
        <f>IF((0=1),(CC52-'Assumptions (edit)'!B4),"")</f>
      </c>
      <c r="CD87" s="8">
        <f>IF((0=1),(CD52-'Assumptions (edit)'!B4),"")</f>
      </c>
      <c r="CE87" s="8">
        <f>IF((0=1),(CE52-'Assumptions (edit)'!B4),"")</f>
      </c>
      <c r="CF87" s="8">
        <f>IF((0=1),(CF52-'Assumptions (edit)'!B4),"")</f>
      </c>
      <c r="CG87" s="8">
        <f>IF((0=1),(CG52-'Assumptions (edit)'!B4),"")</f>
      </c>
      <c r="CH87" s="8">
        <f>IF((0=1),(CH52-'Assumptions (edit)'!B4),"")</f>
      </c>
      <c r="CI87" s="8">
        <f>IF((0=1),(CI52-'Assumptions (edit)'!B4),"")</f>
      </c>
      <c r="CJ87" s="8">
        <f>IF((0=1),(CJ52-'Assumptions (edit)'!B4),"")</f>
      </c>
      <c r="CK87" s="8">
        <f>IF((0=1),(CK52-'Assumptions (edit)'!B4),"")</f>
      </c>
      <c r="CL87" s="8">
        <f>IF((0=1),(CL52-'Assumptions (edit)'!B4),"")</f>
      </c>
      <c r="CM87" s="8">
        <f>IF((0=1),(CM52-'Assumptions (edit)'!B4),"")</f>
      </c>
      <c r="CN87" s="8">
        <f>IF((0=1),(CN52-'Assumptions (edit)'!B4),"")</f>
      </c>
      <c r="CO87" s="8">
        <f>IF((0=1),(CO52-'Assumptions (edit)'!B4),"")</f>
      </c>
      <c r="CP87" s="8">
        <f>IF((0=1),(CP52-'Assumptions (edit)'!B4),"")</f>
      </c>
      <c r="CQ87" s="8">
        <f>IF((0=1),(CQ52-'Assumptions (edit)'!B4),"")</f>
      </c>
      <c r="CR87" s="8">
        <f>IF((0=1),(CR52-'Assumptions (edit)'!B4),"")</f>
      </c>
      <c r="CS87" s="8">
        <f>IF((0=1),(CS52-'Assumptions (edit)'!B4),"")</f>
      </c>
      <c r="CT87" s="8">
        <f>IF((0=1),(CT52-'Assumptions (edit)'!B4),"")</f>
      </c>
      <c r="CU87" s="8">
        <f>IF((0=1),(CU52-'Assumptions (edit)'!B4),"")</f>
      </c>
      <c r="CV87" s="8">
        <f>IF((0=1),(CV52-'Assumptions (edit)'!B4),"")</f>
      </c>
      <c r="CW87" s="8">
        <f>IF((0=1),(CW52-'Assumptions (edit)'!B4),"")</f>
      </c>
      <c r="CX87" s="8">
        <f>IF((0=1),(CX52-'Assumptions (edit)'!B4),"")</f>
      </c>
    </row>
    <row r="88">
      <c r="A88" s="0" t="inlineStr">
        <is>
          <t xml:space="preserve">Net of costs, bps</t>
        </is>
      </c>
      <c r="B88" s="0" t="inlineStr">
        <is>
          <t xml:space="preserve">Random 2</t>
        </is>
      </c>
      <c r="C88" s="8">
        <f>IF((1=1),(C53-'Assumptions (edit)'!B4),"")</f>
        <v>-12.049</v>
      </c>
      <c r="D88" s="8">
        <f>IF((0=1),(D53-'Assumptions (edit)'!B4),"")</f>
      </c>
      <c r="E88" s="8">
        <f>IF((0=1),(E53-'Assumptions (edit)'!B4),"")</f>
      </c>
      <c r="F88" s="8">
        <f>IF((0=1),(F53-'Assumptions (edit)'!B4),"")</f>
      </c>
      <c r="G88" s="8">
        <f>IF((0=1),(G53-'Assumptions (edit)'!B4),"")</f>
      </c>
      <c r="H88" s="8">
        <f>IF((0=1),(H53-'Assumptions (edit)'!B4),"")</f>
      </c>
      <c r="I88" s="8">
        <f>IF((0=1),(I53-'Assumptions (edit)'!B4),"")</f>
      </c>
      <c r="J88" s="8">
        <f>IF((0=1),(J53-'Assumptions (edit)'!B4),"")</f>
      </c>
      <c r="K88" s="8">
        <f>IF((0=1),(K53-'Assumptions (edit)'!B4),"")</f>
      </c>
      <c r="L88" s="8">
        <f>IF((0=1),(L53-'Assumptions (edit)'!B4),"")</f>
      </c>
      <c r="M88" s="8">
        <f>IF((0=1),(M53-'Assumptions (edit)'!B4),"")</f>
      </c>
      <c r="N88" s="8">
        <f>IF((0=1),(N53-'Assumptions (edit)'!B4),"")</f>
      </c>
      <c r="O88" s="8">
        <f>IF((0=1),(O53-'Assumptions (edit)'!B4),"")</f>
      </c>
      <c r="P88" s="8">
        <f>IF((0=1),(P53-'Assumptions (edit)'!B4),"")</f>
      </c>
      <c r="Q88" s="8">
        <f>IF((0=1),(Q53-'Assumptions (edit)'!B4),"")</f>
      </c>
      <c r="R88" s="8">
        <f>IF((0=1),(R53-'Assumptions (edit)'!B4),"")</f>
      </c>
      <c r="S88" s="8">
        <f>IF((0=1),(S53-'Assumptions (edit)'!B4),"")</f>
      </c>
      <c r="T88" s="8">
        <f>IF((0=1),(T53-'Assumptions (edit)'!B4),"")</f>
      </c>
      <c r="U88" s="8">
        <f>IF((0=1),(U53-'Assumptions (edit)'!B4),"")</f>
      </c>
      <c r="V88" s="8">
        <f>IF((0=1),(V53-'Assumptions (edit)'!B4),"")</f>
      </c>
      <c r="W88" s="8">
        <f>IF((0=1),(W53-'Assumptions (edit)'!B4),"")</f>
      </c>
      <c r="X88" s="8">
        <f>IF((0=1),(X53-'Assumptions (edit)'!B4),"")</f>
      </c>
      <c r="Y88" s="8">
        <f>IF((0=1),(Y53-'Assumptions (edit)'!B4),"")</f>
      </c>
      <c r="Z88" s="8">
        <f>IF((0=1),(Z53-'Assumptions (edit)'!B4),"")</f>
      </c>
      <c r="AA88" s="8">
        <f>IF((0=1),(AA53-'Assumptions (edit)'!B4),"")</f>
      </c>
      <c r="AB88" s="8">
        <f>IF((0=1),(AB53-'Assumptions (edit)'!B4),"")</f>
      </c>
      <c r="AC88" s="8">
        <f>IF((0=1),(AC53-'Assumptions (edit)'!B4),"")</f>
      </c>
      <c r="AD88" s="8">
        <f>IF((0=1),(AD53-'Assumptions (edit)'!B4),"")</f>
      </c>
      <c r="AE88" s="8">
        <f>IF((0=1),(AE53-'Assumptions (edit)'!B4),"")</f>
      </c>
      <c r="AF88" s="8">
        <f>IF((0=1),(AF53-'Assumptions (edit)'!B4),"")</f>
      </c>
      <c r="AG88" s="8">
        <f>IF((0=1),(AG53-'Assumptions (edit)'!B4),"")</f>
      </c>
      <c r="AH88" s="8">
        <f>IF((0=1),(AH53-'Assumptions (edit)'!B4),"")</f>
      </c>
      <c r="AI88" s="8">
        <f>IF((0=1),(AI53-'Assumptions (edit)'!B4),"")</f>
      </c>
      <c r="AJ88" s="8">
        <f>IF((0=1),(AJ53-'Assumptions (edit)'!B4),"")</f>
      </c>
      <c r="AK88" s="8">
        <f>IF((0=1),(AK53-'Assumptions (edit)'!B4),"")</f>
      </c>
      <c r="AL88" s="8">
        <f>IF((0=1),(AL53-'Assumptions (edit)'!B4),"")</f>
      </c>
      <c r="AM88" s="8">
        <f>IF((0=1),(AM53-'Assumptions (edit)'!B4),"")</f>
      </c>
      <c r="AN88" s="8">
        <f>IF((0=1),(AN53-'Assumptions (edit)'!B4),"")</f>
      </c>
      <c r="AO88" s="8">
        <f>IF((0=1),(AO53-'Assumptions (edit)'!B4),"")</f>
      </c>
      <c r="AP88" s="8">
        <f>IF((0=1),(AP53-'Assumptions (edit)'!B4),"")</f>
      </c>
      <c r="AQ88" s="8">
        <f>IF((0=1),(AQ53-'Assumptions (edit)'!B4),"")</f>
      </c>
      <c r="AR88" s="8">
        <f>IF((0=1),(AR53-'Assumptions (edit)'!B4),"")</f>
      </c>
      <c r="AS88" s="8">
        <f>IF((0=1),(AS53-'Assumptions (edit)'!B4),"")</f>
      </c>
      <c r="AT88" s="8">
        <f>IF((0=1),(AT53-'Assumptions (edit)'!B4),"")</f>
      </c>
      <c r="AU88" s="8">
        <f>IF((0=1),(AU53-'Assumptions (edit)'!B4),"")</f>
      </c>
      <c r="AV88" s="8">
        <f>IF((0=1),(AV53-'Assumptions (edit)'!B4),"")</f>
      </c>
      <c r="AW88" s="8">
        <f>IF((0=1),(AW53-'Assumptions (edit)'!B4),"")</f>
      </c>
      <c r="AX88" s="8">
        <f>IF((0=1),(AX53-'Assumptions (edit)'!B4),"")</f>
      </c>
      <c r="AY88" s="8">
        <f>IF((0=1),(AY53-'Assumptions (edit)'!B4),"")</f>
      </c>
      <c r="AZ88" s="8">
        <f>IF((0=1),(AZ53-'Assumptions (edit)'!B4),"")</f>
      </c>
      <c r="BA88" s="8">
        <f>IF((0=1),(BA53-'Assumptions (edit)'!B4),"")</f>
      </c>
      <c r="BB88" s="8">
        <f>IF((0=1),(BB53-'Assumptions (edit)'!B4),"")</f>
      </c>
      <c r="BC88" s="8">
        <f>IF((0=1),(BC53-'Assumptions (edit)'!B4),"")</f>
      </c>
      <c r="BD88" s="8">
        <f>IF((0=1),(BD53-'Assumptions (edit)'!B4),"")</f>
      </c>
      <c r="BE88" s="8">
        <f>IF((0=1),(BE53-'Assumptions (edit)'!B4),"")</f>
      </c>
      <c r="BF88" s="8">
        <f>IF((0=1),(BF53-'Assumptions (edit)'!B4),"")</f>
      </c>
      <c r="BG88" s="8">
        <f>IF((0=1),(BG53-'Assumptions (edit)'!B4),"")</f>
      </c>
      <c r="BH88" s="8">
        <f>IF((0=1),(BH53-'Assumptions (edit)'!B4),"")</f>
      </c>
      <c r="BI88" s="8">
        <f>IF((0=1),(BI53-'Assumptions (edit)'!B4),"")</f>
      </c>
      <c r="BJ88" s="8">
        <f>IF((0=1),(BJ53-'Assumptions (edit)'!B4),"")</f>
      </c>
      <c r="BK88" s="8">
        <f>IF((0=1),(BK53-'Assumptions (edit)'!B4),"")</f>
      </c>
      <c r="BL88" s="8">
        <f>IF((0=1),(BL53-'Assumptions (edit)'!B4),"")</f>
      </c>
      <c r="BM88" s="8">
        <f>IF((0=1),(BM53-'Assumptions (edit)'!B4),"")</f>
      </c>
      <c r="BN88" s="8">
        <f>IF((0=1),(BN53-'Assumptions (edit)'!B4),"")</f>
      </c>
      <c r="BO88" s="8">
        <f>IF((0=1),(BO53-'Assumptions (edit)'!B4),"")</f>
      </c>
      <c r="BP88" s="8">
        <f>IF((0=1),(BP53-'Assumptions (edit)'!B4),"")</f>
      </c>
      <c r="BQ88" s="8">
        <f>IF((0=1),(BQ53-'Assumptions (edit)'!B4),"")</f>
      </c>
      <c r="BR88" s="8">
        <f>IF((0=1),(BR53-'Assumptions (edit)'!B4),"")</f>
      </c>
      <c r="BS88" s="8">
        <f>IF((0=1),(BS53-'Assumptions (edit)'!B4),"")</f>
      </c>
      <c r="BT88" s="8">
        <f>IF((0=1),(BT53-'Assumptions (edit)'!B4),"")</f>
      </c>
      <c r="BU88" s="8">
        <f>IF((0=1),(BU53-'Assumptions (edit)'!B4),"")</f>
      </c>
      <c r="BV88" s="8">
        <f>IF((0=1),(BV53-'Assumptions (edit)'!B4),"")</f>
      </c>
      <c r="BW88" s="8">
        <f>IF((0=1),(BW53-'Assumptions (edit)'!B4),"")</f>
      </c>
      <c r="BX88" s="8">
        <f>IF((0=1),(BX53-'Assumptions (edit)'!B4),"")</f>
      </c>
      <c r="BY88" s="8">
        <f>IF((0=1),(BY53-'Assumptions (edit)'!B4),"")</f>
      </c>
      <c r="BZ88" s="8">
        <f>IF((0=1),(BZ53-'Assumptions (edit)'!B4),"")</f>
      </c>
      <c r="CA88" s="8">
        <f>IF((0=1),(CA53-'Assumptions (edit)'!B4),"")</f>
      </c>
      <c r="CB88" s="8">
        <f>IF((0=1),(CB53-'Assumptions (edit)'!B4),"")</f>
      </c>
      <c r="CC88" s="8">
        <f>IF((0=1),(CC53-'Assumptions (edit)'!B4),"")</f>
      </c>
      <c r="CD88" s="8">
        <f>IF((0=1),(CD53-'Assumptions (edit)'!B4),"")</f>
      </c>
      <c r="CE88" s="8">
        <f>IF((0=1),(CE53-'Assumptions (edit)'!B4),"")</f>
      </c>
      <c r="CF88" s="8">
        <f>IF((0=1),(CF53-'Assumptions (edit)'!B4),"")</f>
      </c>
      <c r="CG88" s="8">
        <f>IF((0=1),(CG53-'Assumptions (edit)'!B4),"")</f>
      </c>
      <c r="CH88" s="8">
        <f>IF((0=1),(CH53-'Assumptions (edit)'!B4),"")</f>
      </c>
      <c r="CI88" s="8">
        <f>IF((0=1),(CI53-'Assumptions (edit)'!B4),"")</f>
      </c>
      <c r="CJ88" s="8">
        <f>IF((0=1),(CJ53-'Assumptions (edit)'!B4),"")</f>
      </c>
      <c r="CK88" s="8">
        <f>IF((0=1),(CK53-'Assumptions (edit)'!B4),"")</f>
      </c>
      <c r="CL88" s="8">
        <f>IF((0=1),(CL53-'Assumptions (edit)'!B4),"")</f>
      </c>
      <c r="CM88" s="8">
        <f>IF((0=1),(CM53-'Assumptions (edit)'!B4),"")</f>
      </c>
      <c r="CN88" s="8">
        <f>IF((0=1),(CN53-'Assumptions (edit)'!B4),"")</f>
      </c>
      <c r="CO88" s="8">
        <f>IF((0=1),(CO53-'Assumptions (edit)'!B4),"")</f>
      </c>
      <c r="CP88" s="8">
        <f>IF((0=1),(CP53-'Assumptions (edit)'!B4),"")</f>
      </c>
      <c r="CQ88" s="8">
        <f>IF((0=1),(CQ53-'Assumptions (edit)'!B4),"")</f>
      </c>
      <c r="CR88" s="8">
        <f>IF((0=1),(CR53-'Assumptions (edit)'!B4),"")</f>
      </c>
      <c r="CS88" s="8">
        <f>IF((0=1),(CS53-'Assumptions (edit)'!B4),"")</f>
      </c>
      <c r="CT88" s="8">
        <f>IF((0=1),(CT53-'Assumptions (edit)'!B4),"")</f>
      </c>
      <c r="CU88" s="8">
        <f>IF((0=1),(CU53-'Assumptions (edit)'!B4),"")</f>
      </c>
      <c r="CV88" s="8">
        <f>IF((0=1),(CV53-'Assumptions (edit)'!B4),"")</f>
      </c>
      <c r="CW88" s="8">
        <f>IF((0=1),(CW53-'Assumptions (edit)'!B4),"")</f>
      </c>
      <c r="CX88" s="8">
        <f>IF((0=1),(CX53-'Assumptions (edit)'!B4),"")</f>
      </c>
    </row>
    <row r="89">
      <c r="A89" s="0" t="inlineStr">
        <is>
          <t xml:space="preserve">Net of costs, bps</t>
        </is>
      </c>
      <c r="B89" s="0" t="inlineStr">
        <is>
          <t xml:space="preserve">Random 3</t>
        </is>
      </c>
      <c r="C89" s="8">
        <f>IF((1=1),(C54-'Assumptions (edit)'!B4),"")</f>
        <v>-4.1</v>
      </c>
      <c r="D89" s="8">
        <f>IF((0=1),(D54-'Assumptions (edit)'!B4),"")</f>
      </c>
      <c r="E89" s="8">
        <f>IF((0=1),(E54-'Assumptions (edit)'!B4),"")</f>
      </c>
      <c r="F89" s="8">
        <f>IF((0=1),(F54-'Assumptions (edit)'!B4),"")</f>
      </c>
      <c r="G89" s="8">
        <f>IF((0=1),(G54-'Assumptions (edit)'!B4),"")</f>
      </c>
      <c r="H89" s="8">
        <f>IF((0=1),(H54-'Assumptions (edit)'!B4),"")</f>
      </c>
      <c r="I89" s="8">
        <f>IF((0=1),(I54-'Assumptions (edit)'!B4),"")</f>
      </c>
      <c r="J89" s="8">
        <f>IF((0=1),(J54-'Assumptions (edit)'!B4),"")</f>
      </c>
      <c r="K89" s="8">
        <f>IF((0=1),(K54-'Assumptions (edit)'!B4),"")</f>
      </c>
      <c r="L89" s="8">
        <f>IF((0=1),(L54-'Assumptions (edit)'!B4),"")</f>
      </c>
      <c r="M89" s="8">
        <f>IF((0=1),(M54-'Assumptions (edit)'!B4),"")</f>
      </c>
      <c r="N89" s="8">
        <f>IF((0=1),(N54-'Assumptions (edit)'!B4),"")</f>
      </c>
      <c r="O89" s="8">
        <f>IF((0=1),(O54-'Assumptions (edit)'!B4),"")</f>
      </c>
      <c r="P89" s="8">
        <f>IF((0=1),(P54-'Assumptions (edit)'!B4),"")</f>
      </c>
      <c r="Q89" s="8">
        <f>IF((0=1),(Q54-'Assumptions (edit)'!B4),"")</f>
      </c>
      <c r="R89" s="8">
        <f>IF((0=1),(R54-'Assumptions (edit)'!B4),"")</f>
      </c>
      <c r="S89" s="8">
        <f>IF((0=1),(S54-'Assumptions (edit)'!B4),"")</f>
      </c>
      <c r="T89" s="8">
        <f>IF((0=1),(T54-'Assumptions (edit)'!B4),"")</f>
      </c>
      <c r="U89" s="8">
        <f>IF((0=1),(U54-'Assumptions (edit)'!B4),"")</f>
      </c>
      <c r="V89" s="8">
        <f>IF((0=1),(V54-'Assumptions (edit)'!B4),"")</f>
      </c>
      <c r="W89" s="8">
        <f>IF((0=1),(W54-'Assumptions (edit)'!B4),"")</f>
      </c>
      <c r="X89" s="8">
        <f>IF((0=1),(X54-'Assumptions (edit)'!B4),"")</f>
      </c>
      <c r="Y89" s="8">
        <f>IF((0=1),(Y54-'Assumptions (edit)'!B4),"")</f>
      </c>
      <c r="Z89" s="8">
        <f>IF((0=1),(Z54-'Assumptions (edit)'!B4),"")</f>
      </c>
      <c r="AA89" s="8">
        <f>IF((0=1),(AA54-'Assumptions (edit)'!B4),"")</f>
      </c>
      <c r="AB89" s="8">
        <f>IF((0=1),(AB54-'Assumptions (edit)'!B4),"")</f>
      </c>
      <c r="AC89" s="8">
        <f>IF((0=1),(AC54-'Assumptions (edit)'!B4),"")</f>
      </c>
      <c r="AD89" s="8">
        <f>IF((0=1),(AD54-'Assumptions (edit)'!B4),"")</f>
      </c>
      <c r="AE89" s="8">
        <f>IF((0=1),(AE54-'Assumptions (edit)'!B4),"")</f>
      </c>
      <c r="AF89" s="8">
        <f>IF((0=1),(AF54-'Assumptions (edit)'!B4),"")</f>
      </c>
      <c r="AG89" s="8">
        <f>IF((0=1),(AG54-'Assumptions (edit)'!B4),"")</f>
      </c>
      <c r="AH89" s="8">
        <f>IF((0=1),(AH54-'Assumptions (edit)'!B4),"")</f>
      </c>
      <c r="AI89" s="8">
        <f>IF((0=1),(AI54-'Assumptions (edit)'!B4),"")</f>
      </c>
      <c r="AJ89" s="8">
        <f>IF((0=1),(AJ54-'Assumptions (edit)'!B4),"")</f>
      </c>
      <c r="AK89" s="8">
        <f>IF((0=1),(AK54-'Assumptions (edit)'!B4),"")</f>
      </c>
      <c r="AL89" s="8">
        <f>IF((0=1),(AL54-'Assumptions (edit)'!B4),"")</f>
      </c>
      <c r="AM89" s="8">
        <f>IF((0=1),(AM54-'Assumptions (edit)'!B4),"")</f>
      </c>
      <c r="AN89" s="8">
        <f>IF((0=1),(AN54-'Assumptions (edit)'!B4),"")</f>
      </c>
      <c r="AO89" s="8">
        <f>IF((0=1),(AO54-'Assumptions (edit)'!B4),"")</f>
      </c>
      <c r="AP89" s="8">
        <f>IF((0=1),(AP54-'Assumptions (edit)'!B4),"")</f>
      </c>
      <c r="AQ89" s="8">
        <f>IF((0=1),(AQ54-'Assumptions (edit)'!B4),"")</f>
      </c>
      <c r="AR89" s="8">
        <f>IF((0=1),(AR54-'Assumptions (edit)'!B4),"")</f>
      </c>
      <c r="AS89" s="8">
        <f>IF((0=1),(AS54-'Assumptions (edit)'!B4),"")</f>
      </c>
      <c r="AT89" s="8">
        <f>IF((0=1),(AT54-'Assumptions (edit)'!B4),"")</f>
      </c>
      <c r="AU89" s="8">
        <f>IF((0=1),(AU54-'Assumptions (edit)'!B4),"")</f>
      </c>
      <c r="AV89" s="8">
        <f>IF((0=1),(AV54-'Assumptions (edit)'!B4),"")</f>
      </c>
      <c r="AW89" s="8">
        <f>IF((0=1),(AW54-'Assumptions (edit)'!B4),"")</f>
      </c>
      <c r="AX89" s="8">
        <f>IF((0=1),(AX54-'Assumptions (edit)'!B4),"")</f>
      </c>
      <c r="AY89" s="8">
        <f>IF((0=1),(AY54-'Assumptions (edit)'!B4),"")</f>
      </c>
      <c r="AZ89" s="8">
        <f>IF((0=1),(AZ54-'Assumptions (edit)'!B4),"")</f>
      </c>
      <c r="BA89" s="8">
        <f>IF((0=1),(BA54-'Assumptions (edit)'!B4),"")</f>
      </c>
      <c r="BB89" s="8">
        <f>IF((0=1),(BB54-'Assumptions (edit)'!B4),"")</f>
      </c>
      <c r="BC89" s="8">
        <f>IF((0=1),(BC54-'Assumptions (edit)'!B4),"")</f>
      </c>
      <c r="BD89" s="8">
        <f>IF((0=1),(BD54-'Assumptions (edit)'!B4),"")</f>
      </c>
      <c r="BE89" s="8">
        <f>IF((0=1),(BE54-'Assumptions (edit)'!B4),"")</f>
      </c>
      <c r="BF89" s="8">
        <f>IF((0=1),(BF54-'Assumptions (edit)'!B4),"")</f>
      </c>
      <c r="BG89" s="8">
        <f>IF((0=1),(BG54-'Assumptions (edit)'!B4),"")</f>
      </c>
      <c r="BH89" s="8">
        <f>IF((0=1),(BH54-'Assumptions (edit)'!B4),"")</f>
      </c>
      <c r="BI89" s="8">
        <f>IF((0=1),(BI54-'Assumptions (edit)'!B4),"")</f>
      </c>
      <c r="BJ89" s="8">
        <f>IF((0=1),(BJ54-'Assumptions (edit)'!B4),"")</f>
      </c>
      <c r="BK89" s="8">
        <f>IF((0=1),(BK54-'Assumptions (edit)'!B4),"")</f>
      </c>
      <c r="BL89" s="8">
        <f>IF((0=1),(BL54-'Assumptions (edit)'!B4),"")</f>
      </c>
      <c r="BM89" s="8">
        <f>IF((0=1),(BM54-'Assumptions (edit)'!B4),"")</f>
      </c>
      <c r="BN89" s="8">
        <f>IF((0=1),(BN54-'Assumptions (edit)'!B4),"")</f>
      </c>
      <c r="BO89" s="8">
        <f>IF((0=1),(BO54-'Assumptions (edit)'!B4),"")</f>
      </c>
      <c r="BP89" s="8">
        <f>IF((0=1),(BP54-'Assumptions (edit)'!B4),"")</f>
      </c>
      <c r="BQ89" s="8">
        <f>IF((0=1),(BQ54-'Assumptions (edit)'!B4),"")</f>
      </c>
      <c r="BR89" s="8">
        <f>IF((0=1),(BR54-'Assumptions (edit)'!B4),"")</f>
      </c>
      <c r="BS89" s="8">
        <f>IF((0=1),(BS54-'Assumptions (edit)'!B4),"")</f>
      </c>
      <c r="BT89" s="8">
        <f>IF((0=1),(BT54-'Assumptions (edit)'!B4),"")</f>
      </c>
      <c r="BU89" s="8">
        <f>IF((0=1),(BU54-'Assumptions (edit)'!B4),"")</f>
      </c>
      <c r="BV89" s="8">
        <f>IF((0=1),(BV54-'Assumptions (edit)'!B4),"")</f>
      </c>
      <c r="BW89" s="8">
        <f>IF((0=1),(BW54-'Assumptions (edit)'!B4),"")</f>
      </c>
      <c r="BX89" s="8">
        <f>IF((0=1),(BX54-'Assumptions (edit)'!B4),"")</f>
      </c>
      <c r="BY89" s="8">
        <f>IF((0=1),(BY54-'Assumptions (edit)'!B4),"")</f>
      </c>
      <c r="BZ89" s="8">
        <f>IF((0=1),(BZ54-'Assumptions (edit)'!B4),"")</f>
      </c>
      <c r="CA89" s="8">
        <f>IF((0=1),(CA54-'Assumptions (edit)'!B4),"")</f>
      </c>
      <c r="CB89" s="8">
        <f>IF((0=1),(CB54-'Assumptions (edit)'!B4),"")</f>
      </c>
      <c r="CC89" s="8">
        <f>IF((0=1),(CC54-'Assumptions (edit)'!B4),"")</f>
      </c>
      <c r="CD89" s="8">
        <f>IF((0=1),(CD54-'Assumptions (edit)'!B4),"")</f>
      </c>
      <c r="CE89" s="8">
        <f>IF((0=1),(CE54-'Assumptions (edit)'!B4),"")</f>
      </c>
      <c r="CF89" s="8">
        <f>IF((0=1),(CF54-'Assumptions (edit)'!B4),"")</f>
      </c>
      <c r="CG89" s="8">
        <f>IF((0=1),(CG54-'Assumptions (edit)'!B4),"")</f>
      </c>
      <c r="CH89" s="8">
        <f>IF((0=1),(CH54-'Assumptions (edit)'!B4),"")</f>
      </c>
      <c r="CI89" s="8">
        <f>IF((0=1),(CI54-'Assumptions (edit)'!B4),"")</f>
      </c>
      <c r="CJ89" s="8">
        <f>IF((0=1),(CJ54-'Assumptions (edit)'!B4),"")</f>
      </c>
      <c r="CK89" s="8">
        <f>IF((0=1),(CK54-'Assumptions (edit)'!B4),"")</f>
      </c>
      <c r="CL89" s="8">
        <f>IF((0=1),(CL54-'Assumptions (edit)'!B4),"")</f>
      </c>
      <c r="CM89" s="8">
        <f>IF((0=1),(CM54-'Assumptions (edit)'!B4),"")</f>
      </c>
      <c r="CN89" s="8">
        <f>IF((0=1),(CN54-'Assumptions (edit)'!B4),"")</f>
      </c>
      <c r="CO89" s="8">
        <f>IF((0=1),(CO54-'Assumptions (edit)'!B4),"")</f>
      </c>
      <c r="CP89" s="8">
        <f>IF((0=1),(CP54-'Assumptions (edit)'!B4),"")</f>
      </c>
      <c r="CQ89" s="8">
        <f>IF((0=1),(CQ54-'Assumptions (edit)'!B4),"")</f>
      </c>
      <c r="CR89" s="8">
        <f>IF((0=1),(CR54-'Assumptions (edit)'!B4),"")</f>
      </c>
      <c r="CS89" s="8">
        <f>IF((0=1),(CS54-'Assumptions (edit)'!B4),"")</f>
      </c>
      <c r="CT89" s="8">
        <f>IF((0=1),(CT54-'Assumptions (edit)'!B4),"")</f>
      </c>
      <c r="CU89" s="8">
        <f>IF((0=1),(CU54-'Assumptions (edit)'!B4),"")</f>
      </c>
      <c r="CV89" s="8">
        <f>IF((0=1),(CV54-'Assumptions (edit)'!B4),"")</f>
      </c>
      <c r="CW89" s="8">
        <f>IF((0=1),(CW54-'Assumptions (edit)'!B4),"")</f>
      </c>
      <c r="CX89" s="8">
        <f>IF((0=1),(CX54-'Assumptions (edit)'!B4),"")</f>
      </c>
    </row>
    <row r="90">
      <c r="A90" s="0" t="inlineStr">
        <is>
          <t xml:space="preserve">Net of costs, bps</t>
        </is>
      </c>
      <c r="B90" s="0" t="inlineStr">
        <is>
          <t xml:space="preserve">Random 4</t>
        </is>
      </c>
      <c r="C90" s="8">
        <f>IF((1=1),(C55-'Assumptions (edit)'!B4),"")</f>
        <v>-15.497</v>
      </c>
      <c r="D90" s="8">
        <f>IF((0=1),(D55-'Assumptions (edit)'!B4),"")</f>
      </c>
      <c r="E90" s="8">
        <f>IF((0=1),(E55-'Assumptions (edit)'!B4),"")</f>
      </c>
      <c r="F90" s="8">
        <f>IF((0=1),(F55-'Assumptions (edit)'!B4),"")</f>
      </c>
      <c r="G90" s="8">
        <f>IF((0=1),(G55-'Assumptions (edit)'!B4),"")</f>
      </c>
      <c r="H90" s="8">
        <f>IF((0=1),(H55-'Assumptions (edit)'!B4),"")</f>
      </c>
      <c r="I90" s="8">
        <f>IF((0=1),(I55-'Assumptions (edit)'!B4),"")</f>
      </c>
      <c r="J90" s="8">
        <f>IF((0=1),(J55-'Assumptions (edit)'!B4),"")</f>
      </c>
      <c r="K90" s="8">
        <f>IF((0=1),(K55-'Assumptions (edit)'!B4),"")</f>
      </c>
      <c r="L90" s="8">
        <f>IF((0=1),(L55-'Assumptions (edit)'!B4),"")</f>
      </c>
      <c r="M90" s="8">
        <f>IF((0=1),(M55-'Assumptions (edit)'!B4),"")</f>
      </c>
      <c r="N90" s="8">
        <f>IF((0=1),(N55-'Assumptions (edit)'!B4),"")</f>
      </c>
      <c r="O90" s="8">
        <f>IF((0=1),(O55-'Assumptions (edit)'!B4),"")</f>
      </c>
      <c r="P90" s="8">
        <f>IF((0=1),(P55-'Assumptions (edit)'!B4),"")</f>
      </c>
      <c r="Q90" s="8">
        <f>IF((0=1),(Q55-'Assumptions (edit)'!B4),"")</f>
      </c>
      <c r="R90" s="8">
        <f>IF((0=1),(R55-'Assumptions (edit)'!B4),"")</f>
      </c>
      <c r="S90" s="8">
        <f>IF((0=1),(S55-'Assumptions (edit)'!B4),"")</f>
      </c>
      <c r="T90" s="8">
        <f>IF((0=1),(T55-'Assumptions (edit)'!B4),"")</f>
      </c>
      <c r="U90" s="8">
        <f>IF((0=1),(U55-'Assumptions (edit)'!B4),"")</f>
      </c>
      <c r="V90" s="8">
        <f>IF((0=1),(V55-'Assumptions (edit)'!B4),"")</f>
      </c>
      <c r="W90" s="8">
        <f>IF((0=1),(W55-'Assumptions (edit)'!B4),"")</f>
      </c>
      <c r="X90" s="8">
        <f>IF((0=1),(X55-'Assumptions (edit)'!B4),"")</f>
      </c>
      <c r="Y90" s="8">
        <f>IF((0=1),(Y55-'Assumptions (edit)'!B4),"")</f>
      </c>
      <c r="Z90" s="8">
        <f>IF((0=1),(Z55-'Assumptions (edit)'!B4),"")</f>
      </c>
      <c r="AA90" s="8">
        <f>IF((0=1),(AA55-'Assumptions (edit)'!B4),"")</f>
      </c>
      <c r="AB90" s="8">
        <f>IF((0=1),(AB55-'Assumptions (edit)'!B4),"")</f>
      </c>
      <c r="AC90" s="8">
        <f>IF((0=1),(AC55-'Assumptions (edit)'!B4),"")</f>
      </c>
      <c r="AD90" s="8">
        <f>IF((0=1),(AD55-'Assumptions (edit)'!B4),"")</f>
      </c>
      <c r="AE90" s="8">
        <f>IF((0=1),(AE55-'Assumptions (edit)'!B4),"")</f>
      </c>
      <c r="AF90" s="8">
        <f>IF((0=1),(AF55-'Assumptions (edit)'!B4),"")</f>
      </c>
      <c r="AG90" s="8">
        <f>IF((0=1),(AG55-'Assumptions (edit)'!B4),"")</f>
      </c>
      <c r="AH90" s="8">
        <f>IF((0=1),(AH55-'Assumptions (edit)'!B4),"")</f>
      </c>
      <c r="AI90" s="8">
        <f>IF((0=1),(AI55-'Assumptions (edit)'!B4),"")</f>
      </c>
      <c r="AJ90" s="8">
        <f>IF((0=1),(AJ55-'Assumptions (edit)'!B4),"")</f>
      </c>
      <c r="AK90" s="8">
        <f>IF((0=1),(AK55-'Assumptions (edit)'!B4),"")</f>
      </c>
      <c r="AL90" s="8">
        <f>IF((0=1),(AL55-'Assumptions (edit)'!B4),"")</f>
      </c>
      <c r="AM90" s="8">
        <f>IF((0=1),(AM55-'Assumptions (edit)'!B4),"")</f>
      </c>
      <c r="AN90" s="8">
        <f>IF((0=1),(AN55-'Assumptions (edit)'!B4),"")</f>
      </c>
      <c r="AO90" s="8">
        <f>IF((0=1),(AO55-'Assumptions (edit)'!B4),"")</f>
      </c>
      <c r="AP90" s="8">
        <f>IF((0=1),(AP55-'Assumptions (edit)'!B4),"")</f>
      </c>
      <c r="AQ90" s="8">
        <f>IF((0=1),(AQ55-'Assumptions (edit)'!B4),"")</f>
      </c>
      <c r="AR90" s="8">
        <f>IF((0=1),(AR55-'Assumptions (edit)'!B4),"")</f>
      </c>
      <c r="AS90" s="8">
        <f>IF((0=1),(AS55-'Assumptions (edit)'!B4),"")</f>
      </c>
      <c r="AT90" s="8">
        <f>IF((0=1),(AT55-'Assumptions (edit)'!B4),"")</f>
      </c>
      <c r="AU90" s="8">
        <f>IF((0=1),(AU55-'Assumptions (edit)'!B4),"")</f>
      </c>
      <c r="AV90" s="8">
        <f>IF((0=1),(AV55-'Assumptions (edit)'!B4),"")</f>
      </c>
      <c r="AW90" s="8">
        <f>IF((0=1),(AW55-'Assumptions (edit)'!B4),"")</f>
      </c>
      <c r="AX90" s="8">
        <f>IF((0=1),(AX55-'Assumptions (edit)'!B4),"")</f>
      </c>
      <c r="AY90" s="8">
        <f>IF((0=1),(AY55-'Assumptions (edit)'!B4),"")</f>
      </c>
      <c r="AZ90" s="8">
        <f>IF((0=1),(AZ55-'Assumptions (edit)'!B4),"")</f>
      </c>
      <c r="BA90" s="8">
        <f>IF((0=1),(BA55-'Assumptions (edit)'!B4),"")</f>
      </c>
      <c r="BB90" s="8">
        <f>IF((0=1),(BB55-'Assumptions (edit)'!B4),"")</f>
      </c>
      <c r="BC90" s="8">
        <f>IF((0=1),(BC55-'Assumptions (edit)'!B4),"")</f>
      </c>
      <c r="BD90" s="8">
        <f>IF((0=1),(BD55-'Assumptions (edit)'!B4),"")</f>
      </c>
      <c r="BE90" s="8">
        <f>IF((0=1),(BE55-'Assumptions (edit)'!B4),"")</f>
      </c>
      <c r="BF90" s="8">
        <f>IF((0=1),(BF55-'Assumptions (edit)'!B4),"")</f>
      </c>
      <c r="BG90" s="8">
        <f>IF((0=1),(BG55-'Assumptions (edit)'!B4),"")</f>
      </c>
      <c r="BH90" s="8">
        <f>IF((0=1),(BH55-'Assumptions (edit)'!B4),"")</f>
      </c>
      <c r="BI90" s="8">
        <f>IF((0=1),(BI55-'Assumptions (edit)'!B4),"")</f>
      </c>
      <c r="BJ90" s="8">
        <f>IF((0=1),(BJ55-'Assumptions (edit)'!B4),"")</f>
      </c>
      <c r="BK90" s="8">
        <f>IF((0=1),(BK55-'Assumptions (edit)'!B4),"")</f>
      </c>
      <c r="BL90" s="8">
        <f>IF((0=1),(BL55-'Assumptions (edit)'!B4),"")</f>
      </c>
      <c r="BM90" s="8">
        <f>IF((0=1),(BM55-'Assumptions (edit)'!B4),"")</f>
      </c>
      <c r="BN90" s="8">
        <f>IF((0=1),(BN55-'Assumptions (edit)'!B4),"")</f>
      </c>
      <c r="BO90" s="8">
        <f>IF((0=1),(BO55-'Assumptions (edit)'!B4),"")</f>
      </c>
      <c r="BP90" s="8">
        <f>IF((0=1),(BP55-'Assumptions (edit)'!B4),"")</f>
      </c>
      <c r="BQ90" s="8">
        <f>IF((0=1),(BQ55-'Assumptions (edit)'!B4),"")</f>
      </c>
      <c r="BR90" s="8">
        <f>IF((0=1),(BR55-'Assumptions (edit)'!B4),"")</f>
      </c>
      <c r="BS90" s="8">
        <f>IF((0=1),(BS55-'Assumptions (edit)'!B4),"")</f>
      </c>
      <c r="BT90" s="8">
        <f>IF((0=1),(BT55-'Assumptions (edit)'!B4),"")</f>
      </c>
      <c r="BU90" s="8">
        <f>IF((0=1),(BU55-'Assumptions (edit)'!B4),"")</f>
      </c>
      <c r="BV90" s="8">
        <f>IF((0=1),(BV55-'Assumptions (edit)'!B4),"")</f>
      </c>
      <c r="BW90" s="8">
        <f>IF((0=1),(BW55-'Assumptions (edit)'!B4),"")</f>
      </c>
      <c r="BX90" s="8">
        <f>IF((0=1),(BX55-'Assumptions (edit)'!B4),"")</f>
      </c>
      <c r="BY90" s="8">
        <f>IF((0=1),(BY55-'Assumptions (edit)'!B4),"")</f>
      </c>
      <c r="BZ90" s="8">
        <f>IF((0=1),(BZ55-'Assumptions (edit)'!B4),"")</f>
      </c>
      <c r="CA90" s="8">
        <f>IF((0=1),(CA55-'Assumptions (edit)'!B4),"")</f>
      </c>
      <c r="CB90" s="8">
        <f>IF((0=1),(CB55-'Assumptions (edit)'!B4),"")</f>
      </c>
      <c r="CC90" s="8">
        <f>IF((0=1),(CC55-'Assumptions (edit)'!B4),"")</f>
      </c>
      <c r="CD90" s="8">
        <f>IF((0=1),(CD55-'Assumptions (edit)'!B4),"")</f>
      </c>
      <c r="CE90" s="8">
        <f>IF((0=1),(CE55-'Assumptions (edit)'!B4),"")</f>
      </c>
      <c r="CF90" s="8">
        <f>IF((0=1),(CF55-'Assumptions (edit)'!B4),"")</f>
      </c>
      <c r="CG90" s="8">
        <f>IF((0=1),(CG55-'Assumptions (edit)'!B4),"")</f>
      </c>
      <c r="CH90" s="8">
        <f>IF((0=1),(CH55-'Assumptions (edit)'!B4),"")</f>
      </c>
      <c r="CI90" s="8">
        <f>IF((0=1),(CI55-'Assumptions (edit)'!B4),"")</f>
      </c>
      <c r="CJ90" s="8">
        <f>IF((0=1),(CJ55-'Assumptions (edit)'!B4),"")</f>
      </c>
      <c r="CK90" s="8">
        <f>IF((0=1),(CK55-'Assumptions (edit)'!B4),"")</f>
      </c>
      <c r="CL90" s="8">
        <f>IF((0=1),(CL55-'Assumptions (edit)'!B4),"")</f>
      </c>
      <c r="CM90" s="8">
        <f>IF((0=1),(CM55-'Assumptions (edit)'!B4),"")</f>
      </c>
      <c r="CN90" s="8">
        <f>IF((0=1),(CN55-'Assumptions (edit)'!B4),"")</f>
      </c>
      <c r="CO90" s="8">
        <f>IF((0=1),(CO55-'Assumptions (edit)'!B4),"")</f>
      </c>
      <c r="CP90" s="8">
        <f>IF((0=1),(CP55-'Assumptions (edit)'!B4),"")</f>
      </c>
      <c r="CQ90" s="8">
        <f>IF((0=1),(CQ55-'Assumptions (edit)'!B4),"")</f>
      </c>
      <c r="CR90" s="8">
        <f>IF((0=1),(CR55-'Assumptions (edit)'!B4),"")</f>
      </c>
      <c r="CS90" s="8">
        <f>IF((0=1),(CS55-'Assumptions (edit)'!B4),"")</f>
      </c>
      <c r="CT90" s="8">
        <f>IF((0=1),(CT55-'Assumptions (edit)'!B4),"")</f>
      </c>
      <c r="CU90" s="8">
        <f>IF((0=1),(CU55-'Assumptions (edit)'!B4),"")</f>
      </c>
      <c r="CV90" s="8">
        <f>IF((0=1),(CV55-'Assumptions (edit)'!B4),"")</f>
      </c>
      <c r="CW90" s="8">
        <f>IF((0=1),(CW55-'Assumptions (edit)'!B4),"")</f>
      </c>
      <c r="CX90" s="8">
        <f>IF((0=1),(CX55-'Assumptions (edit)'!B4),"")</f>
      </c>
    </row>
    <row r="91">
      <c r="A91" s="0" t="inlineStr">
        <is>
          <t xml:space="preserve">Net of costs, bps</t>
        </is>
      </c>
      <c r="B91" s="0" t="inlineStr">
        <is>
          <t xml:space="preserve">Random 5</t>
        </is>
      </c>
      <c r="C91" s="8">
        <f>IF((1=1),(C56-'Assumptions (edit)'!B4),"")</f>
        <v>-7.258</v>
      </c>
      <c r="D91" s="8">
        <f>IF((0=1),(D56-'Assumptions (edit)'!B4),"")</f>
      </c>
      <c r="E91" s="8">
        <f>IF((0=1),(E56-'Assumptions (edit)'!B4),"")</f>
      </c>
      <c r="F91" s="8">
        <f>IF((0=1),(F56-'Assumptions (edit)'!B4),"")</f>
      </c>
      <c r="G91" s="8">
        <f>IF((0=1),(G56-'Assumptions (edit)'!B4),"")</f>
      </c>
      <c r="H91" s="8">
        <f>IF((0=1),(H56-'Assumptions (edit)'!B4),"")</f>
      </c>
      <c r="I91" s="8">
        <f>IF((0=1),(I56-'Assumptions (edit)'!B4),"")</f>
      </c>
      <c r="J91" s="8">
        <f>IF((0=1),(J56-'Assumptions (edit)'!B4),"")</f>
      </c>
      <c r="K91" s="8">
        <f>IF((0=1),(K56-'Assumptions (edit)'!B4),"")</f>
      </c>
      <c r="L91" s="8">
        <f>IF((0=1),(L56-'Assumptions (edit)'!B4),"")</f>
      </c>
      <c r="M91" s="8">
        <f>IF((0=1),(M56-'Assumptions (edit)'!B4),"")</f>
      </c>
      <c r="N91" s="8">
        <f>IF((0=1),(N56-'Assumptions (edit)'!B4),"")</f>
      </c>
      <c r="O91" s="8">
        <f>IF((0=1),(O56-'Assumptions (edit)'!B4),"")</f>
      </c>
      <c r="P91" s="8">
        <f>IF((0=1),(P56-'Assumptions (edit)'!B4),"")</f>
      </c>
      <c r="Q91" s="8">
        <f>IF((0=1),(Q56-'Assumptions (edit)'!B4),"")</f>
      </c>
      <c r="R91" s="8">
        <f>IF((0=1),(R56-'Assumptions (edit)'!B4),"")</f>
      </c>
      <c r="S91" s="8">
        <f>IF((0=1),(S56-'Assumptions (edit)'!B4),"")</f>
      </c>
      <c r="T91" s="8">
        <f>IF((0=1),(T56-'Assumptions (edit)'!B4),"")</f>
      </c>
      <c r="U91" s="8">
        <f>IF((0=1),(U56-'Assumptions (edit)'!B4),"")</f>
      </c>
      <c r="V91" s="8">
        <f>IF((0=1),(V56-'Assumptions (edit)'!B4),"")</f>
      </c>
      <c r="W91" s="8">
        <f>IF((0=1),(W56-'Assumptions (edit)'!B4),"")</f>
      </c>
      <c r="X91" s="8">
        <f>IF((0=1),(X56-'Assumptions (edit)'!B4),"")</f>
      </c>
      <c r="Y91" s="8">
        <f>IF((0=1),(Y56-'Assumptions (edit)'!B4),"")</f>
      </c>
      <c r="Z91" s="8">
        <f>IF((0=1),(Z56-'Assumptions (edit)'!B4),"")</f>
      </c>
      <c r="AA91" s="8">
        <f>IF((0=1),(AA56-'Assumptions (edit)'!B4),"")</f>
      </c>
      <c r="AB91" s="8">
        <f>IF((0=1),(AB56-'Assumptions (edit)'!B4),"")</f>
      </c>
      <c r="AC91" s="8">
        <f>IF((0=1),(AC56-'Assumptions (edit)'!B4),"")</f>
      </c>
      <c r="AD91" s="8">
        <f>IF((0=1),(AD56-'Assumptions (edit)'!B4),"")</f>
      </c>
      <c r="AE91" s="8">
        <f>IF((0=1),(AE56-'Assumptions (edit)'!B4),"")</f>
      </c>
      <c r="AF91" s="8">
        <f>IF((0=1),(AF56-'Assumptions (edit)'!B4),"")</f>
      </c>
      <c r="AG91" s="8">
        <f>IF((0=1),(AG56-'Assumptions (edit)'!B4),"")</f>
      </c>
      <c r="AH91" s="8">
        <f>IF((0=1),(AH56-'Assumptions (edit)'!B4),"")</f>
      </c>
      <c r="AI91" s="8">
        <f>IF((0=1),(AI56-'Assumptions (edit)'!B4),"")</f>
      </c>
      <c r="AJ91" s="8">
        <f>IF((0=1),(AJ56-'Assumptions (edit)'!B4),"")</f>
      </c>
      <c r="AK91" s="8">
        <f>IF((0=1),(AK56-'Assumptions (edit)'!B4),"")</f>
      </c>
      <c r="AL91" s="8">
        <f>IF((0=1),(AL56-'Assumptions (edit)'!B4),"")</f>
      </c>
      <c r="AM91" s="8">
        <f>IF((0=1),(AM56-'Assumptions (edit)'!B4),"")</f>
      </c>
      <c r="AN91" s="8">
        <f>IF((0=1),(AN56-'Assumptions (edit)'!B4),"")</f>
      </c>
      <c r="AO91" s="8">
        <f>IF((0=1),(AO56-'Assumptions (edit)'!B4),"")</f>
      </c>
      <c r="AP91" s="8">
        <f>IF((0=1),(AP56-'Assumptions (edit)'!B4),"")</f>
      </c>
      <c r="AQ91" s="8">
        <f>IF((0=1),(AQ56-'Assumptions (edit)'!B4),"")</f>
      </c>
      <c r="AR91" s="8">
        <f>IF((0=1),(AR56-'Assumptions (edit)'!B4),"")</f>
      </c>
      <c r="AS91" s="8">
        <f>IF((0=1),(AS56-'Assumptions (edit)'!B4),"")</f>
      </c>
      <c r="AT91" s="8">
        <f>IF((0=1),(AT56-'Assumptions (edit)'!B4),"")</f>
      </c>
      <c r="AU91" s="8">
        <f>IF((0=1),(AU56-'Assumptions (edit)'!B4),"")</f>
      </c>
      <c r="AV91" s="8">
        <f>IF((0=1),(AV56-'Assumptions (edit)'!B4),"")</f>
      </c>
      <c r="AW91" s="8">
        <f>IF((0=1),(AW56-'Assumptions (edit)'!B4),"")</f>
      </c>
      <c r="AX91" s="8">
        <f>IF((0=1),(AX56-'Assumptions (edit)'!B4),"")</f>
      </c>
      <c r="AY91" s="8">
        <f>IF((0=1),(AY56-'Assumptions (edit)'!B4),"")</f>
      </c>
      <c r="AZ91" s="8">
        <f>IF((0=1),(AZ56-'Assumptions (edit)'!B4),"")</f>
      </c>
      <c r="BA91" s="8">
        <f>IF((0=1),(BA56-'Assumptions (edit)'!B4),"")</f>
      </c>
      <c r="BB91" s="8">
        <f>IF((0=1),(BB56-'Assumptions (edit)'!B4),"")</f>
      </c>
      <c r="BC91" s="8">
        <f>IF((0=1),(BC56-'Assumptions (edit)'!B4),"")</f>
      </c>
      <c r="BD91" s="8">
        <f>IF((0=1),(BD56-'Assumptions (edit)'!B4),"")</f>
      </c>
      <c r="BE91" s="8">
        <f>IF((0=1),(BE56-'Assumptions (edit)'!B4),"")</f>
      </c>
      <c r="BF91" s="8">
        <f>IF((0=1),(BF56-'Assumptions (edit)'!B4),"")</f>
      </c>
      <c r="BG91" s="8">
        <f>IF((0=1),(BG56-'Assumptions (edit)'!B4),"")</f>
      </c>
      <c r="BH91" s="8">
        <f>IF((0=1),(BH56-'Assumptions (edit)'!B4),"")</f>
      </c>
      <c r="BI91" s="8">
        <f>IF((0=1),(BI56-'Assumptions (edit)'!B4),"")</f>
      </c>
      <c r="BJ91" s="8">
        <f>IF((0=1),(BJ56-'Assumptions (edit)'!B4),"")</f>
      </c>
      <c r="BK91" s="8">
        <f>IF((0=1),(BK56-'Assumptions (edit)'!B4),"")</f>
      </c>
      <c r="BL91" s="8">
        <f>IF((0=1),(BL56-'Assumptions (edit)'!B4),"")</f>
      </c>
      <c r="BM91" s="8">
        <f>IF((0=1),(BM56-'Assumptions (edit)'!B4),"")</f>
      </c>
      <c r="BN91" s="8">
        <f>IF((0=1),(BN56-'Assumptions (edit)'!B4),"")</f>
      </c>
      <c r="BO91" s="8">
        <f>IF((0=1),(BO56-'Assumptions (edit)'!B4),"")</f>
      </c>
      <c r="BP91" s="8">
        <f>IF((0=1),(BP56-'Assumptions (edit)'!B4),"")</f>
      </c>
      <c r="BQ91" s="8">
        <f>IF((0=1),(BQ56-'Assumptions (edit)'!B4),"")</f>
      </c>
      <c r="BR91" s="8">
        <f>IF((0=1),(BR56-'Assumptions (edit)'!B4),"")</f>
      </c>
      <c r="BS91" s="8">
        <f>IF((0=1),(BS56-'Assumptions (edit)'!B4),"")</f>
      </c>
      <c r="BT91" s="8">
        <f>IF((0=1),(BT56-'Assumptions (edit)'!B4),"")</f>
      </c>
      <c r="BU91" s="8">
        <f>IF((0=1),(BU56-'Assumptions (edit)'!B4),"")</f>
      </c>
      <c r="BV91" s="8">
        <f>IF((0=1),(BV56-'Assumptions (edit)'!B4),"")</f>
      </c>
      <c r="BW91" s="8">
        <f>IF((0=1),(BW56-'Assumptions (edit)'!B4),"")</f>
      </c>
      <c r="BX91" s="8">
        <f>IF((0=1),(BX56-'Assumptions (edit)'!B4),"")</f>
      </c>
      <c r="BY91" s="8">
        <f>IF((0=1),(BY56-'Assumptions (edit)'!B4),"")</f>
      </c>
      <c r="BZ91" s="8">
        <f>IF((0=1),(BZ56-'Assumptions (edit)'!B4),"")</f>
      </c>
      <c r="CA91" s="8">
        <f>IF((0=1),(CA56-'Assumptions (edit)'!B4),"")</f>
      </c>
      <c r="CB91" s="8">
        <f>IF((0=1),(CB56-'Assumptions (edit)'!B4),"")</f>
      </c>
      <c r="CC91" s="8">
        <f>IF((0=1),(CC56-'Assumptions (edit)'!B4),"")</f>
      </c>
      <c r="CD91" s="8">
        <f>IF((0=1),(CD56-'Assumptions (edit)'!B4),"")</f>
      </c>
      <c r="CE91" s="8">
        <f>IF((0=1),(CE56-'Assumptions (edit)'!B4),"")</f>
      </c>
      <c r="CF91" s="8">
        <f>IF((0=1),(CF56-'Assumptions (edit)'!B4),"")</f>
      </c>
      <c r="CG91" s="8">
        <f>IF((0=1),(CG56-'Assumptions (edit)'!B4),"")</f>
      </c>
      <c r="CH91" s="8">
        <f>IF((0=1),(CH56-'Assumptions (edit)'!B4),"")</f>
      </c>
      <c r="CI91" s="8">
        <f>IF((0=1),(CI56-'Assumptions (edit)'!B4),"")</f>
      </c>
      <c r="CJ91" s="8">
        <f>IF((0=1),(CJ56-'Assumptions (edit)'!B4),"")</f>
      </c>
      <c r="CK91" s="8">
        <f>IF((0=1),(CK56-'Assumptions (edit)'!B4),"")</f>
      </c>
      <c r="CL91" s="8">
        <f>IF((0=1),(CL56-'Assumptions (edit)'!B4),"")</f>
      </c>
      <c r="CM91" s="8">
        <f>IF((0=1),(CM56-'Assumptions (edit)'!B4),"")</f>
      </c>
      <c r="CN91" s="8">
        <f>IF((0=1),(CN56-'Assumptions (edit)'!B4),"")</f>
      </c>
      <c r="CO91" s="8">
        <f>IF((0=1),(CO56-'Assumptions (edit)'!B4),"")</f>
      </c>
      <c r="CP91" s="8">
        <f>IF((0=1),(CP56-'Assumptions (edit)'!B4),"")</f>
      </c>
      <c r="CQ91" s="8">
        <f>IF((0=1),(CQ56-'Assumptions (edit)'!B4),"")</f>
      </c>
      <c r="CR91" s="8">
        <f>IF((0=1),(CR56-'Assumptions (edit)'!B4),"")</f>
      </c>
      <c r="CS91" s="8">
        <f>IF((0=1),(CS56-'Assumptions (edit)'!B4),"")</f>
      </c>
      <c r="CT91" s="8">
        <f>IF((0=1),(CT56-'Assumptions (edit)'!B4),"")</f>
      </c>
      <c r="CU91" s="8">
        <f>IF((0=1),(CU56-'Assumptions (edit)'!B4),"")</f>
      </c>
      <c r="CV91" s="8">
        <f>IF((0=1),(CV56-'Assumptions (edit)'!B4),"")</f>
      </c>
      <c r="CW91" s="8">
        <f>IF((0=1),(CW56-'Assumptions (edit)'!B4),"")</f>
      </c>
      <c r="CX91" s="8">
        <f>IF((0=1),(CX56-'Assumptions (edit)'!B4),"")</f>
      </c>
    </row>
    <row r="92">
      <c r="A92" s="0" t="inlineStr">
        <is>
          <t xml:space="preserve">Net of costs, bps</t>
        </is>
      </c>
      <c r="B92" s="0" t="inlineStr">
        <is>
          <t xml:space="preserve">Random 6</t>
        </is>
      </c>
      <c r="C92" s="8">
        <f>IF((1=1),(C57-'Assumptions (edit)'!B4),"")</f>
        <v>-13.953</v>
      </c>
      <c r="D92" s="8">
        <f>IF((0=1),(D57-'Assumptions (edit)'!B4),"")</f>
      </c>
      <c r="E92" s="8">
        <f>IF((0=1),(E57-'Assumptions (edit)'!B4),"")</f>
      </c>
      <c r="F92" s="8">
        <f>IF((0=1),(F57-'Assumptions (edit)'!B4),"")</f>
      </c>
      <c r="G92" s="8">
        <f>IF((0=1),(G57-'Assumptions (edit)'!B4),"")</f>
      </c>
      <c r="H92" s="8">
        <f>IF((0=1),(H57-'Assumptions (edit)'!B4),"")</f>
      </c>
      <c r="I92" s="8">
        <f>IF((0=1),(I57-'Assumptions (edit)'!B4),"")</f>
      </c>
      <c r="J92" s="8">
        <f>IF((0=1),(J57-'Assumptions (edit)'!B4),"")</f>
      </c>
      <c r="K92" s="8">
        <f>IF((0=1),(K57-'Assumptions (edit)'!B4),"")</f>
      </c>
      <c r="L92" s="8">
        <f>IF((0=1),(L57-'Assumptions (edit)'!B4),"")</f>
      </c>
      <c r="M92" s="8">
        <f>IF((0=1),(M57-'Assumptions (edit)'!B4),"")</f>
      </c>
      <c r="N92" s="8">
        <f>IF((0=1),(N57-'Assumptions (edit)'!B4),"")</f>
      </c>
      <c r="O92" s="8">
        <f>IF((0=1),(O57-'Assumptions (edit)'!B4),"")</f>
      </c>
      <c r="P92" s="8">
        <f>IF((0=1),(P57-'Assumptions (edit)'!B4),"")</f>
      </c>
      <c r="Q92" s="8">
        <f>IF((0=1),(Q57-'Assumptions (edit)'!B4),"")</f>
      </c>
      <c r="R92" s="8">
        <f>IF((0=1),(R57-'Assumptions (edit)'!B4),"")</f>
      </c>
      <c r="S92" s="8">
        <f>IF((0=1),(S57-'Assumptions (edit)'!B4),"")</f>
      </c>
      <c r="T92" s="8">
        <f>IF((0=1),(T57-'Assumptions (edit)'!B4),"")</f>
      </c>
      <c r="U92" s="8">
        <f>IF((0=1),(U57-'Assumptions (edit)'!B4),"")</f>
      </c>
      <c r="V92" s="8">
        <f>IF((0=1),(V57-'Assumptions (edit)'!B4),"")</f>
      </c>
      <c r="W92" s="8">
        <f>IF((0=1),(W57-'Assumptions (edit)'!B4),"")</f>
      </c>
      <c r="X92" s="8">
        <f>IF((0=1),(X57-'Assumptions (edit)'!B4),"")</f>
      </c>
      <c r="Y92" s="8">
        <f>IF((0=1),(Y57-'Assumptions (edit)'!B4),"")</f>
      </c>
      <c r="Z92" s="8">
        <f>IF((0=1),(Z57-'Assumptions (edit)'!B4),"")</f>
      </c>
      <c r="AA92" s="8">
        <f>IF((0=1),(AA57-'Assumptions (edit)'!B4),"")</f>
      </c>
      <c r="AB92" s="8">
        <f>IF((0=1),(AB57-'Assumptions (edit)'!B4),"")</f>
      </c>
      <c r="AC92" s="8">
        <f>IF((0=1),(AC57-'Assumptions (edit)'!B4),"")</f>
      </c>
      <c r="AD92" s="8">
        <f>IF((0=1),(AD57-'Assumptions (edit)'!B4),"")</f>
      </c>
      <c r="AE92" s="8">
        <f>IF((0=1),(AE57-'Assumptions (edit)'!B4),"")</f>
      </c>
      <c r="AF92" s="8">
        <f>IF((0=1),(AF57-'Assumptions (edit)'!B4),"")</f>
      </c>
      <c r="AG92" s="8">
        <f>IF((0=1),(AG57-'Assumptions (edit)'!B4),"")</f>
      </c>
      <c r="AH92" s="8">
        <f>IF((0=1),(AH57-'Assumptions (edit)'!B4),"")</f>
      </c>
      <c r="AI92" s="8">
        <f>IF((0=1),(AI57-'Assumptions (edit)'!B4),"")</f>
      </c>
      <c r="AJ92" s="8">
        <f>IF((0=1),(AJ57-'Assumptions (edit)'!B4),"")</f>
      </c>
      <c r="AK92" s="8">
        <f>IF((0=1),(AK57-'Assumptions (edit)'!B4),"")</f>
      </c>
      <c r="AL92" s="8">
        <f>IF((0=1),(AL57-'Assumptions (edit)'!B4),"")</f>
      </c>
      <c r="AM92" s="8">
        <f>IF((0=1),(AM57-'Assumptions (edit)'!B4),"")</f>
      </c>
      <c r="AN92" s="8">
        <f>IF((0=1),(AN57-'Assumptions (edit)'!B4),"")</f>
      </c>
      <c r="AO92" s="8">
        <f>IF((0=1),(AO57-'Assumptions (edit)'!B4),"")</f>
      </c>
      <c r="AP92" s="8">
        <f>IF((0=1),(AP57-'Assumptions (edit)'!B4),"")</f>
      </c>
      <c r="AQ92" s="8">
        <f>IF((0=1),(AQ57-'Assumptions (edit)'!B4),"")</f>
      </c>
      <c r="AR92" s="8">
        <f>IF((0=1),(AR57-'Assumptions (edit)'!B4),"")</f>
      </c>
      <c r="AS92" s="8">
        <f>IF((0=1),(AS57-'Assumptions (edit)'!B4),"")</f>
      </c>
      <c r="AT92" s="8">
        <f>IF((0=1),(AT57-'Assumptions (edit)'!B4),"")</f>
      </c>
      <c r="AU92" s="8">
        <f>IF((0=1),(AU57-'Assumptions (edit)'!B4),"")</f>
      </c>
      <c r="AV92" s="8">
        <f>IF((0=1),(AV57-'Assumptions (edit)'!B4),"")</f>
      </c>
      <c r="AW92" s="8">
        <f>IF((0=1),(AW57-'Assumptions (edit)'!B4),"")</f>
      </c>
      <c r="AX92" s="8">
        <f>IF((0=1),(AX57-'Assumptions (edit)'!B4),"")</f>
      </c>
      <c r="AY92" s="8">
        <f>IF((0=1),(AY57-'Assumptions (edit)'!B4),"")</f>
      </c>
      <c r="AZ92" s="8">
        <f>IF((0=1),(AZ57-'Assumptions (edit)'!B4),"")</f>
      </c>
      <c r="BA92" s="8">
        <f>IF((0=1),(BA57-'Assumptions (edit)'!B4),"")</f>
      </c>
      <c r="BB92" s="8">
        <f>IF((0=1),(BB57-'Assumptions (edit)'!B4),"")</f>
      </c>
      <c r="BC92" s="8">
        <f>IF((0=1),(BC57-'Assumptions (edit)'!B4),"")</f>
      </c>
      <c r="BD92" s="8">
        <f>IF((0=1),(BD57-'Assumptions (edit)'!B4),"")</f>
      </c>
      <c r="BE92" s="8">
        <f>IF((0=1),(BE57-'Assumptions (edit)'!B4),"")</f>
      </c>
      <c r="BF92" s="8">
        <f>IF((0=1),(BF57-'Assumptions (edit)'!B4),"")</f>
      </c>
      <c r="BG92" s="8">
        <f>IF((0=1),(BG57-'Assumptions (edit)'!B4),"")</f>
      </c>
      <c r="BH92" s="8">
        <f>IF((0=1),(BH57-'Assumptions (edit)'!B4),"")</f>
      </c>
      <c r="BI92" s="8">
        <f>IF((0=1),(BI57-'Assumptions (edit)'!B4),"")</f>
      </c>
      <c r="BJ92" s="8">
        <f>IF((0=1),(BJ57-'Assumptions (edit)'!B4),"")</f>
      </c>
      <c r="BK92" s="8">
        <f>IF((0=1),(BK57-'Assumptions (edit)'!B4),"")</f>
      </c>
      <c r="BL92" s="8">
        <f>IF((0=1),(BL57-'Assumptions (edit)'!B4),"")</f>
      </c>
      <c r="BM92" s="8">
        <f>IF((0=1),(BM57-'Assumptions (edit)'!B4),"")</f>
      </c>
      <c r="BN92" s="8">
        <f>IF((0=1),(BN57-'Assumptions (edit)'!B4),"")</f>
      </c>
      <c r="BO92" s="8">
        <f>IF((0=1),(BO57-'Assumptions (edit)'!B4),"")</f>
      </c>
      <c r="BP92" s="8">
        <f>IF((0=1),(BP57-'Assumptions (edit)'!B4),"")</f>
      </c>
      <c r="BQ92" s="8">
        <f>IF((0=1),(BQ57-'Assumptions (edit)'!B4),"")</f>
      </c>
      <c r="BR92" s="8">
        <f>IF((0=1),(BR57-'Assumptions (edit)'!B4),"")</f>
      </c>
      <c r="BS92" s="8">
        <f>IF((0=1),(BS57-'Assumptions (edit)'!B4),"")</f>
      </c>
      <c r="BT92" s="8">
        <f>IF((0=1),(BT57-'Assumptions (edit)'!B4),"")</f>
      </c>
      <c r="BU92" s="8">
        <f>IF((0=1),(BU57-'Assumptions (edit)'!B4),"")</f>
      </c>
      <c r="BV92" s="8">
        <f>IF((0=1),(BV57-'Assumptions (edit)'!B4),"")</f>
      </c>
      <c r="BW92" s="8">
        <f>IF((0=1),(BW57-'Assumptions (edit)'!B4),"")</f>
      </c>
      <c r="BX92" s="8">
        <f>IF((0=1),(BX57-'Assumptions (edit)'!B4),"")</f>
      </c>
      <c r="BY92" s="8">
        <f>IF((0=1),(BY57-'Assumptions (edit)'!B4),"")</f>
      </c>
      <c r="BZ92" s="8">
        <f>IF((0=1),(BZ57-'Assumptions (edit)'!B4),"")</f>
      </c>
      <c r="CA92" s="8">
        <f>IF((0=1),(CA57-'Assumptions (edit)'!B4),"")</f>
      </c>
      <c r="CB92" s="8">
        <f>IF((0=1),(CB57-'Assumptions (edit)'!B4),"")</f>
      </c>
      <c r="CC92" s="8">
        <f>IF((0=1),(CC57-'Assumptions (edit)'!B4),"")</f>
      </c>
      <c r="CD92" s="8">
        <f>IF((0=1),(CD57-'Assumptions (edit)'!B4),"")</f>
      </c>
      <c r="CE92" s="8">
        <f>IF((0=1),(CE57-'Assumptions (edit)'!B4),"")</f>
      </c>
      <c r="CF92" s="8">
        <f>IF((0=1),(CF57-'Assumptions (edit)'!B4),"")</f>
      </c>
      <c r="CG92" s="8">
        <f>IF((0=1),(CG57-'Assumptions (edit)'!B4),"")</f>
      </c>
      <c r="CH92" s="8">
        <f>IF((0=1),(CH57-'Assumptions (edit)'!B4),"")</f>
      </c>
      <c r="CI92" s="8">
        <f>IF((0=1),(CI57-'Assumptions (edit)'!B4),"")</f>
      </c>
      <c r="CJ92" s="8">
        <f>IF((0=1),(CJ57-'Assumptions (edit)'!B4),"")</f>
      </c>
      <c r="CK92" s="8">
        <f>IF((0=1),(CK57-'Assumptions (edit)'!B4),"")</f>
      </c>
      <c r="CL92" s="8">
        <f>IF((0=1),(CL57-'Assumptions (edit)'!B4),"")</f>
      </c>
      <c r="CM92" s="8">
        <f>IF((0=1),(CM57-'Assumptions (edit)'!B4),"")</f>
      </c>
      <c r="CN92" s="8">
        <f>IF((0=1),(CN57-'Assumptions (edit)'!B4),"")</f>
      </c>
      <c r="CO92" s="8">
        <f>IF((0=1),(CO57-'Assumptions (edit)'!B4),"")</f>
      </c>
      <c r="CP92" s="8">
        <f>IF((0=1),(CP57-'Assumptions (edit)'!B4),"")</f>
      </c>
      <c r="CQ92" s="8">
        <f>IF((0=1),(CQ57-'Assumptions (edit)'!B4),"")</f>
      </c>
      <c r="CR92" s="8">
        <f>IF((0=1),(CR57-'Assumptions (edit)'!B4),"")</f>
      </c>
      <c r="CS92" s="8">
        <f>IF((0=1),(CS57-'Assumptions (edit)'!B4),"")</f>
      </c>
      <c r="CT92" s="8">
        <f>IF((0=1),(CT57-'Assumptions (edit)'!B4),"")</f>
      </c>
      <c r="CU92" s="8">
        <f>IF((0=1),(CU57-'Assumptions (edit)'!B4),"")</f>
      </c>
      <c r="CV92" s="8">
        <f>IF((0=1),(CV57-'Assumptions (edit)'!B4),"")</f>
      </c>
      <c r="CW92" s="8">
        <f>IF((0=1),(CW57-'Assumptions (edit)'!B4),"")</f>
      </c>
      <c r="CX92" s="8">
        <f>IF((0=1),(CX57-'Assumptions (edit)'!B4),"")</f>
      </c>
    </row>
    <row r="93">
      <c r="A93" s="0" t="inlineStr">
        <is>
          <t xml:space="preserve">Net of costs, bps</t>
        </is>
      </c>
      <c r="B93" s="0" t="inlineStr">
        <is>
          <t xml:space="preserve">Random 7</t>
        </is>
      </c>
      <c r="C93" s="8">
        <f>IF((1=1),(C58-'Assumptions (edit)'!B4),"")</f>
        <v>-9.805</v>
      </c>
      <c r="D93" s="8">
        <f>IF((0=1),(D58-'Assumptions (edit)'!B4),"")</f>
      </c>
      <c r="E93" s="8">
        <f>IF((0=1),(E58-'Assumptions (edit)'!B4),"")</f>
      </c>
      <c r="F93" s="8">
        <f>IF((0=1),(F58-'Assumptions (edit)'!B4),"")</f>
      </c>
      <c r="G93" s="8">
        <f>IF((0=1),(G58-'Assumptions (edit)'!B4),"")</f>
      </c>
      <c r="H93" s="8">
        <f>IF((0=1),(H58-'Assumptions (edit)'!B4),"")</f>
      </c>
      <c r="I93" s="8">
        <f>IF((0=1),(I58-'Assumptions (edit)'!B4),"")</f>
      </c>
      <c r="J93" s="8">
        <f>IF((0=1),(J58-'Assumptions (edit)'!B4),"")</f>
      </c>
      <c r="K93" s="8">
        <f>IF((0=1),(K58-'Assumptions (edit)'!B4),"")</f>
      </c>
      <c r="L93" s="8">
        <f>IF((0=1),(L58-'Assumptions (edit)'!B4),"")</f>
      </c>
      <c r="M93" s="8">
        <f>IF((0=1),(M58-'Assumptions (edit)'!B4),"")</f>
      </c>
      <c r="N93" s="8">
        <f>IF((0=1),(N58-'Assumptions (edit)'!B4),"")</f>
      </c>
      <c r="O93" s="8">
        <f>IF((0=1),(O58-'Assumptions (edit)'!B4),"")</f>
      </c>
      <c r="P93" s="8">
        <f>IF((0=1),(P58-'Assumptions (edit)'!B4),"")</f>
      </c>
      <c r="Q93" s="8">
        <f>IF((0=1),(Q58-'Assumptions (edit)'!B4),"")</f>
      </c>
      <c r="R93" s="8">
        <f>IF((0=1),(R58-'Assumptions (edit)'!B4),"")</f>
      </c>
      <c r="S93" s="8">
        <f>IF((0=1),(S58-'Assumptions (edit)'!B4),"")</f>
      </c>
      <c r="T93" s="8">
        <f>IF((0=1),(T58-'Assumptions (edit)'!B4),"")</f>
      </c>
      <c r="U93" s="8">
        <f>IF((0=1),(U58-'Assumptions (edit)'!B4),"")</f>
      </c>
      <c r="V93" s="8">
        <f>IF((0=1),(V58-'Assumptions (edit)'!B4),"")</f>
      </c>
      <c r="W93" s="8">
        <f>IF((0=1),(W58-'Assumptions (edit)'!B4),"")</f>
      </c>
      <c r="X93" s="8">
        <f>IF((0=1),(X58-'Assumptions (edit)'!B4),"")</f>
      </c>
      <c r="Y93" s="8">
        <f>IF((0=1),(Y58-'Assumptions (edit)'!B4),"")</f>
      </c>
      <c r="Z93" s="8">
        <f>IF((0=1),(Z58-'Assumptions (edit)'!B4),"")</f>
      </c>
      <c r="AA93" s="8">
        <f>IF((0=1),(AA58-'Assumptions (edit)'!B4),"")</f>
      </c>
      <c r="AB93" s="8">
        <f>IF((0=1),(AB58-'Assumptions (edit)'!B4),"")</f>
      </c>
      <c r="AC93" s="8">
        <f>IF((0=1),(AC58-'Assumptions (edit)'!B4),"")</f>
      </c>
      <c r="AD93" s="8">
        <f>IF((0=1),(AD58-'Assumptions (edit)'!B4),"")</f>
      </c>
      <c r="AE93" s="8">
        <f>IF((0=1),(AE58-'Assumptions (edit)'!B4),"")</f>
      </c>
      <c r="AF93" s="8">
        <f>IF((0=1),(AF58-'Assumptions (edit)'!B4),"")</f>
      </c>
      <c r="AG93" s="8">
        <f>IF((0=1),(AG58-'Assumptions (edit)'!B4),"")</f>
      </c>
      <c r="AH93" s="8">
        <f>IF((0=1),(AH58-'Assumptions (edit)'!B4),"")</f>
      </c>
      <c r="AI93" s="8">
        <f>IF((0=1),(AI58-'Assumptions (edit)'!B4),"")</f>
      </c>
      <c r="AJ93" s="8">
        <f>IF((0=1),(AJ58-'Assumptions (edit)'!B4),"")</f>
      </c>
      <c r="AK93" s="8">
        <f>IF((0=1),(AK58-'Assumptions (edit)'!B4),"")</f>
      </c>
      <c r="AL93" s="8">
        <f>IF((0=1),(AL58-'Assumptions (edit)'!B4),"")</f>
      </c>
      <c r="AM93" s="8">
        <f>IF((0=1),(AM58-'Assumptions (edit)'!B4),"")</f>
      </c>
      <c r="AN93" s="8">
        <f>IF((0=1),(AN58-'Assumptions (edit)'!B4),"")</f>
      </c>
      <c r="AO93" s="8">
        <f>IF((0=1),(AO58-'Assumptions (edit)'!B4),"")</f>
      </c>
      <c r="AP93" s="8">
        <f>IF((0=1),(AP58-'Assumptions (edit)'!B4),"")</f>
      </c>
      <c r="AQ93" s="8">
        <f>IF((0=1),(AQ58-'Assumptions (edit)'!B4),"")</f>
      </c>
      <c r="AR93" s="8">
        <f>IF((0=1),(AR58-'Assumptions (edit)'!B4),"")</f>
      </c>
      <c r="AS93" s="8">
        <f>IF((0=1),(AS58-'Assumptions (edit)'!B4),"")</f>
      </c>
      <c r="AT93" s="8">
        <f>IF((0=1),(AT58-'Assumptions (edit)'!B4),"")</f>
      </c>
      <c r="AU93" s="8">
        <f>IF((0=1),(AU58-'Assumptions (edit)'!B4),"")</f>
      </c>
      <c r="AV93" s="8">
        <f>IF((0=1),(AV58-'Assumptions (edit)'!B4),"")</f>
      </c>
      <c r="AW93" s="8">
        <f>IF((0=1),(AW58-'Assumptions (edit)'!B4),"")</f>
      </c>
      <c r="AX93" s="8">
        <f>IF((0=1),(AX58-'Assumptions (edit)'!B4),"")</f>
      </c>
      <c r="AY93" s="8">
        <f>IF((0=1),(AY58-'Assumptions (edit)'!B4),"")</f>
      </c>
      <c r="AZ93" s="8">
        <f>IF((0=1),(AZ58-'Assumptions (edit)'!B4),"")</f>
      </c>
      <c r="BA93" s="8">
        <f>IF((0=1),(BA58-'Assumptions (edit)'!B4),"")</f>
      </c>
      <c r="BB93" s="8">
        <f>IF((0=1),(BB58-'Assumptions (edit)'!B4),"")</f>
      </c>
      <c r="BC93" s="8">
        <f>IF((0=1),(BC58-'Assumptions (edit)'!B4),"")</f>
      </c>
      <c r="BD93" s="8">
        <f>IF((0=1),(BD58-'Assumptions (edit)'!B4),"")</f>
      </c>
      <c r="BE93" s="8">
        <f>IF((0=1),(BE58-'Assumptions (edit)'!B4),"")</f>
      </c>
      <c r="BF93" s="8">
        <f>IF((0=1),(BF58-'Assumptions (edit)'!B4),"")</f>
      </c>
      <c r="BG93" s="8">
        <f>IF((0=1),(BG58-'Assumptions (edit)'!B4),"")</f>
      </c>
      <c r="BH93" s="8">
        <f>IF((0=1),(BH58-'Assumptions (edit)'!B4),"")</f>
      </c>
      <c r="BI93" s="8">
        <f>IF((0=1),(BI58-'Assumptions (edit)'!B4),"")</f>
      </c>
      <c r="BJ93" s="8">
        <f>IF((0=1),(BJ58-'Assumptions (edit)'!B4),"")</f>
      </c>
      <c r="BK93" s="8">
        <f>IF((0=1),(BK58-'Assumptions (edit)'!B4),"")</f>
      </c>
      <c r="BL93" s="8">
        <f>IF((0=1),(BL58-'Assumptions (edit)'!B4),"")</f>
      </c>
      <c r="BM93" s="8">
        <f>IF((0=1),(BM58-'Assumptions (edit)'!B4),"")</f>
      </c>
      <c r="BN93" s="8">
        <f>IF((0=1),(BN58-'Assumptions (edit)'!B4),"")</f>
      </c>
      <c r="BO93" s="8">
        <f>IF((0=1),(BO58-'Assumptions (edit)'!B4),"")</f>
      </c>
      <c r="BP93" s="8">
        <f>IF((0=1),(BP58-'Assumptions (edit)'!B4),"")</f>
      </c>
      <c r="BQ93" s="8">
        <f>IF((0=1),(BQ58-'Assumptions (edit)'!B4),"")</f>
      </c>
      <c r="BR93" s="8">
        <f>IF((0=1),(BR58-'Assumptions (edit)'!B4),"")</f>
      </c>
      <c r="BS93" s="8">
        <f>IF((0=1),(BS58-'Assumptions (edit)'!B4),"")</f>
      </c>
      <c r="BT93" s="8">
        <f>IF((0=1),(BT58-'Assumptions (edit)'!B4),"")</f>
      </c>
      <c r="BU93" s="8">
        <f>IF((0=1),(BU58-'Assumptions (edit)'!B4),"")</f>
      </c>
      <c r="BV93" s="8">
        <f>IF((0=1),(BV58-'Assumptions (edit)'!B4),"")</f>
      </c>
      <c r="BW93" s="8">
        <f>IF((0=1),(BW58-'Assumptions (edit)'!B4),"")</f>
      </c>
      <c r="BX93" s="8">
        <f>IF((0=1),(BX58-'Assumptions (edit)'!B4),"")</f>
      </c>
      <c r="BY93" s="8">
        <f>IF((0=1),(BY58-'Assumptions (edit)'!B4),"")</f>
      </c>
      <c r="BZ93" s="8">
        <f>IF((0=1),(BZ58-'Assumptions (edit)'!B4),"")</f>
      </c>
      <c r="CA93" s="8">
        <f>IF((0=1),(CA58-'Assumptions (edit)'!B4),"")</f>
      </c>
      <c r="CB93" s="8">
        <f>IF((0=1),(CB58-'Assumptions (edit)'!B4),"")</f>
      </c>
      <c r="CC93" s="8">
        <f>IF((0=1),(CC58-'Assumptions (edit)'!B4),"")</f>
      </c>
      <c r="CD93" s="8">
        <f>IF((0=1),(CD58-'Assumptions (edit)'!B4),"")</f>
      </c>
      <c r="CE93" s="8">
        <f>IF((0=1),(CE58-'Assumptions (edit)'!B4),"")</f>
      </c>
      <c r="CF93" s="8">
        <f>IF((0=1),(CF58-'Assumptions (edit)'!B4),"")</f>
      </c>
      <c r="CG93" s="8">
        <f>IF((0=1),(CG58-'Assumptions (edit)'!B4),"")</f>
      </c>
      <c r="CH93" s="8">
        <f>IF((0=1),(CH58-'Assumptions (edit)'!B4),"")</f>
      </c>
      <c r="CI93" s="8">
        <f>IF((0=1),(CI58-'Assumptions (edit)'!B4),"")</f>
      </c>
      <c r="CJ93" s="8">
        <f>IF((0=1),(CJ58-'Assumptions (edit)'!B4),"")</f>
      </c>
      <c r="CK93" s="8">
        <f>IF((0=1),(CK58-'Assumptions (edit)'!B4),"")</f>
      </c>
      <c r="CL93" s="8">
        <f>IF((0=1),(CL58-'Assumptions (edit)'!B4),"")</f>
      </c>
      <c r="CM93" s="8">
        <f>IF((0=1),(CM58-'Assumptions (edit)'!B4),"")</f>
      </c>
      <c r="CN93" s="8">
        <f>IF((0=1),(CN58-'Assumptions (edit)'!B4),"")</f>
      </c>
      <c r="CO93" s="8">
        <f>IF((0=1),(CO58-'Assumptions (edit)'!B4),"")</f>
      </c>
      <c r="CP93" s="8">
        <f>IF((0=1),(CP58-'Assumptions (edit)'!B4),"")</f>
      </c>
      <c r="CQ93" s="8">
        <f>IF((0=1),(CQ58-'Assumptions (edit)'!B4),"")</f>
      </c>
      <c r="CR93" s="8">
        <f>IF((0=1),(CR58-'Assumptions (edit)'!B4),"")</f>
      </c>
      <c r="CS93" s="8">
        <f>IF((0=1),(CS58-'Assumptions (edit)'!B4),"")</f>
      </c>
      <c r="CT93" s="8">
        <f>IF((0=1),(CT58-'Assumptions (edit)'!B4),"")</f>
      </c>
      <c r="CU93" s="8">
        <f>IF((0=1),(CU58-'Assumptions (edit)'!B4),"")</f>
      </c>
      <c r="CV93" s="8">
        <f>IF((0=1),(CV58-'Assumptions (edit)'!B4),"")</f>
      </c>
      <c r="CW93" s="8">
        <f>IF((0=1),(CW58-'Assumptions (edit)'!B4),"")</f>
      </c>
      <c r="CX93" s="8">
        <f>IF((0=1),(CX58-'Assumptions (edit)'!B4),"")</f>
      </c>
    </row>
    <row r="94">
      <c r="A94" s="0" t="inlineStr">
        <is>
          <t xml:space="preserve">Net of costs, bps</t>
        </is>
      </c>
      <c r="B94" s="0" t="inlineStr">
        <is>
          <t xml:space="preserve">Random 8</t>
        </is>
      </c>
      <c r="C94" s="8">
        <f>IF((1=1),(C59-'Assumptions (edit)'!B4),"")</f>
        <v>-4.538</v>
      </c>
      <c r="D94" s="8">
        <f>IF((0=1),(D59-'Assumptions (edit)'!B4),"")</f>
      </c>
      <c r="E94" s="8">
        <f>IF((0=1),(E59-'Assumptions (edit)'!B4),"")</f>
      </c>
      <c r="F94" s="8">
        <f>IF((0=1),(F59-'Assumptions (edit)'!B4),"")</f>
      </c>
      <c r="G94" s="8">
        <f>IF((0=1),(G59-'Assumptions (edit)'!B4),"")</f>
      </c>
      <c r="H94" s="8">
        <f>IF((0=1),(H59-'Assumptions (edit)'!B4),"")</f>
      </c>
      <c r="I94" s="8">
        <f>IF((0=1),(I59-'Assumptions (edit)'!B4),"")</f>
      </c>
      <c r="J94" s="8">
        <f>IF((0=1),(J59-'Assumptions (edit)'!B4),"")</f>
      </c>
      <c r="K94" s="8">
        <f>IF((0=1),(K59-'Assumptions (edit)'!B4),"")</f>
      </c>
      <c r="L94" s="8">
        <f>IF((0=1),(L59-'Assumptions (edit)'!B4),"")</f>
      </c>
      <c r="M94" s="8">
        <f>IF((0=1),(M59-'Assumptions (edit)'!B4),"")</f>
      </c>
      <c r="N94" s="8">
        <f>IF((0=1),(N59-'Assumptions (edit)'!B4),"")</f>
      </c>
      <c r="O94" s="8">
        <f>IF((0=1),(O59-'Assumptions (edit)'!B4),"")</f>
      </c>
      <c r="P94" s="8">
        <f>IF((0=1),(P59-'Assumptions (edit)'!B4),"")</f>
      </c>
      <c r="Q94" s="8">
        <f>IF((0=1),(Q59-'Assumptions (edit)'!B4),"")</f>
      </c>
      <c r="R94" s="8">
        <f>IF((0=1),(R59-'Assumptions (edit)'!B4),"")</f>
      </c>
      <c r="S94" s="8">
        <f>IF((0=1),(S59-'Assumptions (edit)'!B4),"")</f>
      </c>
      <c r="T94" s="8">
        <f>IF((0=1),(T59-'Assumptions (edit)'!B4),"")</f>
      </c>
      <c r="U94" s="8">
        <f>IF((0=1),(U59-'Assumptions (edit)'!B4),"")</f>
      </c>
      <c r="V94" s="8">
        <f>IF((0=1),(V59-'Assumptions (edit)'!B4),"")</f>
      </c>
      <c r="W94" s="8">
        <f>IF((0=1),(W59-'Assumptions (edit)'!B4),"")</f>
      </c>
      <c r="X94" s="8">
        <f>IF((0=1),(X59-'Assumptions (edit)'!B4),"")</f>
      </c>
      <c r="Y94" s="8">
        <f>IF((0=1),(Y59-'Assumptions (edit)'!B4),"")</f>
      </c>
      <c r="Z94" s="8">
        <f>IF((0=1),(Z59-'Assumptions (edit)'!B4),"")</f>
      </c>
      <c r="AA94" s="8">
        <f>IF((0=1),(AA59-'Assumptions (edit)'!B4),"")</f>
      </c>
      <c r="AB94" s="8">
        <f>IF((0=1),(AB59-'Assumptions (edit)'!B4),"")</f>
      </c>
      <c r="AC94" s="8">
        <f>IF((0=1),(AC59-'Assumptions (edit)'!B4),"")</f>
      </c>
      <c r="AD94" s="8">
        <f>IF((0=1),(AD59-'Assumptions (edit)'!B4),"")</f>
      </c>
      <c r="AE94" s="8">
        <f>IF((0=1),(AE59-'Assumptions (edit)'!B4),"")</f>
      </c>
      <c r="AF94" s="8">
        <f>IF((0=1),(AF59-'Assumptions (edit)'!B4),"")</f>
      </c>
      <c r="AG94" s="8">
        <f>IF((0=1),(AG59-'Assumptions (edit)'!B4),"")</f>
      </c>
      <c r="AH94" s="8">
        <f>IF((0=1),(AH59-'Assumptions (edit)'!B4),"")</f>
      </c>
      <c r="AI94" s="8">
        <f>IF((0=1),(AI59-'Assumptions (edit)'!B4),"")</f>
      </c>
      <c r="AJ94" s="8">
        <f>IF((0=1),(AJ59-'Assumptions (edit)'!B4),"")</f>
      </c>
      <c r="AK94" s="8">
        <f>IF((0=1),(AK59-'Assumptions (edit)'!B4),"")</f>
      </c>
      <c r="AL94" s="8">
        <f>IF((0=1),(AL59-'Assumptions (edit)'!B4),"")</f>
      </c>
      <c r="AM94" s="8">
        <f>IF((0=1),(AM59-'Assumptions (edit)'!B4),"")</f>
      </c>
      <c r="AN94" s="8">
        <f>IF((0=1),(AN59-'Assumptions (edit)'!B4),"")</f>
      </c>
      <c r="AO94" s="8">
        <f>IF((0=1),(AO59-'Assumptions (edit)'!B4),"")</f>
      </c>
      <c r="AP94" s="8">
        <f>IF((0=1),(AP59-'Assumptions (edit)'!B4),"")</f>
      </c>
      <c r="AQ94" s="8">
        <f>IF((0=1),(AQ59-'Assumptions (edit)'!B4),"")</f>
      </c>
      <c r="AR94" s="8">
        <f>IF((0=1),(AR59-'Assumptions (edit)'!B4),"")</f>
      </c>
      <c r="AS94" s="8">
        <f>IF((0=1),(AS59-'Assumptions (edit)'!B4),"")</f>
      </c>
      <c r="AT94" s="8">
        <f>IF((0=1),(AT59-'Assumptions (edit)'!B4),"")</f>
      </c>
      <c r="AU94" s="8">
        <f>IF((0=1),(AU59-'Assumptions (edit)'!B4),"")</f>
      </c>
      <c r="AV94" s="8">
        <f>IF((0=1),(AV59-'Assumptions (edit)'!B4),"")</f>
      </c>
      <c r="AW94" s="8">
        <f>IF((0=1),(AW59-'Assumptions (edit)'!B4),"")</f>
      </c>
      <c r="AX94" s="8">
        <f>IF((0=1),(AX59-'Assumptions (edit)'!B4),"")</f>
      </c>
      <c r="AY94" s="8">
        <f>IF((0=1),(AY59-'Assumptions (edit)'!B4),"")</f>
      </c>
      <c r="AZ94" s="8">
        <f>IF((0=1),(AZ59-'Assumptions (edit)'!B4),"")</f>
      </c>
      <c r="BA94" s="8">
        <f>IF((0=1),(BA59-'Assumptions (edit)'!B4),"")</f>
      </c>
      <c r="BB94" s="8">
        <f>IF((0=1),(BB59-'Assumptions (edit)'!B4),"")</f>
      </c>
      <c r="BC94" s="8">
        <f>IF((0=1),(BC59-'Assumptions (edit)'!B4),"")</f>
      </c>
      <c r="BD94" s="8">
        <f>IF((0=1),(BD59-'Assumptions (edit)'!B4),"")</f>
      </c>
      <c r="BE94" s="8">
        <f>IF((0=1),(BE59-'Assumptions (edit)'!B4),"")</f>
      </c>
      <c r="BF94" s="8">
        <f>IF((0=1),(BF59-'Assumptions (edit)'!B4),"")</f>
      </c>
      <c r="BG94" s="8">
        <f>IF((0=1),(BG59-'Assumptions (edit)'!B4),"")</f>
      </c>
      <c r="BH94" s="8">
        <f>IF((0=1),(BH59-'Assumptions (edit)'!B4),"")</f>
      </c>
      <c r="BI94" s="8">
        <f>IF((0=1),(BI59-'Assumptions (edit)'!B4),"")</f>
      </c>
      <c r="BJ94" s="8">
        <f>IF((0=1),(BJ59-'Assumptions (edit)'!B4),"")</f>
      </c>
      <c r="BK94" s="8">
        <f>IF((0=1),(BK59-'Assumptions (edit)'!B4),"")</f>
      </c>
      <c r="BL94" s="8">
        <f>IF((0=1),(BL59-'Assumptions (edit)'!B4),"")</f>
      </c>
      <c r="BM94" s="8">
        <f>IF((0=1),(BM59-'Assumptions (edit)'!B4),"")</f>
      </c>
      <c r="BN94" s="8">
        <f>IF((0=1),(BN59-'Assumptions (edit)'!B4),"")</f>
      </c>
      <c r="BO94" s="8">
        <f>IF((0=1),(BO59-'Assumptions (edit)'!B4),"")</f>
      </c>
      <c r="BP94" s="8">
        <f>IF((0=1),(BP59-'Assumptions (edit)'!B4),"")</f>
      </c>
      <c r="BQ94" s="8">
        <f>IF((0=1),(BQ59-'Assumptions (edit)'!B4),"")</f>
      </c>
      <c r="BR94" s="8">
        <f>IF((0=1),(BR59-'Assumptions (edit)'!B4),"")</f>
      </c>
      <c r="BS94" s="8">
        <f>IF((0=1),(BS59-'Assumptions (edit)'!B4),"")</f>
      </c>
      <c r="BT94" s="8">
        <f>IF((0=1),(BT59-'Assumptions (edit)'!B4),"")</f>
      </c>
      <c r="BU94" s="8">
        <f>IF((0=1),(BU59-'Assumptions (edit)'!B4),"")</f>
      </c>
      <c r="BV94" s="8">
        <f>IF((0=1),(BV59-'Assumptions (edit)'!B4),"")</f>
      </c>
      <c r="BW94" s="8">
        <f>IF((0=1),(BW59-'Assumptions (edit)'!B4),"")</f>
      </c>
      <c r="BX94" s="8">
        <f>IF((0=1),(BX59-'Assumptions (edit)'!B4),"")</f>
      </c>
      <c r="BY94" s="8">
        <f>IF((0=1),(BY59-'Assumptions (edit)'!B4),"")</f>
      </c>
      <c r="BZ94" s="8">
        <f>IF((0=1),(BZ59-'Assumptions (edit)'!B4),"")</f>
      </c>
      <c r="CA94" s="8">
        <f>IF((0=1),(CA59-'Assumptions (edit)'!B4),"")</f>
      </c>
      <c r="CB94" s="8">
        <f>IF((0=1),(CB59-'Assumptions (edit)'!B4),"")</f>
      </c>
      <c r="CC94" s="8">
        <f>IF((0=1),(CC59-'Assumptions (edit)'!B4),"")</f>
      </c>
      <c r="CD94" s="8">
        <f>IF((0=1),(CD59-'Assumptions (edit)'!B4),"")</f>
      </c>
      <c r="CE94" s="8">
        <f>IF((0=1),(CE59-'Assumptions (edit)'!B4),"")</f>
      </c>
      <c r="CF94" s="8">
        <f>IF((0=1),(CF59-'Assumptions (edit)'!B4),"")</f>
      </c>
      <c r="CG94" s="8">
        <f>IF((0=1),(CG59-'Assumptions (edit)'!B4),"")</f>
      </c>
      <c r="CH94" s="8">
        <f>IF((0=1),(CH59-'Assumptions (edit)'!B4),"")</f>
      </c>
      <c r="CI94" s="8">
        <f>IF((0=1),(CI59-'Assumptions (edit)'!B4),"")</f>
      </c>
      <c r="CJ94" s="8">
        <f>IF((0=1),(CJ59-'Assumptions (edit)'!B4),"")</f>
      </c>
      <c r="CK94" s="8">
        <f>IF((0=1),(CK59-'Assumptions (edit)'!B4),"")</f>
      </c>
      <c r="CL94" s="8">
        <f>IF((0=1),(CL59-'Assumptions (edit)'!B4),"")</f>
      </c>
      <c r="CM94" s="8">
        <f>IF((0=1),(CM59-'Assumptions (edit)'!B4),"")</f>
      </c>
      <c r="CN94" s="8">
        <f>IF((0=1),(CN59-'Assumptions (edit)'!B4),"")</f>
      </c>
      <c r="CO94" s="8">
        <f>IF((0=1),(CO59-'Assumptions (edit)'!B4),"")</f>
      </c>
      <c r="CP94" s="8">
        <f>IF((0=1),(CP59-'Assumptions (edit)'!B4),"")</f>
      </c>
      <c r="CQ94" s="8">
        <f>IF((0=1),(CQ59-'Assumptions (edit)'!B4),"")</f>
      </c>
      <c r="CR94" s="8">
        <f>IF((0=1),(CR59-'Assumptions (edit)'!B4),"")</f>
      </c>
      <c r="CS94" s="8">
        <f>IF((0=1),(CS59-'Assumptions (edit)'!B4),"")</f>
      </c>
      <c r="CT94" s="8">
        <f>IF((0=1),(CT59-'Assumptions (edit)'!B4),"")</f>
      </c>
      <c r="CU94" s="8">
        <f>IF((0=1),(CU59-'Assumptions (edit)'!B4),"")</f>
      </c>
      <c r="CV94" s="8">
        <f>IF((0=1),(CV59-'Assumptions (edit)'!B4),"")</f>
      </c>
      <c r="CW94" s="8">
        <f>IF((0=1),(CW59-'Assumptions (edit)'!B4),"")</f>
      </c>
      <c r="CX94" s="8">
        <f>IF((0=1),(CX59-'Assumptions (edit)'!B4),"")</f>
      </c>
    </row>
    <row r="95">
      <c r="A95" s="0" t="inlineStr">
        <is>
          <t xml:space="preserve">Net of costs, bps</t>
        </is>
      </c>
      <c r="B95" s="0" t="inlineStr">
        <is>
          <t xml:space="preserve">Random 9</t>
        </is>
      </c>
      <c r="C95" s="8">
        <f>IF((1=1),(C60-'Assumptions (edit)'!B4),"")</f>
        <v>-10.968</v>
      </c>
      <c r="D95" s="8">
        <f>IF((0=1),(D60-'Assumptions (edit)'!B4),"")</f>
      </c>
      <c r="E95" s="8">
        <f>IF((0=1),(E60-'Assumptions (edit)'!B4),"")</f>
      </c>
      <c r="F95" s="8">
        <f>IF((0=1),(F60-'Assumptions (edit)'!B4),"")</f>
      </c>
      <c r="G95" s="8">
        <f>IF((0=1),(G60-'Assumptions (edit)'!B4),"")</f>
      </c>
      <c r="H95" s="8">
        <f>IF((0=1),(H60-'Assumptions (edit)'!B4),"")</f>
      </c>
      <c r="I95" s="8">
        <f>IF((0=1),(I60-'Assumptions (edit)'!B4),"")</f>
      </c>
      <c r="J95" s="8">
        <f>IF((0=1),(J60-'Assumptions (edit)'!B4),"")</f>
      </c>
      <c r="K95" s="8">
        <f>IF((0=1),(K60-'Assumptions (edit)'!B4),"")</f>
      </c>
      <c r="L95" s="8">
        <f>IF((0=1),(L60-'Assumptions (edit)'!B4),"")</f>
      </c>
      <c r="M95" s="8">
        <f>IF((0=1),(M60-'Assumptions (edit)'!B4),"")</f>
      </c>
      <c r="N95" s="8">
        <f>IF((0=1),(N60-'Assumptions (edit)'!B4),"")</f>
      </c>
      <c r="O95" s="8">
        <f>IF((0=1),(O60-'Assumptions (edit)'!B4),"")</f>
      </c>
      <c r="P95" s="8">
        <f>IF((0=1),(P60-'Assumptions (edit)'!B4),"")</f>
      </c>
      <c r="Q95" s="8">
        <f>IF((0=1),(Q60-'Assumptions (edit)'!B4),"")</f>
      </c>
      <c r="R95" s="8">
        <f>IF((0=1),(R60-'Assumptions (edit)'!B4),"")</f>
      </c>
      <c r="S95" s="8">
        <f>IF((0=1),(S60-'Assumptions (edit)'!B4),"")</f>
      </c>
      <c r="T95" s="8">
        <f>IF((0=1),(T60-'Assumptions (edit)'!B4),"")</f>
      </c>
      <c r="U95" s="8">
        <f>IF((0=1),(U60-'Assumptions (edit)'!B4),"")</f>
      </c>
      <c r="V95" s="8">
        <f>IF((0=1),(V60-'Assumptions (edit)'!B4),"")</f>
      </c>
      <c r="W95" s="8">
        <f>IF((0=1),(W60-'Assumptions (edit)'!B4),"")</f>
      </c>
      <c r="X95" s="8">
        <f>IF((0=1),(X60-'Assumptions (edit)'!B4),"")</f>
      </c>
      <c r="Y95" s="8">
        <f>IF((0=1),(Y60-'Assumptions (edit)'!B4),"")</f>
      </c>
      <c r="Z95" s="8">
        <f>IF((0=1),(Z60-'Assumptions (edit)'!B4),"")</f>
      </c>
      <c r="AA95" s="8">
        <f>IF((0=1),(AA60-'Assumptions (edit)'!B4),"")</f>
      </c>
      <c r="AB95" s="8">
        <f>IF((0=1),(AB60-'Assumptions (edit)'!B4),"")</f>
      </c>
      <c r="AC95" s="8">
        <f>IF((0=1),(AC60-'Assumptions (edit)'!B4),"")</f>
      </c>
      <c r="AD95" s="8">
        <f>IF((0=1),(AD60-'Assumptions (edit)'!B4),"")</f>
      </c>
      <c r="AE95" s="8">
        <f>IF((0=1),(AE60-'Assumptions (edit)'!B4),"")</f>
      </c>
      <c r="AF95" s="8">
        <f>IF((0=1),(AF60-'Assumptions (edit)'!B4),"")</f>
      </c>
      <c r="AG95" s="8">
        <f>IF((0=1),(AG60-'Assumptions (edit)'!B4),"")</f>
      </c>
      <c r="AH95" s="8">
        <f>IF((0=1),(AH60-'Assumptions (edit)'!B4),"")</f>
      </c>
      <c r="AI95" s="8">
        <f>IF((0=1),(AI60-'Assumptions (edit)'!B4),"")</f>
      </c>
      <c r="AJ95" s="8">
        <f>IF((0=1),(AJ60-'Assumptions (edit)'!B4),"")</f>
      </c>
      <c r="AK95" s="8">
        <f>IF((0=1),(AK60-'Assumptions (edit)'!B4),"")</f>
      </c>
      <c r="AL95" s="8">
        <f>IF((0=1),(AL60-'Assumptions (edit)'!B4),"")</f>
      </c>
      <c r="AM95" s="8">
        <f>IF((0=1),(AM60-'Assumptions (edit)'!B4),"")</f>
      </c>
      <c r="AN95" s="8">
        <f>IF((0=1),(AN60-'Assumptions (edit)'!B4),"")</f>
      </c>
      <c r="AO95" s="8">
        <f>IF((0=1),(AO60-'Assumptions (edit)'!B4),"")</f>
      </c>
      <c r="AP95" s="8">
        <f>IF((0=1),(AP60-'Assumptions (edit)'!B4),"")</f>
      </c>
      <c r="AQ95" s="8">
        <f>IF((0=1),(AQ60-'Assumptions (edit)'!B4),"")</f>
      </c>
      <c r="AR95" s="8">
        <f>IF((0=1),(AR60-'Assumptions (edit)'!B4),"")</f>
      </c>
      <c r="AS95" s="8">
        <f>IF((0=1),(AS60-'Assumptions (edit)'!B4),"")</f>
      </c>
      <c r="AT95" s="8">
        <f>IF((0=1),(AT60-'Assumptions (edit)'!B4),"")</f>
      </c>
      <c r="AU95" s="8">
        <f>IF((0=1),(AU60-'Assumptions (edit)'!B4),"")</f>
      </c>
      <c r="AV95" s="8">
        <f>IF((0=1),(AV60-'Assumptions (edit)'!B4),"")</f>
      </c>
      <c r="AW95" s="8">
        <f>IF((0=1),(AW60-'Assumptions (edit)'!B4),"")</f>
      </c>
      <c r="AX95" s="8">
        <f>IF((0=1),(AX60-'Assumptions (edit)'!B4),"")</f>
      </c>
      <c r="AY95" s="8">
        <f>IF((0=1),(AY60-'Assumptions (edit)'!B4),"")</f>
      </c>
      <c r="AZ95" s="8">
        <f>IF((0=1),(AZ60-'Assumptions (edit)'!B4),"")</f>
      </c>
      <c r="BA95" s="8">
        <f>IF((0=1),(BA60-'Assumptions (edit)'!B4),"")</f>
      </c>
      <c r="BB95" s="8">
        <f>IF((0=1),(BB60-'Assumptions (edit)'!B4),"")</f>
      </c>
      <c r="BC95" s="8">
        <f>IF((0=1),(BC60-'Assumptions (edit)'!B4),"")</f>
      </c>
      <c r="BD95" s="8">
        <f>IF((0=1),(BD60-'Assumptions (edit)'!B4),"")</f>
      </c>
      <c r="BE95" s="8">
        <f>IF((0=1),(BE60-'Assumptions (edit)'!B4),"")</f>
      </c>
      <c r="BF95" s="8">
        <f>IF((0=1),(BF60-'Assumptions (edit)'!B4),"")</f>
      </c>
      <c r="BG95" s="8">
        <f>IF((0=1),(BG60-'Assumptions (edit)'!B4),"")</f>
      </c>
      <c r="BH95" s="8">
        <f>IF((0=1),(BH60-'Assumptions (edit)'!B4),"")</f>
      </c>
      <c r="BI95" s="8">
        <f>IF((0=1),(BI60-'Assumptions (edit)'!B4),"")</f>
      </c>
      <c r="BJ95" s="8">
        <f>IF((0=1),(BJ60-'Assumptions (edit)'!B4),"")</f>
      </c>
      <c r="BK95" s="8">
        <f>IF((0=1),(BK60-'Assumptions (edit)'!B4),"")</f>
      </c>
      <c r="BL95" s="8">
        <f>IF((0=1),(BL60-'Assumptions (edit)'!B4),"")</f>
      </c>
      <c r="BM95" s="8">
        <f>IF((0=1),(BM60-'Assumptions (edit)'!B4),"")</f>
      </c>
      <c r="BN95" s="8">
        <f>IF((0=1),(BN60-'Assumptions (edit)'!B4),"")</f>
      </c>
      <c r="BO95" s="8">
        <f>IF((0=1),(BO60-'Assumptions (edit)'!B4),"")</f>
      </c>
      <c r="BP95" s="8">
        <f>IF((0=1),(BP60-'Assumptions (edit)'!B4),"")</f>
      </c>
      <c r="BQ95" s="8">
        <f>IF((0=1),(BQ60-'Assumptions (edit)'!B4),"")</f>
      </c>
      <c r="BR95" s="8">
        <f>IF((0=1),(BR60-'Assumptions (edit)'!B4),"")</f>
      </c>
      <c r="BS95" s="8">
        <f>IF((0=1),(BS60-'Assumptions (edit)'!B4),"")</f>
      </c>
      <c r="BT95" s="8">
        <f>IF((0=1),(BT60-'Assumptions (edit)'!B4),"")</f>
      </c>
      <c r="BU95" s="8">
        <f>IF((0=1),(BU60-'Assumptions (edit)'!B4),"")</f>
      </c>
      <c r="BV95" s="8">
        <f>IF((0=1),(BV60-'Assumptions (edit)'!B4),"")</f>
      </c>
      <c r="BW95" s="8">
        <f>IF((0=1),(BW60-'Assumptions (edit)'!B4),"")</f>
      </c>
      <c r="BX95" s="8">
        <f>IF((0=1),(BX60-'Assumptions (edit)'!B4),"")</f>
      </c>
      <c r="BY95" s="8">
        <f>IF((0=1),(BY60-'Assumptions (edit)'!B4),"")</f>
      </c>
      <c r="BZ95" s="8">
        <f>IF((0=1),(BZ60-'Assumptions (edit)'!B4),"")</f>
      </c>
      <c r="CA95" s="8">
        <f>IF((0=1),(CA60-'Assumptions (edit)'!B4),"")</f>
      </c>
      <c r="CB95" s="8">
        <f>IF((0=1),(CB60-'Assumptions (edit)'!B4),"")</f>
      </c>
      <c r="CC95" s="8">
        <f>IF((0=1),(CC60-'Assumptions (edit)'!B4),"")</f>
      </c>
      <c r="CD95" s="8">
        <f>IF((0=1),(CD60-'Assumptions (edit)'!B4),"")</f>
      </c>
      <c r="CE95" s="8">
        <f>IF((0=1),(CE60-'Assumptions (edit)'!B4),"")</f>
      </c>
      <c r="CF95" s="8">
        <f>IF((0=1),(CF60-'Assumptions (edit)'!B4),"")</f>
      </c>
      <c r="CG95" s="8">
        <f>IF((0=1),(CG60-'Assumptions (edit)'!B4),"")</f>
      </c>
      <c r="CH95" s="8">
        <f>IF((0=1),(CH60-'Assumptions (edit)'!B4),"")</f>
      </c>
      <c r="CI95" s="8">
        <f>IF((0=1),(CI60-'Assumptions (edit)'!B4),"")</f>
      </c>
      <c r="CJ95" s="8">
        <f>IF((0=1),(CJ60-'Assumptions (edit)'!B4),"")</f>
      </c>
      <c r="CK95" s="8">
        <f>IF((0=1),(CK60-'Assumptions (edit)'!B4),"")</f>
      </c>
      <c r="CL95" s="8">
        <f>IF((0=1),(CL60-'Assumptions (edit)'!B4),"")</f>
      </c>
      <c r="CM95" s="8">
        <f>IF((0=1),(CM60-'Assumptions (edit)'!B4),"")</f>
      </c>
      <c r="CN95" s="8">
        <f>IF((0=1),(CN60-'Assumptions (edit)'!B4),"")</f>
      </c>
      <c r="CO95" s="8">
        <f>IF((0=1),(CO60-'Assumptions (edit)'!B4),"")</f>
      </c>
      <c r="CP95" s="8">
        <f>IF((0=1),(CP60-'Assumptions (edit)'!B4),"")</f>
      </c>
      <c r="CQ95" s="8">
        <f>IF((0=1),(CQ60-'Assumptions (edit)'!B4),"")</f>
      </c>
      <c r="CR95" s="8">
        <f>IF((0=1),(CR60-'Assumptions (edit)'!B4),"")</f>
      </c>
      <c r="CS95" s="8">
        <f>IF((0=1),(CS60-'Assumptions (edit)'!B4),"")</f>
      </c>
      <c r="CT95" s="8">
        <f>IF((0=1),(CT60-'Assumptions (edit)'!B4),"")</f>
      </c>
      <c r="CU95" s="8">
        <f>IF((0=1),(CU60-'Assumptions (edit)'!B4),"")</f>
      </c>
      <c r="CV95" s="8">
        <f>IF((0=1),(CV60-'Assumptions (edit)'!B4),"")</f>
      </c>
      <c r="CW95" s="8">
        <f>IF((0=1),(CW60-'Assumptions (edit)'!B4),"")</f>
      </c>
      <c r="CX95" s="8">
        <f>IF((0=1),(CX60-'Assumptions (edit)'!B4),"")</f>
      </c>
    </row>
    <row r="96">
      <c r="A96" s="0" t="inlineStr">
        <is>
          <t xml:space="preserve">Net of costs, bps</t>
        </is>
      </c>
      <c r="B96" s="0" t="inlineStr">
        <is>
          <t xml:space="preserve">Random 10</t>
        </is>
      </c>
      <c r="C96" s="8">
        <f>IF((1=1),(C61-'Assumptions (edit)'!B4),"")</f>
        <v>-6.351</v>
      </c>
      <c r="D96" s="8">
        <f>IF((0=1),(D61-'Assumptions (edit)'!B4),"")</f>
      </c>
      <c r="E96" s="8">
        <f>IF((0=1),(E61-'Assumptions (edit)'!B4),"")</f>
      </c>
      <c r="F96" s="8">
        <f>IF((0=1),(F61-'Assumptions (edit)'!B4),"")</f>
      </c>
      <c r="G96" s="8">
        <f>IF((0=1),(G61-'Assumptions (edit)'!B4),"")</f>
      </c>
      <c r="H96" s="8">
        <f>IF((0=1),(H61-'Assumptions (edit)'!B4),"")</f>
      </c>
      <c r="I96" s="8">
        <f>IF((0=1),(I61-'Assumptions (edit)'!B4),"")</f>
      </c>
      <c r="J96" s="8">
        <f>IF((0=1),(J61-'Assumptions (edit)'!B4),"")</f>
      </c>
      <c r="K96" s="8">
        <f>IF((0=1),(K61-'Assumptions (edit)'!B4),"")</f>
      </c>
      <c r="L96" s="8">
        <f>IF((0=1),(L61-'Assumptions (edit)'!B4),"")</f>
      </c>
      <c r="M96" s="8">
        <f>IF((0=1),(M61-'Assumptions (edit)'!B4),"")</f>
      </c>
      <c r="N96" s="8">
        <f>IF((0=1),(N61-'Assumptions (edit)'!B4),"")</f>
      </c>
      <c r="O96" s="8">
        <f>IF((0=1),(O61-'Assumptions (edit)'!B4),"")</f>
      </c>
      <c r="P96" s="8">
        <f>IF((0=1),(P61-'Assumptions (edit)'!B4),"")</f>
      </c>
      <c r="Q96" s="8">
        <f>IF((0=1),(Q61-'Assumptions (edit)'!B4),"")</f>
      </c>
      <c r="R96" s="8">
        <f>IF((0=1),(R61-'Assumptions (edit)'!B4),"")</f>
      </c>
      <c r="S96" s="8">
        <f>IF((0=1),(S61-'Assumptions (edit)'!B4),"")</f>
      </c>
      <c r="T96" s="8">
        <f>IF((0=1),(T61-'Assumptions (edit)'!B4),"")</f>
      </c>
      <c r="U96" s="8">
        <f>IF((0=1),(U61-'Assumptions (edit)'!B4),"")</f>
      </c>
      <c r="V96" s="8">
        <f>IF((0=1),(V61-'Assumptions (edit)'!B4),"")</f>
      </c>
      <c r="W96" s="8">
        <f>IF((0=1),(W61-'Assumptions (edit)'!B4),"")</f>
      </c>
      <c r="X96" s="8">
        <f>IF((0=1),(X61-'Assumptions (edit)'!B4),"")</f>
      </c>
      <c r="Y96" s="8">
        <f>IF((0=1),(Y61-'Assumptions (edit)'!B4),"")</f>
      </c>
      <c r="Z96" s="8">
        <f>IF((0=1),(Z61-'Assumptions (edit)'!B4),"")</f>
      </c>
      <c r="AA96" s="8">
        <f>IF((0=1),(AA61-'Assumptions (edit)'!B4),"")</f>
      </c>
      <c r="AB96" s="8">
        <f>IF((0=1),(AB61-'Assumptions (edit)'!B4),"")</f>
      </c>
      <c r="AC96" s="8">
        <f>IF((0=1),(AC61-'Assumptions (edit)'!B4),"")</f>
      </c>
      <c r="AD96" s="8">
        <f>IF((0=1),(AD61-'Assumptions (edit)'!B4),"")</f>
      </c>
      <c r="AE96" s="8">
        <f>IF((0=1),(AE61-'Assumptions (edit)'!B4),"")</f>
      </c>
      <c r="AF96" s="8">
        <f>IF((0=1),(AF61-'Assumptions (edit)'!B4),"")</f>
      </c>
      <c r="AG96" s="8">
        <f>IF((0=1),(AG61-'Assumptions (edit)'!B4),"")</f>
      </c>
      <c r="AH96" s="8">
        <f>IF((0=1),(AH61-'Assumptions (edit)'!B4),"")</f>
      </c>
      <c r="AI96" s="8">
        <f>IF((0=1),(AI61-'Assumptions (edit)'!B4),"")</f>
      </c>
      <c r="AJ96" s="8">
        <f>IF((0=1),(AJ61-'Assumptions (edit)'!B4),"")</f>
      </c>
      <c r="AK96" s="8">
        <f>IF((0=1),(AK61-'Assumptions (edit)'!B4),"")</f>
      </c>
      <c r="AL96" s="8">
        <f>IF((0=1),(AL61-'Assumptions (edit)'!B4),"")</f>
      </c>
      <c r="AM96" s="8">
        <f>IF((0=1),(AM61-'Assumptions (edit)'!B4),"")</f>
      </c>
      <c r="AN96" s="8">
        <f>IF((0=1),(AN61-'Assumptions (edit)'!B4),"")</f>
      </c>
      <c r="AO96" s="8">
        <f>IF((0=1),(AO61-'Assumptions (edit)'!B4),"")</f>
      </c>
      <c r="AP96" s="8">
        <f>IF((0=1),(AP61-'Assumptions (edit)'!B4),"")</f>
      </c>
      <c r="AQ96" s="8">
        <f>IF((0=1),(AQ61-'Assumptions (edit)'!B4),"")</f>
      </c>
      <c r="AR96" s="8">
        <f>IF((0=1),(AR61-'Assumptions (edit)'!B4),"")</f>
      </c>
      <c r="AS96" s="8">
        <f>IF((0=1),(AS61-'Assumptions (edit)'!B4),"")</f>
      </c>
      <c r="AT96" s="8">
        <f>IF((0=1),(AT61-'Assumptions (edit)'!B4),"")</f>
      </c>
      <c r="AU96" s="8">
        <f>IF((0=1),(AU61-'Assumptions (edit)'!B4),"")</f>
      </c>
      <c r="AV96" s="8">
        <f>IF((0=1),(AV61-'Assumptions (edit)'!B4),"")</f>
      </c>
      <c r="AW96" s="8">
        <f>IF((0=1),(AW61-'Assumptions (edit)'!B4),"")</f>
      </c>
      <c r="AX96" s="8">
        <f>IF((0=1),(AX61-'Assumptions (edit)'!B4),"")</f>
      </c>
      <c r="AY96" s="8">
        <f>IF((0=1),(AY61-'Assumptions (edit)'!B4),"")</f>
      </c>
      <c r="AZ96" s="8">
        <f>IF((0=1),(AZ61-'Assumptions (edit)'!B4),"")</f>
      </c>
      <c r="BA96" s="8">
        <f>IF((0=1),(BA61-'Assumptions (edit)'!B4),"")</f>
      </c>
      <c r="BB96" s="8">
        <f>IF((0=1),(BB61-'Assumptions (edit)'!B4),"")</f>
      </c>
      <c r="BC96" s="8">
        <f>IF((0=1),(BC61-'Assumptions (edit)'!B4),"")</f>
      </c>
      <c r="BD96" s="8">
        <f>IF((0=1),(BD61-'Assumptions (edit)'!B4),"")</f>
      </c>
      <c r="BE96" s="8">
        <f>IF((0=1),(BE61-'Assumptions (edit)'!B4),"")</f>
      </c>
      <c r="BF96" s="8">
        <f>IF((0=1),(BF61-'Assumptions (edit)'!B4),"")</f>
      </c>
      <c r="BG96" s="8">
        <f>IF((0=1),(BG61-'Assumptions (edit)'!B4),"")</f>
      </c>
      <c r="BH96" s="8">
        <f>IF((0=1),(BH61-'Assumptions (edit)'!B4),"")</f>
      </c>
      <c r="BI96" s="8">
        <f>IF((0=1),(BI61-'Assumptions (edit)'!B4),"")</f>
      </c>
      <c r="BJ96" s="8">
        <f>IF((0=1),(BJ61-'Assumptions (edit)'!B4),"")</f>
      </c>
      <c r="BK96" s="8">
        <f>IF((0=1),(BK61-'Assumptions (edit)'!B4),"")</f>
      </c>
      <c r="BL96" s="8">
        <f>IF((0=1),(BL61-'Assumptions (edit)'!B4),"")</f>
      </c>
      <c r="BM96" s="8">
        <f>IF((0=1),(BM61-'Assumptions (edit)'!B4),"")</f>
      </c>
      <c r="BN96" s="8">
        <f>IF((0=1),(BN61-'Assumptions (edit)'!B4),"")</f>
      </c>
      <c r="BO96" s="8">
        <f>IF((0=1),(BO61-'Assumptions (edit)'!B4),"")</f>
      </c>
      <c r="BP96" s="8">
        <f>IF((0=1),(BP61-'Assumptions (edit)'!B4),"")</f>
      </c>
      <c r="BQ96" s="8">
        <f>IF((0=1),(BQ61-'Assumptions (edit)'!B4),"")</f>
      </c>
      <c r="BR96" s="8">
        <f>IF((0=1),(BR61-'Assumptions (edit)'!B4),"")</f>
      </c>
      <c r="BS96" s="8">
        <f>IF((0=1),(BS61-'Assumptions (edit)'!B4),"")</f>
      </c>
      <c r="BT96" s="8">
        <f>IF((0=1),(BT61-'Assumptions (edit)'!B4),"")</f>
      </c>
      <c r="BU96" s="8">
        <f>IF((0=1),(BU61-'Assumptions (edit)'!B4),"")</f>
      </c>
      <c r="BV96" s="8">
        <f>IF((0=1),(BV61-'Assumptions (edit)'!B4),"")</f>
      </c>
      <c r="BW96" s="8">
        <f>IF((0=1),(BW61-'Assumptions (edit)'!B4),"")</f>
      </c>
      <c r="BX96" s="8">
        <f>IF((0=1),(BX61-'Assumptions (edit)'!B4),"")</f>
      </c>
      <c r="BY96" s="8">
        <f>IF((0=1),(BY61-'Assumptions (edit)'!B4),"")</f>
      </c>
      <c r="BZ96" s="8">
        <f>IF((0=1),(BZ61-'Assumptions (edit)'!B4),"")</f>
      </c>
      <c r="CA96" s="8">
        <f>IF((0=1),(CA61-'Assumptions (edit)'!B4),"")</f>
      </c>
      <c r="CB96" s="8">
        <f>IF((0=1),(CB61-'Assumptions (edit)'!B4),"")</f>
      </c>
      <c r="CC96" s="8">
        <f>IF((0=1),(CC61-'Assumptions (edit)'!B4),"")</f>
      </c>
      <c r="CD96" s="8">
        <f>IF((0=1),(CD61-'Assumptions (edit)'!B4),"")</f>
      </c>
      <c r="CE96" s="8">
        <f>IF((0=1),(CE61-'Assumptions (edit)'!B4),"")</f>
      </c>
      <c r="CF96" s="8">
        <f>IF((0=1),(CF61-'Assumptions (edit)'!B4),"")</f>
      </c>
      <c r="CG96" s="8">
        <f>IF((0=1),(CG61-'Assumptions (edit)'!B4),"")</f>
      </c>
      <c r="CH96" s="8">
        <f>IF((0=1),(CH61-'Assumptions (edit)'!B4),"")</f>
      </c>
      <c r="CI96" s="8">
        <f>IF((0=1),(CI61-'Assumptions (edit)'!B4),"")</f>
      </c>
      <c r="CJ96" s="8">
        <f>IF((0=1),(CJ61-'Assumptions (edit)'!B4),"")</f>
      </c>
      <c r="CK96" s="8">
        <f>IF((0=1),(CK61-'Assumptions (edit)'!B4),"")</f>
      </c>
      <c r="CL96" s="8">
        <f>IF((0=1),(CL61-'Assumptions (edit)'!B4),"")</f>
      </c>
      <c r="CM96" s="8">
        <f>IF((0=1),(CM61-'Assumptions (edit)'!B4),"")</f>
      </c>
      <c r="CN96" s="8">
        <f>IF((0=1),(CN61-'Assumptions (edit)'!B4),"")</f>
      </c>
      <c r="CO96" s="8">
        <f>IF((0=1),(CO61-'Assumptions (edit)'!B4),"")</f>
      </c>
      <c r="CP96" s="8">
        <f>IF((0=1),(CP61-'Assumptions (edit)'!B4),"")</f>
      </c>
      <c r="CQ96" s="8">
        <f>IF((0=1),(CQ61-'Assumptions (edit)'!B4),"")</f>
      </c>
      <c r="CR96" s="8">
        <f>IF((0=1),(CR61-'Assumptions (edit)'!B4),"")</f>
      </c>
      <c r="CS96" s="8">
        <f>IF((0=1),(CS61-'Assumptions (edit)'!B4),"")</f>
      </c>
      <c r="CT96" s="8">
        <f>IF((0=1),(CT61-'Assumptions (edit)'!B4),"")</f>
      </c>
      <c r="CU96" s="8">
        <f>IF((0=1),(CU61-'Assumptions (edit)'!B4),"")</f>
      </c>
      <c r="CV96" s="8">
        <f>IF((0=1),(CV61-'Assumptions (edit)'!B4),"")</f>
      </c>
      <c r="CW96" s="8">
        <f>IF((0=1),(CW61-'Assumptions (edit)'!B4),"")</f>
      </c>
      <c r="CX96" s="8">
        <f>IF((0=1),(CX61-'Assumptions (edit)'!B4),"")</f>
      </c>
    </row>
    <row r="97">
      <c r="A97" s="0" t="inlineStr">
        <is>
          <t xml:space="preserve">Net of costs, bps</t>
        </is>
      </c>
      <c r="B97" s="0" t="inlineStr">
        <is>
          <t xml:space="preserve">Random 11</t>
        </is>
      </c>
      <c r="C97" s="8">
        <f>IF((1=1),(C62-'Assumptions (edit)'!B4),"")</f>
        <v>1.5009999999999994</v>
      </c>
      <c r="D97" s="8">
        <f>IF((0=1),(D62-'Assumptions (edit)'!B4),"")</f>
      </c>
      <c r="E97" s="8">
        <f>IF((0=1),(E62-'Assumptions (edit)'!B4),"")</f>
      </c>
      <c r="F97" s="8">
        <f>IF((0=1),(F62-'Assumptions (edit)'!B4),"")</f>
      </c>
      <c r="G97" s="8">
        <f>IF((0=1),(G62-'Assumptions (edit)'!B4),"")</f>
      </c>
      <c r="H97" s="8">
        <f>IF((0=1),(H62-'Assumptions (edit)'!B4),"")</f>
      </c>
      <c r="I97" s="8">
        <f>IF((0=1),(I62-'Assumptions (edit)'!B4),"")</f>
      </c>
      <c r="J97" s="8">
        <f>IF((0=1),(J62-'Assumptions (edit)'!B4),"")</f>
      </c>
      <c r="K97" s="8">
        <f>IF((0=1),(K62-'Assumptions (edit)'!B4),"")</f>
      </c>
      <c r="L97" s="8">
        <f>IF((0=1),(L62-'Assumptions (edit)'!B4),"")</f>
      </c>
      <c r="M97" s="8">
        <f>IF((0=1),(M62-'Assumptions (edit)'!B4),"")</f>
      </c>
      <c r="N97" s="8">
        <f>IF((0=1),(N62-'Assumptions (edit)'!B4),"")</f>
      </c>
      <c r="O97" s="8">
        <f>IF((0=1),(O62-'Assumptions (edit)'!B4),"")</f>
      </c>
      <c r="P97" s="8">
        <f>IF((0=1),(P62-'Assumptions (edit)'!B4),"")</f>
      </c>
      <c r="Q97" s="8">
        <f>IF((0=1),(Q62-'Assumptions (edit)'!B4),"")</f>
      </c>
      <c r="R97" s="8">
        <f>IF((0=1),(R62-'Assumptions (edit)'!B4),"")</f>
      </c>
      <c r="S97" s="8">
        <f>IF((0=1),(S62-'Assumptions (edit)'!B4),"")</f>
      </c>
      <c r="T97" s="8">
        <f>IF((0=1),(T62-'Assumptions (edit)'!B4),"")</f>
      </c>
      <c r="U97" s="8">
        <f>IF((0=1),(U62-'Assumptions (edit)'!B4),"")</f>
      </c>
      <c r="V97" s="8">
        <f>IF((0=1),(V62-'Assumptions (edit)'!B4),"")</f>
      </c>
      <c r="W97" s="8">
        <f>IF((0=1),(W62-'Assumptions (edit)'!B4),"")</f>
      </c>
      <c r="X97" s="8">
        <f>IF((0=1),(X62-'Assumptions (edit)'!B4),"")</f>
      </c>
      <c r="Y97" s="8">
        <f>IF((0=1),(Y62-'Assumptions (edit)'!B4),"")</f>
      </c>
      <c r="Z97" s="8">
        <f>IF((0=1),(Z62-'Assumptions (edit)'!B4),"")</f>
      </c>
      <c r="AA97" s="8">
        <f>IF((0=1),(AA62-'Assumptions (edit)'!B4),"")</f>
      </c>
      <c r="AB97" s="8">
        <f>IF((0=1),(AB62-'Assumptions (edit)'!B4),"")</f>
      </c>
      <c r="AC97" s="8">
        <f>IF((0=1),(AC62-'Assumptions (edit)'!B4),"")</f>
      </c>
      <c r="AD97" s="8">
        <f>IF((0=1),(AD62-'Assumptions (edit)'!B4),"")</f>
      </c>
      <c r="AE97" s="8">
        <f>IF((0=1),(AE62-'Assumptions (edit)'!B4),"")</f>
      </c>
      <c r="AF97" s="8">
        <f>IF((0=1),(AF62-'Assumptions (edit)'!B4),"")</f>
      </c>
      <c r="AG97" s="8">
        <f>IF((0=1),(AG62-'Assumptions (edit)'!B4),"")</f>
      </c>
      <c r="AH97" s="8">
        <f>IF((0=1),(AH62-'Assumptions (edit)'!B4),"")</f>
      </c>
      <c r="AI97" s="8">
        <f>IF((0=1),(AI62-'Assumptions (edit)'!B4),"")</f>
      </c>
      <c r="AJ97" s="8">
        <f>IF((0=1),(AJ62-'Assumptions (edit)'!B4),"")</f>
      </c>
      <c r="AK97" s="8">
        <f>IF((0=1),(AK62-'Assumptions (edit)'!B4),"")</f>
      </c>
      <c r="AL97" s="8">
        <f>IF((0=1),(AL62-'Assumptions (edit)'!B4),"")</f>
      </c>
      <c r="AM97" s="8">
        <f>IF((0=1),(AM62-'Assumptions (edit)'!B4),"")</f>
      </c>
      <c r="AN97" s="8">
        <f>IF((0=1),(AN62-'Assumptions (edit)'!B4),"")</f>
      </c>
      <c r="AO97" s="8">
        <f>IF((0=1),(AO62-'Assumptions (edit)'!B4),"")</f>
      </c>
      <c r="AP97" s="8">
        <f>IF((0=1),(AP62-'Assumptions (edit)'!B4),"")</f>
      </c>
      <c r="AQ97" s="8">
        <f>IF((0=1),(AQ62-'Assumptions (edit)'!B4),"")</f>
      </c>
      <c r="AR97" s="8">
        <f>IF((0=1),(AR62-'Assumptions (edit)'!B4),"")</f>
      </c>
      <c r="AS97" s="8">
        <f>IF((0=1),(AS62-'Assumptions (edit)'!B4),"")</f>
      </c>
      <c r="AT97" s="8">
        <f>IF((0=1),(AT62-'Assumptions (edit)'!B4),"")</f>
      </c>
      <c r="AU97" s="8">
        <f>IF((0=1),(AU62-'Assumptions (edit)'!B4),"")</f>
      </c>
      <c r="AV97" s="8">
        <f>IF((0=1),(AV62-'Assumptions (edit)'!B4),"")</f>
      </c>
      <c r="AW97" s="8">
        <f>IF((0=1),(AW62-'Assumptions (edit)'!B4),"")</f>
      </c>
      <c r="AX97" s="8">
        <f>IF((0=1),(AX62-'Assumptions (edit)'!B4),"")</f>
      </c>
      <c r="AY97" s="8">
        <f>IF((0=1),(AY62-'Assumptions (edit)'!B4),"")</f>
      </c>
      <c r="AZ97" s="8">
        <f>IF((0=1),(AZ62-'Assumptions (edit)'!B4),"")</f>
      </c>
      <c r="BA97" s="8">
        <f>IF((0=1),(BA62-'Assumptions (edit)'!B4),"")</f>
      </c>
      <c r="BB97" s="8">
        <f>IF((0=1),(BB62-'Assumptions (edit)'!B4),"")</f>
      </c>
      <c r="BC97" s="8">
        <f>IF((0=1),(BC62-'Assumptions (edit)'!B4),"")</f>
      </c>
      <c r="BD97" s="8">
        <f>IF((0=1),(BD62-'Assumptions (edit)'!B4),"")</f>
      </c>
      <c r="BE97" s="8">
        <f>IF((0=1),(BE62-'Assumptions (edit)'!B4),"")</f>
      </c>
      <c r="BF97" s="8">
        <f>IF((0=1),(BF62-'Assumptions (edit)'!B4),"")</f>
      </c>
      <c r="BG97" s="8">
        <f>IF((0=1),(BG62-'Assumptions (edit)'!B4),"")</f>
      </c>
      <c r="BH97" s="8">
        <f>IF((0=1),(BH62-'Assumptions (edit)'!B4),"")</f>
      </c>
      <c r="BI97" s="8">
        <f>IF((0=1),(BI62-'Assumptions (edit)'!B4),"")</f>
      </c>
      <c r="BJ97" s="8">
        <f>IF((0=1),(BJ62-'Assumptions (edit)'!B4),"")</f>
      </c>
      <c r="BK97" s="8">
        <f>IF((0=1),(BK62-'Assumptions (edit)'!B4),"")</f>
      </c>
      <c r="BL97" s="8">
        <f>IF((0=1),(BL62-'Assumptions (edit)'!B4),"")</f>
      </c>
      <c r="BM97" s="8">
        <f>IF((0=1),(BM62-'Assumptions (edit)'!B4),"")</f>
      </c>
      <c r="BN97" s="8">
        <f>IF((0=1),(BN62-'Assumptions (edit)'!B4),"")</f>
      </c>
      <c r="BO97" s="8">
        <f>IF((0=1),(BO62-'Assumptions (edit)'!B4),"")</f>
      </c>
      <c r="BP97" s="8">
        <f>IF((0=1),(BP62-'Assumptions (edit)'!B4),"")</f>
      </c>
      <c r="BQ97" s="8">
        <f>IF((0=1),(BQ62-'Assumptions (edit)'!B4),"")</f>
      </c>
      <c r="BR97" s="8">
        <f>IF((0=1),(BR62-'Assumptions (edit)'!B4),"")</f>
      </c>
      <c r="BS97" s="8">
        <f>IF((0=1),(BS62-'Assumptions (edit)'!B4),"")</f>
      </c>
      <c r="BT97" s="8">
        <f>IF((0=1),(BT62-'Assumptions (edit)'!B4),"")</f>
      </c>
      <c r="BU97" s="8">
        <f>IF((0=1),(BU62-'Assumptions (edit)'!B4),"")</f>
      </c>
      <c r="BV97" s="8">
        <f>IF((0=1),(BV62-'Assumptions (edit)'!B4),"")</f>
      </c>
      <c r="BW97" s="8">
        <f>IF((0=1),(BW62-'Assumptions (edit)'!B4),"")</f>
      </c>
      <c r="BX97" s="8">
        <f>IF((0=1),(BX62-'Assumptions (edit)'!B4),"")</f>
      </c>
      <c r="BY97" s="8">
        <f>IF((0=1),(BY62-'Assumptions (edit)'!B4),"")</f>
      </c>
      <c r="BZ97" s="8">
        <f>IF((0=1),(BZ62-'Assumptions (edit)'!B4),"")</f>
      </c>
      <c r="CA97" s="8">
        <f>IF((0=1),(CA62-'Assumptions (edit)'!B4),"")</f>
      </c>
      <c r="CB97" s="8">
        <f>IF((0=1),(CB62-'Assumptions (edit)'!B4),"")</f>
      </c>
      <c r="CC97" s="8">
        <f>IF((0=1),(CC62-'Assumptions (edit)'!B4),"")</f>
      </c>
      <c r="CD97" s="8">
        <f>IF((0=1),(CD62-'Assumptions (edit)'!B4),"")</f>
      </c>
      <c r="CE97" s="8">
        <f>IF((0=1),(CE62-'Assumptions (edit)'!B4),"")</f>
      </c>
      <c r="CF97" s="8">
        <f>IF((0=1),(CF62-'Assumptions (edit)'!B4),"")</f>
      </c>
      <c r="CG97" s="8">
        <f>IF((0=1),(CG62-'Assumptions (edit)'!B4),"")</f>
      </c>
      <c r="CH97" s="8">
        <f>IF((0=1),(CH62-'Assumptions (edit)'!B4),"")</f>
      </c>
      <c r="CI97" s="8">
        <f>IF((0=1),(CI62-'Assumptions (edit)'!B4),"")</f>
      </c>
      <c r="CJ97" s="8">
        <f>IF((0=1),(CJ62-'Assumptions (edit)'!B4),"")</f>
      </c>
      <c r="CK97" s="8">
        <f>IF((0=1),(CK62-'Assumptions (edit)'!B4),"")</f>
      </c>
      <c r="CL97" s="8">
        <f>IF((0=1),(CL62-'Assumptions (edit)'!B4),"")</f>
      </c>
      <c r="CM97" s="8">
        <f>IF((0=1),(CM62-'Assumptions (edit)'!B4),"")</f>
      </c>
      <c r="CN97" s="8">
        <f>IF((0=1),(CN62-'Assumptions (edit)'!B4),"")</f>
      </c>
      <c r="CO97" s="8">
        <f>IF((0=1),(CO62-'Assumptions (edit)'!B4),"")</f>
      </c>
      <c r="CP97" s="8">
        <f>IF((0=1),(CP62-'Assumptions (edit)'!B4),"")</f>
      </c>
      <c r="CQ97" s="8">
        <f>IF((0=1),(CQ62-'Assumptions (edit)'!B4),"")</f>
      </c>
      <c r="CR97" s="8">
        <f>IF((0=1),(CR62-'Assumptions (edit)'!B4),"")</f>
      </c>
      <c r="CS97" s="8">
        <f>IF((0=1),(CS62-'Assumptions (edit)'!B4),"")</f>
      </c>
      <c r="CT97" s="8">
        <f>IF((0=1),(CT62-'Assumptions (edit)'!B4),"")</f>
      </c>
      <c r="CU97" s="8">
        <f>IF((0=1),(CU62-'Assumptions (edit)'!B4),"")</f>
      </c>
      <c r="CV97" s="8">
        <f>IF((0=1),(CV62-'Assumptions (edit)'!B4),"")</f>
      </c>
      <c r="CW97" s="8">
        <f>IF((0=1),(CW62-'Assumptions (edit)'!B4),"")</f>
      </c>
      <c r="CX97" s="8">
        <f>IF((0=1),(CX62-'Assumptions (edit)'!B4),"")</f>
      </c>
    </row>
    <row r="98">
      <c r="A98" s="0" t="inlineStr">
        <is>
          <t xml:space="preserve">Net of costs, bps</t>
        </is>
      </c>
      <c r="B98" s="0" t="inlineStr">
        <is>
          <t xml:space="preserve">Random 12</t>
        </is>
      </c>
      <c r="C98" s="8">
        <f>IF((1=1),(C63-'Assumptions (edit)'!B4),"")</f>
        <v>-9.263</v>
      </c>
      <c r="D98" s="8">
        <f>IF((0=1),(D63-'Assumptions (edit)'!B4),"")</f>
      </c>
      <c r="E98" s="8">
        <f>IF((0=1),(E63-'Assumptions (edit)'!B4),"")</f>
      </c>
      <c r="F98" s="8">
        <f>IF((0=1),(F63-'Assumptions (edit)'!B4),"")</f>
      </c>
      <c r="G98" s="8">
        <f>IF((0=1),(G63-'Assumptions (edit)'!B4),"")</f>
      </c>
      <c r="H98" s="8">
        <f>IF((0=1),(H63-'Assumptions (edit)'!B4),"")</f>
      </c>
      <c r="I98" s="8">
        <f>IF((0=1),(I63-'Assumptions (edit)'!B4),"")</f>
      </c>
      <c r="J98" s="8">
        <f>IF((0=1),(J63-'Assumptions (edit)'!B4),"")</f>
      </c>
      <c r="K98" s="8">
        <f>IF((0=1),(K63-'Assumptions (edit)'!B4),"")</f>
      </c>
      <c r="L98" s="8">
        <f>IF((0=1),(L63-'Assumptions (edit)'!B4),"")</f>
      </c>
      <c r="M98" s="8">
        <f>IF((0=1),(M63-'Assumptions (edit)'!B4),"")</f>
      </c>
      <c r="N98" s="8">
        <f>IF((0=1),(N63-'Assumptions (edit)'!B4),"")</f>
      </c>
      <c r="O98" s="8">
        <f>IF((0=1),(O63-'Assumptions (edit)'!B4),"")</f>
      </c>
      <c r="P98" s="8">
        <f>IF((0=1),(P63-'Assumptions (edit)'!B4),"")</f>
      </c>
      <c r="Q98" s="8">
        <f>IF((0=1),(Q63-'Assumptions (edit)'!B4),"")</f>
      </c>
      <c r="R98" s="8">
        <f>IF((0=1),(R63-'Assumptions (edit)'!B4),"")</f>
      </c>
      <c r="S98" s="8">
        <f>IF((0=1),(S63-'Assumptions (edit)'!B4),"")</f>
      </c>
      <c r="T98" s="8">
        <f>IF((0=1),(T63-'Assumptions (edit)'!B4),"")</f>
      </c>
      <c r="U98" s="8">
        <f>IF((0=1),(U63-'Assumptions (edit)'!B4),"")</f>
      </c>
      <c r="V98" s="8">
        <f>IF((0=1),(V63-'Assumptions (edit)'!B4),"")</f>
      </c>
      <c r="W98" s="8">
        <f>IF((0=1),(W63-'Assumptions (edit)'!B4),"")</f>
      </c>
      <c r="X98" s="8">
        <f>IF((0=1),(X63-'Assumptions (edit)'!B4),"")</f>
      </c>
      <c r="Y98" s="8">
        <f>IF((0=1),(Y63-'Assumptions (edit)'!B4),"")</f>
      </c>
      <c r="Z98" s="8">
        <f>IF((0=1),(Z63-'Assumptions (edit)'!B4),"")</f>
      </c>
      <c r="AA98" s="8">
        <f>IF((0=1),(AA63-'Assumptions (edit)'!B4),"")</f>
      </c>
      <c r="AB98" s="8">
        <f>IF((0=1),(AB63-'Assumptions (edit)'!B4),"")</f>
      </c>
      <c r="AC98" s="8">
        <f>IF((0=1),(AC63-'Assumptions (edit)'!B4),"")</f>
      </c>
      <c r="AD98" s="8">
        <f>IF((0=1),(AD63-'Assumptions (edit)'!B4),"")</f>
      </c>
      <c r="AE98" s="8">
        <f>IF((0=1),(AE63-'Assumptions (edit)'!B4),"")</f>
      </c>
      <c r="AF98" s="8">
        <f>IF((0=1),(AF63-'Assumptions (edit)'!B4),"")</f>
      </c>
      <c r="AG98" s="8">
        <f>IF((0=1),(AG63-'Assumptions (edit)'!B4),"")</f>
      </c>
      <c r="AH98" s="8">
        <f>IF((0=1),(AH63-'Assumptions (edit)'!B4),"")</f>
      </c>
      <c r="AI98" s="8">
        <f>IF((0=1),(AI63-'Assumptions (edit)'!B4),"")</f>
      </c>
      <c r="AJ98" s="8">
        <f>IF((0=1),(AJ63-'Assumptions (edit)'!B4),"")</f>
      </c>
      <c r="AK98" s="8">
        <f>IF((0=1),(AK63-'Assumptions (edit)'!B4),"")</f>
      </c>
      <c r="AL98" s="8">
        <f>IF((0=1),(AL63-'Assumptions (edit)'!B4),"")</f>
      </c>
      <c r="AM98" s="8">
        <f>IF((0=1),(AM63-'Assumptions (edit)'!B4),"")</f>
      </c>
      <c r="AN98" s="8">
        <f>IF((0=1),(AN63-'Assumptions (edit)'!B4),"")</f>
      </c>
      <c r="AO98" s="8">
        <f>IF((0=1),(AO63-'Assumptions (edit)'!B4),"")</f>
      </c>
      <c r="AP98" s="8">
        <f>IF((0=1),(AP63-'Assumptions (edit)'!B4),"")</f>
      </c>
      <c r="AQ98" s="8">
        <f>IF((0=1),(AQ63-'Assumptions (edit)'!B4),"")</f>
      </c>
      <c r="AR98" s="8">
        <f>IF((0=1),(AR63-'Assumptions (edit)'!B4),"")</f>
      </c>
      <c r="AS98" s="8">
        <f>IF((0=1),(AS63-'Assumptions (edit)'!B4),"")</f>
      </c>
      <c r="AT98" s="8">
        <f>IF((0=1),(AT63-'Assumptions (edit)'!B4),"")</f>
      </c>
      <c r="AU98" s="8">
        <f>IF((0=1),(AU63-'Assumptions (edit)'!B4),"")</f>
      </c>
      <c r="AV98" s="8">
        <f>IF((0=1),(AV63-'Assumptions (edit)'!B4),"")</f>
      </c>
      <c r="AW98" s="8">
        <f>IF((0=1),(AW63-'Assumptions (edit)'!B4),"")</f>
      </c>
      <c r="AX98" s="8">
        <f>IF((0=1),(AX63-'Assumptions (edit)'!B4),"")</f>
      </c>
      <c r="AY98" s="8">
        <f>IF((0=1),(AY63-'Assumptions (edit)'!B4),"")</f>
      </c>
      <c r="AZ98" s="8">
        <f>IF((0=1),(AZ63-'Assumptions (edit)'!B4),"")</f>
      </c>
      <c r="BA98" s="8">
        <f>IF((0=1),(BA63-'Assumptions (edit)'!B4),"")</f>
      </c>
      <c r="BB98" s="8">
        <f>IF((0=1),(BB63-'Assumptions (edit)'!B4),"")</f>
      </c>
      <c r="BC98" s="8">
        <f>IF((0=1),(BC63-'Assumptions (edit)'!B4),"")</f>
      </c>
      <c r="BD98" s="8">
        <f>IF((0=1),(BD63-'Assumptions (edit)'!B4),"")</f>
      </c>
      <c r="BE98" s="8">
        <f>IF((0=1),(BE63-'Assumptions (edit)'!B4),"")</f>
      </c>
      <c r="BF98" s="8">
        <f>IF((0=1),(BF63-'Assumptions (edit)'!B4),"")</f>
      </c>
      <c r="BG98" s="8">
        <f>IF((0=1),(BG63-'Assumptions (edit)'!B4),"")</f>
      </c>
      <c r="BH98" s="8">
        <f>IF((0=1),(BH63-'Assumptions (edit)'!B4),"")</f>
      </c>
      <c r="BI98" s="8">
        <f>IF((0=1),(BI63-'Assumptions (edit)'!B4),"")</f>
      </c>
      <c r="BJ98" s="8">
        <f>IF((0=1),(BJ63-'Assumptions (edit)'!B4),"")</f>
      </c>
      <c r="BK98" s="8">
        <f>IF((0=1),(BK63-'Assumptions (edit)'!B4),"")</f>
      </c>
      <c r="BL98" s="8">
        <f>IF((0=1),(BL63-'Assumptions (edit)'!B4),"")</f>
      </c>
      <c r="BM98" s="8">
        <f>IF((0=1),(BM63-'Assumptions (edit)'!B4),"")</f>
      </c>
      <c r="BN98" s="8">
        <f>IF((0=1),(BN63-'Assumptions (edit)'!B4),"")</f>
      </c>
      <c r="BO98" s="8">
        <f>IF((0=1),(BO63-'Assumptions (edit)'!B4),"")</f>
      </c>
      <c r="BP98" s="8">
        <f>IF((0=1),(BP63-'Assumptions (edit)'!B4),"")</f>
      </c>
      <c r="BQ98" s="8">
        <f>IF((0=1),(BQ63-'Assumptions (edit)'!B4),"")</f>
      </c>
      <c r="BR98" s="8">
        <f>IF((0=1),(BR63-'Assumptions (edit)'!B4),"")</f>
      </c>
      <c r="BS98" s="8">
        <f>IF((0=1),(BS63-'Assumptions (edit)'!B4),"")</f>
      </c>
      <c r="BT98" s="8">
        <f>IF((0=1),(BT63-'Assumptions (edit)'!B4),"")</f>
      </c>
      <c r="BU98" s="8">
        <f>IF((0=1),(BU63-'Assumptions (edit)'!B4),"")</f>
      </c>
      <c r="BV98" s="8">
        <f>IF((0=1),(BV63-'Assumptions (edit)'!B4),"")</f>
      </c>
      <c r="BW98" s="8">
        <f>IF((0=1),(BW63-'Assumptions (edit)'!B4),"")</f>
      </c>
      <c r="BX98" s="8">
        <f>IF((0=1),(BX63-'Assumptions (edit)'!B4),"")</f>
      </c>
      <c r="BY98" s="8">
        <f>IF((0=1),(BY63-'Assumptions (edit)'!B4),"")</f>
      </c>
      <c r="BZ98" s="8">
        <f>IF((0=1),(BZ63-'Assumptions (edit)'!B4),"")</f>
      </c>
      <c r="CA98" s="8">
        <f>IF((0=1),(CA63-'Assumptions (edit)'!B4),"")</f>
      </c>
      <c r="CB98" s="8">
        <f>IF((0=1),(CB63-'Assumptions (edit)'!B4),"")</f>
      </c>
      <c r="CC98" s="8">
        <f>IF((0=1),(CC63-'Assumptions (edit)'!B4),"")</f>
      </c>
      <c r="CD98" s="8">
        <f>IF((0=1),(CD63-'Assumptions (edit)'!B4),"")</f>
      </c>
      <c r="CE98" s="8">
        <f>IF((0=1),(CE63-'Assumptions (edit)'!B4),"")</f>
      </c>
      <c r="CF98" s="8">
        <f>IF((0=1),(CF63-'Assumptions (edit)'!B4),"")</f>
      </c>
      <c r="CG98" s="8">
        <f>IF((0=1),(CG63-'Assumptions (edit)'!B4),"")</f>
      </c>
      <c r="CH98" s="8">
        <f>IF((0=1),(CH63-'Assumptions (edit)'!B4),"")</f>
      </c>
      <c r="CI98" s="8">
        <f>IF((0=1),(CI63-'Assumptions (edit)'!B4),"")</f>
      </c>
      <c r="CJ98" s="8">
        <f>IF((0=1),(CJ63-'Assumptions (edit)'!B4),"")</f>
      </c>
      <c r="CK98" s="8">
        <f>IF((0=1),(CK63-'Assumptions (edit)'!B4),"")</f>
      </c>
      <c r="CL98" s="8">
        <f>IF((0=1),(CL63-'Assumptions (edit)'!B4),"")</f>
      </c>
      <c r="CM98" s="8">
        <f>IF((0=1),(CM63-'Assumptions (edit)'!B4),"")</f>
      </c>
      <c r="CN98" s="8">
        <f>IF((0=1),(CN63-'Assumptions (edit)'!B4),"")</f>
      </c>
      <c r="CO98" s="8">
        <f>IF((0=1),(CO63-'Assumptions (edit)'!B4),"")</f>
      </c>
      <c r="CP98" s="8">
        <f>IF((0=1),(CP63-'Assumptions (edit)'!B4),"")</f>
      </c>
      <c r="CQ98" s="8">
        <f>IF((0=1),(CQ63-'Assumptions (edit)'!B4),"")</f>
      </c>
      <c r="CR98" s="8">
        <f>IF((0=1),(CR63-'Assumptions (edit)'!B4),"")</f>
      </c>
      <c r="CS98" s="8">
        <f>IF((0=1),(CS63-'Assumptions (edit)'!B4),"")</f>
      </c>
      <c r="CT98" s="8">
        <f>IF((0=1),(CT63-'Assumptions (edit)'!B4),"")</f>
      </c>
      <c r="CU98" s="8">
        <f>IF((0=1),(CU63-'Assumptions (edit)'!B4),"")</f>
      </c>
      <c r="CV98" s="8">
        <f>IF((0=1),(CV63-'Assumptions (edit)'!B4),"")</f>
      </c>
      <c r="CW98" s="8">
        <f>IF((0=1),(CW63-'Assumptions (edit)'!B4),"")</f>
      </c>
      <c r="CX98" s="8">
        <f>IF((0=1),(CX63-'Assumptions (edit)'!B4),"")</f>
      </c>
    </row>
    <row r="99">
      <c r="A99" s="0" t="inlineStr">
        <is>
          <t xml:space="preserve">Net of costs, bps</t>
        </is>
      </c>
      <c r="B99" s="0" t="inlineStr">
        <is>
          <t xml:space="preserve">Random 13</t>
        </is>
      </c>
      <c r="C99" s="8">
        <f>IF((1=1),(C64-'Assumptions (edit)'!B4),"")</f>
        <v>-13.193999999999999</v>
      </c>
      <c r="D99" s="8">
        <f>IF((0=1),(D64-'Assumptions (edit)'!B4),"")</f>
      </c>
      <c r="E99" s="8">
        <f>IF((0=1),(E64-'Assumptions (edit)'!B4),"")</f>
      </c>
      <c r="F99" s="8">
        <f>IF((0=1),(F64-'Assumptions (edit)'!B4),"")</f>
      </c>
      <c r="G99" s="8">
        <f>IF((0=1),(G64-'Assumptions (edit)'!B4),"")</f>
      </c>
      <c r="H99" s="8">
        <f>IF((0=1),(H64-'Assumptions (edit)'!B4),"")</f>
      </c>
      <c r="I99" s="8">
        <f>IF((0=1),(I64-'Assumptions (edit)'!B4),"")</f>
      </c>
      <c r="J99" s="8">
        <f>IF((0=1),(J64-'Assumptions (edit)'!B4),"")</f>
      </c>
      <c r="K99" s="8">
        <f>IF((0=1),(K64-'Assumptions (edit)'!B4),"")</f>
      </c>
      <c r="L99" s="8">
        <f>IF((0=1),(L64-'Assumptions (edit)'!B4),"")</f>
      </c>
      <c r="M99" s="8">
        <f>IF((0=1),(M64-'Assumptions (edit)'!B4),"")</f>
      </c>
      <c r="N99" s="8">
        <f>IF((0=1),(N64-'Assumptions (edit)'!B4),"")</f>
      </c>
      <c r="O99" s="8">
        <f>IF((0=1),(O64-'Assumptions (edit)'!B4),"")</f>
      </c>
      <c r="P99" s="8">
        <f>IF((0=1),(P64-'Assumptions (edit)'!B4),"")</f>
      </c>
      <c r="Q99" s="8">
        <f>IF((0=1),(Q64-'Assumptions (edit)'!B4),"")</f>
      </c>
      <c r="R99" s="8">
        <f>IF((0=1),(R64-'Assumptions (edit)'!B4),"")</f>
      </c>
      <c r="S99" s="8">
        <f>IF((0=1),(S64-'Assumptions (edit)'!B4),"")</f>
      </c>
      <c r="T99" s="8">
        <f>IF((0=1),(T64-'Assumptions (edit)'!B4),"")</f>
      </c>
      <c r="U99" s="8">
        <f>IF((0=1),(U64-'Assumptions (edit)'!B4),"")</f>
      </c>
      <c r="V99" s="8">
        <f>IF((0=1),(V64-'Assumptions (edit)'!B4),"")</f>
      </c>
      <c r="W99" s="8">
        <f>IF((0=1),(W64-'Assumptions (edit)'!B4),"")</f>
      </c>
      <c r="X99" s="8">
        <f>IF((0=1),(X64-'Assumptions (edit)'!B4),"")</f>
      </c>
      <c r="Y99" s="8">
        <f>IF((0=1),(Y64-'Assumptions (edit)'!B4),"")</f>
      </c>
      <c r="Z99" s="8">
        <f>IF((0=1),(Z64-'Assumptions (edit)'!B4),"")</f>
      </c>
      <c r="AA99" s="8">
        <f>IF((0=1),(AA64-'Assumptions (edit)'!B4),"")</f>
      </c>
      <c r="AB99" s="8">
        <f>IF((0=1),(AB64-'Assumptions (edit)'!B4),"")</f>
      </c>
      <c r="AC99" s="8">
        <f>IF((0=1),(AC64-'Assumptions (edit)'!B4),"")</f>
      </c>
      <c r="AD99" s="8">
        <f>IF((0=1),(AD64-'Assumptions (edit)'!B4),"")</f>
      </c>
      <c r="AE99" s="8">
        <f>IF((0=1),(AE64-'Assumptions (edit)'!B4),"")</f>
      </c>
      <c r="AF99" s="8">
        <f>IF((0=1),(AF64-'Assumptions (edit)'!B4),"")</f>
      </c>
      <c r="AG99" s="8">
        <f>IF((0=1),(AG64-'Assumptions (edit)'!B4),"")</f>
      </c>
      <c r="AH99" s="8">
        <f>IF((0=1),(AH64-'Assumptions (edit)'!B4),"")</f>
      </c>
      <c r="AI99" s="8">
        <f>IF((0=1),(AI64-'Assumptions (edit)'!B4),"")</f>
      </c>
      <c r="AJ99" s="8">
        <f>IF((0=1),(AJ64-'Assumptions (edit)'!B4),"")</f>
      </c>
      <c r="AK99" s="8">
        <f>IF((0=1),(AK64-'Assumptions (edit)'!B4),"")</f>
      </c>
      <c r="AL99" s="8">
        <f>IF((0=1),(AL64-'Assumptions (edit)'!B4),"")</f>
      </c>
      <c r="AM99" s="8">
        <f>IF((0=1),(AM64-'Assumptions (edit)'!B4),"")</f>
      </c>
      <c r="AN99" s="8">
        <f>IF((0=1),(AN64-'Assumptions (edit)'!B4),"")</f>
      </c>
      <c r="AO99" s="8">
        <f>IF((0=1),(AO64-'Assumptions (edit)'!B4),"")</f>
      </c>
      <c r="AP99" s="8">
        <f>IF((0=1),(AP64-'Assumptions (edit)'!B4),"")</f>
      </c>
      <c r="AQ99" s="8">
        <f>IF((0=1),(AQ64-'Assumptions (edit)'!B4),"")</f>
      </c>
      <c r="AR99" s="8">
        <f>IF((0=1),(AR64-'Assumptions (edit)'!B4),"")</f>
      </c>
      <c r="AS99" s="8">
        <f>IF((0=1),(AS64-'Assumptions (edit)'!B4),"")</f>
      </c>
      <c r="AT99" s="8">
        <f>IF((0=1),(AT64-'Assumptions (edit)'!B4),"")</f>
      </c>
      <c r="AU99" s="8">
        <f>IF((0=1),(AU64-'Assumptions (edit)'!B4),"")</f>
      </c>
      <c r="AV99" s="8">
        <f>IF((0=1),(AV64-'Assumptions (edit)'!B4),"")</f>
      </c>
      <c r="AW99" s="8">
        <f>IF((0=1),(AW64-'Assumptions (edit)'!B4),"")</f>
      </c>
      <c r="AX99" s="8">
        <f>IF((0=1),(AX64-'Assumptions (edit)'!B4),"")</f>
      </c>
      <c r="AY99" s="8">
        <f>IF((0=1),(AY64-'Assumptions (edit)'!B4),"")</f>
      </c>
      <c r="AZ99" s="8">
        <f>IF((0=1),(AZ64-'Assumptions (edit)'!B4),"")</f>
      </c>
      <c r="BA99" s="8">
        <f>IF((0=1),(BA64-'Assumptions (edit)'!B4),"")</f>
      </c>
      <c r="BB99" s="8">
        <f>IF((0=1),(BB64-'Assumptions (edit)'!B4),"")</f>
      </c>
      <c r="BC99" s="8">
        <f>IF((0=1),(BC64-'Assumptions (edit)'!B4),"")</f>
      </c>
      <c r="BD99" s="8">
        <f>IF((0=1),(BD64-'Assumptions (edit)'!B4),"")</f>
      </c>
      <c r="BE99" s="8">
        <f>IF((0=1),(BE64-'Assumptions (edit)'!B4),"")</f>
      </c>
      <c r="BF99" s="8">
        <f>IF((0=1),(BF64-'Assumptions (edit)'!B4),"")</f>
      </c>
      <c r="BG99" s="8">
        <f>IF((0=1),(BG64-'Assumptions (edit)'!B4),"")</f>
      </c>
      <c r="BH99" s="8">
        <f>IF((0=1),(BH64-'Assumptions (edit)'!B4),"")</f>
      </c>
      <c r="BI99" s="8">
        <f>IF((0=1),(BI64-'Assumptions (edit)'!B4),"")</f>
      </c>
      <c r="BJ99" s="8">
        <f>IF((0=1),(BJ64-'Assumptions (edit)'!B4),"")</f>
      </c>
      <c r="BK99" s="8">
        <f>IF((0=1),(BK64-'Assumptions (edit)'!B4),"")</f>
      </c>
      <c r="BL99" s="8">
        <f>IF((0=1),(BL64-'Assumptions (edit)'!B4),"")</f>
      </c>
      <c r="BM99" s="8">
        <f>IF((0=1),(BM64-'Assumptions (edit)'!B4),"")</f>
      </c>
      <c r="BN99" s="8">
        <f>IF((0=1),(BN64-'Assumptions (edit)'!B4),"")</f>
      </c>
      <c r="BO99" s="8">
        <f>IF((0=1),(BO64-'Assumptions (edit)'!B4),"")</f>
      </c>
      <c r="BP99" s="8">
        <f>IF((0=1),(BP64-'Assumptions (edit)'!B4),"")</f>
      </c>
      <c r="BQ99" s="8">
        <f>IF((0=1),(BQ64-'Assumptions (edit)'!B4),"")</f>
      </c>
      <c r="BR99" s="8">
        <f>IF((0=1),(BR64-'Assumptions (edit)'!B4),"")</f>
      </c>
      <c r="BS99" s="8">
        <f>IF((0=1),(BS64-'Assumptions (edit)'!B4),"")</f>
      </c>
      <c r="BT99" s="8">
        <f>IF((0=1),(BT64-'Assumptions (edit)'!B4),"")</f>
      </c>
      <c r="BU99" s="8">
        <f>IF((0=1),(BU64-'Assumptions (edit)'!B4),"")</f>
      </c>
      <c r="BV99" s="8">
        <f>IF((0=1),(BV64-'Assumptions (edit)'!B4),"")</f>
      </c>
      <c r="BW99" s="8">
        <f>IF((0=1),(BW64-'Assumptions (edit)'!B4),"")</f>
      </c>
      <c r="BX99" s="8">
        <f>IF((0=1),(BX64-'Assumptions (edit)'!B4),"")</f>
      </c>
      <c r="BY99" s="8">
        <f>IF((0=1),(BY64-'Assumptions (edit)'!B4),"")</f>
      </c>
      <c r="BZ99" s="8">
        <f>IF((0=1),(BZ64-'Assumptions (edit)'!B4),"")</f>
      </c>
      <c r="CA99" s="8">
        <f>IF((0=1),(CA64-'Assumptions (edit)'!B4),"")</f>
      </c>
      <c r="CB99" s="8">
        <f>IF((0=1),(CB64-'Assumptions (edit)'!B4),"")</f>
      </c>
      <c r="CC99" s="8">
        <f>IF((0=1),(CC64-'Assumptions (edit)'!B4),"")</f>
      </c>
      <c r="CD99" s="8">
        <f>IF((0=1),(CD64-'Assumptions (edit)'!B4),"")</f>
      </c>
      <c r="CE99" s="8">
        <f>IF((0=1),(CE64-'Assumptions (edit)'!B4),"")</f>
      </c>
      <c r="CF99" s="8">
        <f>IF((0=1),(CF64-'Assumptions (edit)'!B4),"")</f>
      </c>
      <c r="CG99" s="8">
        <f>IF((0=1),(CG64-'Assumptions (edit)'!B4),"")</f>
      </c>
      <c r="CH99" s="8">
        <f>IF((0=1),(CH64-'Assumptions (edit)'!B4),"")</f>
      </c>
      <c r="CI99" s="8">
        <f>IF((0=1),(CI64-'Assumptions (edit)'!B4),"")</f>
      </c>
      <c r="CJ99" s="8">
        <f>IF((0=1),(CJ64-'Assumptions (edit)'!B4),"")</f>
      </c>
      <c r="CK99" s="8">
        <f>IF((0=1),(CK64-'Assumptions (edit)'!B4),"")</f>
      </c>
      <c r="CL99" s="8">
        <f>IF((0=1),(CL64-'Assumptions (edit)'!B4),"")</f>
      </c>
      <c r="CM99" s="8">
        <f>IF((0=1),(CM64-'Assumptions (edit)'!B4),"")</f>
      </c>
      <c r="CN99" s="8">
        <f>IF((0=1),(CN64-'Assumptions (edit)'!B4),"")</f>
      </c>
      <c r="CO99" s="8">
        <f>IF((0=1),(CO64-'Assumptions (edit)'!B4),"")</f>
      </c>
      <c r="CP99" s="8">
        <f>IF((0=1),(CP64-'Assumptions (edit)'!B4),"")</f>
      </c>
      <c r="CQ99" s="8">
        <f>IF((0=1),(CQ64-'Assumptions (edit)'!B4),"")</f>
      </c>
      <c r="CR99" s="8">
        <f>IF((0=1),(CR64-'Assumptions (edit)'!B4),"")</f>
      </c>
      <c r="CS99" s="8">
        <f>IF((0=1),(CS64-'Assumptions (edit)'!B4),"")</f>
      </c>
      <c r="CT99" s="8">
        <f>IF((0=1),(CT64-'Assumptions (edit)'!B4),"")</f>
      </c>
      <c r="CU99" s="8">
        <f>IF((0=1),(CU64-'Assumptions (edit)'!B4),"")</f>
      </c>
      <c r="CV99" s="8">
        <f>IF((0=1),(CV64-'Assumptions (edit)'!B4),"")</f>
      </c>
      <c r="CW99" s="8">
        <f>IF((0=1),(CW64-'Assumptions (edit)'!B4),"")</f>
      </c>
      <c r="CX99" s="8">
        <f>IF((0=1),(CX64-'Assumptions (edit)'!B4),"")</f>
      </c>
    </row>
    <row r="100">
      <c r="A100" s="0" t="inlineStr">
        <is>
          <t xml:space="preserve">Net of costs, bps</t>
        </is>
      </c>
      <c r="B100" s="0" t="inlineStr">
        <is>
          <t xml:space="preserve">Random 14</t>
        </is>
      </c>
      <c r="C100" s="8">
        <f>IF((1=1),(C65-'Assumptions (edit)'!B4),"")</f>
        <v>-5.273</v>
      </c>
      <c r="D100" s="8">
        <f>IF((0=1),(D65-'Assumptions (edit)'!B4),"")</f>
      </c>
      <c r="E100" s="8">
        <f>IF((0=1),(E65-'Assumptions (edit)'!B4),"")</f>
      </c>
      <c r="F100" s="8">
        <f>IF((0=1),(F65-'Assumptions (edit)'!B4),"")</f>
      </c>
      <c r="G100" s="8">
        <f>IF((0=1),(G65-'Assumptions (edit)'!B4),"")</f>
      </c>
      <c r="H100" s="8">
        <f>IF((0=1),(H65-'Assumptions (edit)'!B4),"")</f>
      </c>
      <c r="I100" s="8">
        <f>IF((0=1),(I65-'Assumptions (edit)'!B4),"")</f>
      </c>
      <c r="J100" s="8">
        <f>IF((0=1),(J65-'Assumptions (edit)'!B4),"")</f>
      </c>
      <c r="K100" s="8">
        <f>IF((0=1),(K65-'Assumptions (edit)'!B4),"")</f>
      </c>
      <c r="L100" s="8">
        <f>IF((0=1),(L65-'Assumptions (edit)'!B4),"")</f>
      </c>
      <c r="M100" s="8">
        <f>IF((0=1),(M65-'Assumptions (edit)'!B4),"")</f>
      </c>
      <c r="N100" s="8">
        <f>IF((0=1),(N65-'Assumptions (edit)'!B4),"")</f>
      </c>
      <c r="O100" s="8">
        <f>IF((0=1),(O65-'Assumptions (edit)'!B4),"")</f>
      </c>
      <c r="P100" s="8">
        <f>IF((0=1),(P65-'Assumptions (edit)'!B4),"")</f>
      </c>
      <c r="Q100" s="8">
        <f>IF((0=1),(Q65-'Assumptions (edit)'!B4),"")</f>
      </c>
      <c r="R100" s="8">
        <f>IF((0=1),(R65-'Assumptions (edit)'!B4),"")</f>
      </c>
      <c r="S100" s="8">
        <f>IF((0=1),(S65-'Assumptions (edit)'!B4),"")</f>
      </c>
      <c r="T100" s="8">
        <f>IF((0=1),(T65-'Assumptions (edit)'!B4),"")</f>
      </c>
      <c r="U100" s="8">
        <f>IF((0=1),(U65-'Assumptions (edit)'!B4),"")</f>
      </c>
      <c r="V100" s="8">
        <f>IF((0=1),(V65-'Assumptions (edit)'!B4),"")</f>
      </c>
      <c r="W100" s="8">
        <f>IF((0=1),(W65-'Assumptions (edit)'!B4),"")</f>
      </c>
      <c r="X100" s="8">
        <f>IF((0=1),(X65-'Assumptions (edit)'!B4),"")</f>
      </c>
      <c r="Y100" s="8">
        <f>IF((0=1),(Y65-'Assumptions (edit)'!B4),"")</f>
      </c>
      <c r="Z100" s="8">
        <f>IF((0=1),(Z65-'Assumptions (edit)'!B4),"")</f>
      </c>
      <c r="AA100" s="8">
        <f>IF((0=1),(AA65-'Assumptions (edit)'!B4),"")</f>
      </c>
      <c r="AB100" s="8">
        <f>IF((0=1),(AB65-'Assumptions (edit)'!B4),"")</f>
      </c>
      <c r="AC100" s="8">
        <f>IF((0=1),(AC65-'Assumptions (edit)'!B4),"")</f>
      </c>
      <c r="AD100" s="8">
        <f>IF((0=1),(AD65-'Assumptions (edit)'!B4),"")</f>
      </c>
      <c r="AE100" s="8">
        <f>IF((0=1),(AE65-'Assumptions (edit)'!B4),"")</f>
      </c>
      <c r="AF100" s="8">
        <f>IF((0=1),(AF65-'Assumptions (edit)'!B4),"")</f>
      </c>
      <c r="AG100" s="8">
        <f>IF((0=1),(AG65-'Assumptions (edit)'!B4),"")</f>
      </c>
      <c r="AH100" s="8">
        <f>IF((0=1),(AH65-'Assumptions (edit)'!B4),"")</f>
      </c>
      <c r="AI100" s="8">
        <f>IF((0=1),(AI65-'Assumptions (edit)'!B4),"")</f>
      </c>
      <c r="AJ100" s="8">
        <f>IF((0=1),(AJ65-'Assumptions (edit)'!B4),"")</f>
      </c>
      <c r="AK100" s="8">
        <f>IF((0=1),(AK65-'Assumptions (edit)'!B4),"")</f>
      </c>
      <c r="AL100" s="8">
        <f>IF((0=1),(AL65-'Assumptions (edit)'!B4),"")</f>
      </c>
      <c r="AM100" s="8">
        <f>IF((0=1),(AM65-'Assumptions (edit)'!B4),"")</f>
      </c>
      <c r="AN100" s="8">
        <f>IF((0=1),(AN65-'Assumptions (edit)'!B4),"")</f>
      </c>
      <c r="AO100" s="8">
        <f>IF((0=1),(AO65-'Assumptions (edit)'!B4),"")</f>
      </c>
      <c r="AP100" s="8">
        <f>IF((0=1),(AP65-'Assumptions (edit)'!B4),"")</f>
      </c>
      <c r="AQ100" s="8">
        <f>IF((0=1),(AQ65-'Assumptions (edit)'!B4),"")</f>
      </c>
      <c r="AR100" s="8">
        <f>IF((0=1),(AR65-'Assumptions (edit)'!B4),"")</f>
      </c>
      <c r="AS100" s="8">
        <f>IF((0=1),(AS65-'Assumptions (edit)'!B4),"")</f>
      </c>
      <c r="AT100" s="8">
        <f>IF((0=1),(AT65-'Assumptions (edit)'!B4),"")</f>
      </c>
      <c r="AU100" s="8">
        <f>IF((0=1),(AU65-'Assumptions (edit)'!B4),"")</f>
      </c>
      <c r="AV100" s="8">
        <f>IF((0=1),(AV65-'Assumptions (edit)'!B4),"")</f>
      </c>
      <c r="AW100" s="8">
        <f>IF((0=1),(AW65-'Assumptions (edit)'!B4),"")</f>
      </c>
      <c r="AX100" s="8">
        <f>IF((0=1),(AX65-'Assumptions (edit)'!B4),"")</f>
      </c>
      <c r="AY100" s="8">
        <f>IF((0=1),(AY65-'Assumptions (edit)'!B4),"")</f>
      </c>
      <c r="AZ100" s="8">
        <f>IF((0=1),(AZ65-'Assumptions (edit)'!B4),"")</f>
      </c>
      <c r="BA100" s="8">
        <f>IF((0=1),(BA65-'Assumptions (edit)'!B4),"")</f>
      </c>
      <c r="BB100" s="8">
        <f>IF((0=1),(BB65-'Assumptions (edit)'!B4),"")</f>
      </c>
      <c r="BC100" s="8">
        <f>IF((0=1),(BC65-'Assumptions (edit)'!B4),"")</f>
      </c>
      <c r="BD100" s="8">
        <f>IF((0=1),(BD65-'Assumptions (edit)'!B4),"")</f>
      </c>
      <c r="BE100" s="8">
        <f>IF((0=1),(BE65-'Assumptions (edit)'!B4),"")</f>
      </c>
      <c r="BF100" s="8">
        <f>IF((0=1),(BF65-'Assumptions (edit)'!B4),"")</f>
      </c>
      <c r="BG100" s="8">
        <f>IF((0=1),(BG65-'Assumptions (edit)'!B4),"")</f>
      </c>
      <c r="BH100" s="8">
        <f>IF((0=1),(BH65-'Assumptions (edit)'!B4),"")</f>
      </c>
      <c r="BI100" s="8">
        <f>IF((0=1),(BI65-'Assumptions (edit)'!B4),"")</f>
      </c>
      <c r="BJ100" s="8">
        <f>IF((0=1),(BJ65-'Assumptions (edit)'!B4),"")</f>
      </c>
      <c r="BK100" s="8">
        <f>IF((0=1),(BK65-'Assumptions (edit)'!B4),"")</f>
      </c>
      <c r="BL100" s="8">
        <f>IF((0=1),(BL65-'Assumptions (edit)'!B4),"")</f>
      </c>
      <c r="BM100" s="8">
        <f>IF((0=1),(BM65-'Assumptions (edit)'!B4),"")</f>
      </c>
      <c r="BN100" s="8">
        <f>IF((0=1),(BN65-'Assumptions (edit)'!B4),"")</f>
      </c>
      <c r="BO100" s="8">
        <f>IF((0=1),(BO65-'Assumptions (edit)'!B4),"")</f>
      </c>
      <c r="BP100" s="8">
        <f>IF((0=1),(BP65-'Assumptions (edit)'!B4),"")</f>
      </c>
      <c r="BQ100" s="8">
        <f>IF((0=1),(BQ65-'Assumptions (edit)'!B4),"")</f>
      </c>
      <c r="BR100" s="8">
        <f>IF((0=1),(BR65-'Assumptions (edit)'!B4),"")</f>
      </c>
      <c r="BS100" s="8">
        <f>IF((0=1),(BS65-'Assumptions (edit)'!B4),"")</f>
      </c>
      <c r="BT100" s="8">
        <f>IF((0=1),(BT65-'Assumptions (edit)'!B4),"")</f>
      </c>
      <c r="BU100" s="8">
        <f>IF((0=1),(BU65-'Assumptions (edit)'!B4),"")</f>
      </c>
      <c r="BV100" s="8">
        <f>IF((0=1),(BV65-'Assumptions (edit)'!B4),"")</f>
      </c>
      <c r="BW100" s="8">
        <f>IF((0=1),(BW65-'Assumptions (edit)'!B4),"")</f>
      </c>
      <c r="BX100" s="8">
        <f>IF((0=1),(BX65-'Assumptions (edit)'!B4),"")</f>
      </c>
      <c r="BY100" s="8">
        <f>IF((0=1),(BY65-'Assumptions (edit)'!B4),"")</f>
      </c>
      <c r="BZ100" s="8">
        <f>IF((0=1),(BZ65-'Assumptions (edit)'!B4),"")</f>
      </c>
      <c r="CA100" s="8">
        <f>IF((0=1),(CA65-'Assumptions (edit)'!B4),"")</f>
      </c>
      <c r="CB100" s="8">
        <f>IF((0=1),(CB65-'Assumptions (edit)'!B4),"")</f>
      </c>
      <c r="CC100" s="8">
        <f>IF((0=1),(CC65-'Assumptions (edit)'!B4),"")</f>
      </c>
      <c r="CD100" s="8">
        <f>IF((0=1),(CD65-'Assumptions (edit)'!B4),"")</f>
      </c>
      <c r="CE100" s="8">
        <f>IF((0=1),(CE65-'Assumptions (edit)'!B4),"")</f>
      </c>
      <c r="CF100" s="8">
        <f>IF((0=1),(CF65-'Assumptions (edit)'!B4),"")</f>
      </c>
      <c r="CG100" s="8">
        <f>IF((0=1),(CG65-'Assumptions (edit)'!B4),"")</f>
      </c>
      <c r="CH100" s="8">
        <f>IF((0=1),(CH65-'Assumptions (edit)'!B4),"")</f>
      </c>
      <c r="CI100" s="8">
        <f>IF((0=1),(CI65-'Assumptions (edit)'!B4),"")</f>
      </c>
      <c r="CJ100" s="8">
        <f>IF((0=1),(CJ65-'Assumptions (edit)'!B4),"")</f>
      </c>
      <c r="CK100" s="8">
        <f>IF((0=1),(CK65-'Assumptions (edit)'!B4),"")</f>
      </c>
      <c r="CL100" s="8">
        <f>IF((0=1),(CL65-'Assumptions (edit)'!B4),"")</f>
      </c>
      <c r="CM100" s="8">
        <f>IF((0=1),(CM65-'Assumptions (edit)'!B4),"")</f>
      </c>
      <c r="CN100" s="8">
        <f>IF((0=1),(CN65-'Assumptions (edit)'!B4),"")</f>
      </c>
      <c r="CO100" s="8">
        <f>IF((0=1),(CO65-'Assumptions (edit)'!B4),"")</f>
      </c>
      <c r="CP100" s="8">
        <f>IF((0=1),(CP65-'Assumptions (edit)'!B4),"")</f>
      </c>
      <c r="CQ100" s="8">
        <f>IF((0=1),(CQ65-'Assumptions (edit)'!B4),"")</f>
      </c>
      <c r="CR100" s="8">
        <f>IF((0=1),(CR65-'Assumptions (edit)'!B4),"")</f>
      </c>
      <c r="CS100" s="8">
        <f>IF((0=1),(CS65-'Assumptions (edit)'!B4),"")</f>
      </c>
      <c r="CT100" s="8">
        <f>IF((0=1),(CT65-'Assumptions (edit)'!B4),"")</f>
      </c>
      <c r="CU100" s="8">
        <f>IF((0=1),(CU65-'Assumptions (edit)'!B4),"")</f>
      </c>
      <c r="CV100" s="8">
        <f>IF((0=1),(CV65-'Assumptions (edit)'!B4),"")</f>
      </c>
      <c r="CW100" s="8">
        <f>IF((0=1),(CW65-'Assumptions (edit)'!B4),"")</f>
      </c>
      <c r="CX100" s="8">
        <f>IF((0=1),(CX65-'Assumptions (edit)'!B4),"")</f>
      </c>
    </row>
    <row r="101">
      <c r="A101" s="0" t="inlineStr">
        <is>
          <t xml:space="preserve">Net of costs, bps</t>
        </is>
      </c>
      <c r="B101" s="0" t="inlineStr">
        <is>
          <t xml:space="preserve">Random 15</t>
        </is>
      </c>
      <c r="C101" s="8">
        <f>IF((1=1),(C66-'Assumptions (edit)'!B4),"")</f>
        <v>-21.721</v>
      </c>
      <c r="D101" s="8">
        <f>IF((0=1),(D66-'Assumptions (edit)'!B4),"")</f>
      </c>
      <c r="E101" s="8">
        <f>IF((0=1),(E66-'Assumptions (edit)'!B4),"")</f>
      </c>
      <c r="F101" s="8">
        <f>IF((0=1),(F66-'Assumptions (edit)'!B4),"")</f>
      </c>
      <c r="G101" s="8">
        <f>IF((0=1),(G66-'Assumptions (edit)'!B4),"")</f>
      </c>
      <c r="H101" s="8">
        <f>IF((0=1),(H66-'Assumptions (edit)'!B4),"")</f>
      </c>
      <c r="I101" s="8">
        <f>IF((0=1),(I66-'Assumptions (edit)'!B4),"")</f>
      </c>
      <c r="J101" s="8">
        <f>IF((0=1),(J66-'Assumptions (edit)'!B4),"")</f>
      </c>
      <c r="K101" s="8">
        <f>IF((0=1),(K66-'Assumptions (edit)'!B4),"")</f>
      </c>
      <c r="L101" s="8">
        <f>IF((0=1),(L66-'Assumptions (edit)'!B4),"")</f>
      </c>
      <c r="M101" s="8">
        <f>IF((0=1),(M66-'Assumptions (edit)'!B4),"")</f>
      </c>
      <c r="N101" s="8">
        <f>IF((0=1),(N66-'Assumptions (edit)'!B4),"")</f>
      </c>
      <c r="O101" s="8">
        <f>IF((0=1),(O66-'Assumptions (edit)'!B4),"")</f>
      </c>
      <c r="P101" s="8">
        <f>IF((0=1),(P66-'Assumptions (edit)'!B4),"")</f>
      </c>
      <c r="Q101" s="8">
        <f>IF((0=1),(Q66-'Assumptions (edit)'!B4),"")</f>
      </c>
      <c r="R101" s="8">
        <f>IF((0=1),(R66-'Assumptions (edit)'!B4),"")</f>
      </c>
      <c r="S101" s="8">
        <f>IF((0=1),(S66-'Assumptions (edit)'!B4),"")</f>
      </c>
      <c r="T101" s="8">
        <f>IF((0=1),(T66-'Assumptions (edit)'!B4),"")</f>
      </c>
      <c r="U101" s="8">
        <f>IF((0=1),(U66-'Assumptions (edit)'!B4),"")</f>
      </c>
      <c r="V101" s="8">
        <f>IF((0=1),(V66-'Assumptions (edit)'!B4),"")</f>
      </c>
      <c r="W101" s="8">
        <f>IF((0=1),(W66-'Assumptions (edit)'!B4),"")</f>
      </c>
      <c r="X101" s="8">
        <f>IF((0=1),(X66-'Assumptions (edit)'!B4),"")</f>
      </c>
      <c r="Y101" s="8">
        <f>IF((0=1),(Y66-'Assumptions (edit)'!B4),"")</f>
      </c>
      <c r="Z101" s="8">
        <f>IF((0=1),(Z66-'Assumptions (edit)'!B4),"")</f>
      </c>
      <c r="AA101" s="8">
        <f>IF((0=1),(AA66-'Assumptions (edit)'!B4),"")</f>
      </c>
      <c r="AB101" s="8">
        <f>IF((0=1),(AB66-'Assumptions (edit)'!B4),"")</f>
      </c>
      <c r="AC101" s="8">
        <f>IF((0=1),(AC66-'Assumptions (edit)'!B4),"")</f>
      </c>
      <c r="AD101" s="8">
        <f>IF((0=1),(AD66-'Assumptions (edit)'!B4),"")</f>
      </c>
      <c r="AE101" s="8">
        <f>IF((0=1),(AE66-'Assumptions (edit)'!B4),"")</f>
      </c>
      <c r="AF101" s="8">
        <f>IF((0=1),(AF66-'Assumptions (edit)'!B4),"")</f>
      </c>
      <c r="AG101" s="8">
        <f>IF((0=1),(AG66-'Assumptions (edit)'!B4),"")</f>
      </c>
      <c r="AH101" s="8">
        <f>IF((0=1),(AH66-'Assumptions (edit)'!B4),"")</f>
      </c>
      <c r="AI101" s="8">
        <f>IF((0=1),(AI66-'Assumptions (edit)'!B4),"")</f>
      </c>
      <c r="AJ101" s="8">
        <f>IF((0=1),(AJ66-'Assumptions (edit)'!B4),"")</f>
      </c>
      <c r="AK101" s="8">
        <f>IF((0=1),(AK66-'Assumptions (edit)'!B4),"")</f>
      </c>
      <c r="AL101" s="8">
        <f>IF((0=1),(AL66-'Assumptions (edit)'!B4),"")</f>
      </c>
      <c r="AM101" s="8">
        <f>IF((0=1),(AM66-'Assumptions (edit)'!B4),"")</f>
      </c>
      <c r="AN101" s="8">
        <f>IF((0=1),(AN66-'Assumptions (edit)'!B4),"")</f>
      </c>
      <c r="AO101" s="8">
        <f>IF((0=1),(AO66-'Assumptions (edit)'!B4),"")</f>
      </c>
      <c r="AP101" s="8">
        <f>IF((0=1),(AP66-'Assumptions (edit)'!B4),"")</f>
      </c>
      <c r="AQ101" s="8">
        <f>IF((0=1),(AQ66-'Assumptions (edit)'!B4),"")</f>
      </c>
      <c r="AR101" s="8">
        <f>IF((0=1),(AR66-'Assumptions (edit)'!B4),"")</f>
      </c>
      <c r="AS101" s="8">
        <f>IF((0=1),(AS66-'Assumptions (edit)'!B4),"")</f>
      </c>
      <c r="AT101" s="8">
        <f>IF((0=1),(AT66-'Assumptions (edit)'!B4),"")</f>
      </c>
      <c r="AU101" s="8">
        <f>IF((0=1),(AU66-'Assumptions (edit)'!B4),"")</f>
      </c>
      <c r="AV101" s="8">
        <f>IF((0=1),(AV66-'Assumptions (edit)'!B4),"")</f>
      </c>
      <c r="AW101" s="8">
        <f>IF((0=1),(AW66-'Assumptions (edit)'!B4),"")</f>
      </c>
      <c r="AX101" s="8">
        <f>IF((0=1),(AX66-'Assumptions (edit)'!B4),"")</f>
      </c>
      <c r="AY101" s="8">
        <f>IF((0=1),(AY66-'Assumptions (edit)'!B4),"")</f>
      </c>
      <c r="AZ101" s="8">
        <f>IF((0=1),(AZ66-'Assumptions (edit)'!B4),"")</f>
      </c>
      <c r="BA101" s="8">
        <f>IF((0=1),(BA66-'Assumptions (edit)'!B4),"")</f>
      </c>
      <c r="BB101" s="8">
        <f>IF((0=1),(BB66-'Assumptions (edit)'!B4),"")</f>
      </c>
      <c r="BC101" s="8">
        <f>IF((0=1),(BC66-'Assumptions (edit)'!B4),"")</f>
      </c>
      <c r="BD101" s="8">
        <f>IF((0=1),(BD66-'Assumptions (edit)'!B4),"")</f>
      </c>
      <c r="BE101" s="8">
        <f>IF((0=1),(BE66-'Assumptions (edit)'!B4),"")</f>
      </c>
      <c r="BF101" s="8">
        <f>IF((0=1),(BF66-'Assumptions (edit)'!B4),"")</f>
      </c>
      <c r="BG101" s="8">
        <f>IF((0=1),(BG66-'Assumptions (edit)'!B4),"")</f>
      </c>
      <c r="BH101" s="8">
        <f>IF((0=1),(BH66-'Assumptions (edit)'!B4),"")</f>
      </c>
      <c r="BI101" s="8">
        <f>IF((0=1),(BI66-'Assumptions (edit)'!B4),"")</f>
      </c>
      <c r="BJ101" s="8">
        <f>IF((0=1),(BJ66-'Assumptions (edit)'!B4),"")</f>
      </c>
      <c r="BK101" s="8">
        <f>IF((0=1),(BK66-'Assumptions (edit)'!B4),"")</f>
      </c>
      <c r="BL101" s="8">
        <f>IF((0=1),(BL66-'Assumptions (edit)'!B4),"")</f>
      </c>
      <c r="BM101" s="8">
        <f>IF((0=1),(BM66-'Assumptions (edit)'!B4),"")</f>
      </c>
      <c r="BN101" s="8">
        <f>IF((0=1),(BN66-'Assumptions (edit)'!B4),"")</f>
      </c>
      <c r="BO101" s="8">
        <f>IF((0=1),(BO66-'Assumptions (edit)'!B4),"")</f>
      </c>
      <c r="BP101" s="8">
        <f>IF((0=1),(BP66-'Assumptions (edit)'!B4),"")</f>
      </c>
      <c r="BQ101" s="8">
        <f>IF((0=1),(BQ66-'Assumptions (edit)'!B4),"")</f>
      </c>
      <c r="BR101" s="8">
        <f>IF((0=1),(BR66-'Assumptions (edit)'!B4),"")</f>
      </c>
      <c r="BS101" s="8">
        <f>IF((0=1),(BS66-'Assumptions (edit)'!B4),"")</f>
      </c>
      <c r="BT101" s="8">
        <f>IF((0=1),(BT66-'Assumptions (edit)'!B4),"")</f>
      </c>
      <c r="BU101" s="8">
        <f>IF((0=1),(BU66-'Assumptions (edit)'!B4),"")</f>
      </c>
      <c r="BV101" s="8">
        <f>IF((0=1),(BV66-'Assumptions (edit)'!B4),"")</f>
      </c>
      <c r="BW101" s="8">
        <f>IF((0=1),(BW66-'Assumptions (edit)'!B4),"")</f>
      </c>
      <c r="BX101" s="8">
        <f>IF((0=1),(BX66-'Assumptions (edit)'!B4),"")</f>
      </c>
      <c r="BY101" s="8">
        <f>IF((0=1),(BY66-'Assumptions (edit)'!B4),"")</f>
      </c>
      <c r="BZ101" s="8">
        <f>IF((0=1),(BZ66-'Assumptions (edit)'!B4),"")</f>
      </c>
      <c r="CA101" s="8">
        <f>IF((0=1),(CA66-'Assumptions (edit)'!B4),"")</f>
      </c>
      <c r="CB101" s="8">
        <f>IF((0=1),(CB66-'Assumptions (edit)'!B4),"")</f>
      </c>
      <c r="CC101" s="8">
        <f>IF((0=1),(CC66-'Assumptions (edit)'!B4),"")</f>
      </c>
      <c r="CD101" s="8">
        <f>IF((0=1),(CD66-'Assumptions (edit)'!B4),"")</f>
      </c>
      <c r="CE101" s="8">
        <f>IF((0=1),(CE66-'Assumptions (edit)'!B4),"")</f>
      </c>
      <c r="CF101" s="8">
        <f>IF((0=1),(CF66-'Assumptions (edit)'!B4),"")</f>
      </c>
      <c r="CG101" s="8">
        <f>IF((0=1),(CG66-'Assumptions (edit)'!B4),"")</f>
      </c>
      <c r="CH101" s="8">
        <f>IF((0=1),(CH66-'Assumptions (edit)'!B4),"")</f>
      </c>
      <c r="CI101" s="8">
        <f>IF((0=1),(CI66-'Assumptions (edit)'!B4),"")</f>
      </c>
      <c r="CJ101" s="8">
        <f>IF((0=1),(CJ66-'Assumptions (edit)'!B4),"")</f>
      </c>
      <c r="CK101" s="8">
        <f>IF((0=1),(CK66-'Assumptions (edit)'!B4),"")</f>
      </c>
      <c r="CL101" s="8">
        <f>IF((0=1),(CL66-'Assumptions (edit)'!B4),"")</f>
      </c>
      <c r="CM101" s="8">
        <f>IF((0=1),(CM66-'Assumptions (edit)'!B4),"")</f>
      </c>
      <c r="CN101" s="8">
        <f>IF((0=1),(CN66-'Assumptions (edit)'!B4),"")</f>
      </c>
      <c r="CO101" s="8">
        <f>IF((0=1),(CO66-'Assumptions (edit)'!B4),"")</f>
      </c>
      <c r="CP101" s="8">
        <f>IF((0=1),(CP66-'Assumptions (edit)'!B4),"")</f>
      </c>
      <c r="CQ101" s="8">
        <f>IF((0=1),(CQ66-'Assumptions (edit)'!B4),"")</f>
      </c>
      <c r="CR101" s="8">
        <f>IF((0=1),(CR66-'Assumptions (edit)'!B4),"")</f>
      </c>
      <c r="CS101" s="8">
        <f>IF((0=1),(CS66-'Assumptions (edit)'!B4),"")</f>
      </c>
      <c r="CT101" s="8">
        <f>IF((0=1),(CT66-'Assumptions (edit)'!B4),"")</f>
      </c>
      <c r="CU101" s="8">
        <f>IF((0=1),(CU66-'Assumptions (edit)'!B4),"")</f>
      </c>
      <c r="CV101" s="8">
        <f>IF((0=1),(CV66-'Assumptions (edit)'!B4),"")</f>
      </c>
      <c r="CW101" s="8">
        <f>IF((0=1),(CW66-'Assumptions (edit)'!B4),"")</f>
      </c>
      <c r="CX101" s="8">
        <f>IF((0=1),(CX66-'Assumptions (edit)'!B4),"")</f>
      </c>
    </row>
    <row r="102">
      <c r="A102" s="0" t="inlineStr">
        <is>
          <t xml:space="preserve">Net of costs, bps</t>
        </is>
      </c>
      <c r="B102" s="0" t="inlineStr">
        <is>
          <t xml:space="preserve">Random 16</t>
        </is>
      </c>
      <c r="C102" s="8">
        <f>IF((1=1),(C67-'Assumptions (edit)'!B4),"")</f>
        <v>-11.774000000000001</v>
      </c>
      <c r="D102" s="8">
        <f>IF((0=1),(D67-'Assumptions (edit)'!B4),"")</f>
      </c>
      <c r="E102" s="8">
        <f>IF((0=1),(E67-'Assumptions (edit)'!B4),"")</f>
      </c>
      <c r="F102" s="8">
        <f>IF((0=1),(F67-'Assumptions (edit)'!B4),"")</f>
      </c>
      <c r="G102" s="8">
        <f>IF((0=1),(G67-'Assumptions (edit)'!B4),"")</f>
      </c>
      <c r="H102" s="8">
        <f>IF((0=1),(H67-'Assumptions (edit)'!B4),"")</f>
      </c>
      <c r="I102" s="8">
        <f>IF((0=1),(I67-'Assumptions (edit)'!B4),"")</f>
      </c>
      <c r="J102" s="8">
        <f>IF((0=1),(J67-'Assumptions (edit)'!B4),"")</f>
      </c>
      <c r="K102" s="8">
        <f>IF((0=1),(K67-'Assumptions (edit)'!B4),"")</f>
      </c>
      <c r="L102" s="8">
        <f>IF((0=1),(L67-'Assumptions (edit)'!B4),"")</f>
      </c>
      <c r="M102" s="8">
        <f>IF((0=1),(M67-'Assumptions (edit)'!B4),"")</f>
      </c>
      <c r="N102" s="8">
        <f>IF((0=1),(N67-'Assumptions (edit)'!B4),"")</f>
      </c>
      <c r="O102" s="8">
        <f>IF((0=1),(O67-'Assumptions (edit)'!B4),"")</f>
      </c>
      <c r="P102" s="8">
        <f>IF((0=1),(P67-'Assumptions (edit)'!B4),"")</f>
      </c>
      <c r="Q102" s="8">
        <f>IF((0=1),(Q67-'Assumptions (edit)'!B4),"")</f>
      </c>
      <c r="R102" s="8">
        <f>IF((0=1),(R67-'Assumptions (edit)'!B4),"")</f>
      </c>
      <c r="S102" s="8">
        <f>IF((0=1),(S67-'Assumptions (edit)'!B4),"")</f>
      </c>
      <c r="T102" s="8">
        <f>IF((0=1),(T67-'Assumptions (edit)'!B4),"")</f>
      </c>
      <c r="U102" s="8">
        <f>IF((0=1),(U67-'Assumptions (edit)'!B4),"")</f>
      </c>
      <c r="V102" s="8">
        <f>IF((0=1),(V67-'Assumptions (edit)'!B4),"")</f>
      </c>
      <c r="W102" s="8">
        <f>IF((0=1),(W67-'Assumptions (edit)'!B4),"")</f>
      </c>
      <c r="X102" s="8">
        <f>IF((0=1),(X67-'Assumptions (edit)'!B4),"")</f>
      </c>
      <c r="Y102" s="8">
        <f>IF((0=1),(Y67-'Assumptions (edit)'!B4),"")</f>
      </c>
      <c r="Z102" s="8">
        <f>IF((0=1),(Z67-'Assumptions (edit)'!B4),"")</f>
      </c>
      <c r="AA102" s="8">
        <f>IF((0=1),(AA67-'Assumptions (edit)'!B4),"")</f>
      </c>
      <c r="AB102" s="8">
        <f>IF((0=1),(AB67-'Assumptions (edit)'!B4),"")</f>
      </c>
      <c r="AC102" s="8">
        <f>IF((0=1),(AC67-'Assumptions (edit)'!B4),"")</f>
      </c>
      <c r="AD102" s="8">
        <f>IF((0=1),(AD67-'Assumptions (edit)'!B4),"")</f>
      </c>
      <c r="AE102" s="8">
        <f>IF((0=1),(AE67-'Assumptions (edit)'!B4),"")</f>
      </c>
      <c r="AF102" s="8">
        <f>IF((0=1),(AF67-'Assumptions (edit)'!B4),"")</f>
      </c>
      <c r="AG102" s="8">
        <f>IF((0=1),(AG67-'Assumptions (edit)'!B4),"")</f>
      </c>
      <c r="AH102" s="8">
        <f>IF((0=1),(AH67-'Assumptions (edit)'!B4),"")</f>
      </c>
      <c r="AI102" s="8">
        <f>IF((0=1),(AI67-'Assumptions (edit)'!B4),"")</f>
      </c>
      <c r="AJ102" s="8">
        <f>IF((0=1),(AJ67-'Assumptions (edit)'!B4),"")</f>
      </c>
      <c r="AK102" s="8">
        <f>IF((0=1),(AK67-'Assumptions (edit)'!B4),"")</f>
      </c>
      <c r="AL102" s="8">
        <f>IF((0=1),(AL67-'Assumptions (edit)'!B4),"")</f>
      </c>
      <c r="AM102" s="8">
        <f>IF((0=1),(AM67-'Assumptions (edit)'!B4),"")</f>
      </c>
      <c r="AN102" s="8">
        <f>IF((0=1),(AN67-'Assumptions (edit)'!B4),"")</f>
      </c>
      <c r="AO102" s="8">
        <f>IF((0=1),(AO67-'Assumptions (edit)'!B4),"")</f>
      </c>
      <c r="AP102" s="8">
        <f>IF((0=1),(AP67-'Assumptions (edit)'!B4),"")</f>
      </c>
      <c r="AQ102" s="8">
        <f>IF((0=1),(AQ67-'Assumptions (edit)'!B4),"")</f>
      </c>
      <c r="AR102" s="8">
        <f>IF((0=1),(AR67-'Assumptions (edit)'!B4),"")</f>
      </c>
      <c r="AS102" s="8">
        <f>IF((0=1),(AS67-'Assumptions (edit)'!B4),"")</f>
      </c>
      <c r="AT102" s="8">
        <f>IF((0=1),(AT67-'Assumptions (edit)'!B4),"")</f>
      </c>
      <c r="AU102" s="8">
        <f>IF((0=1),(AU67-'Assumptions (edit)'!B4),"")</f>
      </c>
      <c r="AV102" s="8">
        <f>IF((0=1),(AV67-'Assumptions (edit)'!B4),"")</f>
      </c>
      <c r="AW102" s="8">
        <f>IF((0=1),(AW67-'Assumptions (edit)'!B4),"")</f>
      </c>
      <c r="AX102" s="8">
        <f>IF((0=1),(AX67-'Assumptions (edit)'!B4),"")</f>
      </c>
      <c r="AY102" s="8">
        <f>IF((0=1),(AY67-'Assumptions (edit)'!B4),"")</f>
      </c>
      <c r="AZ102" s="8">
        <f>IF((0=1),(AZ67-'Assumptions (edit)'!B4),"")</f>
      </c>
      <c r="BA102" s="8">
        <f>IF((0=1),(BA67-'Assumptions (edit)'!B4),"")</f>
      </c>
      <c r="BB102" s="8">
        <f>IF((0=1),(BB67-'Assumptions (edit)'!B4),"")</f>
      </c>
      <c r="BC102" s="8">
        <f>IF((0=1),(BC67-'Assumptions (edit)'!B4),"")</f>
      </c>
      <c r="BD102" s="8">
        <f>IF((0=1),(BD67-'Assumptions (edit)'!B4),"")</f>
      </c>
      <c r="BE102" s="8">
        <f>IF((0=1),(BE67-'Assumptions (edit)'!B4),"")</f>
      </c>
      <c r="BF102" s="8">
        <f>IF((0=1),(BF67-'Assumptions (edit)'!B4),"")</f>
      </c>
      <c r="BG102" s="8">
        <f>IF((0=1),(BG67-'Assumptions (edit)'!B4),"")</f>
      </c>
      <c r="BH102" s="8">
        <f>IF((0=1),(BH67-'Assumptions (edit)'!B4),"")</f>
      </c>
      <c r="BI102" s="8">
        <f>IF((0=1),(BI67-'Assumptions (edit)'!B4),"")</f>
      </c>
      <c r="BJ102" s="8">
        <f>IF((0=1),(BJ67-'Assumptions (edit)'!B4),"")</f>
      </c>
      <c r="BK102" s="8">
        <f>IF((0=1),(BK67-'Assumptions (edit)'!B4),"")</f>
      </c>
      <c r="BL102" s="8">
        <f>IF((0=1),(BL67-'Assumptions (edit)'!B4),"")</f>
      </c>
      <c r="BM102" s="8">
        <f>IF((0=1),(BM67-'Assumptions (edit)'!B4),"")</f>
      </c>
      <c r="BN102" s="8">
        <f>IF((0=1),(BN67-'Assumptions (edit)'!B4),"")</f>
      </c>
      <c r="BO102" s="8">
        <f>IF((0=1),(BO67-'Assumptions (edit)'!B4),"")</f>
      </c>
      <c r="BP102" s="8">
        <f>IF((0=1),(BP67-'Assumptions (edit)'!B4),"")</f>
      </c>
      <c r="BQ102" s="8">
        <f>IF((0=1),(BQ67-'Assumptions (edit)'!B4),"")</f>
      </c>
      <c r="BR102" s="8">
        <f>IF((0=1),(BR67-'Assumptions (edit)'!B4),"")</f>
      </c>
      <c r="BS102" s="8">
        <f>IF((0=1),(BS67-'Assumptions (edit)'!B4),"")</f>
      </c>
      <c r="BT102" s="8">
        <f>IF((0=1),(BT67-'Assumptions (edit)'!B4),"")</f>
      </c>
      <c r="BU102" s="8">
        <f>IF((0=1),(BU67-'Assumptions (edit)'!B4),"")</f>
      </c>
      <c r="BV102" s="8">
        <f>IF((0=1),(BV67-'Assumptions (edit)'!B4),"")</f>
      </c>
      <c r="BW102" s="8">
        <f>IF((0=1),(BW67-'Assumptions (edit)'!B4),"")</f>
      </c>
      <c r="BX102" s="8">
        <f>IF((0=1),(BX67-'Assumptions (edit)'!B4),"")</f>
      </c>
      <c r="BY102" s="8">
        <f>IF((0=1),(BY67-'Assumptions (edit)'!B4),"")</f>
      </c>
      <c r="BZ102" s="8">
        <f>IF((0=1),(BZ67-'Assumptions (edit)'!B4),"")</f>
      </c>
      <c r="CA102" s="8">
        <f>IF((0=1),(CA67-'Assumptions (edit)'!B4),"")</f>
      </c>
      <c r="CB102" s="8">
        <f>IF((0=1),(CB67-'Assumptions (edit)'!B4),"")</f>
      </c>
      <c r="CC102" s="8">
        <f>IF((0=1),(CC67-'Assumptions (edit)'!B4),"")</f>
      </c>
      <c r="CD102" s="8">
        <f>IF((0=1),(CD67-'Assumptions (edit)'!B4),"")</f>
      </c>
      <c r="CE102" s="8">
        <f>IF((0=1),(CE67-'Assumptions (edit)'!B4),"")</f>
      </c>
      <c r="CF102" s="8">
        <f>IF((0=1),(CF67-'Assumptions (edit)'!B4),"")</f>
      </c>
      <c r="CG102" s="8">
        <f>IF((0=1),(CG67-'Assumptions (edit)'!B4),"")</f>
      </c>
      <c r="CH102" s="8">
        <f>IF((0=1),(CH67-'Assumptions (edit)'!B4),"")</f>
      </c>
      <c r="CI102" s="8">
        <f>IF((0=1),(CI67-'Assumptions (edit)'!B4),"")</f>
      </c>
      <c r="CJ102" s="8">
        <f>IF((0=1),(CJ67-'Assumptions (edit)'!B4),"")</f>
      </c>
      <c r="CK102" s="8">
        <f>IF((0=1),(CK67-'Assumptions (edit)'!B4),"")</f>
      </c>
      <c r="CL102" s="8">
        <f>IF((0=1),(CL67-'Assumptions (edit)'!B4),"")</f>
      </c>
      <c r="CM102" s="8">
        <f>IF((0=1),(CM67-'Assumptions (edit)'!B4),"")</f>
      </c>
      <c r="CN102" s="8">
        <f>IF((0=1),(CN67-'Assumptions (edit)'!B4),"")</f>
      </c>
      <c r="CO102" s="8">
        <f>IF((0=1),(CO67-'Assumptions (edit)'!B4),"")</f>
      </c>
      <c r="CP102" s="8">
        <f>IF((0=1),(CP67-'Assumptions (edit)'!B4),"")</f>
      </c>
      <c r="CQ102" s="8">
        <f>IF((0=1),(CQ67-'Assumptions (edit)'!B4),"")</f>
      </c>
      <c r="CR102" s="8">
        <f>IF((0=1),(CR67-'Assumptions (edit)'!B4),"")</f>
      </c>
      <c r="CS102" s="8">
        <f>IF((0=1),(CS67-'Assumptions (edit)'!B4),"")</f>
      </c>
      <c r="CT102" s="8">
        <f>IF((0=1),(CT67-'Assumptions (edit)'!B4),"")</f>
      </c>
      <c r="CU102" s="8">
        <f>IF((0=1),(CU67-'Assumptions (edit)'!B4),"")</f>
      </c>
      <c r="CV102" s="8">
        <f>IF((0=1),(CV67-'Assumptions (edit)'!B4),"")</f>
      </c>
      <c r="CW102" s="8">
        <f>IF((0=1),(CW67-'Assumptions (edit)'!B4),"")</f>
      </c>
      <c r="CX102" s="8">
        <f>IF((0=1),(CX67-'Assumptions (edit)'!B4),"")</f>
      </c>
    </row>
    <row r="103">
      <c r="A103" s="0" t="inlineStr">
        <is>
          <t xml:space="preserve">Net of costs, bps</t>
        </is>
      </c>
      <c r="B103" s="0" t="inlineStr">
        <is>
          <t xml:space="preserve">Random 17</t>
        </is>
      </c>
      <c r="C103" s="8">
        <f>IF((1=1),(C68-'Assumptions (edit)'!B4),"")</f>
        <v>-13.443</v>
      </c>
      <c r="D103" s="8">
        <f>IF((0=1),(D68-'Assumptions (edit)'!B4),"")</f>
      </c>
      <c r="E103" s="8">
        <f>IF((0=1),(E68-'Assumptions (edit)'!B4),"")</f>
      </c>
      <c r="F103" s="8">
        <f>IF((0=1),(F68-'Assumptions (edit)'!B4),"")</f>
      </c>
      <c r="G103" s="8">
        <f>IF((0=1),(G68-'Assumptions (edit)'!B4),"")</f>
      </c>
      <c r="H103" s="8">
        <f>IF((0=1),(H68-'Assumptions (edit)'!B4),"")</f>
      </c>
      <c r="I103" s="8">
        <f>IF((0=1),(I68-'Assumptions (edit)'!B4),"")</f>
      </c>
      <c r="J103" s="8">
        <f>IF((0=1),(J68-'Assumptions (edit)'!B4),"")</f>
      </c>
      <c r="K103" s="8">
        <f>IF((0=1),(K68-'Assumptions (edit)'!B4),"")</f>
      </c>
      <c r="L103" s="8">
        <f>IF((0=1),(L68-'Assumptions (edit)'!B4),"")</f>
      </c>
      <c r="M103" s="8">
        <f>IF((0=1),(M68-'Assumptions (edit)'!B4),"")</f>
      </c>
      <c r="N103" s="8">
        <f>IF((0=1),(N68-'Assumptions (edit)'!B4),"")</f>
      </c>
      <c r="O103" s="8">
        <f>IF((0=1),(O68-'Assumptions (edit)'!B4),"")</f>
      </c>
      <c r="P103" s="8">
        <f>IF((0=1),(P68-'Assumptions (edit)'!B4),"")</f>
      </c>
      <c r="Q103" s="8">
        <f>IF((0=1),(Q68-'Assumptions (edit)'!B4),"")</f>
      </c>
      <c r="R103" s="8">
        <f>IF((0=1),(R68-'Assumptions (edit)'!B4),"")</f>
      </c>
      <c r="S103" s="8">
        <f>IF((0=1),(S68-'Assumptions (edit)'!B4),"")</f>
      </c>
      <c r="T103" s="8">
        <f>IF((0=1),(T68-'Assumptions (edit)'!B4),"")</f>
      </c>
      <c r="U103" s="8">
        <f>IF((0=1),(U68-'Assumptions (edit)'!B4),"")</f>
      </c>
      <c r="V103" s="8">
        <f>IF((0=1),(V68-'Assumptions (edit)'!B4),"")</f>
      </c>
      <c r="W103" s="8">
        <f>IF((0=1),(W68-'Assumptions (edit)'!B4),"")</f>
      </c>
      <c r="X103" s="8">
        <f>IF((0=1),(X68-'Assumptions (edit)'!B4),"")</f>
      </c>
      <c r="Y103" s="8">
        <f>IF((0=1),(Y68-'Assumptions (edit)'!B4),"")</f>
      </c>
      <c r="Z103" s="8">
        <f>IF((0=1),(Z68-'Assumptions (edit)'!B4),"")</f>
      </c>
      <c r="AA103" s="8">
        <f>IF((0=1),(AA68-'Assumptions (edit)'!B4),"")</f>
      </c>
      <c r="AB103" s="8">
        <f>IF((0=1),(AB68-'Assumptions (edit)'!B4),"")</f>
      </c>
      <c r="AC103" s="8">
        <f>IF((0=1),(AC68-'Assumptions (edit)'!B4),"")</f>
      </c>
      <c r="AD103" s="8">
        <f>IF((0=1),(AD68-'Assumptions (edit)'!B4),"")</f>
      </c>
      <c r="AE103" s="8">
        <f>IF((0=1),(AE68-'Assumptions (edit)'!B4),"")</f>
      </c>
      <c r="AF103" s="8">
        <f>IF((0=1),(AF68-'Assumptions (edit)'!B4),"")</f>
      </c>
      <c r="AG103" s="8">
        <f>IF((0=1),(AG68-'Assumptions (edit)'!B4),"")</f>
      </c>
      <c r="AH103" s="8">
        <f>IF((0=1),(AH68-'Assumptions (edit)'!B4),"")</f>
      </c>
      <c r="AI103" s="8">
        <f>IF((0=1),(AI68-'Assumptions (edit)'!B4),"")</f>
      </c>
      <c r="AJ103" s="8">
        <f>IF((0=1),(AJ68-'Assumptions (edit)'!B4),"")</f>
      </c>
      <c r="AK103" s="8">
        <f>IF((0=1),(AK68-'Assumptions (edit)'!B4),"")</f>
      </c>
      <c r="AL103" s="8">
        <f>IF((0=1),(AL68-'Assumptions (edit)'!B4),"")</f>
      </c>
      <c r="AM103" s="8">
        <f>IF((0=1),(AM68-'Assumptions (edit)'!B4),"")</f>
      </c>
      <c r="AN103" s="8">
        <f>IF((0=1),(AN68-'Assumptions (edit)'!B4),"")</f>
      </c>
      <c r="AO103" s="8">
        <f>IF((0=1),(AO68-'Assumptions (edit)'!B4),"")</f>
      </c>
      <c r="AP103" s="8">
        <f>IF((0=1),(AP68-'Assumptions (edit)'!B4),"")</f>
      </c>
      <c r="AQ103" s="8">
        <f>IF((0=1),(AQ68-'Assumptions (edit)'!B4),"")</f>
      </c>
      <c r="AR103" s="8">
        <f>IF((0=1),(AR68-'Assumptions (edit)'!B4),"")</f>
      </c>
      <c r="AS103" s="8">
        <f>IF((0=1),(AS68-'Assumptions (edit)'!B4),"")</f>
      </c>
      <c r="AT103" s="8">
        <f>IF((0=1),(AT68-'Assumptions (edit)'!B4),"")</f>
      </c>
      <c r="AU103" s="8">
        <f>IF((0=1),(AU68-'Assumptions (edit)'!B4),"")</f>
      </c>
      <c r="AV103" s="8">
        <f>IF((0=1),(AV68-'Assumptions (edit)'!B4),"")</f>
      </c>
      <c r="AW103" s="8">
        <f>IF((0=1),(AW68-'Assumptions (edit)'!B4),"")</f>
      </c>
      <c r="AX103" s="8">
        <f>IF((0=1),(AX68-'Assumptions (edit)'!B4),"")</f>
      </c>
      <c r="AY103" s="8">
        <f>IF((0=1),(AY68-'Assumptions (edit)'!B4),"")</f>
      </c>
      <c r="AZ103" s="8">
        <f>IF((0=1),(AZ68-'Assumptions (edit)'!B4),"")</f>
      </c>
      <c r="BA103" s="8">
        <f>IF((0=1),(BA68-'Assumptions (edit)'!B4),"")</f>
      </c>
      <c r="BB103" s="8">
        <f>IF((0=1),(BB68-'Assumptions (edit)'!B4),"")</f>
      </c>
      <c r="BC103" s="8">
        <f>IF((0=1),(BC68-'Assumptions (edit)'!B4),"")</f>
      </c>
      <c r="BD103" s="8">
        <f>IF((0=1),(BD68-'Assumptions (edit)'!B4),"")</f>
      </c>
      <c r="BE103" s="8">
        <f>IF((0=1),(BE68-'Assumptions (edit)'!B4),"")</f>
      </c>
      <c r="BF103" s="8">
        <f>IF((0=1),(BF68-'Assumptions (edit)'!B4),"")</f>
      </c>
      <c r="BG103" s="8">
        <f>IF((0=1),(BG68-'Assumptions (edit)'!B4),"")</f>
      </c>
      <c r="BH103" s="8">
        <f>IF((0=1),(BH68-'Assumptions (edit)'!B4),"")</f>
      </c>
      <c r="BI103" s="8">
        <f>IF((0=1),(BI68-'Assumptions (edit)'!B4),"")</f>
      </c>
      <c r="BJ103" s="8">
        <f>IF((0=1),(BJ68-'Assumptions (edit)'!B4),"")</f>
      </c>
      <c r="BK103" s="8">
        <f>IF((0=1),(BK68-'Assumptions (edit)'!B4),"")</f>
      </c>
      <c r="BL103" s="8">
        <f>IF((0=1),(BL68-'Assumptions (edit)'!B4),"")</f>
      </c>
      <c r="BM103" s="8">
        <f>IF((0=1),(BM68-'Assumptions (edit)'!B4),"")</f>
      </c>
      <c r="BN103" s="8">
        <f>IF((0=1),(BN68-'Assumptions (edit)'!B4),"")</f>
      </c>
      <c r="BO103" s="8">
        <f>IF((0=1),(BO68-'Assumptions (edit)'!B4),"")</f>
      </c>
      <c r="BP103" s="8">
        <f>IF((0=1),(BP68-'Assumptions (edit)'!B4),"")</f>
      </c>
      <c r="BQ103" s="8">
        <f>IF((0=1),(BQ68-'Assumptions (edit)'!B4),"")</f>
      </c>
      <c r="BR103" s="8">
        <f>IF((0=1),(BR68-'Assumptions (edit)'!B4),"")</f>
      </c>
      <c r="BS103" s="8">
        <f>IF((0=1),(BS68-'Assumptions (edit)'!B4),"")</f>
      </c>
      <c r="BT103" s="8">
        <f>IF((0=1),(BT68-'Assumptions (edit)'!B4),"")</f>
      </c>
      <c r="BU103" s="8">
        <f>IF((0=1),(BU68-'Assumptions (edit)'!B4),"")</f>
      </c>
      <c r="BV103" s="8">
        <f>IF((0=1),(BV68-'Assumptions (edit)'!B4),"")</f>
      </c>
      <c r="BW103" s="8">
        <f>IF((0=1),(BW68-'Assumptions (edit)'!B4),"")</f>
      </c>
      <c r="BX103" s="8">
        <f>IF((0=1),(BX68-'Assumptions (edit)'!B4),"")</f>
      </c>
      <c r="BY103" s="8">
        <f>IF((0=1),(BY68-'Assumptions (edit)'!B4),"")</f>
      </c>
      <c r="BZ103" s="8">
        <f>IF((0=1),(BZ68-'Assumptions (edit)'!B4),"")</f>
      </c>
      <c r="CA103" s="8">
        <f>IF((0=1),(CA68-'Assumptions (edit)'!B4),"")</f>
      </c>
      <c r="CB103" s="8">
        <f>IF((0=1),(CB68-'Assumptions (edit)'!B4),"")</f>
      </c>
      <c r="CC103" s="8">
        <f>IF((0=1),(CC68-'Assumptions (edit)'!B4),"")</f>
      </c>
      <c r="CD103" s="8">
        <f>IF((0=1),(CD68-'Assumptions (edit)'!B4),"")</f>
      </c>
      <c r="CE103" s="8">
        <f>IF((0=1),(CE68-'Assumptions (edit)'!B4),"")</f>
      </c>
      <c r="CF103" s="8">
        <f>IF((0=1),(CF68-'Assumptions (edit)'!B4),"")</f>
      </c>
      <c r="CG103" s="8">
        <f>IF((0=1),(CG68-'Assumptions (edit)'!B4),"")</f>
      </c>
      <c r="CH103" s="8">
        <f>IF((0=1),(CH68-'Assumptions (edit)'!B4),"")</f>
      </c>
      <c r="CI103" s="8">
        <f>IF((0=1),(CI68-'Assumptions (edit)'!B4),"")</f>
      </c>
      <c r="CJ103" s="8">
        <f>IF((0=1),(CJ68-'Assumptions (edit)'!B4),"")</f>
      </c>
      <c r="CK103" s="8">
        <f>IF((0=1),(CK68-'Assumptions (edit)'!B4),"")</f>
      </c>
      <c r="CL103" s="8">
        <f>IF((0=1),(CL68-'Assumptions (edit)'!B4),"")</f>
      </c>
      <c r="CM103" s="8">
        <f>IF((0=1),(CM68-'Assumptions (edit)'!B4),"")</f>
      </c>
      <c r="CN103" s="8">
        <f>IF((0=1),(CN68-'Assumptions (edit)'!B4),"")</f>
      </c>
      <c r="CO103" s="8">
        <f>IF((0=1),(CO68-'Assumptions (edit)'!B4),"")</f>
      </c>
      <c r="CP103" s="8">
        <f>IF((0=1),(CP68-'Assumptions (edit)'!B4),"")</f>
      </c>
      <c r="CQ103" s="8">
        <f>IF((0=1),(CQ68-'Assumptions (edit)'!B4),"")</f>
      </c>
      <c r="CR103" s="8">
        <f>IF((0=1),(CR68-'Assumptions (edit)'!B4),"")</f>
      </c>
      <c r="CS103" s="8">
        <f>IF((0=1),(CS68-'Assumptions (edit)'!B4),"")</f>
      </c>
      <c r="CT103" s="8">
        <f>IF((0=1),(CT68-'Assumptions (edit)'!B4),"")</f>
      </c>
      <c r="CU103" s="8">
        <f>IF((0=1),(CU68-'Assumptions (edit)'!B4),"")</f>
      </c>
      <c r="CV103" s="8">
        <f>IF((0=1),(CV68-'Assumptions (edit)'!B4),"")</f>
      </c>
      <c r="CW103" s="8">
        <f>IF((0=1),(CW68-'Assumptions (edit)'!B4),"")</f>
      </c>
      <c r="CX103" s="8">
        <f>IF((0=1),(CX68-'Assumptions (edit)'!B4),"")</f>
      </c>
    </row>
    <row r="104">
      <c r="A104" s="0" t="inlineStr">
        <is>
          <t xml:space="preserve">Net of costs, bps</t>
        </is>
      </c>
      <c r="B104" s="0" t="inlineStr">
        <is>
          <t xml:space="preserve">Random 18</t>
        </is>
      </c>
      <c r="C104" s="8">
        <f>IF((1=1),(C69-'Assumptions (edit)'!B4),"")</f>
        <v>-1.8100000000000005</v>
      </c>
      <c r="D104" s="8">
        <f>IF((0=1),(D69-'Assumptions (edit)'!B4),"")</f>
      </c>
      <c r="E104" s="8">
        <f>IF((0=1),(E69-'Assumptions (edit)'!B4),"")</f>
      </c>
      <c r="F104" s="8">
        <f>IF((0=1),(F69-'Assumptions (edit)'!B4),"")</f>
      </c>
      <c r="G104" s="8">
        <f>IF((0=1),(G69-'Assumptions (edit)'!B4),"")</f>
      </c>
      <c r="H104" s="8">
        <f>IF((0=1),(H69-'Assumptions (edit)'!B4),"")</f>
      </c>
      <c r="I104" s="8">
        <f>IF((0=1),(I69-'Assumptions (edit)'!B4),"")</f>
      </c>
      <c r="J104" s="8">
        <f>IF((0=1),(J69-'Assumptions (edit)'!B4),"")</f>
      </c>
      <c r="K104" s="8">
        <f>IF((0=1),(K69-'Assumptions (edit)'!B4),"")</f>
      </c>
      <c r="L104" s="8">
        <f>IF((0=1),(L69-'Assumptions (edit)'!B4),"")</f>
      </c>
      <c r="M104" s="8">
        <f>IF((0=1),(M69-'Assumptions (edit)'!B4),"")</f>
      </c>
      <c r="N104" s="8">
        <f>IF((0=1),(N69-'Assumptions (edit)'!B4),"")</f>
      </c>
      <c r="O104" s="8">
        <f>IF((0=1),(O69-'Assumptions (edit)'!B4),"")</f>
      </c>
      <c r="P104" s="8">
        <f>IF((0=1),(P69-'Assumptions (edit)'!B4),"")</f>
      </c>
      <c r="Q104" s="8">
        <f>IF((0=1),(Q69-'Assumptions (edit)'!B4),"")</f>
      </c>
      <c r="R104" s="8">
        <f>IF((0=1),(R69-'Assumptions (edit)'!B4),"")</f>
      </c>
      <c r="S104" s="8">
        <f>IF((0=1),(S69-'Assumptions (edit)'!B4),"")</f>
      </c>
      <c r="T104" s="8">
        <f>IF((0=1),(T69-'Assumptions (edit)'!B4),"")</f>
      </c>
      <c r="U104" s="8">
        <f>IF((0=1),(U69-'Assumptions (edit)'!B4),"")</f>
      </c>
      <c r="V104" s="8">
        <f>IF((0=1),(V69-'Assumptions (edit)'!B4),"")</f>
      </c>
      <c r="W104" s="8">
        <f>IF((0=1),(W69-'Assumptions (edit)'!B4),"")</f>
      </c>
      <c r="X104" s="8">
        <f>IF((0=1),(X69-'Assumptions (edit)'!B4),"")</f>
      </c>
      <c r="Y104" s="8">
        <f>IF((0=1),(Y69-'Assumptions (edit)'!B4),"")</f>
      </c>
      <c r="Z104" s="8">
        <f>IF((0=1),(Z69-'Assumptions (edit)'!B4),"")</f>
      </c>
      <c r="AA104" s="8">
        <f>IF((0=1),(AA69-'Assumptions (edit)'!B4),"")</f>
      </c>
      <c r="AB104" s="8">
        <f>IF((0=1),(AB69-'Assumptions (edit)'!B4),"")</f>
      </c>
      <c r="AC104" s="8">
        <f>IF((0=1),(AC69-'Assumptions (edit)'!B4),"")</f>
      </c>
      <c r="AD104" s="8">
        <f>IF((0=1),(AD69-'Assumptions (edit)'!B4),"")</f>
      </c>
      <c r="AE104" s="8">
        <f>IF((0=1),(AE69-'Assumptions (edit)'!B4),"")</f>
      </c>
      <c r="AF104" s="8">
        <f>IF((0=1),(AF69-'Assumptions (edit)'!B4),"")</f>
      </c>
      <c r="AG104" s="8">
        <f>IF((0=1),(AG69-'Assumptions (edit)'!B4),"")</f>
      </c>
      <c r="AH104" s="8">
        <f>IF((0=1),(AH69-'Assumptions (edit)'!B4),"")</f>
      </c>
      <c r="AI104" s="8">
        <f>IF((0=1),(AI69-'Assumptions (edit)'!B4),"")</f>
      </c>
      <c r="AJ104" s="8">
        <f>IF((0=1),(AJ69-'Assumptions (edit)'!B4),"")</f>
      </c>
      <c r="AK104" s="8">
        <f>IF((0=1),(AK69-'Assumptions (edit)'!B4),"")</f>
      </c>
      <c r="AL104" s="8">
        <f>IF((0=1),(AL69-'Assumptions (edit)'!B4),"")</f>
      </c>
      <c r="AM104" s="8">
        <f>IF((0=1),(AM69-'Assumptions (edit)'!B4),"")</f>
      </c>
      <c r="AN104" s="8">
        <f>IF((0=1),(AN69-'Assumptions (edit)'!B4),"")</f>
      </c>
      <c r="AO104" s="8">
        <f>IF((0=1),(AO69-'Assumptions (edit)'!B4),"")</f>
      </c>
      <c r="AP104" s="8">
        <f>IF((0=1),(AP69-'Assumptions (edit)'!B4),"")</f>
      </c>
      <c r="AQ104" s="8">
        <f>IF((0=1),(AQ69-'Assumptions (edit)'!B4),"")</f>
      </c>
      <c r="AR104" s="8">
        <f>IF((0=1),(AR69-'Assumptions (edit)'!B4),"")</f>
      </c>
      <c r="AS104" s="8">
        <f>IF((0=1),(AS69-'Assumptions (edit)'!B4),"")</f>
      </c>
      <c r="AT104" s="8">
        <f>IF((0=1),(AT69-'Assumptions (edit)'!B4),"")</f>
      </c>
      <c r="AU104" s="8">
        <f>IF((0=1),(AU69-'Assumptions (edit)'!B4),"")</f>
      </c>
      <c r="AV104" s="8">
        <f>IF((0=1),(AV69-'Assumptions (edit)'!B4),"")</f>
      </c>
      <c r="AW104" s="8">
        <f>IF((0=1),(AW69-'Assumptions (edit)'!B4),"")</f>
      </c>
      <c r="AX104" s="8">
        <f>IF((0=1),(AX69-'Assumptions (edit)'!B4),"")</f>
      </c>
      <c r="AY104" s="8">
        <f>IF((0=1),(AY69-'Assumptions (edit)'!B4),"")</f>
      </c>
      <c r="AZ104" s="8">
        <f>IF((0=1),(AZ69-'Assumptions (edit)'!B4),"")</f>
      </c>
      <c r="BA104" s="8">
        <f>IF((0=1),(BA69-'Assumptions (edit)'!B4),"")</f>
      </c>
      <c r="BB104" s="8">
        <f>IF((0=1),(BB69-'Assumptions (edit)'!B4),"")</f>
      </c>
      <c r="BC104" s="8">
        <f>IF((0=1),(BC69-'Assumptions (edit)'!B4),"")</f>
      </c>
      <c r="BD104" s="8">
        <f>IF((0=1),(BD69-'Assumptions (edit)'!B4),"")</f>
      </c>
      <c r="BE104" s="8">
        <f>IF((0=1),(BE69-'Assumptions (edit)'!B4),"")</f>
      </c>
      <c r="BF104" s="8">
        <f>IF((0=1),(BF69-'Assumptions (edit)'!B4),"")</f>
      </c>
      <c r="BG104" s="8">
        <f>IF((0=1),(BG69-'Assumptions (edit)'!B4),"")</f>
      </c>
      <c r="BH104" s="8">
        <f>IF((0=1),(BH69-'Assumptions (edit)'!B4),"")</f>
      </c>
      <c r="BI104" s="8">
        <f>IF((0=1),(BI69-'Assumptions (edit)'!B4),"")</f>
      </c>
      <c r="BJ104" s="8">
        <f>IF((0=1),(BJ69-'Assumptions (edit)'!B4),"")</f>
      </c>
      <c r="BK104" s="8">
        <f>IF((0=1),(BK69-'Assumptions (edit)'!B4),"")</f>
      </c>
      <c r="BL104" s="8">
        <f>IF((0=1),(BL69-'Assumptions (edit)'!B4),"")</f>
      </c>
      <c r="BM104" s="8">
        <f>IF((0=1),(BM69-'Assumptions (edit)'!B4),"")</f>
      </c>
      <c r="BN104" s="8">
        <f>IF((0=1),(BN69-'Assumptions (edit)'!B4),"")</f>
      </c>
      <c r="BO104" s="8">
        <f>IF((0=1),(BO69-'Assumptions (edit)'!B4),"")</f>
      </c>
      <c r="BP104" s="8">
        <f>IF((0=1),(BP69-'Assumptions (edit)'!B4),"")</f>
      </c>
      <c r="BQ104" s="8">
        <f>IF((0=1),(BQ69-'Assumptions (edit)'!B4),"")</f>
      </c>
      <c r="BR104" s="8">
        <f>IF((0=1),(BR69-'Assumptions (edit)'!B4),"")</f>
      </c>
      <c r="BS104" s="8">
        <f>IF((0=1),(BS69-'Assumptions (edit)'!B4),"")</f>
      </c>
      <c r="BT104" s="8">
        <f>IF((0=1),(BT69-'Assumptions (edit)'!B4),"")</f>
      </c>
      <c r="BU104" s="8">
        <f>IF((0=1),(BU69-'Assumptions (edit)'!B4),"")</f>
      </c>
      <c r="BV104" s="8">
        <f>IF((0=1),(BV69-'Assumptions (edit)'!B4),"")</f>
      </c>
      <c r="BW104" s="8">
        <f>IF((0=1),(BW69-'Assumptions (edit)'!B4),"")</f>
      </c>
      <c r="BX104" s="8">
        <f>IF((0=1),(BX69-'Assumptions (edit)'!B4),"")</f>
      </c>
      <c r="BY104" s="8">
        <f>IF((0=1),(BY69-'Assumptions (edit)'!B4),"")</f>
      </c>
      <c r="BZ104" s="8">
        <f>IF((0=1),(BZ69-'Assumptions (edit)'!B4),"")</f>
      </c>
      <c r="CA104" s="8">
        <f>IF((0=1),(CA69-'Assumptions (edit)'!B4),"")</f>
      </c>
      <c r="CB104" s="8">
        <f>IF((0=1),(CB69-'Assumptions (edit)'!B4),"")</f>
      </c>
      <c r="CC104" s="8">
        <f>IF((0=1),(CC69-'Assumptions (edit)'!B4),"")</f>
      </c>
      <c r="CD104" s="8">
        <f>IF((0=1),(CD69-'Assumptions (edit)'!B4),"")</f>
      </c>
      <c r="CE104" s="8">
        <f>IF((0=1),(CE69-'Assumptions (edit)'!B4),"")</f>
      </c>
      <c r="CF104" s="8">
        <f>IF((0=1),(CF69-'Assumptions (edit)'!B4),"")</f>
      </c>
      <c r="CG104" s="8">
        <f>IF((0=1),(CG69-'Assumptions (edit)'!B4),"")</f>
      </c>
      <c r="CH104" s="8">
        <f>IF((0=1),(CH69-'Assumptions (edit)'!B4),"")</f>
      </c>
      <c r="CI104" s="8">
        <f>IF((0=1),(CI69-'Assumptions (edit)'!B4),"")</f>
      </c>
      <c r="CJ104" s="8">
        <f>IF((0=1),(CJ69-'Assumptions (edit)'!B4),"")</f>
      </c>
      <c r="CK104" s="8">
        <f>IF((0=1),(CK69-'Assumptions (edit)'!B4),"")</f>
      </c>
      <c r="CL104" s="8">
        <f>IF((0=1),(CL69-'Assumptions (edit)'!B4),"")</f>
      </c>
      <c r="CM104" s="8">
        <f>IF((0=1),(CM69-'Assumptions (edit)'!B4),"")</f>
      </c>
      <c r="CN104" s="8">
        <f>IF((0=1),(CN69-'Assumptions (edit)'!B4),"")</f>
      </c>
      <c r="CO104" s="8">
        <f>IF((0=1),(CO69-'Assumptions (edit)'!B4),"")</f>
      </c>
      <c r="CP104" s="8">
        <f>IF((0=1),(CP69-'Assumptions (edit)'!B4),"")</f>
      </c>
      <c r="CQ104" s="8">
        <f>IF((0=1),(CQ69-'Assumptions (edit)'!B4),"")</f>
      </c>
      <c r="CR104" s="8">
        <f>IF((0=1),(CR69-'Assumptions (edit)'!B4),"")</f>
      </c>
      <c r="CS104" s="8">
        <f>IF((0=1),(CS69-'Assumptions (edit)'!B4),"")</f>
      </c>
      <c r="CT104" s="8">
        <f>IF((0=1),(CT69-'Assumptions (edit)'!B4),"")</f>
      </c>
      <c r="CU104" s="8">
        <f>IF((0=1),(CU69-'Assumptions (edit)'!B4),"")</f>
      </c>
      <c r="CV104" s="8">
        <f>IF((0=1),(CV69-'Assumptions (edit)'!B4),"")</f>
      </c>
      <c r="CW104" s="8">
        <f>IF((0=1),(CW69-'Assumptions (edit)'!B4),"")</f>
      </c>
      <c r="CX104" s="8">
        <f>IF((0=1),(CX69-'Assumptions (edit)'!B4),"")</f>
      </c>
    </row>
    <row r="105">
      <c r="A105" s="0" t="inlineStr">
        <is>
          <t xml:space="preserve">Net of costs, bps</t>
        </is>
      </c>
      <c r="B105" s="0" t="inlineStr">
        <is>
          <t xml:space="preserve">Random 19</t>
        </is>
      </c>
      <c r="C105" s="8">
        <f>IF((1=1),(C70-'Assumptions (edit)'!B4),"")</f>
        <v>-8.638</v>
      </c>
      <c r="D105" s="8">
        <f>IF((0=1),(D70-'Assumptions (edit)'!B4),"")</f>
      </c>
      <c r="E105" s="8">
        <f>IF((0=1),(E70-'Assumptions (edit)'!B4),"")</f>
      </c>
      <c r="F105" s="8">
        <f>IF((0=1),(F70-'Assumptions (edit)'!B4),"")</f>
      </c>
      <c r="G105" s="8">
        <f>IF((0=1),(G70-'Assumptions (edit)'!B4),"")</f>
      </c>
      <c r="H105" s="8">
        <f>IF((0=1),(H70-'Assumptions (edit)'!B4),"")</f>
      </c>
      <c r="I105" s="8">
        <f>IF((0=1),(I70-'Assumptions (edit)'!B4),"")</f>
      </c>
      <c r="J105" s="8">
        <f>IF((0=1),(J70-'Assumptions (edit)'!B4),"")</f>
      </c>
      <c r="K105" s="8">
        <f>IF((0=1),(K70-'Assumptions (edit)'!B4),"")</f>
      </c>
      <c r="L105" s="8">
        <f>IF((0=1),(L70-'Assumptions (edit)'!B4),"")</f>
      </c>
      <c r="M105" s="8">
        <f>IF((0=1),(M70-'Assumptions (edit)'!B4),"")</f>
      </c>
      <c r="N105" s="8">
        <f>IF((0=1),(N70-'Assumptions (edit)'!B4),"")</f>
      </c>
      <c r="O105" s="8">
        <f>IF((0=1),(O70-'Assumptions (edit)'!B4),"")</f>
      </c>
      <c r="P105" s="8">
        <f>IF((0=1),(P70-'Assumptions (edit)'!B4),"")</f>
      </c>
      <c r="Q105" s="8">
        <f>IF((0=1),(Q70-'Assumptions (edit)'!B4),"")</f>
      </c>
      <c r="R105" s="8">
        <f>IF((0=1),(R70-'Assumptions (edit)'!B4),"")</f>
      </c>
      <c r="S105" s="8">
        <f>IF((0=1),(S70-'Assumptions (edit)'!B4),"")</f>
      </c>
      <c r="T105" s="8">
        <f>IF((0=1),(T70-'Assumptions (edit)'!B4),"")</f>
      </c>
      <c r="U105" s="8">
        <f>IF((0=1),(U70-'Assumptions (edit)'!B4),"")</f>
      </c>
      <c r="V105" s="8">
        <f>IF((0=1),(V70-'Assumptions (edit)'!B4),"")</f>
      </c>
      <c r="W105" s="8">
        <f>IF((0=1),(W70-'Assumptions (edit)'!B4),"")</f>
      </c>
      <c r="X105" s="8">
        <f>IF((0=1),(X70-'Assumptions (edit)'!B4),"")</f>
      </c>
      <c r="Y105" s="8">
        <f>IF((0=1),(Y70-'Assumptions (edit)'!B4),"")</f>
      </c>
      <c r="Z105" s="8">
        <f>IF((0=1),(Z70-'Assumptions (edit)'!B4),"")</f>
      </c>
      <c r="AA105" s="8">
        <f>IF((0=1),(AA70-'Assumptions (edit)'!B4),"")</f>
      </c>
      <c r="AB105" s="8">
        <f>IF((0=1),(AB70-'Assumptions (edit)'!B4),"")</f>
      </c>
      <c r="AC105" s="8">
        <f>IF((0=1),(AC70-'Assumptions (edit)'!B4),"")</f>
      </c>
      <c r="AD105" s="8">
        <f>IF((0=1),(AD70-'Assumptions (edit)'!B4),"")</f>
      </c>
      <c r="AE105" s="8">
        <f>IF((0=1),(AE70-'Assumptions (edit)'!B4),"")</f>
      </c>
      <c r="AF105" s="8">
        <f>IF((0=1),(AF70-'Assumptions (edit)'!B4),"")</f>
      </c>
      <c r="AG105" s="8">
        <f>IF((0=1),(AG70-'Assumptions (edit)'!B4),"")</f>
      </c>
      <c r="AH105" s="8">
        <f>IF((0=1),(AH70-'Assumptions (edit)'!B4),"")</f>
      </c>
      <c r="AI105" s="8">
        <f>IF((0=1),(AI70-'Assumptions (edit)'!B4),"")</f>
      </c>
      <c r="AJ105" s="8">
        <f>IF((0=1),(AJ70-'Assumptions (edit)'!B4),"")</f>
      </c>
      <c r="AK105" s="8">
        <f>IF((0=1),(AK70-'Assumptions (edit)'!B4),"")</f>
      </c>
      <c r="AL105" s="8">
        <f>IF((0=1),(AL70-'Assumptions (edit)'!B4),"")</f>
      </c>
      <c r="AM105" s="8">
        <f>IF((0=1),(AM70-'Assumptions (edit)'!B4),"")</f>
      </c>
      <c r="AN105" s="8">
        <f>IF((0=1),(AN70-'Assumptions (edit)'!B4),"")</f>
      </c>
      <c r="AO105" s="8">
        <f>IF((0=1),(AO70-'Assumptions (edit)'!B4),"")</f>
      </c>
      <c r="AP105" s="8">
        <f>IF((0=1),(AP70-'Assumptions (edit)'!B4),"")</f>
      </c>
      <c r="AQ105" s="8">
        <f>IF((0=1),(AQ70-'Assumptions (edit)'!B4),"")</f>
      </c>
      <c r="AR105" s="8">
        <f>IF((0=1),(AR70-'Assumptions (edit)'!B4),"")</f>
      </c>
      <c r="AS105" s="8">
        <f>IF((0=1),(AS70-'Assumptions (edit)'!B4),"")</f>
      </c>
      <c r="AT105" s="8">
        <f>IF((0=1),(AT70-'Assumptions (edit)'!B4),"")</f>
      </c>
      <c r="AU105" s="8">
        <f>IF((0=1),(AU70-'Assumptions (edit)'!B4),"")</f>
      </c>
      <c r="AV105" s="8">
        <f>IF((0=1),(AV70-'Assumptions (edit)'!B4),"")</f>
      </c>
      <c r="AW105" s="8">
        <f>IF((0=1),(AW70-'Assumptions (edit)'!B4),"")</f>
      </c>
      <c r="AX105" s="8">
        <f>IF((0=1),(AX70-'Assumptions (edit)'!B4),"")</f>
      </c>
      <c r="AY105" s="8">
        <f>IF((0=1),(AY70-'Assumptions (edit)'!B4),"")</f>
      </c>
      <c r="AZ105" s="8">
        <f>IF((0=1),(AZ70-'Assumptions (edit)'!B4),"")</f>
      </c>
      <c r="BA105" s="8">
        <f>IF((0=1),(BA70-'Assumptions (edit)'!B4),"")</f>
      </c>
      <c r="BB105" s="8">
        <f>IF((0=1),(BB70-'Assumptions (edit)'!B4),"")</f>
      </c>
      <c r="BC105" s="8">
        <f>IF((0=1),(BC70-'Assumptions (edit)'!B4),"")</f>
      </c>
      <c r="BD105" s="8">
        <f>IF((0=1),(BD70-'Assumptions (edit)'!B4),"")</f>
      </c>
      <c r="BE105" s="8">
        <f>IF((0=1),(BE70-'Assumptions (edit)'!B4),"")</f>
      </c>
      <c r="BF105" s="8">
        <f>IF((0=1),(BF70-'Assumptions (edit)'!B4),"")</f>
      </c>
      <c r="BG105" s="8">
        <f>IF((0=1),(BG70-'Assumptions (edit)'!B4),"")</f>
      </c>
      <c r="BH105" s="8">
        <f>IF((0=1),(BH70-'Assumptions (edit)'!B4),"")</f>
      </c>
      <c r="BI105" s="8">
        <f>IF((0=1),(BI70-'Assumptions (edit)'!B4),"")</f>
      </c>
      <c r="BJ105" s="8">
        <f>IF((0=1),(BJ70-'Assumptions (edit)'!B4),"")</f>
      </c>
      <c r="BK105" s="8">
        <f>IF((0=1),(BK70-'Assumptions (edit)'!B4),"")</f>
      </c>
      <c r="BL105" s="8">
        <f>IF((0=1),(BL70-'Assumptions (edit)'!B4),"")</f>
      </c>
      <c r="BM105" s="8">
        <f>IF((0=1),(BM70-'Assumptions (edit)'!B4),"")</f>
      </c>
      <c r="BN105" s="8">
        <f>IF((0=1),(BN70-'Assumptions (edit)'!B4),"")</f>
      </c>
      <c r="BO105" s="8">
        <f>IF((0=1),(BO70-'Assumptions (edit)'!B4),"")</f>
      </c>
      <c r="BP105" s="8">
        <f>IF((0=1),(BP70-'Assumptions (edit)'!B4),"")</f>
      </c>
      <c r="BQ105" s="8">
        <f>IF((0=1),(BQ70-'Assumptions (edit)'!B4),"")</f>
      </c>
      <c r="BR105" s="8">
        <f>IF((0=1),(BR70-'Assumptions (edit)'!B4),"")</f>
      </c>
      <c r="BS105" s="8">
        <f>IF((0=1),(BS70-'Assumptions (edit)'!B4),"")</f>
      </c>
      <c r="BT105" s="8">
        <f>IF((0=1),(BT70-'Assumptions (edit)'!B4),"")</f>
      </c>
      <c r="BU105" s="8">
        <f>IF((0=1),(BU70-'Assumptions (edit)'!B4),"")</f>
      </c>
      <c r="BV105" s="8">
        <f>IF((0=1),(BV70-'Assumptions (edit)'!B4),"")</f>
      </c>
      <c r="BW105" s="8">
        <f>IF((0=1),(BW70-'Assumptions (edit)'!B4),"")</f>
      </c>
      <c r="BX105" s="8">
        <f>IF((0=1),(BX70-'Assumptions (edit)'!B4),"")</f>
      </c>
      <c r="BY105" s="8">
        <f>IF((0=1),(BY70-'Assumptions (edit)'!B4),"")</f>
      </c>
      <c r="BZ105" s="8">
        <f>IF((0=1),(BZ70-'Assumptions (edit)'!B4),"")</f>
      </c>
      <c r="CA105" s="8">
        <f>IF((0=1),(CA70-'Assumptions (edit)'!B4),"")</f>
      </c>
      <c r="CB105" s="8">
        <f>IF((0=1),(CB70-'Assumptions (edit)'!B4),"")</f>
      </c>
      <c r="CC105" s="8">
        <f>IF((0=1),(CC70-'Assumptions (edit)'!B4),"")</f>
      </c>
      <c r="CD105" s="8">
        <f>IF((0=1),(CD70-'Assumptions (edit)'!B4),"")</f>
      </c>
      <c r="CE105" s="8">
        <f>IF((0=1),(CE70-'Assumptions (edit)'!B4),"")</f>
      </c>
      <c r="CF105" s="8">
        <f>IF((0=1),(CF70-'Assumptions (edit)'!B4),"")</f>
      </c>
      <c r="CG105" s="8">
        <f>IF((0=1),(CG70-'Assumptions (edit)'!B4),"")</f>
      </c>
      <c r="CH105" s="8">
        <f>IF((0=1),(CH70-'Assumptions (edit)'!B4),"")</f>
      </c>
      <c r="CI105" s="8">
        <f>IF((0=1),(CI70-'Assumptions (edit)'!B4),"")</f>
      </c>
      <c r="CJ105" s="8">
        <f>IF((0=1),(CJ70-'Assumptions (edit)'!B4),"")</f>
      </c>
      <c r="CK105" s="8">
        <f>IF((0=1),(CK70-'Assumptions (edit)'!B4),"")</f>
      </c>
      <c r="CL105" s="8">
        <f>IF((0=1),(CL70-'Assumptions (edit)'!B4),"")</f>
      </c>
      <c r="CM105" s="8">
        <f>IF((0=1),(CM70-'Assumptions (edit)'!B4),"")</f>
      </c>
      <c r="CN105" s="8">
        <f>IF((0=1),(CN70-'Assumptions (edit)'!B4),"")</f>
      </c>
      <c r="CO105" s="8">
        <f>IF((0=1),(CO70-'Assumptions (edit)'!B4),"")</f>
      </c>
      <c r="CP105" s="8">
        <f>IF((0=1),(CP70-'Assumptions (edit)'!B4),"")</f>
      </c>
      <c r="CQ105" s="8">
        <f>IF((0=1),(CQ70-'Assumptions (edit)'!B4),"")</f>
      </c>
      <c r="CR105" s="8">
        <f>IF((0=1),(CR70-'Assumptions (edit)'!B4),"")</f>
      </c>
      <c r="CS105" s="8">
        <f>IF((0=1),(CS70-'Assumptions (edit)'!B4),"")</f>
      </c>
      <c r="CT105" s="8">
        <f>IF((0=1),(CT70-'Assumptions (edit)'!B4),"")</f>
      </c>
      <c r="CU105" s="8">
        <f>IF((0=1),(CU70-'Assumptions (edit)'!B4),"")</f>
      </c>
      <c r="CV105" s="8">
        <f>IF((0=1),(CV70-'Assumptions (edit)'!B4),"")</f>
      </c>
      <c r="CW105" s="8">
        <f>IF((0=1),(CW70-'Assumptions (edit)'!B4),"")</f>
      </c>
      <c r="CX105" s="8">
        <f>IF((0=1),(CX70-'Assumptions (edit)'!B4),"")</f>
      </c>
    </row>
    <row r="106">
      <c r="A106" s="0" t="inlineStr">
        <is>
          <t xml:space="preserve">Net of costs, bps</t>
        </is>
      </c>
      <c r="B106" s="0" t="inlineStr">
        <is>
          <t xml:space="preserve">Random 20</t>
        </is>
      </c>
      <c r="C106" s="8">
        <f>IF((1=1),(C71-'Assumptions (edit)'!B4),"")</f>
        <v>-4.861</v>
      </c>
      <c r="D106" s="8">
        <f>IF((0=1),(D71-'Assumptions (edit)'!B4),"")</f>
      </c>
      <c r="E106" s="8">
        <f>IF((0=1),(E71-'Assumptions (edit)'!B4),"")</f>
      </c>
      <c r="F106" s="8">
        <f>IF((0=1),(F71-'Assumptions (edit)'!B4),"")</f>
      </c>
      <c r="G106" s="8">
        <f>IF((0=1),(G71-'Assumptions (edit)'!B4),"")</f>
      </c>
      <c r="H106" s="8">
        <f>IF((0=1),(H71-'Assumptions (edit)'!B4),"")</f>
      </c>
      <c r="I106" s="8">
        <f>IF((0=1),(I71-'Assumptions (edit)'!B4),"")</f>
      </c>
      <c r="J106" s="8">
        <f>IF((0=1),(J71-'Assumptions (edit)'!B4),"")</f>
      </c>
      <c r="K106" s="8">
        <f>IF((0=1),(K71-'Assumptions (edit)'!B4),"")</f>
      </c>
      <c r="L106" s="8">
        <f>IF((0=1),(L71-'Assumptions (edit)'!B4),"")</f>
      </c>
      <c r="M106" s="8">
        <f>IF((0=1),(M71-'Assumptions (edit)'!B4),"")</f>
      </c>
      <c r="N106" s="8">
        <f>IF((0=1),(N71-'Assumptions (edit)'!B4),"")</f>
      </c>
      <c r="O106" s="8">
        <f>IF((0=1),(O71-'Assumptions (edit)'!B4),"")</f>
      </c>
      <c r="P106" s="8">
        <f>IF((0=1),(P71-'Assumptions (edit)'!B4),"")</f>
      </c>
      <c r="Q106" s="8">
        <f>IF((0=1),(Q71-'Assumptions (edit)'!B4),"")</f>
      </c>
      <c r="R106" s="8">
        <f>IF((0=1),(R71-'Assumptions (edit)'!B4),"")</f>
      </c>
      <c r="S106" s="8">
        <f>IF((0=1),(S71-'Assumptions (edit)'!B4),"")</f>
      </c>
      <c r="T106" s="8">
        <f>IF((0=1),(T71-'Assumptions (edit)'!B4),"")</f>
      </c>
      <c r="U106" s="8">
        <f>IF((0=1),(U71-'Assumptions (edit)'!B4),"")</f>
      </c>
      <c r="V106" s="8">
        <f>IF((0=1),(V71-'Assumptions (edit)'!B4),"")</f>
      </c>
      <c r="W106" s="8">
        <f>IF((0=1),(W71-'Assumptions (edit)'!B4),"")</f>
      </c>
      <c r="X106" s="8">
        <f>IF((0=1),(X71-'Assumptions (edit)'!B4),"")</f>
      </c>
      <c r="Y106" s="8">
        <f>IF((0=1),(Y71-'Assumptions (edit)'!B4),"")</f>
      </c>
      <c r="Z106" s="8">
        <f>IF((0=1),(Z71-'Assumptions (edit)'!B4),"")</f>
      </c>
      <c r="AA106" s="8">
        <f>IF((0=1),(AA71-'Assumptions (edit)'!B4),"")</f>
      </c>
      <c r="AB106" s="8">
        <f>IF((0=1),(AB71-'Assumptions (edit)'!B4),"")</f>
      </c>
      <c r="AC106" s="8">
        <f>IF((0=1),(AC71-'Assumptions (edit)'!B4),"")</f>
      </c>
      <c r="AD106" s="8">
        <f>IF((0=1),(AD71-'Assumptions (edit)'!B4),"")</f>
      </c>
      <c r="AE106" s="8">
        <f>IF((0=1),(AE71-'Assumptions (edit)'!B4),"")</f>
      </c>
      <c r="AF106" s="8">
        <f>IF((0=1),(AF71-'Assumptions (edit)'!B4),"")</f>
      </c>
      <c r="AG106" s="8">
        <f>IF((0=1),(AG71-'Assumptions (edit)'!B4),"")</f>
      </c>
      <c r="AH106" s="8">
        <f>IF((0=1),(AH71-'Assumptions (edit)'!B4),"")</f>
      </c>
      <c r="AI106" s="8">
        <f>IF((0=1),(AI71-'Assumptions (edit)'!B4),"")</f>
      </c>
      <c r="AJ106" s="8">
        <f>IF((0=1),(AJ71-'Assumptions (edit)'!B4),"")</f>
      </c>
      <c r="AK106" s="8">
        <f>IF((0=1),(AK71-'Assumptions (edit)'!B4),"")</f>
      </c>
      <c r="AL106" s="8">
        <f>IF((0=1),(AL71-'Assumptions (edit)'!B4),"")</f>
      </c>
      <c r="AM106" s="8">
        <f>IF((0=1),(AM71-'Assumptions (edit)'!B4),"")</f>
      </c>
      <c r="AN106" s="8">
        <f>IF((0=1),(AN71-'Assumptions (edit)'!B4),"")</f>
      </c>
      <c r="AO106" s="8">
        <f>IF((0=1),(AO71-'Assumptions (edit)'!B4),"")</f>
      </c>
      <c r="AP106" s="8">
        <f>IF((0=1),(AP71-'Assumptions (edit)'!B4),"")</f>
      </c>
      <c r="AQ106" s="8">
        <f>IF((0=1),(AQ71-'Assumptions (edit)'!B4),"")</f>
      </c>
      <c r="AR106" s="8">
        <f>IF((0=1),(AR71-'Assumptions (edit)'!B4),"")</f>
      </c>
      <c r="AS106" s="8">
        <f>IF((0=1),(AS71-'Assumptions (edit)'!B4),"")</f>
      </c>
      <c r="AT106" s="8">
        <f>IF((0=1),(AT71-'Assumptions (edit)'!B4),"")</f>
      </c>
      <c r="AU106" s="8">
        <f>IF((0=1),(AU71-'Assumptions (edit)'!B4),"")</f>
      </c>
      <c r="AV106" s="8">
        <f>IF((0=1),(AV71-'Assumptions (edit)'!B4),"")</f>
      </c>
      <c r="AW106" s="8">
        <f>IF((0=1),(AW71-'Assumptions (edit)'!B4),"")</f>
      </c>
      <c r="AX106" s="8">
        <f>IF((0=1),(AX71-'Assumptions (edit)'!B4),"")</f>
      </c>
      <c r="AY106" s="8">
        <f>IF((0=1),(AY71-'Assumptions (edit)'!B4),"")</f>
      </c>
      <c r="AZ106" s="8">
        <f>IF((0=1),(AZ71-'Assumptions (edit)'!B4),"")</f>
      </c>
      <c r="BA106" s="8">
        <f>IF((0=1),(BA71-'Assumptions (edit)'!B4),"")</f>
      </c>
      <c r="BB106" s="8">
        <f>IF((0=1),(BB71-'Assumptions (edit)'!B4),"")</f>
      </c>
      <c r="BC106" s="8">
        <f>IF((0=1),(BC71-'Assumptions (edit)'!B4),"")</f>
      </c>
      <c r="BD106" s="8">
        <f>IF((0=1),(BD71-'Assumptions (edit)'!B4),"")</f>
      </c>
      <c r="BE106" s="8">
        <f>IF((0=1),(BE71-'Assumptions (edit)'!B4),"")</f>
      </c>
      <c r="BF106" s="8">
        <f>IF((0=1),(BF71-'Assumptions (edit)'!B4),"")</f>
      </c>
      <c r="BG106" s="8">
        <f>IF((0=1),(BG71-'Assumptions (edit)'!B4),"")</f>
      </c>
      <c r="BH106" s="8">
        <f>IF((0=1),(BH71-'Assumptions (edit)'!B4),"")</f>
      </c>
      <c r="BI106" s="8">
        <f>IF((0=1),(BI71-'Assumptions (edit)'!B4),"")</f>
      </c>
      <c r="BJ106" s="8">
        <f>IF((0=1),(BJ71-'Assumptions (edit)'!B4),"")</f>
      </c>
      <c r="BK106" s="8">
        <f>IF((0=1),(BK71-'Assumptions (edit)'!B4),"")</f>
      </c>
      <c r="BL106" s="8">
        <f>IF((0=1),(BL71-'Assumptions (edit)'!B4),"")</f>
      </c>
      <c r="BM106" s="8">
        <f>IF((0=1),(BM71-'Assumptions (edit)'!B4),"")</f>
      </c>
      <c r="BN106" s="8">
        <f>IF((0=1),(BN71-'Assumptions (edit)'!B4),"")</f>
      </c>
      <c r="BO106" s="8">
        <f>IF((0=1),(BO71-'Assumptions (edit)'!B4),"")</f>
      </c>
      <c r="BP106" s="8">
        <f>IF((0=1),(BP71-'Assumptions (edit)'!B4),"")</f>
      </c>
      <c r="BQ106" s="8">
        <f>IF((0=1),(BQ71-'Assumptions (edit)'!B4),"")</f>
      </c>
      <c r="BR106" s="8">
        <f>IF((0=1),(BR71-'Assumptions (edit)'!B4),"")</f>
      </c>
      <c r="BS106" s="8">
        <f>IF((0=1),(BS71-'Assumptions (edit)'!B4),"")</f>
      </c>
      <c r="BT106" s="8">
        <f>IF((0=1),(BT71-'Assumptions (edit)'!B4),"")</f>
      </c>
      <c r="BU106" s="8">
        <f>IF((0=1),(BU71-'Assumptions (edit)'!B4),"")</f>
      </c>
      <c r="BV106" s="8">
        <f>IF((0=1),(BV71-'Assumptions (edit)'!B4),"")</f>
      </c>
      <c r="BW106" s="8">
        <f>IF((0=1),(BW71-'Assumptions (edit)'!B4),"")</f>
      </c>
      <c r="BX106" s="8">
        <f>IF((0=1),(BX71-'Assumptions (edit)'!B4),"")</f>
      </c>
      <c r="BY106" s="8">
        <f>IF((0=1),(BY71-'Assumptions (edit)'!B4),"")</f>
      </c>
      <c r="BZ106" s="8">
        <f>IF((0=1),(BZ71-'Assumptions (edit)'!B4),"")</f>
      </c>
      <c r="CA106" s="8">
        <f>IF((0=1),(CA71-'Assumptions (edit)'!B4),"")</f>
      </c>
      <c r="CB106" s="8">
        <f>IF((0=1),(CB71-'Assumptions (edit)'!B4),"")</f>
      </c>
      <c r="CC106" s="8">
        <f>IF((0=1),(CC71-'Assumptions (edit)'!B4),"")</f>
      </c>
      <c r="CD106" s="8">
        <f>IF((0=1),(CD71-'Assumptions (edit)'!B4),"")</f>
      </c>
      <c r="CE106" s="8">
        <f>IF((0=1),(CE71-'Assumptions (edit)'!B4),"")</f>
      </c>
      <c r="CF106" s="8">
        <f>IF((0=1),(CF71-'Assumptions (edit)'!B4),"")</f>
      </c>
      <c r="CG106" s="8">
        <f>IF((0=1),(CG71-'Assumptions (edit)'!B4),"")</f>
      </c>
      <c r="CH106" s="8">
        <f>IF((0=1),(CH71-'Assumptions (edit)'!B4),"")</f>
      </c>
      <c r="CI106" s="8">
        <f>IF((0=1),(CI71-'Assumptions (edit)'!B4),"")</f>
      </c>
      <c r="CJ106" s="8">
        <f>IF((0=1),(CJ71-'Assumptions (edit)'!B4),"")</f>
      </c>
      <c r="CK106" s="8">
        <f>IF((0=1),(CK71-'Assumptions (edit)'!B4),"")</f>
      </c>
      <c r="CL106" s="8">
        <f>IF((0=1),(CL71-'Assumptions (edit)'!B4),"")</f>
      </c>
      <c r="CM106" s="8">
        <f>IF((0=1),(CM71-'Assumptions (edit)'!B4),"")</f>
      </c>
      <c r="CN106" s="8">
        <f>IF((0=1),(CN71-'Assumptions (edit)'!B4),"")</f>
      </c>
      <c r="CO106" s="8">
        <f>IF((0=1),(CO71-'Assumptions (edit)'!B4),"")</f>
      </c>
      <c r="CP106" s="8">
        <f>IF((0=1),(CP71-'Assumptions (edit)'!B4),"")</f>
      </c>
      <c r="CQ106" s="8">
        <f>IF((0=1),(CQ71-'Assumptions (edit)'!B4),"")</f>
      </c>
      <c r="CR106" s="8">
        <f>IF((0=1),(CR71-'Assumptions (edit)'!B4),"")</f>
      </c>
      <c r="CS106" s="8">
        <f>IF((0=1),(CS71-'Assumptions (edit)'!B4),"")</f>
      </c>
      <c r="CT106" s="8">
        <f>IF((0=1),(CT71-'Assumptions (edit)'!B4),"")</f>
      </c>
      <c r="CU106" s="8">
        <f>IF((0=1),(CU71-'Assumptions (edit)'!B4),"")</f>
      </c>
      <c r="CV106" s="8">
        <f>IF((0=1),(CV71-'Assumptions (edit)'!B4),"")</f>
      </c>
      <c r="CW106" s="8">
        <f>IF((0=1),(CW71-'Assumptions (edit)'!B4),"")</f>
      </c>
      <c r="CX106" s="8">
        <f>IF((0=1),(CX71-'Assumptions (edit)'!B4),"")</f>
      </c>
    </row>
    <row r="107">
      <c r="A107" s="0" t="inlineStr">
        <is>
          <t xml:space="preserve">Hit rate vs universe median</t>
        </is>
      </c>
      <c r="B107" s="0" t="inlineStr">
        <is>
          <t xml:space="preserve">worst 100 by yesterday's close-to-close return</t>
        </is>
      </c>
      <c r="C107" s="12">
        <f>IF((1=1),SUMIFS('Daily evaluations'!$H$2:$H$36,'Daily evaluations'!$B$2:$B$36,"=naive_loser1d",'Daily evaluations'!$C$2:$C$36,"=d20260922"),"")</f>
        <v>0.67</v>
      </c>
      <c r="D107" s="12">
        <f>IF((0=1),SUMIFS('Daily evaluations'!$H$2:$H$36,'Daily evaluations'!$B$2:$B$36,"=naive_loser1d",'Daily evaluations'!$C$2:$C$36,"=d20260923"),"")</f>
      </c>
      <c r="E107" s="12">
        <f>IF((0=1),SUMIFS('Daily evaluations'!$H$2:$H$36,'Daily evaluations'!$B$2:$B$36,"=naive_loser1d",'Daily evaluations'!$C$2:$C$36,"=d20260924"),"")</f>
      </c>
      <c r="F107" s="12">
        <f>IF((0=1),SUMIFS('Daily evaluations'!$H$2:$H$36,'Daily evaluations'!$B$2:$B$36,"=naive_loser1d",'Daily evaluations'!$C$2:$C$36,"=d20260925"),"")</f>
      </c>
      <c r="G107" s="12">
        <f>IF((0=1),SUMIFS('Daily evaluations'!$H$2:$H$36,'Daily evaluations'!$B$2:$B$36,"=naive_loser1d",'Daily evaluations'!$C$2:$C$36,"=d20260928"),"")</f>
      </c>
      <c r="H107" s="12">
        <f>IF((0=1),SUMIFS('Daily evaluations'!$H$2:$H$36,'Daily evaluations'!$B$2:$B$36,"=naive_loser1d",'Daily evaluations'!$C$2:$C$36,"=d20260929"),"")</f>
      </c>
      <c r="I107" s="12">
        <f>IF((0=1),SUMIFS('Daily evaluations'!$H$2:$H$36,'Daily evaluations'!$B$2:$B$36,"=naive_loser1d",'Daily evaluations'!$C$2:$C$36,"=d20260930"),"")</f>
      </c>
      <c r="J107" s="12">
        <f>IF((0=1),SUMIFS('Daily evaluations'!$H$2:$H$36,'Daily evaluations'!$B$2:$B$36,"=naive_loser1d",'Daily evaluations'!$C$2:$C$36,"=d20261001"),"")</f>
      </c>
      <c r="K107" s="12">
        <f>IF((0=1),SUMIFS('Daily evaluations'!$H$2:$H$36,'Daily evaluations'!$B$2:$B$36,"=naive_loser1d",'Daily evaluations'!$C$2:$C$36,"=d20261002"),"")</f>
      </c>
      <c r="L107" s="12">
        <f>IF((0=1),SUMIFS('Daily evaluations'!$H$2:$H$36,'Daily evaluations'!$B$2:$B$36,"=naive_loser1d",'Daily evaluations'!$C$2:$C$36,"=d20261005"),"")</f>
      </c>
      <c r="M107" s="12">
        <f>IF((0=1),SUMIFS('Daily evaluations'!$H$2:$H$36,'Daily evaluations'!$B$2:$B$36,"=naive_loser1d",'Daily evaluations'!$C$2:$C$36,"=d20261006"),"")</f>
      </c>
      <c r="N107" s="12">
        <f>IF((0=1),SUMIFS('Daily evaluations'!$H$2:$H$36,'Daily evaluations'!$B$2:$B$36,"=naive_loser1d",'Daily evaluations'!$C$2:$C$36,"=d20261007"),"")</f>
      </c>
      <c r="O107" s="12">
        <f>IF((0=1),SUMIFS('Daily evaluations'!$H$2:$H$36,'Daily evaluations'!$B$2:$B$36,"=naive_loser1d",'Daily evaluations'!$C$2:$C$36,"=d20261008"),"")</f>
      </c>
      <c r="P107" s="12">
        <f>IF((0=1),SUMIFS('Daily evaluations'!$H$2:$H$36,'Daily evaluations'!$B$2:$B$36,"=naive_loser1d",'Daily evaluations'!$C$2:$C$36,"=d20261009"),"")</f>
      </c>
      <c r="Q107" s="12">
        <f>IF((0=1),SUMIFS('Daily evaluations'!$H$2:$H$36,'Daily evaluations'!$B$2:$B$36,"=naive_loser1d",'Daily evaluations'!$C$2:$C$36,"=d20261012"),"")</f>
      </c>
      <c r="R107" s="12">
        <f>IF((0=1),SUMIFS('Daily evaluations'!$H$2:$H$36,'Daily evaluations'!$B$2:$B$36,"=naive_loser1d",'Daily evaluations'!$C$2:$C$36,"=d20261013"),"")</f>
      </c>
      <c r="S107" s="12">
        <f>IF((0=1),SUMIFS('Daily evaluations'!$H$2:$H$36,'Daily evaluations'!$B$2:$B$36,"=naive_loser1d",'Daily evaluations'!$C$2:$C$36,"=d20261014"),"")</f>
      </c>
      <c r="T107" s="12">
        <f>IF((0=1),SUMIFS('Daily evaluations'!$H$2:$H$36,'Daily evaluations'!$B$2:$B$36,"=naive_loser1d",'Daily evaluations'!$C$2:$C$36,"=d20261015"),"")</f>
      </c>
      <c r="U107" s="12">
        <f>IF((0=1),SUMIFS('Daily evaluations'!$H$2:$H$36,'Daily evaluations'!$B$2:$B$36,"=naive_loser1d",'Daily evaluations'!$C$2:$C$36,"=d20261016"),"")</f>
      </c>
      <c r="V107" s="12">
        <f>IF((0=1),SUMIFS('Daily evaluations'!$H$2:$H$36,'Daily evaluations'!$B$2:$B$36,"=naive_loser1d",'Daily evaluations'!$C$2:$C$36,"=d20261019"),"")</f>
      </c>
      <c r="W107" s="12">
        <f>IF((0=1),SUMIFS('Daily evaluations'!$H$2:$H$36,'Daily evaluations'!$B$2:$B$36,"=naive_loser1d",'Daily evaluations'!$C$2:$C$36,"=d20261020"),"")</f>
      </c>
      <c r="X107" s="12">
        <f>IF((0=1),SUMIFS('Daily evaluations'!$H$2:$H$36,'Daily evaluations'!$B$2:$B$36,"=naive_loser1d",'Daily evaluations'!$C$2:$C$36,"=d20261021"),"")</f>
      </c>
      <c r="Y107" s="12">
        <f>IF((0=1),SUMIFS('Daily evaluations'!$H$2:$H$36,'Daily evaluations'!$B$2:$B$36,"=naive_loser1d",'Daily evaluations'!$C$2:$C$36,"=d20261022"),"")</f>
      </c>
      <c r="Z107" s="12">
        <f>IF((0=1),SUMIFS('Daily evaluations'!$H$2:$H$36,'Daily evaluations'!$B$2:$B$36,"=naive_loser1d",'Daily evaluations'!$C$2:$C$36,"=d20261023"),"")</f>
      </c>
      <c r="AA107" s="12">
        <f>IF((0=1),SUMIFS('Daily evaluations'!$H$2:$H$36,'Daily evaluations'!$B$2:$B$36,"=naive_loser1d",'Daily evaluations'!$C$2:$C$36,"=d20261026"),"")</f>
      </c>
      <c r="AB107" s="12">
        <f>IF((0=1),SUMIFS('Daily evaluations'!$H$2:$H$36,'Daily evaluations'!$B$2:$B$36,"=naive_loser1d",'Daily evaluations'!$C$2:$C$36,"=d20261027"),"")</f>
      </c>
      <c r="AC107" s="12">
        <f>IF((0=1),SUMIFS('Daily evaluations'!$H$2:$H$36,'Daily evaluations'!$B$2:$B$36,"=naive_loser1d",'Daily evaluations'!$C$2:$C$36,"=d20261028"),"")</f>
      </c>
      <c r="AD107" s="12">
        <f>IF((0=1),SUMIFS('Daily evaluations'!$H$2:$H$36,'Daily evaluations'!$B$2:$B$36,"=naive_loser1d",'Daily evaluations'!$C$2:$C$36,"=d20261029"),"")</f>
      </c>
      <c r="AE107" s="12">
        <f>IF((0=1),SUMIFS('Daily evaluations'!$H$2:$H$36,'Daily evaluations'!$B$2:$B$36,"=naive_loser1d",'Daily evaluations'!$C$2:$C$36,"=d20261030"),"")</f>
      </c>
      <c r="AF107" s="12">
        <f>IF((0=1),SUMIFS('Daily evaluations'!$H$2:$H$36,'Daily evaluations'!$B$2:$B$36,"=naive_loser1d",'Daily evaluations'!$C$2:$C$36,"=d20261102"),"")</f>
      </c>
      <c r="AG107" s="12">
        <f>IF((0=1),SUMIFS('Daily evaluations'!$H$2:$H$36,'Daily evaluations'!$B$2:$B$36,"=naive_loser1d",'Daily evaluations'!$C$2:$C$36,"=d20261103"),"")</f>
      </c>
      <c r="AH107" s="12">
        <f>IF((0=1),SUMIFS('Daily evaluations'!$H$2:$H$36,'Daily evaluations'!$B$2:$B$36,"=naive_loser1d",'Daily evaluations'!$C$2:$C$36,"=d20261104"),"")</f>
      </c>
      <c r="AI107" s="12">
        <f>IF((0=1),SUMIFS('Daily evaluations'!$H$2:$H$36,'Daily evaluations'!$B$2:$B$36,"=naive_loser1d",'Daily evaluations'!$C$2:$C$36,"=d20261105"),"")</f>
      </c>
      <c r="AJ107" s="12">
        <f>IF((0=1),SUMIFS('Daily evaluations'!$H$2:$H$36,'Daily evaluations'!$B$2:$B$36,"=naive_loser1d",'Daily evaluations'!$C$2:$C$36,"=d20261106"),"")</f>
      </c>
      <c r="AK107" s="12">
        <f>IF((0=1),SUMIFS('Daily evaluations'!$H$2:$H$36,'Daily evaluations'!$B$2:$B$36,"=naive_loser1d",'Daily evaluations'!$C$2:$C$36,"=d20261109"),"")</f>
      </c>
      <c r="AL107" s="12">
        <f>IF((0=1),SUMIFS('Daily evaluations'!$H$2:$H$36,'Daily evaluations'!$B$2:$B$36,"=naive_loser1d",'Daily evaluations'!$C$2:$C$36,"=d20261110"),"")</f>
      </c>
      <c r="AM107" s="12">
        <f>IF((0=1),SUMIFS('Daily evaluations'!$H$2:$H$36,'Daily evaluations'!$B$2:$B$36,"=naive_loser1d",'Daily evaluations'!$C$2:$C$36,"=d20261111"),"")</f>
      </c>
      <c r="AN107" s="12">
        <f>IF((0=1),SUMIFS('Daily evaluations'!$H$2:$H$36,'Daily evaluations'!$B$2:$B$36,"=naive_loser1d",'Daily evaluations'!$C$2:$C$36,"=d20261112"),"")</f>
      </c>
      <c r="AO107" s="12">
        <f>IF((0=1),SUMIFS('Daily evaluations'!$H$2:$H$36,'Daily evaluations'!$B$2:$B$36,"=naive_loser1d",'Daily evaluations'!$C$2:$C$36,"=d20261113"),"")</f>
      </c>
      <c r="AP107" s="12">
        <f>IF((0=1),SUMIFS('Daily evaluations'!$H$2:$H$36,'Daily evaluations'!$B$2:$B$36,"=naive_loser1d",'Daily evaluations'!$C$2:$C$36,"=d20261116"),"")</f>
      </c>
      <c r="AQ107" s="12">
        <f>IF((0=1),SUMIFS('Daily evaluations'!$H$2:$H$36,'Daily evaluations'!$B$2:$B$36,"=naive_loser1d",'Daily evaluations'!$C$2:$C$36,"=d20261117"),"")</f>
      </c>
      <c r="AR107" s="12">
        <f>IF((0=1),SUMIFS('Daily evaluations'!$H$2:$H$36,'Daily evaluations'!$B$2:$B$36,"=naive_loser1d",'Daily evaluations'!$C$2:$C$36,"=d20261118"),"")</f>
      </c>
      <c r="AS107" s="12">
        <f>IF((0=1),SUMIFS('Daily evaluations'!$H$2:$H$36,'Daily evaluations'!$B$2:$B$36,"=naive_loser1d",'Daily evaluations'!$C$2:$C$36,"=d20261119"),"")</f>
      </c>
      <c r="AT107" s="12">
        <f>IF((0=1),SUMIFS('Daily evaluations'!$H$2:$H$36,'Daily evaluations'!$B$2:$B$36,"=naive_loser1d",'Daily evaluations'!$C$2:$C$36,"=d20261120"),"")</f>
      </c>
      <c r="AU107" s="12">
        <f>IF((0=1),SUMIFS('Daily evaluations'!$H$2:$H$36,'Daily evaluations'!$B$2:$B$36,"=naive_loser1d",'Daily evaluations'!$C$2:$C$36,"=d20261123"),"")</f>
      </c>
      <c r="AV107" s="12">
        <f>IF((0=1),SUMIFS('Daily evaluations'!$H$2:$H$36,'Daily evaluations'!$B$2:$B$36,"=naive_loser1d",'Daily evaluations'!$C$2:$C$36,"=d20261124"),"")</f>
      </c>
      <c r="AW107" s="12">
        <f>IF((0=1),SUMIFS('Daily evaluations'!$H$2:$H$36,'Daily evaluations'!$B$2:$B$36,"=naive_loser1d",'Daily evaluations'!$C$2:$C$36,"=d20261125"),"")</f>
      </c>
      <c r="AX107" s="12">
        <f>IF((0=1),SUMIFS('Daily evaluations'!$H$2:$H$36,'Daily evaluations'!$B$2:$B$36,"=naive_loser1d",'Daily evaluations'!$C$2:$C$36,"=d20261127"),"")</f>
      </c>
      <c r="AY107" s="12">
        <f>IF((0=1),SUMIFS('Daily evaluations'!$H$2:$H$36,'Daily evaluations'!$B$2:$B$36,"=naive_loser1d",'Daily evaluations'!$C$2:$C$36,"=d20261130"),"")</f>
      </c>
      <c r="AZ107" s="12">
        <f>IF((0=1),SUMIFS('Daily evaluations'!$H$2:$H$36,'Daily evaluations'!$B$2:$B$36,"=naive_loser1d",'Daily evaluations'!$C$2:$C$36,"=d20261201"),"")</f>
      </c>
      <c r="BA107" s="12">
        <f>IF((0=1),SUMIFS('Daily evaluations'!$H$2:$H$36,'Daily evaluations'!$B$2:$B$36,"=naive_loser1d",'Daily evaluations'!$C$2:$C$36,"=d20261202"),"")</f>
      </c>
      <c r="BB107" s="12">
        <f>IF((0=1),SUMIFS('Daily evaluations'!$H$2:$H$36,'Daily evaluations'!$B$2:$B$36,"=naive_loser1d",'Daily evaluations'!$C$2:$C$36,"=d20261203"),"")</f>
      </c>
      <c r="BC107" s="12">
        <f>IF((0=1),SUMIFS('Daily evaluations'!$H$2:$H$36,'Daily evaluations'!$B$2:$B$36,"=naive_loser1d",'Daily evaluations'!$C$2:$C$36,"=d20261204"),"")</f>
      </c>
      <c r="BD107" s="12">
        <f>IF((0=1),SUMIFS('Daily evaluations'!$H$2:$H$36,'Daily evaluations'!$B$2:$B$36,"=naive_loser1d",'Daily evaluations'!$C$2:$C$36,"=d20261207"),"")</f>
      </c>
      <c r="BE107" s="12">
        <f>IF((0=1),SUMIFS('Daily evaluations'!$H$2:$H$36,'Daily evaluations'!$B$2:$B$36,"=naive_loser1d",'Daily evaluations'!$C$2:$C$36,"=d20261208"),"")</f>
      </c>
      <c r="BF107" s="12">
        <f>IF((0=1),SUMIFS('Daily evaluations'!$H$2:$H$36,'Daily evaluations'!$B$2:$B$36,"=naive_loser1d",'Daily evaluations'!$C$2:$C$36,"=d20261209"),"")</f>
      </c>
      <c r="BG107" s="12">
        <f>IF((0=1),SUMIFS('Daily evaluations'!$H$2:$H$36,'Daily evaluations'!$B$2:$B$36,"=naive_loser1d",'Daily evaluations'!$C$2:$C$36,"=d20261210"),"")</f>
      </c>
      <c r="BH107" s="12">
        <f>IF((0=1),SUMIFS('Daily evaluations'!$H$2:$H$36,'Daily evaluations'!$B$2:$B$36,"=naive_loser1d",'Daily evaluations'!$C$2:$C$36,"=d20261211"),"")</f>
      </c>
      <c r="BI107" s="12">
        <f>IF((0=1),SUMIFS('Daily evaluations'!$H$2:$H$36,'Daily evaluations'!$B$2:$B$36,"=naive_loser1d",'Daily evaluations'!$C$2:$C$36,"=d20261214"),"")</f>
      </c>
      <c r="BJ107" s="12">
        <f>IF((0=1),SUMIFS('Daily evaluations'!$H$2:$H$36,'Daily evaluations'!$B$2:$B$36,"=naive_loser1d",'Daily evaluations'!$C$2:$C$36,"=d20261215"),"")</f>
      </c>
      <c r="BK107" s="12">
        <f>IF((0=1),SUMIFS('Daily evaluations'!$H$2:$H$36,'Daily evaluations'!$B$2:$B$36,"=naive_loser1d",'Daily evaluations'!$C$2:$C$36,"=d20261216"),"")</f>
      </c>
      <c r="BL107" s="12">
        <f>IF((0=1),SUMIFS('Daily evaluations'!$H$2:$H$36,'Daily evaluations'!$B$2:$B$36,"=naive_loser1d",'Daily evaluations'!$C$2:$C$36,"=d20261217"),"")</f>
      </c>
      <c r="BM107" s="12">
        <f>IF((0=1),SUMIFS('Daily evaluations'!$H$2:$H$36,'Daily evaluations'!$B$2:$B$36,"=naive_loser1d",'Daily evaluations'!$C$2:$C$36,"=d20261218"),"")</f>
      </c>
      <c r="BN107" s="12">
        <f>IF((0=1),SUMIFS('Daily evaluations'!$H$2:$H$36,'Daily evaluations'!$B$2:$B$36,"=naive_loser1d",'Daily evaluations'!$C$2:$C$36,"=d20261221"),"")</f>
      </c>
      <c r="BO107" s="12">
        <f>IF((0=1),SUMIFS('Daily evaluations'!$H$2:$H$36,'Daily evaluations'!$B$2:$B$36,"=naive_loser1d",'Daily evaluations'!$C$2:$C$36,"=d20261222"),"")</f>
      </c>
      <c r="BP107" s="12">
        <f>IF((0=1),SUMIFS('Daily evaluations'!$H$2:$H$36,'Daily evaluations'!$B$2:$B$36,"=naive_loser1d",'Daily evaluations'!$C$2:$C$36,"=d20261223"),"")</f>
      </c>
      <c r="BQ107" s="12">
        <f>IF((0=1),SUMIFS('Daily evaluations'!$H$2:$H$36,'Daily evaluations'!$B$2:$B$36,"=naive_loser1d",'Daily evaluations'!$C$2:$C$36,"=d20261224"),"")</f>
      </c>
      <c r="BR107" s="12">
        <f>IF((0=1),SUMIFS('Daily evaluations'!$H$2:$H$36,'Daily evaluations'!$B$2:$B$36,"=naive_loser1d",'Daily evaluations'!$C$2:$C$36,"=d20261228"),"")</f>
      </c>
      <c r="BS107" s="12">
        <f>IF((0=1),SUMIFS('Daily evaluations'!$H$2:$H$36,'Daily evaluations'!$B$2:$B$36,"=naive_loser1d",'Daily evaluations'!$C$2:$C$36,"=d20261229"),"")</f>
      </c>
      <c r="BT107" s="12">
        <f>IF((0=1),SUMIFS('Daily evaluations'!$H$2:$H$36,'Daily evaluations'!$B$2:$B$36,"=naive_loser1d",'Daily evaluations'!$C$2:$C$36,"=d20261230"),"")</f>
      </c>
      <c r="BU107" s="12">
        <f>IF((0=1),SUMIFS('Daily evaluations'!$H$2:$H$36,'Daily evaluations'!$B$2:$B$36,"=naive_loser1d",'Daily evaluations'!$C$2:$C$36,"=d20261231"),"")</f>
      </c>
      <c r="BV107" s="12">
        <f>IF((0=1),SUMIFS('Daily evaluations'!$H$2:$H$36,'Daily evaluations'!$B$2:$B$36,"=naive_loser1d",'Daily evaluations'!$C$2:$C$36,"=d20270104"),"")</f>
      </c>
      <c r="BW107" s="12">
        <f>IF((0=1),SUMIFS('Daily evaluations'!$H$2:$H$36,'Daily evaluations'!$B$2:$B$36,"=naive_loser1d",'Daily evaluations'!$C$2:$C$36,"=d20270105"),"")</f>
      </c>
      <c r="BX107" s="12">
        <f>IF((0=1),SUMIFS('Daily evaluations'!$H$2:$H$36,'Daily evaluations'!$B$2:$B$36,"=naive_loser1d",'Daily evaluations'!$C$2:$C$36,"=d20270106"),"")</f>
      </c>
      <c r="BY107" s="12">
        <f>IF((0=1),SUMIFS('Daily evaluations'!$H$2:$H$36,'Daily evaluations'!$B$2:$B$36,"=naive_loser1d",'Daily evaluations'!$C$2:$C$36,"=d20270107"),"")</f>
      </c>
      <c r="BZ107" s="12">
        <f>IF((0=1),SUMIFS('Daily evaluations'!$H$2:$H$36,'Daily evaluations'!$B$2:$B$36,"=naive_loser1d",'Daily evaluations'!$C$2:$C$36,"=d20270108"),"")</f>
      </c>
      <c r="CA107" s="12">
        <f>IF((0=1),SUMIFS('Daily evaluations'!$H$2:$H$36,'Daily evaluations'!$B$2:$B$36,"=naive_loser1d",'Daily evaluations'!$C$2:$C$36,"=d20270111"),"")</f>
      </c>
      <c r="CB107" s="12">
        <f>IF((0=1),SUMIFS('Daily evaluations'!$H$2:$H$36,'Daily evaluations'!$B$2:$B$36,"=naive_loser1d",'Daily evaluations'!$C$2:$C$36,"=d20270112"),"")</f>
      </c>
      <c r="CC107" s="12">
        <f>IF((0=1),SUMIFS('Daily evaluations'!$H$2:$H$36,'Daily evaluations'!$B$2:$B$36,"=naive_loser1d",'Daily evaluations'!$C$2:$C$36,"=d20270113"),"")</f>
      </c>
      <c r="CD107" s="12">
        <f>IF((0=1),SUMIFS('Daily evaluations'!$H$2:$H$36,'Daily evaluations'!$B$2:$B$36,"=naive_loser1d",'Daily evaluations'!$C$2:$C$36,"=d20270114"),"")</f>
      </c>
      <c r="CE107" s="12">
        <f>IF((0=1),SUMIFS('Daily evaluations'!$H$2:$H$36,'Daily evaluations'!$B$2:$B$36,"=naive_loser1d",'Daily evaluations'!$C$2:$C$36,"=d20270115"),"")</f>
      </c>
      <c r="CF107" s="12">
        <f>IF((0=1),SUMIFS('Daily evaluations'!$H$2:$H$36,'Daily evaluations'!$B$2:$B$36,"=naive_loser1d",'Daily evaluations'!$C$2:$C$36,"=d20270119"),"")</f>
      </c>
      <c r="CG107" s="12">
        <f>IF((0=1),SUMIFS('Daily evaluations'!$H$2:$H$36,'Daily evaluations'!$B$2:$B$36,"=naive_loser1d",'Daily evaluations'!$C$2:$C$36,"=d20270120"),"")</f>
      </c>
      <c r="CH107" s="12">
        <f>IF((0=1),SUMIFS('Daily evaluations'!$H$2:$H$36,'Daily evaluations'!$B$2:$B$36,"=naive_loser1d",'Daily evaluations'!$C$2:$C$36,"=d20270121"),"")</f>
      </c>
      <c r="CI107" s="12">
        <f>IF((0=1),SUMIFS('Daily evaluations'!$H$2:$H$36,'Daily evaluations'!$B$2:$B$36,"=naive_loser1d",'Daily evaluations'!$C$2:$C$36,"=d20270122"),"")</f>
      </c>
      <c r="CJ107" s="12">
        <f>IF((0=1),SUMIFS('Daily evaluations'!$H$2:$H$36,'Daily evaluations'!$B$2:$B$36,"=naive_loser1d",'Daily evaluations'!$C$2:$C$36,"=d20270125"),"")</f>
      </c>
      <c r="CK107" s="12">
        <f>IF((0=1),SUMIFS('Daily evaluations'!$H$2:$H$36,'Daily evaluations'!$B$2:$B$36,"=naive_loser1d",'Daily evaluations'!$C$2:$C$36,"=d20270126"),"")</f>
      </c>
      <c r="CL107" s="12">
        <f>IF((0=1),SUMIFS('Daily evaluations'!$H$2:$H$36,'Daily evaluations'!$B$2:$B$36,"=naive_loser1d",'Daily evaluations'!$C$2:$C$36,"=d20270127"),"")</f>
      </c>
      <c r="CM107" s="12">
        <f>IF((0=1),SUMIFS('Daily evaluations'!$H$2:$H$36,'Daily evaluations'!$B$2:$B$36,"=naive_loser1d",'Daily evaluations'!$C$2:$C$36,"=d20270128"),"")</f>
      </c>
      <c r="CN107" s="12">
        <f>IF((0=1),SUMIFS('Daily evaluations'!$H$2:$H$36,'Daily evaluations'!$B$2:$B$36,"=naive_loser1d",'Daily evaluations'!$C$2:$C$36,"=d20270129"),"")</f>
      </c>
      <c r="CO107" s="12">
        <f>IF((0=1),SUMIFS('Daily evaluations'!$H$2:$H$36,'Daily evaluations'!$B$2:$B$36,"=naive_loser1d",'Daily evaluations'!$C$2:$C$36,"=d20270201"),"")</f>
      </c>
      <c r="CP107" s="12">
        <f>IF((0=1),SUMIFS('Daily evaluations'!$H$2:$H$36,'Daily evaluations'!$B$2:$B$36,"=naive_loser1d",'Daily evaluations'!$C$2:$C$36,"=d20270202"),"")</f>
      </c>
      <c r="CQ107" s="12">
        <f>IF((0=1),SUMIFS('Daily evaluations'!$H$2:$H$36,'Daily evaluations'!$B$2:$B$36,"=naive_loser1d",'Daily evaluations'!$C$2:$C$36,"=d20270203"),"")</f>
      </c>
      <c r="CR107" s="12">
        <f>IF((0=1),SUMIFS('Daily evaluations'!$H$2:$H$36,'Daily evaluations'!$B$2:$B$36,"=naive_loser1d",'Daily evaluations'!$C$2:$C$36,"=d20270204"),"")</f>
      </c>
      <c r="CS107" s="12">
        <f>IF((0=1),SUMIFS('Daily evaluations'!$H$2:$H$36,'Daily evaluations'!$B$2:$B$36,"=naive_loser1d",'Daily evaluations'!$C$2:$C$36,"=d20270205"),"")</f>
      </c>
      <c r="CT107" s="12">
        <f>IF((0=1),SUMIFS('Daily evaluations'!$H$2:$H$36,'Daily evaluations'!$B$2:$B$36,"=naive_loser1d",'Daily evaluations'!$C$2:$C$36,"=d20270208"),"")</f>
      </c>
      <c r="CU107" s="12">
        <f>IF((0=1),SUMIFS('Daily evaluations'!$H$2:$H$36,'Daily evaluations'!$B$2:$B$36,"=naive_loser1d",'Daily evaluations'!$C$2:$C$36,"=d20270209"),"")</f>
      </c>
      <c r="CV107" s="12">
        <f>IF((0=1),SUMIFS('Daily evaluations'!$H$2:$H$36,'Daily evaluations'!$B$2:$B$36,"=naive_loser1d",'Daily evaluations'!$C$2:$C$36,"=d20270210"),"")</f>
      </c>
      <c r="CW107" s="12">
        <f>IF((0=1),SUMIFS('Daily evaluations'!$H$2:$H$36,'Daily evaluations'!$B$2:$B$36,"=naive_loser1d",'Daily evaluations'!$C$2:$C$36,"=d20270211"),"")</f>
      </c>
      <c r="CX107" s="12">
        <f>IF((0=1),SUMIFS('Daily evaluations'!$H$2:$H$36,'Daily evaluations'!$B$2:$B$36,"=naive_loser1d",'Daily evaluations'!$C$2:$C$36,"=d20270212"),"")</f>
      </c>
    </row>
    <row r="108">
      <c r="A108" s="0" t="inlineStr">
        <is>
          <t xml:space="preserve">Hit rate vs universe median</t>
        </is>
      </c>
      <c r="B108" s="0" t="inlineStr">
        <is>
          <t xml:space="preserve">lowest 100 by 60-day volatility</t>
        </is>
      </c>
      <c r="C108" s="12">
        <f>IF((1=1),SUMIFS('Daily evaluations'!$H$2:$H$36,'Daily evaluations'!$B$2:$B$36,"=naive_lowvol",'Daily evaluations'!$C$2:$C$36,"=d20260922"),"")</f>
        <v>0.44</v>
      </c>
      <c r="D108" s="12">
        <f>IF((0=1),SUMIFS('Daily evaluations'!$H$2:$H$36,'Daily evaluations'!$B$2:$B$36,"=naive_lowvol",'Daily evaluations'!$C$2:$C$36,"=d20260923"),"")</f>
      </c>
      <c r="E108" s="12">
        <f>IF((0=1),SUMIFS('Daily evaluations'!$H$2:$H$36,'Daily evaluations'!$B$2:$B$36,"=naive_lowvol",'Daily evaluations'!$C$2:$C$36,"=d20260924"),"")</f>
      </c>
      <c r="F108" s="12">
        <f>IF((0=1),SUMIFS('Daily evaluations'!$H$2:$H$36,'Daily evaluations'!$B$2:$B$36,"=naive_lowvol",'Daily evaluations'!$C$2:$C$36,"=d20260925"),"")</f>
      </c>
      <c r="G108" s="12">
        <f>IF((0=1),SUMIFS('Daily evaluations'!$H$2:$H$36,'Daily evaluations'!$B$2:$B$36,"=naive_lowvol",'Daily evaluations'!$C$2:$C$36,"=d20260928"),"")</f>
      </c>
      <c r="H108" s="12">
        <f>IF((0=1),SUMIFS('Daily evaluations'!$H$2:$H$36,'Daily evaluations'!$B$2:$B$36,"=naive_lowvol",'Daily evaluations'!$C$2:$C$36,"=d20260929"),"")</f>
      </c>
      <c r="I108" s="12">
        <f>IF((0=1),SUMIFS('Daily evaluations'!$H$2:$H$36,'Daily evaluations'!$B$2:$B$36,"=naive_lowvol",'Daily evaluations'!$C$2:$C$36,"=d20260930"),"")</f>
      </c>
      <c r="J108" s="12">
        <f>IF((0=1),SUMIFS('Daily evaluations'!$H$2:$H$36,'Daily evaluations'!$B$2:$B$36,"=naive_lowvol",'Daily evaluations'!$C$2:$C$36,"=d20261001"),"")</f>
      </c>
      <c r="K108" s="12">
        <f>IF((0=1),SUMIFS('Daily evaluations'!$H$2:$H$36,'Daily evaluations'!$B$2:$B$36,"=naive_lowvol",'Daily evaluations'!$C$2:$C$36,"=d20261002"),"")</f>
      </c>
      <c r="L108" s="12">
        <f>IF((0=1),SUMIFS('Daily evaluations'!$H$2:$H$36,'Daily evaluations'!$B$2:$B$36,"=naive_lowvol",'Daily evaluations'!$C$2:$C$36,"=d20261005"),"")</f>
      </c>
      <c r="M108" s="12">
        <f>IF((0=1),SUMIFS('Daily evaluations'!$H$2:$H$36,'Daily evaluations'!$B$2:$B$36,"=naive_lowvol",'Daily evaluations'!$C$2:$C$36,"=d20261006"),"")</f>
      </c>
      <c r="N108" s="12">
        <f>IF((0=1),SUMIFS('Daily evaluations'!$H$2:$H$36,'Daily evaluations'!$B$2:$B$36,"=naive_lowvol",'Daily evaluations'!$C$2:$C$36,"=d20261007"),"")</f>
      </c>
      <c r="O108" s="12">
        <f>IF((0=1),SUMIFS('Daily evaluations'!$H$2:$H$36,'Daily evaluations'!$B$2:$B$36,"=naive_lowvol",'Daily evaluations'!$C$2:$C$36,"=d20261008"),"")</f>
      </c>
      <c r="P108" s="12">
        <f>IF((0=1),SUMIFS('Daily evaluations'!$H$2:$H$36,'Daily evaluations'!$B$2:$B$36,"=naive_lowvol",'Daily evaluations'!$C$2:$C$36,"=d20261009"),"")</f>
      </c>
      <c r="Q108" s="12">
        <f>IF((0=1),SUMIFS('Daily evaluations'!$H$2:$H$36,'Daily evaluations'!$B$2:$B$36,"=naive_lowvol",'Daily evaluations'!$C$2:$C$36,"=d20261012"),"")</f>
      </c>
      <c r="R108" s="12">
        <f>IF((0=1),SUMIFS('Daily evaluations'!$H$2:$H$36,'Daily evaluations'!$B$2:$B$36,"=naive_lowvol",'Daily evaluations'!$C$2:$C$36,"=d20261013"),"")</f>
      </c>
      <c r="S108" s="12">
        <f>IF((0=1),SUMIFS('Daily evaluations'!$H$2:$H$36,'Daily evaluations'!$B$2:$B$36,"=naive_lowvol",'Daily evaluations'!$C$2:$C$36,"=d20261014"),"")</f>
      </c>
      <c r="T108" s="12">
        <f>IF((0=1),SUMIFS('Daily evaluations'!$H$2:$H$36,'Daily evaluations'!$B$2:$B$36,"=naive_lowvol",'Daily evaluations'!$C$2:$C$36,"=d20261015"),"")</f>
      </c>
      <c r="U108" s="12">
        <f>IF((0=1),SUMIFS('Daily evaluations'!$H$2:$H$36,'Daily evaluations'!$B$2:$B$36,"=naive_lowvol",'Daily evaluations'!$C$2:$C$36,"=d20261016"),"")</f>
      </c>
      <c r="V108" s="12">
        <f>IF((0=1),SUMIFS('Daily evaluations'!$H$2:$H$36,'Daily evaluations'!$B$2:$B$36,"=naive_lowvol",'Daily evaluations'!$C$2:$C$36,"=d20261019"),"")</f>
      </c>
      <c r="W108" s="12">
        <f>IF((0=1),SUMIFS('Daily evaluations'!$H$2:$H$36,'Daily evaluations'!$B$2:$B$36,"=naive_lowvol",'Daily evaluations'!$C$2:$C$36,"=d20261020"),"")</f>
      </c>
      <c r="X108" s="12">
        <f>IF((0=1),SUMIFS('Daily evaluations'!$H$2:$H$36,'Daily evaluations'!$B$2:$B$36,"=naive_lowvol",'Daily evaluations'!$C$2:$C$36,"=d20261021"),"")</f>
      </c>
      <c r="Y108" s="12">
        <f>IF((0=1),SUMIFS('Daily evaluations'!$H$2:$H$36,'Daily evaluations'!$B$2:$B$36,"=naive_lowvol",'Daily evaluations'!$C$2:$C$36,"=d20261022"),"")</f>
      </c>
      <c r="Z108" s="12">
        <f>IF((0=1),SUMIFS('Daily evaluations'!$H$2:$H$36,'Daily evaluations'!$B$2:$B$36,"=naive_lowvol",'Daily evaluations'!$C$2:$C$36,"=d20261023"),"")</f>
      </c>
      <c r="AA108" s="12">
        <f>IF((0=1),SUMIFS('Daily evaluations'!$H$2:$H$36,'Daily evaluations'!$B$2:$B$36,"=naive_lowvol",'Daily evaluations'!$C$2:$C$36,"=d20261026"),"")</f>
      </c>
      <c r="AB108" s="12">
        <f>IF((0=1),SUMIFS('Daily evaluations'!$H$2:$H$36,'Daily evaluations'!$B$2:$B$36,"=naive_lowvol",'Daily evaluations'!$C$2:$C$36,"=d20261027"),"")</f>
      </c>
      <c r="AC108" s="12">
        <f>IF((0=1),SUMIFS('Daily evaluations'!$H$2:$H$36,'Daily evaluations'!$B$2:$B$36,"=naive_lowvol",'Daily evaluations'!$C$2:$C$36,"=d20261028"),"")</f>
      </c>
      <c r="AD108" s="12">
        <f>IF((0=1),SUMIFS('Daily evaluations'!$H$2:$H$36,'Daily evaluations'!$B$2:$B$36,"=naive_lowvol",'Daily evaluations'!$C$2:$C$36,"=d20261029"),"")</f>
      </c>
      <c r="AE108" s="12">
        <f>IF((0=1),SUMIFS('Daily evaluations'!$H$2:$H$36,'Daily evaluations'!$B$2:$B$36,"=naive_lowvol",'Daily evaluations'!$C$2:$C$36,"=d20261030"),"")</f>
      </c>
      <c r="AF108" s="12">
        <f>IF((0=1),SUMIFS('Daily evaluations'!$H$2:$H$36,'Daily evaluations'!$B$2:$B$36,"=naive_lowvol",'Daily evaluations'!$C$2:$C$36,"=d20261102"),"")</f>
      </c>
      <c r="AG108" s="12">
        <f>IF((0=1),SUMIFS('Daily evaluations'!$H$2:$H$36,'Daily evaluations'!$B$2:$B$36,"=naive_lowvol",'Daily evaluations'!$C$2:$C$36,"=d20261103"),"")</f>
      </c>
      <c r="AH108" s="12">
        <f>IF((0=1),SUMIFS('Daily evaluations'!$H$2:$H$36,'Daily evaluations'!$B$2:$B$36,"=naive_lowvol",'Daily evaluations'!$C$2:$C$36,"=d20261104"),"")</f>
      </c>
      <c r="AI108" s="12">
        <f>IF((0=1),SUMIFS('Daily evaluations'!$H$2:$H$36,'Daily evaluations'!$B$2:$B$36,"=naive_lowvol",'Daily evaluations'!$C$2:$C$36,"=d20261105"),"")</f>
      </c>
      <c r="AJ108" s="12">
        <f>IF((0=1),SUMIFS('Daily evaluations'!$H$2:$H$36,'Daily evaluations'!$B$2:$B$36,"=naive_lowvol",'Daily evaluations'!$C$2:$C$36,"=d20261106"),"")</f>
      </c>
      <c r="AK108" s="12">
        <f>IF((0=1),SUMIFS('Daily evaluations'!$H$2:$H$36,'Daily evaluations'!$B$2:$B$36,"=naive_lowvol",'Daily evaluations'!$C$2:$C$36,"=d20261109"),"")</f>
      </c>
      <c r="AL108" s="12">
        <f>IF((0=1),SUMIFS('Daily evaluations'!$H$2:$H$36,'Daily evaluations'!$B$2:$B$36,"=naive_lowvol",'Daily evaluations'!$C$2:$C$36,"=d20261110"),"")</f>
      </c>
      <c r="AM108" s="12">
        <f>IF((0=1),SUMIFS('Daily evaluations'!$H$2:$H$36,'Daily evaluations'!$B$2:$B$36,"=naive_lowvol",'Daily evaluations'!$C$2:$C$36,"=d20261111"),"")</f>
      </c>
      <c r="AN108" s="12">
        <f>IF((0=1),SUMIFS('Daily evaluations'!$H$2:$H$36,'Daily evaluations'!$B$2:$B$36,"=naive_lowvol",'Daily evaluations'!$C$2:$C$36,"=d20261112"),"")</f>
      </c>
      <c r="AO108" s="12">
        <f>IF((0=1),SUMIFS('Daily evaluations'!$H$2:$H$36,'Daily evaluations'!$B$2:$B$36,"=naive_lowvol",'Daily evaluations'!$C$2:$C$36,"=d20261113"),"")</f>
      </c>
      <c r="AP108" s="12">
        <f>IF((0=1),SUMIFS('Daily evaluations'!$H$2:$H$36,'Daily evaluations'!$B$2:$B$36,"=naive_lowvol",'Daily evaluations'!$C$2:$C$36,"=d20261116"),"")</f>
      </c>
      <c r="AQ108" s="12">
        <f>IF((0=1),SUMIFS('Daily evaluations'!$H$2:$H$36,'Daily evaluations'!$B$2:$B$36,"=naive_lowvol",'Daily evaluations'!$C$2:$C$36,"=d20261117"),"")</f>
      </c>
      <c r="AR108" s="12">
        <f>IF((0=1),SUMIFS('Daily evaluations'!$H$2:$H$36,'Daily evaluations'!$B$2:$B$36,"=naive_lowvol",'Daily evaluations'!$C$2:$C$36,"=d20261118"),"")</f>
      </c>
      <c r="AS108" s="12">
        <f>IF((0=1),SUMIFS('Daily evaluations'!$H$2:$H$36,'Daily evaluations'!$B$2:$B$36,"=naive_lowvol",'Daily evaluations'!$C$2:$C$36,"=d20261119"),"")</f>
      </c>
      <c r="AT108" s="12">
        <f>IF((0=1),SUMIFS('Daily evaluations'!$H$2:$H$36,'Daily evaluations'!$B$2:$B$36,"=naive_lowvol",'Daily evaluations'!$C$2:$C$36,"=d20261120"),"")</f>
      </c>
      <c r="AU108" s="12">
        <f>IF((0=1),SUMIFS('Daily evaluations'!$H$2:$H$36,'Daily evaluations'!$B$2:$B$36,"=naive_lowvol",'Daily evaluations'!$C$2:$C$36,"=d20261123"),"")</f>
      </c>
      <c r="AV108" s="12">
        <f>IF((0=1),SUMIFS('Daily evaluations'!$H$2:$H$36,'Daily evaluations'!$B$2:$B$36,"=naive_lowvol",'Daily evaluations'!$C$2:$C$36,"=d20261124"),"")</f>
      </c>
      <c r="AW108" s="12">
        <f>IF((0=1),SUMIFS('Daily evaluations'!$H$2:$H$36,'Daily evaluations'!$B$2:$B$36,"=naive_lowvol",'Daily evaluations'!$C$2:$C$36,"=d20261125"),"")</f>
      </c>
      <c r="AX108" s="12">
        <f>IF((0=1),SUMIFS('Daily evaluations'!$H$2:$H$36,'Daily evaluations'!$B$2:$B$36,"=naive_lowvol",'Daily evaluations'!$C$2:$C$36,"=d20261127"),"")</f>
      </c>
      <c r="AY108" s="12">
        <f>IF((0=1),SUMIFS('Daily evaluations'!$H$2:$H$36,'Daily evaluations'!$B$2:$B$36,"=naive_lowvol",'Daily evaluations'!$C$2:$C$36,"=d20261130"),"")</f>
      </c>
      <c r="AZ108" s="12">
        <f>IF((0=1),SUMIFS('Daily evaluations'!$H$2:$H$36,'Daily evaluations'!$B$2:$B$36,"=naive_lowvol",'Daily evaluations'!$C$2:$C$36,"=d20261201"),"")</f>
      </c>
      <c r="BA108" s="12">
        <f>IF((0=1),SUMIFS('Daily evaluations'!$H$2:$H$36,'Daily evaluations'!$B$2:$B$36,"=naive_lowvol",'Daily evaluations'!$C$2:$C$36,"=d20261202"),"")</f>
      </c>
      <c r="BB108" s="12">
        <f>IF((0=1),SUMIFS('Daily evaluations'!$H$2:$H$36,'Daily evaluations'!$B$2:$B$36,"=naive_lowvol",'Daily evaluations'!$C$2:$C$36,"=d20261203"),"")</f>
      </c>
      <c r="BC108" s="12">
        <f>IF((0=1),SUMIFS('Daily evaluations'!$H$2:$H$36,'Daily evaluations'!$B$2:$B$36,"=naive_lowvol",'Daily evaluations'!$C$2:$C$36,"=d20261204"),"")</f>
      </c>
      <c r="BD108" s="12">
        <f>IF((0=1),SUMIFS('Daily evaluations'!$H$2:$H$36,'Daily evaluations'!$B$2:$B$36,"=naive_lowvol",'Daily evaluations'!$C$2:$C$36,"=d20261207"),"")</f>
      </c>
      <c r="BE108" s="12">
        <f>IF((0=1),SUMIFS('Daily evaluations'!$H$2:$H$36,'Daily evaluations'!$B$2:$B$36,"=naive_lowvol",'Daily evaluations'!$C$2:$C$36,"=d20261208"),"")</f>
      </c>
      <c r="BF108" s="12">
        <f>IF((0=1),SUMIFS('Daily evaluations'!$H$2:$H$36,'Daily evaluations'!$B$2:$B$36,"=naive_lowvol",'Daily evaluations'!$C$2:$C$36,"=d20261209"),"")</f>
      </c>
      <c r="BG108" s="12">
        <f>IF((0=1),SUMIFS('Daily evaluations'!$H$2:$H$36,'Daily evaluations'!$B$2:$B$36,"=naive_lowvol",'Daily evaluations'!$C$2:$C$36,"=d20261210"),"")</f>
      </c>
      <c r="BH108" s="12">
        <f>IF((0=1),SUMIFS('Daily evaluations'!$H$2:$H$36,'Daily evaluations'!$B$2:$B$36,"=naive_lowvol",'Daily evaluations'!$C$2:$C$36,"=d20261211"),"")</f>
      </c>
      <c r="BI108" s="12">
        <f>IF((0=1),SUMIFS('Daily evaluations'!$H$2:$H$36,'Daily evaluations'!$B$2:$B$36,"=naive_lowvol",'Daily evaluations'!$C$2:$C$36,"=d20261214"),"")</f>
      </c>
      <c r="BJ108" s="12">
        <f>IF((0=1),SUMIFS('Daily evaluations'!$H$2:$H$36,'Daily evaluations'!$B$2:$B$36,"=naive_lowvol",'Daily evaluations'!$C$2:$C$36,"=d20261215"),"")</f>
      </c>
      <c r="BK108" s="12">
        <f>IF((0=1),SUMIFS('Daily evaluations'!$H$2:$H$36,'Daily evaluations'!$B$2:$B$36,"=naive_lowvol",'Daily evaluations'!$C$2:$C$36,"=d20261216"),"")</f>
      </c>
      <c r="BL108" s="12">
        <f>IF((0=1),SUMIFS('Daily evaluations'!$H$2:$H$36,'Daily evaluations'!$B$2:$B$36,"=naive_lowvol",'Daily evaluations'!$C$2:$C$36,"=d20261217"),"")</f>
      </c>
      <c r="BM108" s="12">
        <f>IF((0=1),SUMIFS('Daily evaluations'!$H$2:$H$36,'Daily evaluations'!$B$2:$B$36,"=naive_lowvol",'Daily evaluations'!$C$2:$C$36,"=d20261218"),"")</f>
      </c>
      <c r="BN108" s="12">
        <f>IF((0=1),SUMIFS('Daily evaluations'!$H$2:$H$36,'Daily evaluations'!$B$2:$B$36,"=naive_lowvol",'Daily evaluations'!$C$2:$C$36,"=d20261221"),"")</f>
      </c>
      <c r="BO108" s="12">
        <f>IF((0=1),SUMIFS('Daily evaluations'!$H$2:$H$36,'Daily evaluations'!$B$2:$B$36,"=naive_lowvol",'Daily evaluations'!$C$2:$C$36,"=d20261222"),"")</f>
      </c>
      <c r="BP108" s="12">
        <f>IF((0=1),SUMIFS('Daily evaluations'!$H$2:$H$36,'Daily evaluations'!$B$2:$B$36,"=naive_lowvol",'Daily evaluations'!$C$2:$C$36,"=d20261223"),"")</f>
      </c>
      <c r="BQ108" s="12">
        <f>IF((0=1),SUMIFS('Daily evaluations'!$H$2:$H$36,'Daily evaluations'!$B$2:$B$36,"=naive_lowvol",'Daily evaluations'!$C$2:$C$36,"=d20261224"),"")</f>
      </c>
      <c r="BR108" s="12">
        <f>IF((0=1),SUMIFS('Daily evaluations'!$H$2:$H$36,'Daily evaluations'!$B$2:$B$36,"=naive_lowvol",'Daily evaluations'!$C$2:$C$36,"=d20261228"),"")</f>
      </c>
      <c r="BS108" s="12">
        <f>IF((0=1),SUMIFS('Daily evaluations'!$H$2:$H$36,'Daily evaluations'!$B$2:$B$36,"=naive_lowvol",'Daily evaluations'!$C$2:$C$36,"=d20261229"),"")</f>
      </c>
      <c r="BT108" s="12">
        <f>IF((0=1),SUMIFS('Daily evaluations'!$H$2:$H$36,'Daily evaluations'!$B$2:$B$36,"=naive_lowvol",'Daily evaluations'!$C$2:$C$36,"=d20261230"),"")</f>
      </c>
      <c r="BU108" s="12">
        <f>IF((0=1),SUMIFS('Daily evaluations'!$H$2:$H$36,'Daily evaluations'!$B$2:$B$36,"=naive_lowvol",'Daily evaluations'!$C$2:$C$36,"=d20261231"),"")</f>
      </c>
      <c r="BV108" s="12">
        <f>IF((0=1),SUMIFS('Daily evaluations'!$H$2:$H$36,'Daily evaluations'!$B$2:$B$36,"=naive_lowvol",'Daily evaluations'!$C$2:$C$36,"=d20270104"),"")</f>
      </c>
      <c r="BW108" s="12">
        <f>IF((0=1),SUMIFS('Daily evaluations'!$H$2:$H$36,'Daily evaluations'!$B$2:$B$36,"=naive_lowvol",'Daily evaluations'!$C$2:$C$36,"=d20270105"),"")</f>
      </c>
      <c r="BX108" s="12">
        <f>IF((0=1),SUMIFS('Daily evaluations'!$H$2:$H$36,'Daily evaluations'!$B$2:$B$36,"=naive_lowvol",'Daily evaluations'!$C$2:$C$36,"=d20270106"),"")</f>
      </c>
      <c r="BY108" s="12">
        <f>IF((0=1),SUMIFS('Daily evaluations'!$H$2:$H$36,'Daily evaluations'!$B$2:$B$36,"=naive_lowvol",'Daily evaluations'!$C$2:$C$36,"=d20270107"),"")</f>
      </c>
      <c r="BZ108" s="12">
        <f>IF((0=1),SUMIFS('Daily evaluations'!$H$2:$H$36,'Daily evaluations'!$B$2:$B$36,"=naive_lowvol",'Daily evaluations'!$C$2:$C$36,"=d20270108"),"")</f>
      </c>
      <c r="CA108" s="12">
        <f>IF((0=1),SUMIFS('Daily evaluations'!$H$2:$H$36,'Daily evaluations'!$B$2:$B$36,"=naive_lowvol",'Daily evaluations'!$C$2:$C$36,"=d20270111"),"")</f>
      </c>
      <c r="CB108" s="12">
        <f>IF((0=1),SUMIFS('Daily evaluations'!$H$2:$H$36,'Daily evaluations'!$B$2:$B$36,"=naive_lowvol",'Daily evaluations'!$C$2:$C$36,"=d20270112"),"")</f>
      </c>
      <c r="CC108" s="12">
        <f>IF((0=1),SUMIFS('Daily evaluations'!$H$2:$H$36,'Daily evaluations'!$B$2:$B$36,"=naive_lowvol",'Daily evaluations'!$C$2:$C$36,"=d20270113"),"")</f>
      </c>
      <c r="CD108" s="12">
        <f>IF((0=1),SUMIFS('Daily evaluations'!$H$2:$H$36,'Daily evaluations'!$B$2:$B$36,"=naive_lowvol",'Daily evaluations'!$C$2:$C$36,"=d20270114"),"")</f>
      </c>
      <c r="CE108" s="12">
        <f>IF((0=1),SUMIFS('Daily evaluations'!$H$2:$H$36,'Daily evaluations'!$B$2:$B$36,"=naive_lowvol",'Daily evaluations'!$C$2:$C$36,"=d20270115"),"")</f>
      </c>
      <c r="CF108" s="12">
        <f>IF((0=1),SUMIFS('Daily evaluations'!$H$2:$H$36,'Daily evaluations'!$B$2:$B$36,"=naive_lowvol",'Daily evaluations'!$C$2:$C$36,"=d20270119"),"")</f>
      </c>
      <c r="CG108" s="12">
        <f>IF((0=1),SUMIFS('Daily evaluations'!$H$2:$H$36,'Daily evaluations'!$B$2:$B$36,"=naive_lowvol",'Daily evaluations'!$C$2:$C$36,"=d20270120"),"")</f>
      </c>
      <c r="CH108" s="12">
        <f>IF((0=1),SUMIFS('Daily evaluations'!$H$2:$H$36,'Daily evaluations'!$B$2:$B$36,"=naive_lowvol",'Daily evaluations'!$C$2:$C$36,"=d20270121"),"")</f>
      </c>
      <c r="CI108" s="12">
        <f>IF((0=1),SUMIFS('Daily evaluations'!$H$2:$H$36,'Daily evaluations'!$B$2:$B$36,"=naive_lowvol",'Daily evaluations'!$C$2:$C$36,"=d20270122"),"")</f>
      </c>
      <c r="CJ108" s="12">
        <f>IF((0=1),SUMIFS('Daily evaluations'!$H$2:$H$36,'Daily evaluations'!$B$2:$B$36,"=naive_lowvol",'Daily evaluations'!$C$2:$C$36,"=d20270125"),"")</f>
      </c>
      <c r="CK108" s="12">
        <f>IF((0=1),SUMIFS('Daily evaluations'!$H$2:$H$36,'Daily evaluations'!$B$2:$B$36,"=naive_lowvol",'Daily evaluations'!$C$2:$C$36,"=d20270126"),"")</f>
      </c>
      <c r="CL108" s="12">
        <f>IF((0=1),SUMIFS('Daily evaluations'!$H$2:$H$36,'Daily evaluations'!$B$2:$B$36,"=naive_lowvol",'Daily evaluations'!$C$2:$C$36,"=d20270127"),"")</f>
      </c>
      <c r="CM108" s="12">
        <f>IF((0=1),SUMIFS('Daily evaluations'!$H$2:$H$36,'Daily evaluations'!$B$2:$B$36,"=naive_lowvol",'Daily evaluations'!$C$2:$C$36,"=d20270128"),"")</f>
      </c>
      <c r="CN108" s="12">
        <f>IF((0=1),SUMIFS('Daily evaluations'!$H$2:$H$36,'Daily evaluations'!$B$2:$B$36,"=naive_lowvol",'Daily evaluations'!$C$2:$C$36,"=d20270129"),"")</f>
      </c>
      <c r="CO108" s="12">
        <f>IF((0=1),SUMIFS('Daily evaluations'!$H$2:$H$36,'Daily evaluations'!$B$2:$B$36,"=naive_lowvol",'Daily evaluations'!$C$2:$C$36,"=d20270201"),"")</f>
      </c>
      <c r="CP108" s="12">
        <f>IF((0=1),SUMIFS('Daily evaluations'!$H$2:$H$36,'Daily evaluations'!$B$2:$B$36,"=naive_lowvol",'Daily evaluations'!$C$2:$C$36,"=d20270202"),"")</f>
      </c>
      <c r="CQ108" s="12">
        <f>IF((0=1),SUMIFS('Daily evaluations'!$H$2:$H$36,'Daily evaluations'!$B$2:$B$36,"=naive_lowvol",'Daily evaluations'!$C$2:$C$36,"=d20270203"),"")</f>
      </c>
      <c r="CR108" s="12">
        <f>IF((0=1),SUMIFS('Daily evaluations'!$H$2:$H$36,'Daily evaluations'!$B$2:$B$36,"=naive_lowvol",'Daily evaluations'!$C$2:$C$36,"=d20270204"),"")</f>
      </c>
      <c r="CS108" s="12">
        <f>IF((0=1),SUMIFS('Daily evaluations'!$H$2:$H$36,'Daily evaluations'!$B$2:$B$36,"=naive_lowvol",'Daily evaluations'!$C$2:$C$36,"=d20270205"),"")</f>
      </c>
      <c r="CT108" s="12">
        <f>IF((0=1),SUMIFS('Daily evaluations'!$H$2:$H$36,'Daily evaluations'!$B$2:$B$36,"=naive_lowvol",'Daily evaluations'!$C$2:$C$36,"=d20270208"),"")</f>
      </c>
      <c r="CU108" s="12">
        <f>IF((0=1),SUMIFS('Daily evaluations'!$H$2:$H$36,'Daily evaluations'!$B$2:$B$36,"=naive_lowvol",'Daily evaluations'!$C$2:$C$36,"=d20270209"),"")</f>
      </c>
      <c r="CV108" s="12">
        <f>IF((0=1),SUMIFS('Daily evaluations'!$H$2:$H$36,'Daily evaluations'!$B$2:$B$36,"=naive_lowvol",'Daily evaluations'!$C$2:$C$36,"=d20270210"),"")</f>
      </c>
      <c r="CW108" s="12">
        <f>IF((0=1),SUMIFS('Daily evaluations'!$H$2:$H$36,'Daily evaluations'!$B$2:$B$36,"=naive_lowvol",'Daily evaluations'!$C$2:$C$36,"=d20270211"),"")</f>
      </c>
      <c r="CX108" s="12">
        <f>IF((0=1),SUMIFS('Daily evaluations'!$H$2:$H$36,'Daily evaluations'!$B$2:$B$36,"=naive_lowvol",'Daily evaluations'!$C$2:$C$36,"=d20270212"),"")</f>
      </c>
    </row>
    <row r="109">
      <c r="A109" s="0" t="inlineStr">
        <is>
          <t xml:space="preserve">Hit rate vs universe median</t>
        </is>
      </c>
      <c r="B109" s="0" t="inlineStr">
        <is>
          <t xml:space="preserve">largest 100 by market cap</t>
        </is>
      </c>
      <c r="C109" s="12">
        <f>IF((1=1),SUMIFS('Daily evaluations'!$H$2:$H$36,'Daily evaluations'!$B$2:$B$36,"=naive_mcap",'Daily evaluations'!$C$2:$C$36,"=d20260922"),"")</f>
        <v>0.64</v>
      </c>
      <c r="D109" s="12">
        <f>IF((0=1),SUMIFS('Daily evaluations'!$H$2:$H$36,'Daily evaluations'!$B$2:$B$36,"=naive_mcap",'Daily evaluations'!$C$2:$C$36,"=d20260923"),"")</f>
      </c>
      <c r="E109" s="12">
        <f>IF((0=1),SUMIFS('Daily evaluations'!$H$2:$H$36,'Daily evaluations'!$B$2:$B$36,"=naive_mcap",'Daily evaluations'!$C$2:$C$36,"=d20260924"),"")</f>
      </c>
      <c r="F109" s="12">
        <f>IF((0=1),SUMIFS('Daily evaluations'!$H$2:$H$36,'Daily evaluations'!$B$2:$B$36,"=naive_mcap",'Daily evaluations'!$C$2:$C$36,"=d20260925"),"")</f>
      </c>
      <c r="G109" s="12">
        <f>IF((0=1),SUMIFS('Daily evaluations'!$H$2:$H$36,'Daily evaluations'!$B$2:$B$36,"=naive_mcap",'Daily evaluations'!$C$2:$C$36,"=d20260928"),"")</f>
      </c>
      <c r="H109" s="12">
        <f>IF((0=1),SUMIFS('Daily evaluations'!$H$2:$H$36,'Daily evaluations'!$B$2:$B$36,"=naive_mcap",'Daily evaluations'!$C$2:$C$36,"=d20260929"),"")</f>
      </c>
      <c r="I109" s="12">
        <f>IF((0=1),SUMIFS('Daily evaluations'!$H$2:$H$36,'Daily evaluations'!$B$2:$B$36,"=naive_mcap",'Daily evaluations'!$C$2:$C$36,"=d20260930"),"")</f>
      </c>
      <c r="J109" s="12">
        <f>IF((0=1),SUMIFS('Daily evaluations'!$H$2:$H$36,'Daily evaluations'!$B$2:$B$36,"=naive_mcap",'Daily evaluations'!$C$2:$C$36,"=d20261001"),"")</f>
      </c>
      <c r="K109" s="12">
        <f>IF((0=1),SUMIFS('Daily evaluations'!$H$2:$H$36,'Daily evaluations'!$B$2:$B$36,"=naive_mcap",'Daily evaluations'!$C$2:$C$36,"=d20261002"),"")</f>
      </c>
      <c r="L109" s="12">
        <f>IF((0=1),SUMIFS('Daily evaluations'!$H$2:$H$36,'Daily evaluations'!$B$2:$B$36,"=naive_mcap",'Daily evaluations'!$C$2:$C$36,"=d20261005"),"")</f>
      </c>
      <c r="M109" s="12">
        <f>IF((0=1),SUMIFS('Daily evaluations'!$H$2:$H$36,'Daily evaluations'!$B$2:$B$36,"=naive_mcap",'Daily evaluations'!$C$2:$C$36,"=d20261006"),"")</f>
      </c>
      <c r="N109" s="12">
        <f>IF((0=1),SUMIFS('Daily evaluations'!$H$2:$H$36,'Daily evaluations'!$B$2:$B$36,"=naive_mcap",'Daily evaluations'!$C$2:$C$36,"=d20261007"),"")</f>
      </c>
      <c r="O109" s="12">
        <f>IF((0=1),SUMIFS('Daily evaluations'!$H$2:$H$36,'Daily evaluations'!$B$2:$B$36,"=naive_mcap",'Daily evaluations'!$C$2:$C$36,"=d20261008"),"")</f>
      </c>
      <c r="P109" s="12">
        <f>IF((0=1),SUMIFS('Daily evaluations'!$H$2:$H$36,'Daily evaluations'!$B$2:$B$36,"=naive_mcap",'Daily evaluations'!$C$2:$C$36,"=d20261009"),"")</f>
      </c>
      <c r="Q109" s="12">
        <f>IF((0=1),SUMIFS('Daily evaluations'!$H$2:$H$36,'Daily evaluations'!$B$2:$B$36,"=naive_mcap",'Daily evaluations'!$C$2:$C$36,"=d20261012"),"")</f>
      </c>
      <c r="R109" s="12">
        <f>IF((0=1),SUMIFS('Daily evaluations'!$H$2:$H$36,'Daily evaluations'!$B$2:$B$36,"=naive_mcap",'Daily evaluations'!$C$2:$C$36,"=d20261013"),"")</f>
      </c>
      <c r="S109" s="12">
        <f>IF((0=1),SUMIFS('Daily evaluations'!$H$2:$H$36,'Daily evaluations'!$B$2:$B$36,"=naive_mcap",'Daily evaluations'!$C$2:$C$36,"=d20261014"),"")</f>
      </c>
      <c r="T109" s="12">
        <f>IF((0=1),SUMIFS('Daily evaluations'!$H$2:$H$36,'Daily evaluations'!$B$2:$B$36,"=naive_mcap",'Daily evaluations'!$C$2:$C$36,"=d20261015"),"")</f>
      </c>
      <c r="U109" s="12">
        <f>IF((0=1),SUMIFS('Daily evaluations'!$H$2:$H$36,'Daily evaluations'!$B$2:$B$36,"=naive_mcap",'Daily evaluations'!$C$2:$C$36,"=d20261016"),"")</f>
      </c>
      <c r="V109" s="12">
        <f>IF((0=1),SUMIFS('Daily evaluations'!$H$2:$H$36,'Daily evaluations'!$B$2:$B$36,"=naive_mcap",'Daily evaluations'!$C$2:$C$36,"=d20261019"),"")</f>
      </c>
      <c r="W109" s="12">
        <f>IF((0=1),SUMIFS('Daily evaluations'!$H$2:$H$36,'Daily evaluations'!$B$2:$B$36,"=naive_mcap",'Daily evaluations'!$C$2:$C$36,"=d20261020"),"")</f>
      </c>
      <c r="X109" s="12">
        <f>IF((0=1),SUMIFS('Daily evaluations'!$H$2:$H$36,'Daily evaluations'!$B$2:$B$36,"=naive_mcap",'Daily evaluations'!$C$2:$C$36,"=d20261021"),"")</f>
      </c>
      <c r="Y109" s="12">
        <f>IF((0=1),SUMIFS('Daily evaluations'!$H$2:$H$36,'Daily evaluations'!$B$2:$B$36,"=naive_mcap",'Daily evaluations'!$C$2:$C$36,"=d20261022"),"")</f>
      </c>
      <c r="Z109" s="12">
        <f>IF((0=1),SUMIFS('Daily evaluations'!$H$2:$H$36,'Daily evaluations'!$B$2:$B$36,"=naive_mcap",'Daily evaluations'!$C$2:$C$36,"=d20261023"),"")</f>
      </c>
      <c r="AA109" s="12">
        <f>IF((0=1),SUMIFS('Daily evaluations'!$H$2:$H$36,'Daily evaluations'!$B$2:$B$36,"=naive_mcap",'Daily evaluations'!$C$2:$C$36,"=d20261026"),"")</f>
      </c>
      <c r="AB109" s="12">
        <f>IF((0=1),SUMIFS('Daily evaluations'!$H$2:$H$36,'Daily evaluations'!$B$2:$B$36,"=naive_mcap",'Daily evaluations'!$C$2:$C$36,"=d20261027"),"")</f>
      </c>
      <c r="AC109" s="12">
        <f>IF((0=1),SUMIFS('Daily evaluations'!$H$2:$H$36,'Daily evaluations'!$B$2:$B$36,"=naive_mcap",'Daily evaluations'!$C$2:$C$36,"=d20261028"),"")</f>
      </c>
      <c r="AD109" s="12">
        <f>IF((0=1),SUMIFS('Daily evaluations'!$H$2:$H$36,'Daily evaluations'!$B$2:$B$36,"=naive_mcap",'Daily evaluations'!$C$2:$C$36,"=d20261029"),"")</f>
      </c>
      <c r="AE109" s="12">
        <f>IF((0=1),SUMIFS('Daily evaluations'!$H$2:$H$36,'Daily evaluations'!$B$2:$B$36,"=naive_mcap",'Daily evaluations'!$C$2:$C$36,"=d20261030"),"")</f>
      </c>
      <c r="AF109" s="12">
        <f>IF((0=1),SUMIFS('Daily evaluations'!$H$2:$H$36,'Daily evaluations'!$B$2:$B$36,"=naive_mcap",'Daily evaluations'!$C$2:$C$36,"=d20261102"),"")</f>
      </c>
      <c r="AG109" s="12">
        <f>IF((0=1),SUMIFS('Daily evaluations'!$H$2:$H$36,'Daily evaluations'!$B$2:$B$36,"=naive_mcap",'Daily evaluations'!$C$2:$C$36,"=d20261103"),"")</f>
      </c>
      <c r="AH109" s="12">
        <f>IF((0=1),SUMIFS('Daily evaluations'!$H$2:$H$36,'Daily evaluations'!$B$2:$B$36,"=naive_mcap",'Daily evaluations'!$C$2:$C$36,"=d20261104"),"")</f>
      </c>
      <c r="AI109" s="12">
        <f>IF((0=1),SUMIFS('Daily evaluations'!$H$2:$H$36,'Daily evaluations'!$B$2:$B$36,"=naive_mcap",'Daily evaluations'!$C$2:$C$36,"=d20261105"),"")</f>
      </c>
      <c r="AJ109" s="12">
        <f>IF((0=1),SUMIFS('Daily evaluations'!$H$2:$H$36,'Daily evaluations'!$B$2:$B$36,"=naive_mcap",'Daily evaluations'!$C$2:$C$36,"=d20261106"),"")</f>
      </c>
      <c r="AK109" s="12">
        <f>IF((0=1),SUMIFS('Daily evaluations'!$H$2:$H$36,'Daily evaluations'!$B$2:$B$36,"=naive_mcap",'Daily evaluations'!$C$2:$C$36,"=d20261109"),"")</f>
      </c>
      <c r="AL109" s="12">
        <f>IF((0=1),SUMIFS('Daily evaluations'!$H$2:$H$36,'Daily evaluations'!$B$2:$B$36,"=naive_mcap",'Daily evaluations'!$C$2:$C$36,"=d20261110"),"")</f>
      </c>
      <c r="AM109" s="12">
        <f>IF((0=1),SUMIFS('Daily evaluations'!$H$2:$H$36,'Daily evaluations'!$B$2:$B$36,"=naive_mcap",'Daily evaluations'!$C$2:$C$36,"=d20261111"),"")</f>
      </c>
      <c r="AN109" s="12">
        <f>IF((0=1),SUMIFS('Daily evaluations'!$H$2:$H$36,'Daily evaluations'!$B$2:$B$36,"=naive_mcap",'Daily evaluations'!$C$2:$C$36,"=d20261112"),"")</f>
      </c>
      <c r="AO109" s="12">
        <f>IF((0=1),SUMIFS('Daily evaluations'!$H$2:$H$36,'Daily evaluations'!$B$2:$B$36,"=naive_mcap",'Daily evaluations'!$C$2:$C$36,"=d20261113"),"")</f>
      </c>
      <c r="AP109" s="12">
        <f>IF((0=1),SUMIFS('Daily evaluations'!$H$2:$H$36,'Daily evaluations'!$B$2:$B$36,"=naive_mcap",'Daily evaluations'!$C$2:$C$36,"=d20261116"),"")</f>
      </c>
      <c r="AQ109" s="12">
        <f>IF((0=1),SUMIFS('Daily evaluations'!$H$2:$H$36,'Daily evaluations'!$B$2:$B$36,"=naive_mcap",'Daily evaluations'!$C$2:$C$36,"=d20261117"),"")</f>
      </c>
      <c r="AR109" s="12">
        <f>IF((0=1),SUMIFS('Daily evaluations'!$H$2:$H$36,'Daily evaluations'!$B$2:$B$36,"=naive_mcap",'Daily evaluations'!$C$2:$C$36,"=d20261118"),"")</f>
      </c>
      <c r="AS109" s="12">
        <f>IF((0=1),SUMIFS('Daily evaluations'!$H$2:$H$36,'Daily evaluations'!$B$2:$B$36,"=naive_mcap",'Daily evaluations'!$C$2:$C$36,"=d20261119"),"")</f>
      </c>
      <c r="AT109" s="12">
        <f>IF((0=1),SUMIFS('Daily evaluations'!$H$2:$H$36,'Daily evaluations'!$B$2:$B$36,"=naive_mcap",'Daily evaluations'!$C$2:$C$36,"=d20261120"),"")</f>
      </c>
      <c r="AU109" s="12">
        <f>IF((0=1),SUMIFS('Daily evaluations'!$H$2:$H$36,'Daily evaluations'!$B$2:$B$36,"=naive_mcap",'Daily evaluations'!$C$2:$C$36,"=d20261123"),"")</f>
      </c>
      <c r="AV109" s="12">
        <f>IF((0=1),SUMIFS('Daily evaluations'!$H$2:$H$36,'Daily evaluations'!$B$2:$B$36,"=naive_mcap",'Daily evaluations'!$C$2:$C$36,"=d20261124"),"")</f>
      </c>
      <c r="AW109" s="12">
        <f>IF((0=1),SUMIFS('Daily evaluations'!$H$2:$H$36,'Daily evaluations'!$B$2:$B$36,"=naive_mcap",'Daily evaluations'!$C$2:$C$36,"=d20261125"),"")</f>
      </c>
      <c r="AX109" s="12">
        <f>IF((0=1),SUMIFS('Daily evaluations'!$H$2:$H$36,'Daily evaluations'!$B$2:$B$36,"=naive_mcap",'Daily evaluations'!$C$2:$C$36,"=d20261127"),"")</f>
      </c>
      <c r="AY109" s="12">
        <f>IF((0=1),SUMIFS('Daily evaluations'!$H$2:$H$36,'Daily evaluations'!$B$2:$B$36,"=naive_mcap",'Daily evaluations'!$C$2:$C$36,"=d20261130"),"")</f>
      </c>
      <c r="AZ109" s="12">
        <f>IF((0=1),SUMIFS('Daily evaluations'!$H$2:$H$36,'Daily evaluations'!$B$2:$B$36,"=naive_mcap",'Daily evaluations'!$C$2:$C$36,"=d20261201"),"")</f>
      </c>
      <c r="BA109" s="12">
        <f>IF((0=1),SUMIFS('Daily evaluations'!$H$2:$H$36,'Daily evaluations'!$B$2:$B$36,"=naive_mcap",'Daily evaluations'!$C$2:$C$36,"=d20261202"),"")</f>
      </c>
      <c r="BB109" s="12">
        <f>IF((0=1),SUMIFS('Daily evaluations'!$H$2:$H$36,'Daily evaluations'!$B$2:$B$36,"=naive_mcap",'Daily evaluations'!$C$2:$C$36,"=d20261203"),"")</f>
      </c>
      <c r="BC109" s="12">
        <f>IF((0=1),SUMIFS('Daily evaluations'!$H$2:$H$36,'Daily evaluations'!$B$2:$B$36,"=naive_mcap",'Daily evaluations'!$C$2:$C$36,"=d20261204"),"")</f>
      </c>
      <c r="BD109" s="12">
        <f>IF((0=1),SUMIFS('Daily evaluations'!$H$2:$H$36,'Daily evaluations'!$B$2:$B$36,"=naive_mcap",'Daily evaluations'!$C$2:$C$36,"=d20261207"),"")</f>
      </c>
      <c r="BE109" s="12">
        <f>IF((0=1),SUMIFS('Daily evaluations'!$H$2:$H$36,'Daily evaluations'!$B$2:$B$36,"=naive_mcap",'Daily evaluations'!$C$2:$C$36,"=d20261208"),"")</f>
      </c>
      <c r="BF109" s="12">
        <f>IF((0=1),SUMIFS('Daily evaluations'!$H$2:$H$36,'Daily evaluations'!$B$2:$B$36,"=naive_mcap",'Daily evaluations'!$C$2:$C$36,"=d20261209"),"")</f>
      </c>
      <c r="BG109" s="12">
        <f>IF((0=1),SUMIFS('Daily evaluations'!$H$2:$H$36,'Daily evaluations'!$B$2:$B$36,"=naive_mcap",'Daily evaluations'!$C$2:$C$36,"=d20261210"),"")</f>
      </c>
      <c r="BH109" s="12">
        <f>IF((0=1),SUMIFS('Daily evaluations'!$H$2:$H$36,'Daily evaluations'!$B$2:$B$36,"=naive_mcap",'Daily evaluations'!$C$2:$C$36,"=d20261211"),"")</f>
      </c>
      <c r="BI109" s="12">
        <f>IF((0=1),SUMIFS('Daily evaluations'!$H$2:$H$36,'Daily evaluations'!$B$2:$B$36,"=naive_mcap",'Daily evaluations'!$C$2:$C$36,"=d20261214"),"")</f>
      </c>
      <c r="BJ109" s="12">
        <f>IF((0=1),SUMIFS('Daily evaluations'!$H$2:$H$36,'Daily evaluations'!$B$2:$B$36,"=naive_mcap",'Daily evaluations'!$C$2:$C$36,"=d20261215"),"")</f>
      </c>
      <c r="BK109" s="12">
        <f>IF((0=1),SUMIFS('Daily evaluations'!$H$2:$H$36,'Daily evaluations'!$B$2:$B$36,"=naive_mcap",'Daily evaluations'!$C$2:$C$36,"=d20261216"),"")</f>
      </c>
      <c r="BL109" s="12">
        <f>IF((0=1),SUMIFS('Daily evaluations'!$H$2:$H$36,'Daily evaluations'!$B$2:$B$36,"=naive_mcap",'Daily evaluations'!$C$2:$C$36,"=d20261217"),"")</f>
      </c>
      <c r="BM109" s="12">
        <f>IF((0=1),SUMIFS('Daily evaluations'!$H$2:$H$36,'Daily evaluations'!$B$2:$B$36,"=naive_mcap",'Daily evaluations'!$C$2:$C$36,"=d20261218"),"")</f>
      </c>
      <c r="BN109" s="12">
        <f>IF((0=1),SUMIFS('Daily evaluations'!$H$2:$H$36,'Daily evaluations'!$B$2:$B$36,"=naive_mcap",'Daily evaluations'!$C$2:$C$36,"=d20261221"),"")</f>
      </c>
      <c r="BO109" s="12">
        <f>IF((0=1),SUMIFS('Daily evaluations'!$H$2:$H$36,'Daily evaluations'!$B$2:$B$36,"=naive_mcap",'Daily evaluations'!$C$2:$C$36,"=d20261222"),"")</f>
      </c>
      <c r="BP109" s="12">
        <f>IF((0=1),SUMIFS('Daily evaluations'!$H$2:$H$36,'Daily evaluations'!$B$2:$B$36,"=naive_mcap",'Daily evaluations'!$C$2:$C$36,"=d20261223"),"")</f>
      </c>
      <c r="BQ109" s="12">
        <f>IF((0=1),SUMIFS('Daily evaluations'!$H$2:$H$36,'Daily evaluations'!$B$2:$B$36,"=naive_mcap",'Daily evaluations'!$C$2:$C$36,"=d20261224"),"")</f>
      </c>
      <c r="BR109" s="12">
        <f>IF((0=1),SUMIFS('Daily evaluations'!$H$2:$H$36,'Daily evaluations'!$B$2:$B$36,"=naive_mcap",'Daily evaluations'!$C$2:$C$36,"=d20261228"),"")</f>
      </c>
      <c r="BS109" s="12">
        <f>IF((0=1),SUMIFS('Daily evaluations'!$H$2:$H$36,'Daily evaluations'!$B$2:$B$36,"=naive_mcap",'Daily evaluations'!$C$2:$C$36,"=d20261229"),"")</f>
      </c>
      <c r="BT109" s="12">
        <f>IF((0=1),SUMIFS('Daily evaluations'!$H$2:$H$36,'Daily evaluations'!$B$2:$B$36,"=naive_mcap",'Daily evaluations'!$C$2:$C$36,"=d20261230"),"")</f>
      </c>
      <c r="BU109" s="12">
        <f>IF((0=1),SUMIFS('Daily evaluations'!$H$2:$H$36,'Daily evaluations'!$B$2:$B$36,"=naive_mcap",'Daily evaluations'!$C$2:$C$36,"=d20261231"),"")</f>
      </c>
      <c r="BV109" s="12">
        <f>IF((0=1),SUMIFS('Daily evaluations'!$H$2:$H$36,'Daily evaluations'!$B$2:$B$36,"=naive_mcap",'Daily evaluations'!$C$2:$C$36,"=d20270104"),"")</f>
      </c>
      <c r="BW109" s="12">
        <f>IF((0=1),SUMIFS('Daily evaluations'!$H$2:$H$36,'Daily evaluations'!$B$2:$B$36,"=naive_mcap",'Daily evaluations'!$C$2:$C$36,"=d20270105"),"")</f>
      </c>
      <c r="BX109" s="12">
        <f>IF((0=1),SUMIFS('Daily evaluations'!$H$2:$H$36,'Daily evaluations'!$B$2:$B$36,"=naive_mcap",'Daily evaluations'!$C$2:$C$36,"=d20270106"),"")</f>
      </c>
      <c r="BY109" s="12">
        <f>IF((0=1),SUMIFS('Daily evaluations'!$H$2:$H$36,'Daily evaluations'!$B$2:$B$36,"=naive_mcap",'Daily evaluations'!$C$2:$C$36,"=d20270107"),"")</f>
      </c>
      <c r="BZ109" s="12">
        <f>IF((0=1),SUMIFS('Daily evaluations'!$H$2:$H$36,'Daily evaluations'!$B$2:$B$36,"=naive_mcap",'Daily evaluations'!$C$2:$C$36,"=d20270108"),"")</f>
      </c>
      <c r="CA109" s="12">
        <f>IF((0=1),SUMIFS('Daily evaluations'!$H$2:$H$36,'Daily evaluations'!$B$2:$B$36,"=naive_mcap",'Daily evaluations'!$C$2:$C$36,"=d20270111"),"")</f>
      </c>
      <c r="CB109" s="12">
        <f>IF((0=1),SUMIFS('Daily evaluations'!$H$2:$H$36,'Daily evaluations'!$B$2:$B$36,"=naive_mcap",'Daily evaluations'!$C$2:$C$36,"=d20270112"),"")</f>
      </c>
      <c r="CC109" s="12">
        <f>IF((0=1),SUMIFS('Daily evaluations'!$H$2:$H$36,'Daily evaluations'!$B$2:$B$36,"=naive_mcap",'Daily evaluations'!$C$2:$C$36,"=d20270113"),"")</f>
      </c>
      <c r="CD109" s="12">
        <f>IF((0=1),SUMIFS('Daily evaluations'!$H$2:$H$36,'Daily evaluations'!$B$2:$B$36,"=naive_mcap",'Daily evaluations'!$C$2:$C$36,"=d20270114"),"")</f>
      </c>
      <c r="CE109" s="12">
        <f>IF((0=1),SUMIFS('Daily evaluations'!$H$2:$H$36,'Daily evaluations'!$B$2:$B$36,"=naive_mcap",'Daily evaluations'!$C$2:$C$36,"=d20270115"),"")</f>
      </c>
      <c r="CF109" s="12">
        <f>IF((0=1),SUMIFS('Daily evaluations'!$H$2:$H$36,'Daily evaluations'!$B$2:$B$36,"=naive_mcap",'Daily evaluations'!$C$2:$C$36,"=d20270119"),"")</f>
      </c>
      <c r="CG109" s="12">
        <f>IF((0=1),SUMIFS('Daily evaluations'!$H$2:$H$36,'Daily evaluations'!$B$2:$B$36,"=naive_mcap",'Daily evaluations'!$C$2:$C$36,"=d20270120"),"")</f>
      </c>
      <c r="CH109" s="12">
        <f>IF((0=1),SUMIFS('Daily evaluations'!$H$2:$H$36,'Daily evaluations'!$B$2:$B$36,"=naive_mcap",'Daily evaluations'!$C$2:$C$36,"=d20270121"),"")</f>
      </c>
      <c r="CI109" s="12">
        <f>IF((0=1),SUMIFS('Daily evaluations'!$H$2:$H$36,'Daily evaluations'!$B$2:$B$36,"=naive_mcap",'Daily evaluations'!$C$2:$C$36,"=d20270122"),"")</f>
      </c>
      <c r="CJ109" s="12">
        <f>IF((0=1),SUMIFS('Daily evaluations'!$H$2:$H$36,'Daily evaluations'!$B$2:$B$36,"=naive_mcap",'Daily evaluations'!$C$2:$C$36,"=d20270125"),"")</f>
      </c>
      <c r="CK109" s="12">
        <f>IF((0=1),SUMIFS('Daily evaluations'!$H$2:$H$36,'Daily evaluations'!$B$2:$B$36,"=naive_mcap",'Daily evaluations'!$C$2:$C$36,"=d20270126"),"")</f>
      </c>
      <c r="CL109" s="12">
        <f>IF((0=1),SUMIFS('Daily evaluations'!$H$2:$H$36,'Daily evaluations'!$B$2:$B$36,"=naive_mcap",'Daily evaluations'!$C$2:$C$36,"=d20270127"),"")</f>
      </c>
      <c r="CM109" s="12">
        <f>IF((0=1),SUMIFS('Daily evaluations'!$H$2:$H$36,'Daily evaluations'!$B$2:$B$36,"=naive_mcap",'Daily evaluations'!$C$2:$C$36,"=d20270128"),"")</f>
      </c>
      <c r="CN109" s="12">
        <f>IF((0=1),SUMIFS('Daily evaluations'!$H$2:$H$36,'Daily evaluations'!$B$2:$B$36,"=naive_mcap",'Daily evaluations'!$C$2:$C$36,"=d20270129"),"")</f>
      </c>
      <c r="CO109" s="12">
        <f>IF((0=1),SUMIFS('Daily evaluations'!$H$2:$H$36,'Daily evaluations'!$B$2:$B$36,"=naive_mcap",'Daily evaluations'!$C$2:$C$36,"=d20270201"),"")</f>
      </c>
      <c r="CP109" s="12">
        <f>IF((0=1),SUMIFS('Daily evaluations'!$H$2:$H$36,'Daily evaluations'!$B$2:$B$36,"=naive_mcap",'Daily evaluations'!$C$2:$C$36,"=d20270202"),"")</f>
      </c>
      <c r="CQ109" s="12">
        <f>IF((0=1),SUMIFS('Daily evaluations'!$H$2:$H$36,'Daily evaluations'!$B$2:$B$36,"=naive_mcap",'Daily evaluations'!$C$2:$C$36,"=d20270203"),"")</f>
      </c>
      <c r="CR109" s="12">
        <f>IF((0=1),SUMIFS('Daily evaluations'!$H$2:$H$36,'Daily evaluations'!$B$2:$B$36,"=naive_mcap",'Daily evaluations'!$C$2:$C$36,"=d20270204"),"")</f>
      </c>
      <c r="CS109" s="12">
        <f>IF((0=1),SUMIFS('Daily evaluations'!$H$2:$H$36,'Daily evaluations'!$B$2:$B$36,"=naive_mcap",'Daily evaluations'!$C$2:$C$36,"=d20270205"),"")</f>
      </c>
      <c r="CT109" s="12">
        <f>IF((0=1),SUMIFS('Daily evaluations'!$H$2:$H$36,'Daily evaluations'!$B$2:$B$36,"=naive_mcap",'Daily evaluations'!$C$2:$C$36,"=d20270208"),"")</f>
      </c>
      <c r="CU109" s="12">
        <f>IF((0=1),SUMIFS('Daily evaluations'!$H$2:$H$36,'Daily evaluations'!$B$2:$B$36,"=naive_mcap",'Daily evaluations'!$C$2:$C$36,"=d20270209"),"")</f>
      </c>
      <c r="CV109" s="12">
        <f>IF((0=1),SUMIFS('Daily evaluations'!$H$2:$H$36,'Daily evaluations'!$B$2:$B$36,"=naive_mcap",'Daily evaluations'!$C$2:$C$36,"=d20270210"),"")</f>
      </c>
      <c r="CW109" s="12">
        <f>IF((0=1),SUMIFS('Daily evaluations'!$H$2:$H$36,'Daily evaluations'!$B$2:$B$36,"=naive_mcap",'Daily evaluations'!$C$2:$C$36,"=d20270211"),"")</f>
      </c>
      <c r="CX109" s="12">
        <f>IF((0=1),SUMIFS('Daily evaluations'!$H$2:$H$36,'Daily evaluations'!$B$2:$B$36,"=naive_mcap",'Daily evaluations'!$C$2:$C$36,"=d20270212"),"")</f>
      </c>
    </row>
    <row r="110">
      <c r="A110" s="0" t="inlineStr">
        <is>
          <t xml:space="preserve">Hit rate vs universe median</t>
        </is>
      </c>
      <c r="B110" s="0" t="inlineStr">
        <is>
          <t xml:space="preserve">top 100 by 12-1 month return</t>
        </is>
      </c>
      <c r="C110" s="12">
        <f>IF((1=1),SUMIFS('Daily evaluations'!$H$2:$H$36,'Daily evaluations'!$B$2:$B$36,"=naive_mom",'Daily evaluations'!$C$2:$C$36,"=d20260922"),"")</f>
        <v>0.51</v>
      </c>
      <c r="D110" s="12">
        <f>IF((0=1),SUMIFS('Daily evaluations'!$H$2:$H$36,'Daily evaluations'!$B$2:$B$36,"=naive_mom",'Daily evaluations'!$C$2:$C$36,"=d20260923"),"")</f>
      </c>
      <c r="E110" s="12">
        <f>IF((0=1),SUMIFS('Daily evaluations'!$H$2:$H$36,'Daily evaluations'!$B$2:$B$36,"=naive_mom",'Daily evaluations'!$C$2:$C$36,"=d20260924"),"")</f>
      </c>
      <c r="F110" s="12">
        <f>IF((0=1),SUMIFS('Daily evaluations'!$H$2:$H$36,'Daily evaluations'!$B$2:$B$36,"=naive_mom",'Daily evaluations'!$C$2:$C$36,"=d20260925"),"")</f>
      </c>
      <c r="G110" s="12">
        <f>IF((0=1),SUMIFS('Daily evaluations'!$H$2:$H$36,'Daily evaluations'!$B$2:$B$36,"=naive_mom",'Daily evaluations'!$C$2:$C$36,"=d20260928"),"")</f>
      </c>
      <c r="H110" s="12">
        <f>IF((0=1),SUMIFS('Daily evaluations'!$H$2:$H$36,'Daily evaluations'!$B$2:$B$36,"=naive_mom",'Daily evaluations'!$C$2:$C$36,"=d20260929"),"")</f>
      </c>
      <c r="I110" s="12">
        <f>IF((0=1),SUMIFS('Daily evaluations'!$H$2:$H$36,'Daily evaluations'!$B$2:$B$36,"=naive_mom",'Daily evaluations'!$C$2:$C$36,"=d20260930"),"")</f>
      </c>
      <c r="J110" s="12">
        <f>IF((0=1),SUMIFS('Daily evaluations'!$H$2:$H$36,'Daily evaluations'!$B$2:$B$36,"=naive_mom",'Daily evaluations'!$C$2:$C$36,"=d20261001"),"")</f>
      </c>
      <c r="K110" s="12">
        <f>IF((0=1),SUMIFS('Daily evaluations'!$H$2:$H$36,'Daily evaluations'!$B$2:$B$36,"=naive_mom",'Daily evaluations'!$C$2:$C$36,"=d20261002"),"")</f>
      </c>
      <c r="L110" s="12">
        <f>IF((0=1),SUMIFS('Daily evaluations'!$H$2:$H$36,'Daily evaluations'!$B$2:$B$36,"=naive_mom",'Daily evaluations'!$C$2:$C$36,"=d20261005"),"")</f>
      </c>
      <c r="M110" s="12">
        <f>IF((0=1),SUMIFS('Daily evaluations'!$H$2:$H$36,'Daily evaluations'!$B$2:$B$36,"=naive_mom",'Daily evaluations'!$C$2:$C$36,"=d20261006"),"")</f>
      </c>
      <c r="N110" s="12">
        <f>IF((0=1),SUMIFS('Daily evaluations'!$H$2:$H$36,'Daily evaluations'!$B$2:$B$36,"=naive_mom",'Daily evaluations'!$C$2:$C$36,"=d20261007"),"")</f>
      </c>
      <c r="O110" s="12">
        <f>IF((0=1),SUMIFS('Daily evaluations'!$H$2:$H$36,'Daily evaluations'!$B$2:$B$36,"=naive_mom",'Daily evaluations'!$C$2:$C$36,"=d20261008"),"")</f>
      </c>
      <c r="P110" s="12">
        <f>IF((0=1),SUMIFS('Daily evaluations'!$H$2:$H$36,'Daily evaluations'!$B$2:$B$36,"=naive_mom",'Daily evaluations'!$C$2:$C$36,"=d20261009"),"")</f>
      </c>
      <c r="Q110" s="12">
        <f>IF((0=1),SUMIFS('Daily evaluations'!$H$2:$H$36,'Daily evaluations'!$B$2:$B$36,"=naive_mom",'Daily evaluations'!$C$2:$C$36,"=d20261012"),"")</f>
      </c>
      <c r="R110" s="12">
        <f>IF((0=1),SUMIFS('Daily evaluations'!$H$2:$H$36,'Daily evaluations'!$B$2:$B$36,"=naive_mom",'Daily evaluations'!$C$2:$C$36,"=d20261013"),"")</f>
      </c>
      <c r="S110" s="12">
        <f>IF((0=1),SUMIFS('Daily evaluations'!$H$2:$H$36,'Daily evaluations'!$B$2:$B$36,"=naive_mom",'Daily evaluations'!$C$2:$C$36,"=d20261014"),"")</f>
      </c>
      <c r="T110" s="12">
        <f>IF((0=1),SUMIFS('Daily evaluations'!$H$2:$H$36,'Daily evaluations'!$B$2:$B$36,"=naive_mom",'Daily evaluations'!$C$2:$C$36,"=d20261015"),"")</f>
      </c>
      <c r="U110" s="12">
        <f>IF((0=1),SUMIFS('Daily evaluations'!$H$2:$H$36,'Daily evaluations'!$B$2:$B$36,"=naive_mom",'Daily evaluations'!$C$2:$C$36,"=d20261016"),"")</f>
      </c>
      <c r="V110" s="12">
        <f>IF((0=1),SUMIFS('Daily evaluations'!$H$2:$H$36,'Daily evaluations'!$B$2:$B$36,"=naive_mom",'Daily evaluations'!$C$2:$C$36,"=d20261019"),"")</f>
      </c>
      <c r="W110" s="12">
        <f>IF((0=1),SUMIFS('Daily evaluations'!$H$2:$H$36,'Daily evaluations'!$B$2:$B$36,"=naive_mom",'Daily evaluations'!$C$2:$C$36,"=d20261020"),"")</f>
      </c>
      <c r="X110" s="12">
        <f>IF((0=1),SUMIFS('Daily evaluations'!$H$2:$H$36,'Daily evaluations'!$B$2:$B$36,"=naive_mom",'Daily evaluations'!$C$2:$C$36,"=d20261021"),"")</f>
      </c>
      <c r="Y110" s="12">
        <f>IF((0=1),SUMIFS('Daily evaluations'!$H$2:$H$36,'Daily evaluations'!$B$2:$B$36,"=naive_mom",'Daily evaluations'!$C$2:$C$36,"=d20261022"),"")</f>
      </c>
      <c r="Z110" s="12">
        <f>IF((0=1),SUMIFS('Daily evaluations'!$H$2:$H$36,'Daily evaluations'!$B$2:$B$36,"=naive_mom",'Daily evaluations'!$C$2:$C$36,"=d20261023"),"")</f>
      </c>
      <c r="AA110" s="12">
        <f>IF((0=1),SUMIFS('Daily evaluations'!$H$2:$H$36,'Daily evaluations'!$B$2:$B$36,"=naive_mom",'Daily evaluations'!$C$2:$C$36,"=d20261026"),"")</f>
      </c>
      <c r="AB110" s="12">
        <f>IF((0=1),SUMIFS('Daily evaluations'!$H$2:$H$36,'Daily evaluations'!$B$2:$B$36,"=naive_mom",'Daily evaluations'!$C$2:$C$36,"=d20261027"),"")</f>
      </c>
      <c r="AC110" s="12">
        <f>IF((0=1),SUMIFS('Daily evaluations'!$H$2:$H$36,'Daily evaluations'!$B$2:$B$36,"=naive_mom",'Daily evaluations'!$C$2:$C$36,"=d20261028"),"")</f>
      </c>
      <c r="AD110" s="12">
        <f>IF((0=1),SUMIFS('Daily evaluations'!$H$2:$H$36,'Daily evaluations'!$B$2:$B$36,"=naive_mom",'Daily evaluations'!$C$2:$C$36,"=d20261029"),"")</f>
      </c>
      <c r="AE110" s="12">
        <f>IF((0=1),SUMIFS('Daily evaluations'!$H$2:$H$36,'Daily evaluations'!$B$2:$B$36,"=naive_mom",'Daily evaluations'!$C$2:$C$36,"=d20261030"),"")</f>
      </c>
      <c r="AF110" s="12">
        <f>IF((0=1),SUMIFS('Daily evaluations'!$H$2:$H$36,'Daily evaluations'!$B$2:$B$36,"=naive_mom",'Daily evaluations'!$C$2:$C$36,"=d20261102"),"")</f>
      </c>
      <c r="AG110" s="12">
        <f>IF((0=1),SUMIFS('Daily evaluations'!$H$2:$H$36,'Daily evaluations'!$B$2:$B$36,"=naive_mom",'Daily evaluations'!$C$2:$C$36,"=d20261103"),"")</f>
      </c>
      <c r="AH110" s="12">
        <f>IF((0=1),SUMIFS('Daily evaluations'!$H$2:$H$36,'Daily evaluations'!$B$2:$B$36,"=naive_mom",'Daily evaluations'!$C$2:$C$36,"=d20261104"),"")</f>
      </c>
      <c r="AI110" s="12">
        <f>IF((0=1),SUMIFS('Daily evaluations'!$H$2:$H$36,'Daily evaluations'!$B$2:$B$36,"=naive_mom",'Daily evaluations'!$C$2:$C$36,"=d20261105"),"")</f>
      </c>
      <c r="AJ110" s="12">
        <f>IF((0=1),SUMIFS('Daily evaluations'!$H$2:$H$36,'Daily evaluations'!$B$2:$B$36,"=naive_mom",'Daily evaluations'!$C$2:$C$36,"=d20261106"),"")</f>
      </c>
      <c r="AK110" s="12">
        <f>IF((0=1),SUMIFS('Daily evaluations'!$H$2:$H$36,'Daily evaluations'!$B$2:$B$36,"=naive_mom",'Daily evaluations'!$C$2:$C$36,"=d20261109"),"")</f>
      </c>
      <c r="AL110" s="12">
        <f>IF((0=1),SUMIFS('Daily evaluations'!$H$2:$H$36,'Daily evaluations'!$B$2:$B$36,"=naive_mom",'Daily evaluations'!$C$2:$C$36,"=d20261110"),"")</f>
      </c>
      <c r="AM110" s="12">
        <f>IF((0=1),SUMIFS('Daily evaluations'!$H$2:$H$36,'Daily evaluations'!$B$2:$B$36,"=naive_mom",'Daily evaluations'!$C$2:$C$36,"=d20261111"),"")</f>
      </c>
      <c r="AN110" s="12">
        <f>IF((0=1),SUMIFS('Daily evaluations'!$H$2:$H$36,'Daily evaluations'!$B$2:$B$36,"=naive_mom",'Daily evaluations'!$C$2:$C$36,"=d20261112"),"")</f>
      </c>
      <c r="AO110" s="12">
        <f>IF((0=1),SUMIFS('Daily evaluations'!$H$2:$H$36,'Daily evaluations'!$B$2:$B$36,"=naive_mom",'Daily evaluations'!$C$2:$C$36,"=d20261113"),"")</f>
      </c>
      <c r="AP110" s="12">
        <f>IF((0=1),SUMIFS('Daily evaluations'!$H$2:$H$36,'Daily evaluations'!$B$2:$B$36,"=naive_mom",'Daily evaluations'!$C$2:$C$36,"=d20261116"),"")</f>
      </c>
      <c r="AQ110" s="12">
        <f>IF((0=1),SUMIFS('Daily evaluations'!$H$2:$H$36,'Daily evaluations'!$B$2:$B$36,"=naive_mom",'Daily evaluations'!$C$2:$C$36,"=d20261117"),"")</f>
      </c>
      <c r="AR110" s="12">
        <f>IF((0=1),SUMIFS('Daily evaluations'!$H$2:$H$36,'Daily evaluations'!$B$2:$B$36,"=naive_mom",'Daily evaluations'!$C$2:$C$36,"=d20261118"),"")</f>
      </c>
      <c r="AS110" s="12">
        <f>IF((0=1),SUMIFS('Daily evaluations'!$H$2:$H$36,'Daily evaluations'!$B$2:$B$36,"=naive_mom",'Daily evaluations'!$C$2:$C$36,"=d20261119"),"")</f>
      </c>
      <c r="AT110" s="12">
        <f>IF((0=1),SUMIFS('Daily evaluations'!$H$2:$H$36,'Daily evaluations'!$B$2:$B$36,"=naive_mom",'Daily evaluations'!$C$2:$C$36,"=d20261120"),"")</f>
      </c>
      <c r="AU110" s="12">
        <f>IF((0=1),SUMIFS('Daily evaluations'!$H$2:$H$36,'Daily evaluations'!$B$2:$B$36,"=naive_mom",'Daily evaluations'!$C$2:$C$36,"=d20261123"),"")</f>
      </c>
      <c r="AV110" s="12">
        <f>IF((0=1),SUMIFS('Daily evaluations'!$H$2:$H$36,'Daily evaluations'!$B$2:$B$36,"=naive_mom",'Daily evaluations'!$C$2:$C$36,"=d20261124"),"")</f>
      </c>
      <c r="AW110" s="12">
        <f>IF((0=1),SUMIFS('Daily evaluations'!$H$2:$H$36,'Daily evaluations'!$B$2:$B$36,"=naive_mom",'Daily evaluations'!$C$2:$C$36,"=d20261125"),"")</f>
      </c>
      <c r="AX110" s="12">
        <f>IF((0=1),SUMIFS('Daily evaluations'!$H$2:$H$36,'Daily evaluations'!$B$2:$B$36,"=naive_mom",'Daily evaluations'!$C$2:$C$36,"=d20261127"),"")</f>
      </c>
      <c r="AY110" s="12">
        <f>IF((0=1),SUMIFS('Daily evaluations'!$H$2:$H$36,'Daily evaluations'!$B$2:$B$36,"=naive_mom",'Daily evaluations'!$C$2:$C$36,"=d20261130"),"")</f>
      </c>
      <c r="AZ110" s="12">
        <f>IF((0=1),SUMIFS('Daily evaluations'!$H$2:$H$36,'Daily evaluations'!$B$2:$B$36,"=naive_mom",'Daily evaluations'!$C$2:$C$36,"=d20261201"),"")</f>
      </c>
      <c r="BA110" s="12">
        <f>IF((0=1),SUMIFS('Daily evaluations'!$H$2:$H$36,'Daily evaluations'!$B$2:$B$36,"=naive_mom",'Daily evaluations'!$C$2:$C$36,"=d20261202"),"")</f>
      </c>
      <c r="BB110" s="12">
        <f>IF((0=1),SUMIFS('Daily evaluations'!$H$2:$H$36,'Daily evaluations'!$B$2:$B$36,"=naive_mom",'Daily evaluations'!$C$2:$C$36,"=d20261203"),"")</f>
      </c>
      <c r="BC110" s="12">
        <f>IF((0=1),SUMIFS('Daily evaluations'!$H$2:$H$36,'Daily evaluations'!$B$2:$B$36,"=naive_mom",'Daily evaluations'!$C$2:$C$36,"=d20261204"),"")</f>
      </c>
      <c r="BD110" s="12">
        <f>IF((0=1),SUMIFS('Daily evaluations'!$H$2:$H$36,'Daily evaluations'!$B$2:$B$36,"=naive_mom",'Daily evaluations'!$C$2:$C$36,"=d20261207"),"")</f>
      </c>
      <c r="BE110" s="12">
        <f>IF((0=1),SUMIFS('Daily evaluations'!$H$2:$H$36,'Daily evaluations'!$B$2:$B$36,"=naive_mom",'Daily evaluations'!$C$2:$C$36,"=d20261208"),"")</f>
      </c>
      <c r="BF110" s="12">
        <f>IF((0=1),SUMIFS('Daily evaluations'!$H$2:$H$36,'Daily evaluations'!$B$2:$B$36,"=naive_mom",'Daily evaluations'!$C$2:$C$36,"=d20261209"),"")</f>
      </c>
      <c r="BG110" s="12">
        <f>IF((0=1),SUMIFS('Daily evaluations'!$H$2:$H$36,'Daily evaluations'!$B$2:$B$36,"=naive_mom",'Daily evaluations'!$C$2:$C$36,"=d20261210"),"")</f>
      </c>
      <c r="BH110" s="12">
        <f>IF((0=1),SUMIFS('Daily evaluations'!$H$2:$H$36,'Daily evaluations'!$B$2:$B$36,"=naive_mom",'Daily evaluations'!$C$2:$C$36,"=d20261211"),"")</f>
      </c>
      <c r="BI110" s="12">
        <f>IF((0=1),SUMIFS('Daily evaluations'!$H$2:$H$36,'Daily evaluations'!$B$2:$B$36,"=naive_mom",'Daily evaluations'!$C$2:$C$36,"=d20261214"),"")</f>
      </c>
      <c r="BJ110" s="12">
        <f>IF((0=1),SUMIFS('Daily evaluations'!$H$2:$H$36,'Daily evaluations'!$B$2:$B$36,"=naive_mom",'Daily evaluations'!$C$2:$C$36,"=d20261215"),"")</f>
      </c>
      <c r="BK110" s="12">
        <f>IF((0=1),SUMIFS('Daily evaluations'!$H$2:$H$36,'Daily evaluations'!$B$2:$B$36,"=naive_mom",'Daily evaluations'!$C$2:$C$36,"=d20261216"),"")</f>
      </c>
      <c r="BL110" s="12">
        <f>IF((0=1),SUMIFS('Daily evaluations'!$H$2:$H$36,'Daily evaluations'!$B$2:$B$36,"=naive_mom",'Daily evaluations'!$C$2:$C$36,"=d20261217"),"")</f>
      </c>
      <c r="BM110" s="12">
        <f>IF((0=1),SUMIFS('Daily evaluations'!$H$2:$H$36,'Daily evaluations'!$B$2:$B$36,"=naive_mom",'Daily evaluations'!$C$2:$C$36,"=d20261218"),"")</f>
      </c>
      <c r="BN110" s="12">
        <f>IF((0=1),SUMIFS('Daily evaluations'!$H$2:$H$36,'Daily evaluations'!$B$2:$B$36,"=naive_mom",'Daily evaluations'!$C$2:$C$36,"=d20261221"),"")</f>
      </c>
      <c r="BO110" s="12">
        <f>IF((0=1),SUMIFS('Daily evaluations'!$H$2:$H$36,'Daily evaluations'!$B$2:$B$36,"=naive_mom",'Daily evaluations'!$C$2:$C$36,"=d20261222"),"")</f>
      </c>
      <c r="BP110" s="12">
        <f>IF((0=1),SUMIFS('Daily evaluations'!$H$2:$H$36,'Daily evaluations'!$B$2:$B$36,"=naive_mom",'Daily evaluations'!$C$2:$C$36,"=d20261223"),"")</f>
      </c>
      <c r="BQ110" s="12">
        <f>IF((0=1),SUMIFS('Daily evaluations'!$H$2:$H$36,'Daily evaluations'!$B$2:$B$36,"=naive_mom",'Daily evaluations'!$C$2:$C$36,"=d20261224"),"")</f>
      </c>
      <c r="BR110" s="12">
        <f>IF((0=1),SUMIFS('Daily evaluations'!$H$2:$H$36,'Daily evaluations'!$B$2:$B$36,"=naive_mom",'Daily evaluations'!$C$2:$C$36,"=d20261228"),"")</f>
      </c>
      <c r="BS110" s="12">
        <f>IF((0=1),SUMIFS('Daily evaluations'!$H$2:$H$36,'Daily evaluations'!$B$2:$B$36,"=naive_mom",'Daily evaluations'!$C$2:$C$36,"=d20261229"),"")</f>
      </c>
      <c r="BT110" s="12">
        <f>IF((0=1),SUMIFS('Daily evaluations'!$H$2:$H$36,'Daily evaluations'!$B$2:$B$36,"=naive_mom",'Daily evaluations'!$C$2:$C$36,"=d20261230"),"")</f>
      </c>
      <c r="BU110" s="12">
        <f>IF((0=1),SUMIFS('Daily evaluations'!$H$2:$H$36,'Daily evaluations'!$B$2:$B$36,"=naive_mom",'Daily evaluations'!$C$2:$C$36,"=d20261231"),"")</f>
      </c>
      <c r="BV110" s="12">
        <f>IF((0=1),SUMIFS('Daily evaluations'!$H$2:$H$36,'Daily evaluations'!$B$2:$B$36,"=naive_mom",'Daily evaluations'!$C$2:$C$36,"=d20270104"),"")</f>
      </c>
      <c r="BW110" s="12">
        <f>IF((0=1),SUMIFS('Daily evaluations'!$H$2:$H$36,'Daily evaluations'!$B$2:$B$36,"=naive_mom",'Daily evaluations'!$C$2:$C$36,"=d20270105"),"")</f>
      </c>
      <c r="BX110" s="12">
        <f>IF((0=1),SUMIFS('Daily evaluations'!$H$2:$H$36,'Daily evaluations'!$B$2:$B$36,"=naive_mom",'Daily evaluations'!$C$2:$C$36,"=d20270106"),"")</f>
      </c>
      <c r="BY110" s="12">
        <f>IF((0=1),SUMIFS('Daily evaluations'!$H$2:$H$36,'Daily evaluations'!$B$2:$B$36,"=naive_mom",'Daily evaluations'!$C$2:$C$36,"=d20270107"),"")</f>
      </c>
      <c r="BZ110" s="12">
        <f>IF((0=1),SUMIFS('Daily evaluations'!$H$2:$H$36,'Daily evaluations'!$B$2:$B$36,"=naive_mom",'Daily evaluations'!$C$2:$C$36,"=d20270108"),"")</f>
      </c>
      <c r="CA110" s="12">
        <f>IF((0=1),SUMIFS('Daily evaluations'!$H$2:$H$36,'Daily evaluations'!$B$2:$B$36,"=naive_mom",'Daily evaluations'!$C$2:$C$36,"=d20270111"),"")</f>
      </c>
      <c r="CB110" s="12">
        <f>IF((0=1),SUMIFS('Daily evaluations'!$H$2:$H$36,'Daily evaluations'!$B$2:$B$36,"=naive_mom",'Daily evaluations'!$C$2:$C$36,"=d20270112"),"")</f>
      </c>
      <c r="CC110" s="12">
        <f>IF((0=1),SUMIFS('Daily evaluations'!$H$2:$H$36,'Daily evaluations'!$B$2:$B$36,"=naive_mom",'Daily evaluations'!$C$2:$C$36,"=d20270113"),"")</f>
      </c>
      <c r="CD110" s="12">
        <f>IF((0=1),SUMIFS('Daily evaluations'!$H$2:$H$36,'Daily evaluations'!$B$2:$B$36,"=naive_mom",'Daily evaluations'!$C$2:$C$36,"=d20270114"),"")</f>
      </c>
      <c r="CE110" s="12">
        <f>IF((0=1),SUMIFS('Daily evaluations'!$H$2:$H$36,'Daily evaluations'!$B$2:$B$36,"=naive_mom",'Daily evaluations'!$C$2:$C$36,"=d20270115"),"")</f>
      </c>
      <c r="CF110" s="12">
        <f>IF((0=1),SUMIFS('Daily evaluations'!$H$2:$H$36,'Daily evaluations'!$B$2:$B$36,"=naive_mom",'Daily evaluations'!$C$2:$C$36,"=d20270119"),"")</f>
      </c>
      <c r="CG110" s="12">
        <f>IF((0=1),SUMIFS('Daily evaluations'!$H$2:$H$36,'Daily evaluations'!$B$2:$B$36,"=naive_mom",'Daily evaluations'!$C$2:$C$36,"=d20270120"),"")</f>
      </c>
      <c r="CH110" s="12">
        <f>IF((0=1),SUMIFS('Daily evaluations'!$H$2:$H$36,'Daily evaluations'!$B$2:$B$36,"=naive_mom",'Daily evaluations'!$C$2:$C$36,"=d20270121"),"")</f>
      </c>
      <c r="CI110" s="12">
        <f>IF((0=1),SUMIFS('Daily evaluations'!$H$2:$H$36,'Daily evaluations'!$B$2:$B$36,"=naive_mom",'Daily evaluations'!$C$2:$C$36,"=d20270122"),"")</f>
      </c>
      <c r="CJ110" s="12">
        <f>IF((0=1),SUMIFS('Daily evaluations'!$H$2:$H$36,'Daily evaluations'!$B$2:$B$36,"=naive_mom",'Daily evaluations'!$C$2:$C$36,"=d20270125"),"")</f>
      </c>
      <c r="CK110" s="12">
        <f>IF((0=1),SUMIFS('Daily evaluations'!$H$2:$H$36,'Daily evaluations'!$B$2:$B$36,"=naive_mom",'Daily evaluations'!$C$2:$C$36,"=d20270126"),"")</f>
      </c>
      <c r="CL110" s="12">
        <f>IF((0=1),SUMIFS('Daily evaluations'!$H$2:$H$36,'Daily evaluations'!$B$2:$B$36,"=naive_mom",'Daily evaluations'!$C$2:$C$36,"=d20270127"),"")</f>
      </c>
      <c r="CM110" s="12">
        <f>IF((0=1),SUMIFS('Daily evaluations'!$H$2:$H$36,'Daily evaluations'!$B$2:$B$36,"=naive_mom",'Daily evaluations'!$C$2:$C$36,"=d20270128"),"")</f>
      </c>
      <c r="CN110" s="12">
        <f>IF((0=1),SUMIFS('Daily evaluations'!$H$2:$H$36,'Daily evaluations'!$B$2:$B$36,"=naive_mom",'Daily evaluations'!$C$2:$C$36,"=d20270129"),"")</f>
      </c>
      <c r="CO110" s="12">
        <f>IF((0=1),SUMIFS('Daily evaluations'!$H$2:$H$36,'Daily evaluations'!$B$2:$B$36,"=naive_mom",'Daily evaluations'!$C$2:$C$36,"=d20270201"),"")</f>
      </c>
      <c r="CP110" s="12">
        <f>IF((0=1),SUMIFS('Daily evaluations'!$H$2:$H$36,'Daily evaluations'!$B$2:$B$36,"=naive_mom",'Daily evaluations'!$C$2:$C$36,"=d20270202"),"")</f>
      </c>
      <c r="CQ110" s="12">
        <f>IF((0=1),SUMIFS('Daily evaluations'!$H$2:$H$36,'Daily evaluations'!$B$2:$B$36,"=naive_mom",'Daily evaluations'!$C$2:$C$36,"=d20270203"),"")</f>
      </c>
      <c r="CR110" s="12">
        <f>IF((0=1),SUMIFS('Daily evaluations'!$H$2:$H$36,'Daily evaluations'!$B$2:$B$36,"=naive_mom",'Daily evaluations'!$C$2:$C$36,"=d20270204"),"")</f>
      </c>
      <c r="CS110" s="12">
        <f>IF((0=1),SUMIFS('Daily evaluations'!$H$2:$H$36,'Daily evaluations'!$B$2:$B$36,"=naive_mom",'Daily evaluations'!$C$2:$C$36,"=d20270205"),"")</f>
      </c>
      <c r="CT110" s="12">
        <f>IF((0=1),SUMIFS('Daily evaluations'!$H$2:$H$36,'Daily evaluations'!$B$2:$B$36,"=naive_mom",'Daily evaluations'!$C$2:$C$36,"=d20270208"),"")</f>
      </c>
      <c r="CU110" s="12">
        <f>IF((0=1),SUMIFS('Daily evaluations'!$H$2:$H$36,'Daily evaluations'!$B$2:$B$36,"=naive_mom",'Daily evaluations'!$C$2:$C$36,"=d20270209"),"")</f>
      </c>
      <c r="CV110" s="12">
        <f>IF((0=1),SUMIFS('Daily evaluations'!$H$2:$H$36,'Daily evaluations'!$B$2:$B$36,"=naive_mom",'Daily evaluations'!$C$2:$C$36,"=d20270210"),"")</f>
      </c>
      <c r="CW110" s="12">
        <f>IF((0=1),SUMIFS('Daily evaluations'!$H$2:$H$36,'Daily evaluations'!$B$2:$B$36,"=naive_mom",'Daily evaluations'!$C$2:$C$36,"=d20270211"),"")</f>
      </c>
      <c r="CX110" s="12">
        <f>IF((0=1),SUMIFS('Daily evaluations'!$H$2:$H$36,'Daily evaluations'!$B$2:$B$36,"=naive_mom",'Daily evaluations'!$C$2:$C$36,"=d20270212"),"")</f>
      </c>
    </row>
    <row r="111">
      <c r="A111" s="0" t="inlineStr">
        <is>
          <t xml:space="preserve">Hit rate vs universe median</t>
        </is>
      </c>
      <c r="B111" s="0" t="inlineStr">
        <is>
          <t xml:space="preserve">best 100 by yesterday's close-to-close return</t>
        </is>
      </c>
      <c r="C111" s="12">
        <f>IF((1=1),SUMIFS('Daily evaluations'!$H$2:$H$36,'Daily evaluations'!$B$2:$B$36,"=naive_winner1d",'Daily evaluations'!$C$2:$C$36,"=d20260922"),"")</f>
        <v>0.5758</v>
      </c>
      <c r="D111" s="12">
        <f>IF((0=1),SUMIFS('Daily evaluations'!$H$2:$H$36,'Daily evaluations'!$B$2:$B$36,"=naive_winner1d",'Daily evaluations'!$C$2:$C$36,"=d20260923"),"")</f>
      </c>
      <c r="E111" s="12">
        <f>IF((0=1),SUMIFS('Daily evaluations'!$H$2:$H$36,'Daily evaluations'!$B$2:$B$36,"=naive_winner1d",'Daily evaluations'!$C$2:$C$36,"=d20260924"),"")</f>
      </c>
      <c r="F111" s="12">
        <f>IF((0=1),SUMIFS('Daily evaluations'!$H$2:$H$36,'Daily evaluations'!$B$2:$B$36,"=naive_winner1d",'Daily evaluations'!$C$2:$C$36,"=d20260925"),"")</f>
      </c>
      <c r="G111" s="12">
        <f>IF((0=1),SUMIFS('Daily evaluations'!$H$2:$H$36,'Daily evaluations'!$B$2:$B$36,"=naive_winner1d",'Daily evaluations'!$C$2:$C$36,"=d20260928"),"")</f>
      </c>
      <c r="H111" s="12">
        <f>IF((0=1),SUMIFS('Daily evaluations'!$H$2:$H$36,'Daily evaluations'!$B$2:$B$36,"=naive_winner1d",'Daily evaluations'!$C$2:$C$36,"=d20260929"),"")</f>
      </c>
      <c r="I111" s="12">
        <f>IF((0=1),SUMIFS('Daily evaluations'!$H$2:$H$36,'Daily evaluations'!$B$2:$B$36,"=naive_winner1d",'Daily evaluations'!$C$2:$C$36,"=d20260930"),"")</f>
      </c>
      <c r="J111" s="12">
        <f>IF((0=1),SUMIFS('Daily evaluations'!$H$2:$H$36,'Daily evaluations'!$B$2:$B$36,"=naive_winner1d",'Daily evaluations'!$C$2:$C$36,"=d20261001"),"")</f>
      </c>
      <c r="K111" s="12">
        <f>IF((0=1),SUMIFS('Daily evaluations'!$H$2:$H$36,'Daily evaluations'!$B$2:$B$36,"=naive_winner1d",'Daily evaluations'!$C$2:$C$36,"=d20261002"),"")</f>
      </c>
      <c r="L111" s="12">
        <f>IF((0=1),SUMIFS('Daily evaluations'!$H$2:$H$36,'Daily evaluations'!$B$2:$B$36,"=naive_winner1d",'Daily evaluations'!$C$2:$C$36,"=d20261005"),"")</f>
      </c>
      <c r="M111" s="12">
        <f>IF((0=1),SUMIFS('Daily evaluations'!$H$2:$H$36,'Daily evaluations'!$B$2:$B$36,"=naive_winner1d",'Daily evaluations'!$C$2:$C$36,"=d20261006"),"")</f>
      </c>
      <c r="N111" s="12">
        <f>IF((0=1),SUMIFS('Daily evaluations'!$H$2:$H$36,'Daily evaluations'!$B$2:$B$36,"=naive_winner1d",'Daily evaluations'!$C$2:$C$36,"=d20261007"),"")</f>
      </c>
      <c r="O111" s="12">
        <f>IF((0=1),SUMIFS('Daily evaluations'!$H$2:$H$36,'Daily evaluations'!$B$2:$B$36,"=naive_winner1d",'Daily evaluations'!$C$2:$C$36,"=d20261008"),"")</f>
      </c>
      <c r="P111" s="12">
        <f>IF((0=1),SUMIFS('Daily evaluations'!$H$2:$H$36,'Daily evaluations'!$B$2:$B$36,"=naive_winner1d",'Daily evaluations'!$C$2:$C$36,"=d20261009"),"")</f>
      </c>
      <c r="Q111" s="12">
        <f>IF((0=1),SUMIFS('Daily evaluations'!$H$2:$H$36,'Daily evaluations'!$B$2:$B$36,"=naive_winner1d",'Daily evaluations'!$C$2:$C$36,"=d20261012"),"")</f>
      </c>
      <c r="R111" s="12">
        <f>IF((0=1),SUMIFS('Daily evaluations'!$H$2:$H$36,'Daily evaluations'!$B$2:$B$36,"=naive_winner1d",'Daily evaluations'!$C$2:$C$36,"=d20261013"),"")</f>
      </c>
      <c r="S111" s="12">
        <f>IF((0=1),SUMIFS('Daily evaluations'!$H$2:$H$36,'Daily evaluations'!$B$2:$B$36,"=naive_winner1d",'Daily evaluations'!$C$2:$C$36,"=d20261014"),"")</f>
      </c>
      <c r="T111" s="12">
        <f>IF((0=1),SUMIFS('Daily evaluations'!$H$2:$H$36,'Daily evaluations'!$B$2:$B$36,"=naive_winner1d",'Daily evaluations'!$C$2:$C$36,"=d20261015"),"")</f>
      </c>
      <c r="U111" s="12">
        <f>IF((0=1),SUMIFS('Daily evaluations'!$H$2:$H$36,'Daily evaluations'!$B$2:$B$36,"=naive_winner1d",'Daily evaluations'!$C$2:$C$36,"=d20261016"),"")</f>
      </c>
      <c r="V111" s="12">
        <f>IF((0=1),SUMIFS('Daily evaluations'!$H$2:$H$36,'Daily evaluations'!$B$2:$B$36,"=naive_winner1d",'Daily evaluations'!$C$2:$C$36,"=d20261019"),"")</f>
      </c>
      <c r="W111" s="12">
        <f>IF((0=1),SUMIFS('Daily evaluations'!$H$2:$H$36,'Daily evaluations'!$B$2:$B$36,"=naive_winner1d",'Daily evaluations'!$C$2:$C$36,"=d20261020"),"")</f>
      </c>
      <c r="X111" s="12">
        <f>IF((0=1),SUMIFS('Daily evaluations'!$H$2:$H$36,'Daily evaluations'!$B$2:$B$36,"=naive_winner1d",'Daily evaluations'!$C$2:$C$36,"=d20261021"),"")</f>
      </c>
      <c r="Y111" s="12">
        <f>IF((0=1),SUMIFS('Daily evaluations'!$H$2:$H$36,'Daily evaluations'!$B$2:$B$36,"=naive_winner1d",'Daily evaluations'!$C$2:$C$36,"=d20261022"),"")</f>
      </c>
      <c r="Z111" s="12">
        <f>IF((0=1),SUMIFS('Daily evaluations'!$H$2:$H$36,'Daily evaluations'!$B$2:$B$36,"=naive_winner1d",'Daily evaluations'!$C$2:$C$36,"=d20261023"),"")</f>
      </c>
      <c r="AA111" s="12">
        <f>IF((0=1),SUMIFS('Daily evaluations'!$H$2:$H$36,'Daily evaluations'!$B$2:$B$36,"=naive_winner1d",'Daily evaluations'!$C$2:$C$36,"=d20261026"),"")</f>
      </c>
      <c r="AB111" s="12">
        <f>IF((0=1),SUMIFS('Daily evaluations'!$H$2:$H$36,'Daily evaluations'!$B$2:$B$36,"=naive_winner1d",'Daily evaluations'!$C$2:$C$36,"=d20261027"),"")</f>
      </c>
      <c r="AC111" s="12">
        <f>IF((0=1),SUMIFS('Daily evaluations'!$H$2:$H$36,'Daily evaluations'!$B$2:$B$36,"=naive_winner1d",'Daily evaluations'!$C$2:$C$36,"=d20261028"),"")</f>
      </c>
      <c r="AD111" s="12">
        <f>IF((0=1),SUMIFS('Daily evaluations'!$H$2:$H$36,'Daily evaluations'!$B$2:$B$36,"=naive_winner1d",'Daily evaluations'!$C$2:$C$36,"=d20261029"),"")</f>
      </c>
      <c r="AE111" s="12">
        <f>IF((0=1),SUMIFS('Daily evaluations'!$H$2:$H$36,'Daily evaluations'!$B$2:$B$36,"=naive_winner1d",'Daily evaluations'!$C$2:$C$36,"=d20261030"),"")</f>
      </c>
      <c r="AF111" s="12">
        <f>IF((0=1),SUMIFS('Daily evaluations'!$H$2:$H$36,'Daily evaluations'!$B$2:$B$36,"=naive_winner1d",'Daily evaluations'!$C$2:$C$36,"=d20261102"),"")</f>
      </c>
      <c r="AG111" s="12">
        <f>IF((0=1),SUMIFS('Daily evaluations'!$H$2:$H$36,'Daily evaluations'!$B$2:$B$36,"=naive_winner1d",'Daily evaluations'!$C$2:$C$36,"=d20261103"),"")</f>
      </c>
      <c r="AH111" s="12">
        <f>IF((0=1),SUMIFS('Daily evaluations'!$H$2:$H$36,'Daily evaluations'!$B$2:$B$36,"=naive_winner1d",'Daily evaluations'!$C$2:$C$36,"=d20261104"),"")</f>
      </c>
      <c r="AI111" s="12">
        <f>IF((0=1),SUMIFS('Daily evaluations'!$H$2:$H$36,'Daily evaluations'!$B$2:$B$36,"=naive_winner1d",'Daily evaluations'!$C$2:$C$36,"=d20261105"),"")</f>
      </c>
      <c r="AJ111" s="12">
        <f>IF((0=1),SUMIFS('Daily evaluations'!$H$2:$H$36,'Daily evaluations'!$B$2:$B$36,"=naive_winner1d",'Daily evaluations'!$C$2:$C$36,"=d20261106"),"")</f>
      </c>
      <c r="AK111" s="12">
        <f>IF((0=1),SUMIFS('Daily evaluations'!$H$2:$H$36,'Daily evaluations'!$B$2:$B$36,"=naive_winner1d",'Daily evaluations'!$C$2:$C$36,"=d20261109"),"")</f>
      </c>
      <c r="AL111" s="12">
        <f>IF((0=1),SUMIFS('Daily evaluations'!$H$2:$H$36,'Daily evaluations'!$B$2:$B$36,"=naive_winner1d",'Daily evaluations'!$C$2:$C$36,"=d20261110"),"")</f>
      </c>
      <c r="AM111" s="12">
        <f>IF((0=1),SUMIFS('Daily evaluations'!$H$2:$H$36,'Daily evaluations'!$B$2:$B$36,"=naive_winner1d",'Daily evaluations'!$C$2:$C$36,"=d20261111"),"")</f>
      </c>
      <c r="AN111" s="12">
        <f>IF((0=1),SUMIFS('Daily evaluations'!$H$2:$H$36,'Daily evaluations'!$B$2:$B$36,"=naive_winner1d",'Daily evaluations'!$C$2:$C$36,"=d20261112"),"")</f>
      </c>
      <c r="AO111" s="12">
        <f>IF((0=1),SUMIFS('Daily evaluations'!$H$2:$H$36,'Daily evaluations'!$B$2:$B$36,"=naive_winner1d",'Daily evaluations'!$C$2:$C$36,"=d20261113"),"")</f>
      </c>
      <c r="AP111" s="12">
        <f>IF((0=1),SUMIFS('Daily evaluations'!$H$2:$H$36,'Daily evaluations'!$B$2:$B$36,"=naive_winner1d",'Daily evaluations'!$C$2:$C$36,"=d20261116"),"")</f>
      </c>
      <c r="AQ111" s="12">
        <f>IF((0=1),SUMIFS('Daily evaluations'!$H$2:$H$36,'Daily evaluations'!$B$2:$B$36,"=naive_winner1d",'Daily evaluations'!$C$2:$C$36,"=d20261117"),"")</f>
      </c>
      <c r="AR111" s="12">
        <f>IF((0=1),SUMIFS('Daily evaluations'!$H$2:$H$36,'Daily evaluations'!$B$2:$B$36,"=naive_winner1d",'Daily evaluations'!$C$2:$C$36,"=d20261118"),"")</f>
      </c>
      <c r="AS111" s="12">
        <f>IF((0=1),SUMIFS('Daily evaluations'!$H$2:$H$36,'Daily evaluations'!$B$2:$B$36,"=naive_winner1d",'Daily evaluations'!$C$2:$C$36,"=d20261119"),"")</f>
      </c>
      <c r="AT111" s="12">
        <f>IF((0=1),SUMIFS('Daily evaluations'!$H$2:$H$36,'Daily evaluations'!$B$2:$B$36,"=naive_winner1d",'Daily evaluations'!$C$2:$C$36,"=d20261120"),"")</f>
      </c>
      <c r="AU111" s="12">
        <f>IF((0=1),SUMIFS('Daily evaluations'!$H$2:$H$36,'Daily evaluations'!$B$2:$B$36,"=naive_winner1d",'Daily evaluations'!$C$2:$C$36,"=d20261123"),"")</f>
      </c>
      <c r="AV111" s="12">
        <f>IF((0=1),SUMIFS('Daily evaluations'!$H$2:$H$36,'Daily evaluations'!$B$2:$B$36,"=naive_winner1d",'Daily evaluations'!$C$2:$C$36,"=d20261124"),"")</f>
      </c>
      <c r="AW111" s="12">
        <f>IF((0=1),SUMIFS('Daily evaluations'!$H$2:$H$36,'Daily evaluations'!$B$2:$B$36,"=naive_winner1d",'Daily evaluations'!$C$2:$C$36,"=d20261125"),"")</f>
      </c>
      <c r="AX111" s="12">
        <f>IF((0=1),SUMIFS('Daily evaluations'!$H$2:$H$36,'Daily evaluations'!$B$2:$B$36,"=naive_winner1d",'Daily evaluations'!$C$2:$C$36,"=d20261127"),"")</f>
      </c>
      <c r="AY111" s="12">
        <f>IF((0=1),SUMIFS('Daily evaluations'!$H$2:$H$36,'Daily evaluations'!$B$2:$B$36,"=naive_winner1d",'Daily evaluations'!$C$2:$C$36,"=d20261130"),"")</f>
      </c>
      <c r="AZ111" s="12">
        <f>IF((0=1),SUMIFS('Daily evaluations'!$H$2:$H$36,'Daily evaluations'!$B$2:$B$36,"=naive_winner1d",'Daily evaluations'!$C$2:$C$36,"=d20261201"),"")</f>
      </c>
      <c r="BA111" s="12">
        <f>IF((0=1),SUMIFS('Daily evaluations'!$H$2:$H$36,'Daily evaluations'!$B$2:$B$36,"=naive_winner1d",'Daily evaluations'!$C$2:$C$36,"=d20261202"),"")</f>
      </c>
      <c r="BB111" s="12">
        <f>IF((0=1),SUMIFS('Daily evaluations'!$H$2:$H$36,'Daily evaluations'!$B$2:$B$36,"=naive_winner1d",'Daily evaluations'!$C$2:$C$36,"=d20261203"),"")</f>
      </c>
      <c r="BC111" s="12">
        <f>IF((0=1),SUMIFS('Daily evaluations'!$H$2:$H$36,'Daily evaluations'!$B$2:$B$36,"=naive_winner1d",'Daily evaluations'!$C$2:$C$36,"=d20261204"),"")</f>
      </c>
      <c r="BD111" s="12">
        <f>IF((0=1),SUMIFS('Daily evaluations'!$H$2:$H$36,'Daily evaluations'!$B$2:$B$36,"=naive_winner1d",'Daily evaluations'!$C$2:$C$36,"=d20261207"),"")</f>
      </c>
      <c r="BE111" s="12">
        <f>IF((0=1),SUMIFS('Daily evaluations'!$H$2:$H$36,'Daily evaluations'!$B$2:$B$36,"=naive_winner1d",'Daily evaluations'!$C$2:$C$36,"=d20261208"),"")</f>
      </c>
      <c r="BF111" s="12">
        <f>IF((0=1),SUMIFS('Daily evaluations'!$H$2:$H$36,'Daily evaluations'!$B$2:$B$36,"=naive_winner1d",'Daily evaluations'!$C$2:$C$36,"=d20261209"),"")</f>
      </c>
      <c r="BG111" s="12">
        <f>IF((0=1),SUMIFS('Daily evaluations'!$H$2:$H$36,'Daily evaluations'!$B$2:$B$36,"=naive_winner1d",'Daily evaluations'!$C$2:$C$36,"=d20261210"),"")</f>
      </c>
      <c r="BH111" s="12">
        <f>IF((0=1),SUMIFS('Daily evaluations'!$H$2:$H$36,'Daily evaluations'!$B$2:$B$36,"=naive_winner1d",'Daily evaluations'!$C$2:$C$36,"=d20261211"),"")</f>
      </c>
      <c r="BI111" s="12">
        <f>IF((0=1),SUMIFS('Daily evaluations'!$H$2:$H$36,'Daily evaluations'!$B$2:$B$36,"=naive_winner1d",'Daily evaluations'!$C$2:$C$36,"=d20261214"),"")</f>
      </c>
      <c r="BJ111" s="12">
        <f>IF((0=1),SUMIFS('Daily evaluations'!$H$2:$H$36,'Daily evaluations'!$B$2:$B$36,"=naive_winner1d",'Daily evaluations'!$C$2:$C$36,"=d20261215"),"")</f>
      </c>
      <c r="BK111" s="12">
        <f>IF((0=1),SUMIFS('Daily evaluations'!$H$2:$H$36,'Daily evaluations'!$B$2:$B$36,"=naive_winner1d",'Daily evaluations'!$C$2:$C$36,"=d20261216"),"")</f>
      </c>
      <c r="BL111" s="12">
        <f>IF((0=1),SUMIFS('Daily evaluations'!$H$2:$H$36,'Daily evaluations'!$B$2:$B$36,"=naive_winner1d",'Daily evaluations'!$C$2:$C$36,"=d20261217"),"")</f>
      </c>
      <c r="BM111" s="12">
        <f>IF((0=1),SUMIFS('Daily evaluations'!$H$2:$H$36,'Daily evaluations'!$B$2:$B$36,"=naive_winner1d",'Daily evaluations'!$C$2:$C$36,"=d20261218"),"")</f>
      </c>
      <c r="BN111" s="12">
        <f>IF((0=1),SUMIFS('Daily evaluations'!$H$2:$H$36,'Daily evaluations'!$B$2:$B$36,"=naive_winner1d",'Daily evaluations'!$C$2:$C$36,"=d20261221"),"")</f>
      </c>
      <c r="BO111" s="12">
        <f>IF((0=1),SUMIFS('Daily evaluations'!$H$2:$H$36,'Daily evaluations'!$B$2:$B$36,"=naive_winner1d",'Daily evaluations'!$C$2:$C$36,"=d20261222"),"")</f>
      </c>
      <c r="BP111" s="12">
        <f>IF((0=1),SUMIFS('Daily evaluations'!$H$2:$H$36,'Daily evaluations'!$B$2:$B$36,"=naive_winner1d",'Daily evaluations'!$C$2:$C$36,"=d20261223"),"")</f>
      </c>
      <c r="BQ111" s="12">
        <f>IF((0=1),SUMIFS('Daily evaluations'!$H$2:$H$36,'Daily evaluations'!$B$2:$B$36,"=naive_winner1d",'Daily evaluations'!$C$2:$C$36,"=d20261224"),"")</f>
      </c>
      <c r="BR111" s="12">
        <f>IF((0=1),SUMIFS('Daily evaluations'!$H$2:$H$36,'Daily evaluations'!$B$2:$B$36,"=naive_winner1d",'Daily evaluations'!$C$2:$C$36,"=d20261228"),"")</f>
      </c>
      <c r="BS111" s="12">
        <f>IF((0=1),SUMIFS('Daily evaluations'!$H$2:$H$36,'Daily evaluations'!$B$2:$B$36,"=naive_winner1d",'Daily evaluations'!$C$2:$C$36,"=d20261229"),"")</f>
      </c>
      <c r="BT111" s="12">
        <f>IF((0=1),SUMIFS('Daily evaluations'!$H$2:$H$36,'Daily evaluations'!$B$2:$B$36,"=naive_winner1d",'Daily evaluations'!$C$2:$C$36,"=d20261230"),"")</f>
      </c>
      <c r="BU111" s="12">
        <f>IF((0=1),SUMIFS('Daily evaluations'!$H$2:$H$36,'Daily evaluations'!$B$2:$B$36,"=naive_winner1d",'Daily evaluations'!$C$2:$C$36,"=d20261231"),"")</f>
      </c>
      <c r="BV111" s="12">
        <f>IF((0=1),SUMIFS('Daily evaluations'!$H$2:$H$36,'Daily evaluations'!$B$2:$B$36,"=naive_winner1d",'Daily evaluations'!$C$2:$C$36,"=d20270104"),"")</f>
      </c>
      <c r="BW111" s="12">
        <f>IF((0=1),SUMIFS('Daily evaluations'!$H$2:$H$36,'Daily evaluations'!$B$2:$B$36,"=naive_winner1d",'Daily evaluations'!$C$2:$C$36,"=d20270105"),"")</f>
      </c>
      <c r="BX111" s="12">
        <f>IF((0=1),SUMIFS('Daily evaluations'!$H$2:$H$36,'Daily evaluations'!$B$2:$B$36,"=naive_winner1d",'Daily evaluations'!$C$2:$C$36,"=d20270106"),"")</f>
      </c>
      <c r="BY111" s="12">
        <f>IF((0=1),SUMIFS('Daily evaluations'!$H$2:$H$36,'Daily evaluations'!$B$2:$B$36,"=naive_winner1d",'Daily evaluations'!$C$2:$C$36,"=d20270107"),"")</f>
      </c>
      <c r="BZ111" s="12">
        <f>IF((0=1),SUMIFS('Daily evaluations'!$H$2:$H$36,'Daily evaluations'!$B$2:$B$36,"=naive_winner1d",'Daily evaluations'!$C$2:$C$36,"=d20270108"),"")</f>
      </c>
      <c r="CA111" s="12">
        <f>IF((0=1),SUMIFS('Daily evaluations'!$H$2:$H$36,'Daily evaluations'!$B$2:$B$36,"=naive_winner1d",'Daily evaluations'!$C$2:$C$36,"=d20270111"),"")</f>
      </c>
      <c r="CB111" s="12">
        <f>IF((0=1),SUMIFS('Daily evaluations'!$H$2:$H$36,'Daily evaluations'!$B$2:$B$36,"=naive_winner1d",'Daily evaluations'!$C$2:$C$36,"=d20270112"),"")</f>
      </c>
      <c r="CC111" s="12">
        <f>IF((0=1),SUMIFS('Daily evaluations'!$H$2:$H$36,'Daily evaluations'!$B$2:$B$36,"=naive_winner1d",'Daily evaluations'!$C$2:$C$36,"=d20270113"),"")</f>
      </c>
      <c r="CD111" s="12">
        <f>IF((0=1),SUMIFS('Daily evaluations'!$H$2:$H$36,'Daily evaluations'!$B$2:$B$36,"=naive_winner1d",'Daily evaluations'!$C$2:$C$36,"=d20270114"),"")</f>
      </c>
      <c r="CE111" s="12">
        <f>IF((0=1),SUMIFS('Daily evaluations'!$H$2:$H$36,'Daily evaluations'!$B$2:$B$36,"=naive_winner1d",'Daily evaluations'!$C$2:$C$36,"=d20270115"),"")</f>
      </c>
      <c r="CF111" s="12">
        <f>IF((0=1),SUMIFS('Daily evaluations'!$H$2:$H$36,'Daily evaluations'!$B$2:$B$36,"=naive_winner1d",'Daily evaluations'!$C$2:$C$36,"=d20270119"),"")</f>
      </c>
      <c r="CG111" s="12">
        <f>IF((0=1),SUMIFS('Daily evaluations'!$H$2:$H$36,'Daily evaluations'!$B$2:$B$36,"=naive_winner1d",'Daily evaluations'!$C$2:$C$36,"=d20270120"),"")</f>
      </c>
      <c r="CH111" s="12">
        <f>IF((0=1),SUMIFS('Daily evaluations'!$H$2:$H$36,'Daily evaluations'!$B$2:$B$36,"=naive_winner1d",'Daily evaluations'!$C$2:$C$36,"=d20270121"),"")</f>
      </c>
      <c r="CI111" s="12">
        <f>IF((0=1),SUMIFS('Daily evaluations'!$H$2:$H$36,'Daily evaluations'!$B$2:$B$36,"=naive_winner1d",'Daily evaluations'!$C$2:$C$36,"=d20270122"),"")</f>
      </c>
      <c r="CJ111" s="12">
        <f>IF((0=1),SUMIFS('Daily evaluations'!$H$2:$H$36,'Daily evaluations'!$B$2:$B$36,"=naive_winner1d",'Daily evaluations'!$C$2:$C$36,"=d20270125"),"")</f>
      </c>
      <c r="CK111" s="12">
        <f>IF((0=1),SUMIFS('Daily evaluations'!$H$2:$H$36,'Daily evaluations'!$B$2:$B$36,"=naive_winner1d",'Daily evaluations'!$C$2:$C$36,"=d20270126"),"")</f>
      </c>
      <c r="CL111" s="12">
        <f>IF((0=1),SUMIFS('Daily evaluations'!$H$2:$H$36,'Daily evaluations'!$B$2:$B$36,"=naive_winner1d",'Daily evaluations'!$C$2:$C$36,"=d20270127"),"")</f>
      </c>
      <c r="CM111" s="12">
        <f>IF((0=1),SUMIFS('Daily evaluations'!$H$2:$H$36,'Daily evaluations'!$B$2:$B$36,"=naive_winner1d",'Daily evaluations'!$C$2:$C$36,"=d20270128"),"")</f>
      </c>
      <c r="CN111" s="12">
        <f>IF((0=1),SUMIFS('Daily evaluations'!$H$2:$H$36,'Daily evaluations'!$B$2:$B$36,"=naive_winner1d",'Daily evaluations'!$C$2:$C$36,"=d20270129"),"")</f>
      </c>
      <c r="CO111" s="12">
        <f>IF((0=1),SUMIFS('Daily evaluations'!$H$2:$H$36,'Daily evaluations'!$B$2:$B$36,"=naive_winner1d",'Daily evaluations'!$C$2:$C$36,"=d20270201"),"")</f>
      </c>
      <c r="CP111" s="12">
        <f>IF((0=1),SUMIFS('Daily evaluations'!$H$2:$H$36,'Daily evaluations'!$B$2:$B$36,"=naive_winner1d",'Daily evaluations'!$C$2:$C$36,"=d20270202"),"")</f>
      </c>
      <c r="CQ111" s="12">
        <f>IF((0=1),SUMIFS('Daily evaluations'!$H$2:$H$36,'Daily evaluations'!$B$2:$B$36,"=naive_winner1d",'Daily evaluations'!$C$2:$C$36,"=d20270203"),"")</f>
      </c>
      <c r="CR111" s="12">
        <f>IF((0=1),SUMIFS('Daily evaluations'!$H$2:$H$36,'Daily evaluations'!$B$2:$B$36,"=naive_winner1d",'Daily evaluations'!$C$2:$C$36,"=d20270204"),"")</f>
      </c>
      <c r="CS111" s="12">
        <f>IF((0=1),SUMIFS('Daily evaluations'!$H$2:$H$36,'Daily evaluations'!$B$2:$B$36,"=naive_winner1d",'Daily evaluations'!$C$2:$C$36,"=d20270205"),"")</f>
      </c>
      <c r="CT111" s="12">
        <f>IF((0=1),SUMIFS('Daily evaluations'!$H$2:$H$36,'Daily evaluations'!$B$2:$B$36,"=naive_winner1d",'Daily evaluations'!$C$2:$C$36,"=d20270208"),"")</f>
      </c>
      <c r="CU111" s="12">
        <f>IF((0=1),SUMIFS('Daily evaluations'!$H$2:$H$36,'Daily evaluations'!$B$2:$B$36,"=naive_winner1d",'Daily evaluations'!$C$2:$C$36,"=d20270209"),"")</f>
      </c>
      <c r="CV111" s="12">
        <f>IF((0=1),SUMIFS('Daily evaluations'!$H$2:$H$36,'Daily evaluations'!$B$2:$B$36,"=naive_winner1d",'Daily evaluations'!$C$2:$C$36,"=d20270210"),"")</f>
      </c>
      <c r="CW111" s="12">
        <f>IF((0=1),SUMIFS('Daily evaluations'!$H$2:$H$36,'Daily evaluations'!$B$2:$B$36,"=naive_winner1d",'Daily evaluations'!$C$2:$C$36,"=d20270211"),"")</f>
      </c>
      <c r="CX111" s="12">
        <f>IF((0=1),SUMIFS('Daily evaluations'!$H$2:$H$36,'Daily evaluations'!$B$2:$B$36,"=naive_winner1d",'Daily evaluations'!$C$2:$C$36,"=d20270212"),"")</f>
      </c>
    </row>
    <row r="112">
      <c r="A112" s="0" t="inlineStr">
        <is>
          <t xml:space="preserve">Hit rate vs universe median</t>
        </is>
      </c>
      <c r="B112" s="0" t="inlineStr">
        <is>
          <t xml:space="preserve">Retail Attention Overnight</t>
        </is>
      </c>
      <c r="C112" s="12">
        <f>IF((1=1),SUMIFS('Daily evaluations'!$H$2:$H$36,'Daily evaluations'!$B$2:$B$36,"=p01_attention",'Daily evaluations'!$C$2:$C$36,"=d20260922"),"")</f>
        <v>0.404</v>
      </c>
      <c r="D112" s="12">
        <f>IF((0=1),SUMIFS('Daily evaluations'!$H$2:$H$36,'Daily evaluations'!$B$2:$B$36,"=p01_attention",'Daily evaluations'!$C$2:$C$36,"=d20260923"),"")</f>
      </c>
      <c r="E112" s="12">
        <f>IF((0=1),SUMIFS('Daily evaluations'!$H$2:$H$36,'Daily evaluations'!$B$2:$B$36,"=p01_attention",'Daily evaluations'!$C$2:$C$36,"=d20260924"),"")</f>
      </c>
      <c r="F112" s="12">
        <f>IF((0=1),SUMIFS('Daily evaluations'!$H$2:$H$36,'Daily evaluations'!$B$2:$B$36,"=p01_attention",'Daily evaluations'!$C$2:$C$36,"=d20260925"),"")</f>
      </c>
      <c r="G112" s="12">
        <f>IF((0=1),SUMIFS('Daily evaluations'!$H$2:$H$36,'Daily evaluations'!$B$2:$B$36,"=p01_attention",'Daily evaluations'!$C$2:$C$36,"=d20260928"),"")</f>
      </c>
      <c r="H112" s="12">
        <f>IF((0=1),SUMIFS('Daily evaluations'!$H$2:$H$36,'Daily evaluations'!$B$2:$B$36,"=p01_attention",'Daily evaluations'!$C$2:$C$36,"=d20260929"),"")</f>
      </c>
      <c r="I112" s="12">
        <f>IF((0=1),SUMIFS('Daily evaluations'!$H$2:$H$36,'Daily evaluations'!$B$2:$B$36,"=p01_attention",'Daily evaluations'!$C$2:$C$36,"=d20260930"),"")</f>
      </c>
      <c r="J112" s="12">
        <f>IF((0=1),SUMIFS('Daily evaluations'!$H$2:$H$36,'Daily evaluations'!$B$2:$B$36,"=p01_attention",'Daily evaluations'!$C$2:$C$36,"=d20261001"),"")</f>
      </c>
      <c r="K112" s="12">
        <f>IF((0=1),SUMIFS('Daily evaluations'!$H$2:$H$36,'Daily evaluations'!$B$2:$B$36,"=p01_attention",'Daily evaluations'!$C$2:$C$36,"=d20261002"),"")</f>
      </c>
      <c r="L112" s="12">
        <f>IF((0=1),SUMIFS('Daily evaluations'!$H$2:$H$36,'Daily evaluations'!$B$2:$B$36,"=p01_attention",'Daily evaluations'!$C$2:$C$36,"=d20261005"),"")</f>
      </c>
      <c r="M112" s="12">
        <f>IF((0=1),SUMIFS('Daily evaluations'!$H$2:$H$36,'Daily evaluations'!$B$2:$B$36,"=p01_attention",'Daily evaluations'!$C$2:$C$36,"=d20261006"),"")</f>
      </c>
      <c r="N112" s="12">
        <f>IF((0=1),SUMIFS('Daily evaluations'!$H$2:$H$36,'Daily evaluations'!$B$2:$B$36,"=p01_attention",'Daily evaluations'!$C$2:$C$36,"=d20261007"),"")</f>
      </c>
      <c r="O112" s="12">
        <f>IF((0=1),SUMIFS('Daily evaluations'!$H$2:$H$36,'Daily evaluations'!$B$2:$B$36,"=p01_attention",'Daily evaluations'!$C$2:$C$36,"=d20261008"),"")</f>
      </c>
      <c r="P112" s="12">
        <f>IF((0=1),SUMIFS('Daily evaluations'!$H$2:$H$36,'Daily evaluations'!$B$2:$B$36,"=p01_attention",'Daily evaluations'!$C$2:$C$36,"=d20261009"),"")</f>
      </c>
      <c r="Q112" s="12">
        <f>IF((0=1),SUMIFS('Daily evaluations'!$H$2:$H$36,'Daily evaluations'!$B$2:$B$36,"=p01_attention",'Daily evaluations'!$C$2:$C$36,"=d20261012"),"")</f>
      </c>
      <c r="R112" s="12">
        <f>IF((0=1),SUMIFS('Daily evaluations'!$H$2:$H$36,'Daily evaluations'!$B$2:$B$36,"=p01_attention",'Daily evaluations'!$C$2:$C$36,"=d20261013"),"")</f>
      </c>
      <c r="S112" s="12">
        <f>IF((0=1),SUMIFS('Daily evaluations'!$H$2:$H$36,'Daily evaluations'!$B$2:$B$36,"=p01_attention",'Daily evaluations'!$C$2:$C$36,"=d20261014"),"")</f>
      </c>
      <c r="T112" s="12">
        <f>IF((0=1),SUMIFS('Daily evaluations'!$H$2:$H$36,'Daily evaluations'!$B$2:$B$36,"=p01_attention",'Daily evaluations'!$C$2:$C$36,"=d20261015"),"")</f>
      </c>
      <c r="U112" s="12">
        <f>IF((0=1),SUMIFS('Daily evaluations'!$H$2:$H$36,'Daily evaluations'!$B$2:$B$36,"=p01_attention",'Daily evaluations'!$C$2:$C$36,"=d20261016"),"")</f>
      </c>
      <c r="V112" s="12">
        <f>IF((0=1),SUMIFS('Daily evaluations'!$H$2:$H$36,'Daily evaluations'!$B$2:$B$36,"=p01_attention",'Daily evaluations'!$C$2:$C$36,"=d20261019"),"")</f>
      </c>
      <c r="W112" s="12">
        <f>IF((0=1),SUMIFS('Daily evaluations'!$H$2:$H$36,'Daily evaluations'!$B$2:$B$36,"=p01_attention",'Daily evaluations'!$C$2:$C$36,"=d20261020"),"")</f>
      </c>
      <c r="X112" s="12">
        <f>IF((0=1),SUMIFS('Daily evaluations'!$H$2:$H$36,'Daily evaluations'!$B$2:$B$36,"=p01_attention",'Daily evaluations'!$C$2:$C$36,"=d20261021"),"")</f>
      </c>
      <c r="Y112" s="12">
        <f>IF((0=1),SUMIFS('Daily evaluations'!$H$2:$H$36,'Daily evaluations'!$B$2:$B$36,"=p01_attention",'Daily evaluations'!$C$2:$C$36,"=d20261022"),"")</f>
      </c>
      <c r="Z112" s="12">
        <f>IF((0=1),SUMIFS('Daily evaluations'!$H$2:$H$36,'Daily evaluations'!$B$2:$B$36,"=p01_attention",'Daily evaluations'!$C$2:$C$36,"=d20261023"),"")</f>
      </c>
      <c r="AA112" s="12">
        <f>IF((0=1),SUMIFS('Daily evaluations'!$H$2:$H$36,'Daily evaluations'!$B$2:$B$36,"=p01_attention",'Daily evaluations'!$C$2:$C$36,"=d20261026"),"")</f>
      </c>
      <c r="AB112" s="12">
        <f>IF((0=1),SUMIFS('Daily evaluations'!$H$2:$H$36,'Daily evaluations'!$B$2:$B$36,"=p01_attention",'Daily evaluations'!$C$2:$C$36,"=d20261027"),"")</f>
      </c>
      <c r="AC112" s="12">
        <f>IF((0=1),SUMIFS('Daily evaluations'!$H$2:$H$36,'Daily evaluations'!$B$2:$B$36,"=p01_attention",'Daily evaluations'!$C$2:$C$36,"=d20261028"),"")</f>
      </c>
      <c r="AD112" s="12">
        <f>IF((0=1),SUMIFS('Daily evaluations'!$H$2:$H$36,'Daily evaluations'!$B$2:$B$36,"=p01_attention",'Daily evaluations'!$C$2:$C$36,"=d20261029"),"")</f>
      </c>
      <c r="AE112" s="12">
        <f>IF((0=1),SUMIFS('Daily evaluations'!$H$2:$H$36,'Daily evaluations'!$B$2:$B$36,"=p01_attention",'Daily evaluations'!$C$2:$C$36,"=d20261030"),"")</f>
      </c>
      <c r="AF112" s="12">
        <f>IF((0=1),SUMIFS('Daily evaluations'!$H$2:$H$36,'Daily evaluations'!$B$2:$B$36,"=p01_attention",'Daily evaluations'!$C$2:$C$36,"=d20261102"),"")</f>
      </c>
      <c r="AG112" s="12">
        <f>IF((0=1),SUMIFS('Daily evaluations'!$H$2:$H$36,'Daily evaluations'!$B$2:$B$36,"=p01_attention",'Daily evaluations'!$C$2:$C$36,"=d20261103"),"")</f>
      </c>
      <c r="AH112" s="12">
        <f>IF((0=1),SUMIFS('Daily evaluations'!$H$2:$H$36,'Daily evaluations'!$B$2:$B$36,"=p01_attention",'Daily evaluations'!$C$2:$C$36,"=d20261104"),"")</f>
      </c>
      <c r="AI112" s="12">
        <f>IF((0=1),SUMIFS('Daily evaluations'!$H$2:$H$36,'Daily evaluations'!$B$2:$B$36,"=p01_attention",'Daily evaluations'!$C$2:$C$36,"=d20261105"),"")</f>
      </c>
      <c r="AJ112" s="12">
        <f>IF((0=1),SUMIFS('Daily evaluations'!$H$2:$H$36,'Daily evaluations'!$B$2:$B$36,"=p01_attention",'Daily evaluations'!$C$2:$C$36,"=d20261106"),"")</f>
      </c>
      <c r="AK112" s="12">
        <f>IF((0=1),SUMIFS('Daily evaluations'!$H$2:$H$36,'Daily evaluations'!$B$2:$B$36,"=p01_attention",'Daily evaluations'!$C$2:$C$36,"=d20261109"),"")</f>
      </c>
      <c r="AL112" s="12">
        <f>IF((0=1),SUMIFS('Daily evaluations'!$H$2:$H$36,'Daily evaluations'!$B$2:$B$36,"=p01_attention",'Daily evaluations'!$C$2:$C$36,"=d20261110"),"")</f>
      </c>
      <c r="AM112" s="12">
        <f>IF((0=1),SUMIFS('Daily evaluations'!$H$2:$H$36,'Daily evaluations'!$B$2:$B$36,"=p01_attention",'Daily evaluations'!$C$2:$C$36,"=d20261111"),"")</f>
      </c>
      <c r="AN112" s="12">
        <f>IF((0=1),SUMIFS('Daily evaluations'!$H$2:$H$36,'Daily evaluations'!$B$2:$B$36,"=p01_attention",'Daily evaluations'!$C$2:$C$36,"=d20261112"),"")</f>
      </c>
      <c r="AO112" s="12">
        <f>IF((0=1),SUMIFS('Daily evaluations'!$H$2:$H$36,'Daily evaluations'!$B$2:$B$36,"=p01_attention",'Daily evaluations'!$C$2:$C$36,"=d20261113"),"")</f>
      </c>
      <c r="AP112" s="12">
        <f>IF((0=1),SUMIFS('Daily evaluations'!$H$2:$H$36,'Daily evaluations'!$B$2:$B$36,"=p01_attention",'Daily evaluations'!$C$2:$C$36,"=d20261116"),"")</f>
      </c>
      <c r="AQ112" s="12">
        <f>IF((0=1),SUMIFS('Daily evaluations'!$H$2:$H$36,'Daily evaluations'!$B$2:$B$36,"=p01_attention",'Daily evaluations'!$C$2:$C$36,"=d20261117"),"")</f>
      </c>
      <c r="AR112" s="12">
        <f>IF((0=1),SUMIFS('Daily evaluations'!$H$2:$H$36,'Daily evaluations'!$B$2:$B$36,"=p01_attention",'Daily evaluations'!$C$2:$C$36,"=d20261118"),"")</f>
      </c>
      <c r="AS112" s="12">
        <f>IF((0=1),SUMIFS('Daily evaluations'!$H$2:$H$36,'Daily evaluations'!$B$2:$B$36,"=p01_attention",'Daily evaluations'!$C$2:$C$36,"=d20261119"),"")</f>
      </c>
      <c r="AT112" s="12">
        <f>IF((0=1),SUMIFS('Daily evaluations'!$H$2:$H$36,'Daily evaluations'!$B$2:$B$36,"=p01_attention",'Daily evaluations'!$C$2:$C$36,"=d20261120"),"")</f>
      </c>
      <c r="AU112" s="12">
        <f>IF((0=1),SUMIFS('Daily evaluations'!$H$2:$H$36,'Daily evaluations'!$B$2:$B$36,"=p01_attention",'Daily evaluations'!$C$2:$C$36,"=d20261123"),"")</f>
      </c>
      <c r="AV112" s="12">
        <f>IF((0=1),SUMIFS('Daily evaluations'!$H$2:$H$36,'Daily evaluations'!$B$2:$B$36,"=p01_attention",'Daily evaluations'!$C$2:$C$36,"=d20261124"),"")</f>
      </c>
      <c r="AW112" s="12">
        <f>IF((0=1),SUMIFS('Daily evaluations'!$H$2:$H$36,'Daily evaluations'!$B$2:$B$36,"=p01_attention",'Daily evaluations'!$C$2:$C$36,"=d20261125"),"")</f>
      </c>
      <c r="AX112" s="12">
        <f>IF((0=1),SUMIFS('Daily evaluations'!$H$2:$H$36,'Daily evaluations'!$B$2:$B$36,"=p01_attention",'Daily evaluations'!$C$2:$C$36,"=d20261127"),"")</f>
      </c>
      <c r="AY112" s="12">
        <f>IF((0=1),SUMIFS('Daily evaluations'!$H$2:$H$36,'Daily evaluations'!$B$2:$B$36,"=p01_attention",'Daily evaluations'!$C$2:$C$36,"=d20261130"),"")</f>
      </c>
      <c r="AZ112" s="12">
        <f>IF((0=1),SUMIFS('Daily evaluations'!$H$2:$H$36,'Daily evaluations'!$B$2:$B$36,"=p01_attention",'Daily evaluations'!$C$2:$C$36,"=d20261201"),"")</f>
      </c>
      <c r="BA112" s="12">
        <f>IF((0=1),SUMIFS('Daily evaluations'!$H$2:$H$36,'Daily evaluations'!$B$2:$B$36,"=p01_attention",'Daily evaluations'!$C$2:$C$36,"=d20261202"),"")</f>
      </c>
      <c r="BB112" s="12">
        <f>IF((0=1),SUMIFS('Daily evaluations'!$H$2:$H$36,'Daily evaluations'!$B$2:$B$36,"=p01_attention",'Daily evaluations'!$C$2:$C$36,"=d20261203"),"")</f>
      </c>
      <c r="BC112" s="12">
        <f>IF((0=1),SUMIFS('Daily evaluations'!$H$2:$H$36,'Daily evaluations'!$B$2:$B$36,"=p01_attention",'Daily evaluations'!$C$2:$C$36,"=d20261204"),"")</f>
      </c>
      <c r="BD112" s="12">
        <f>IF((0=1),SUMIFS('Daily evaluations'!$H$2:$H$36,'Daily evaluations'!$B$2:$B$36,"=p01_attention",'Daily evaluations'!$C$2:$C$36,"=d20261207"),"")</f>
      </c>
      <c r="BE112" s="12">
        <f>IF((0=1),SUMIFS('Daily evaluations'!$H$2:$H$36,'Daily evaluations'!$B$2:$B$36,"=p01_attention",'Daily evaluations'!$C$2:$C$36,"=d20261208"),"")</f>
      </c>
      <c r="BF112" s="12">
        <f>IF((0=1),SUMIFS('Daily evaluations'!$H$2:$H$36,'Daily evaluations'!$B$2:$B$36,"=p01_attention",'Daily evaluations'!$C$2:$C$36,"=d20261209"),"")</f>
      </c>
      <c r="BG112" s="12">
        <f>IF((0=1),SUMIFS('Daily evaluations'!$H$2:$H$36,'Daily evaluations'!$B$2:$B$36,"=p01_attention",'Daily evaluations'!$C$2:$C$36,"=d20261210"),"")</f>
      </c>
      <c r="BH112" s="12">
        <f>IF((0=1),SUMIFS('Daily evaluations'!$H$2:$H$36,'Daily evaluations'!$B$2:$B$36,"=p01_attention",'Daily evaluations'!$C$2:$C$36,"=d20261211"),"")</f>
      </c>
      <c r="BI112" s="12">
        <f>IF((0=1),SUMIFS('Daily evaluations'!$H$2:$H$36,'Daily evaluations'!$B$2:$B$36,"=p01_attention",'Daily evaluations'!$C$2:$C$36,"=d20261214"),"")</f>
      </c>
      <c r="BJ112" s="12">
        <f>IF((0=1),SUMIFS('Daily evaluations'!$H$2:$H$36,'Daily evaluations'!$B$2:$B$36,"=p01_attention",'Daily evaluations'!$C$2:$C$36,"=d20261215"),"")</f>
      </c>
      <c r="BK112" s="12">
        <f>IF((0=1),SUMIFS('Daily evaluations'!$H$2:$H$36,'Daily evaluations'!$B$2:$B$36,"=p01_attention",'Daily evaluations'!$C$2:$C$36,"=d20261216"),"")</f>
      </c>
      <c r="BL112" s="12">
        <f>IF((0=1),SUMIFS('Daily evaluations'!$H$2:$H$36,'Daily evaluations'!$B$2:$B$36,"=p01_attention",'Daily evaluations'!$C$2:$C$36,"=d20261217"),"")</f>
      </c>
      <c r="BM112" s="12">
        <f>IF((0=1),SUMIFS('Daily evaluations'!$H$2:$H$36,'Daily evaluations'!$B$2:$B$36,"=p01_attention",'Daily evaluations'!$C$2:$C$36,"=d20261218"),"")</f>
      </c>
      <c r="BN112" s="12">
        <f>IF((0=1),SUMIFS('Daily evaluations'!$H$2:$H$36,'Daily evaluations'!$B$2:$B$36,"=p01_attention",'Daily evaluations'!$C$2:$C$36,"=d20261221"),"")</f>
      </c>
      <c r="BO112" s="12">
        <f>IF((0=1),SUMIFS('Daily evaluations'!$H$2:$H$36,'Daily evaluations'!$B$2:$B$36,"=p01_attention",'Daily evaluations'!$C$2:$C$36,"=d20261222"),"")</f>
      </c>
      <c r="BP112" s="12">
        <f>IF((0=1),SUMIFS('Daily evaluations'!$H$2:$H$36,'Daily evaluations'!$B$2:$B$36,"=p01_attention",'Daily evaluations'!$C$2:$C$36,"=d20261223"),"")</f>
      </c>
      <c r="BQ112" s="12">
        <f>IF((0=1),SUMIFS('Daily evaluations'!$H$2:$H$36,'Daily evaluations'!$B$2:$B$36,"=p01_attention",'Daily evaluations'!$C$2:$C$36,"=d20261224"),"")</f>
      </c>
      <c r="BR112" s="12">
        <f>IF((0=1),SUMIFS('Daily evaluations'!$H$2:$H$36,'Daily evaluations'!$B$2:$B$36,"=p01_attention",'Daily evaluations'!$C$2:$C$36,"=d20261228"),"")</f>
      </c>
      <c r="BS112" s="12">
        <f>IF((0=1),SUMIFS('Daily evaluations'!$H$2:$H$36,'Daily evaluations'!$B$2:$B$36,"=p01_attention",'Daily evaluations'!$C$2:$C$36,"=d20261229"),"")</f>
      </c>
      <c r="BT112" s="12">
        <f>IF((0=1),SUMIFS('Daily evaluations'!$H$2:$H$36,'Daily evaluations'!$B$2:$B$36,"=p01_attention",'Daily evaluations'!$C$2:$C$36,"=d20261230"),"")</f>
      </c>
      <c r="BU112" s="12">
        <f>IF((0=1),SUMIFS('Daily evaluations'!$H$2:$H$36,'Daily evaluations'!$B$2:$B$36,"=p01_attention",'Daily evaluations'!$C$2:$C$36,"=d20261231"),"")</f>
      </c>
      <c r="BV112" s="12">
        <f>IF((0=1),SUMIFS('Daily evaluations'!$H$2:$H$36,'Daily evaluations'!$B$2:$B$36,"=p01_attention",'Daily evaluations'!$C$2:$C$36,"=d20270104"),"")</f>
      </c>
      <c r="BW112" s="12">
        <f>IF((0=1),SUMIFS('Daily evaluations'!$H$2:$H$36,'Daily evaluations'!$B$2:$B$36,"=p01_attention",'Daily evaluations'!$C$2:$C$36,"=d20270105"),"")</f>
      </c>
      <c r="BX112" s="12">
        <f>IF((0=1),SUMIFS('Daily evaluations'!$H$2:$H$36,'Daily evaluations'!$B$2:$B$36,"=p01_attention",'Daily evaluations'!$C$2:$C$36,"=d20270106"),"")</f>
      </c>
      <c r="BY112" s="12">
        <f>IF((0=1),SUMIFS('Daily evaluations'!$H$2:$H$36,'Daily evaluations'!$B$2:$B$36,"=p01_attention",'Daily evaluations'!$C$2:$C$36,"=d20270107"),"")</f>
      </c>
      <c r="BZ112" s="12">
        <f>IF((0=1),SUMIFS('Daily evaluations'!$H$2:$H$36,'Daily evaluations'!$B$2:$B$36,"=p01_attention",'Daily evaluations'!$C$2:$C$36,"=d20270108"),"")</f>
      </c>
      <c r="CA112" s="12">
        <f>IF((0=1),SUMIFS('Daily evaluations'!$H$2:$H$36,'Daily evaluations'!$B$2:$B$36,"=p01_attention",'Daily evaluations'!$C$2:$C$36,"=d20270111"),"")</f>
      </c>
      <c r="CB112" s="12">
        <f>IF((0=1),SUMIFS('Daily evaluations'!$H$2:$H$36,'Daily evaluations'!$B$2:$B$36,"=p01_attention",'Daily evaluations'!$C$2:$C$36,"=d20270112"),"")</f>
      </c>
      <c r="CC112" s="12">
        <f>IF((0=1),SUMIFS('Daily evaluations'!$H$2:$H$36,'Daily evaluations'!$B$2:$B$36,"=p01_attention",'Daily evaluations'!$C$2:$C$36,"=d20270113"),"")</f>
      </c>
      <c r="CD112" s="12">
        <f>IF((0=1),SUMIFS('Daily evaluations'!$H$2:$H$36,'Daily evaluations'!$B$2:$B$36,"=p01_attention",'Daily evaluations'!$C$2:$C$36,"=d20270114"),"")</f>
      </c>
      <c r="CE112" s="12">
        <f>IF((0=1),SUMIFS('Daily evaluations'!$H$2:$H$36,'Daily evaluations'!$B$2:$B$36,"=p01_attention",'Daily evaluations'!$C$2:$C$36,"=d20270115"),"")</f>
      </c>
      <c r="CF112" s="12">
        <f>IF((0=1),SUMIFS('Daily evaluations'!$H$2:$H$36,'Daily evaluations'!$B$2:$B$36,"=p01_attention",'Daily evaluations'!$C$2:$C$36,"=d20270119"),"")</f>
      </c>
      <c r="CG112" s="12">
        <f>IF((0=1),SUMIFS('Daily evaluations'!$H$2:$H$36,'Daily evaluations'!$B$2:$B$36,"=p01_attention",'Daily evaluations'!$C$2:$C$36,"=d20270120"),"")</f>
      </c>
      <c r="CH112" s="12">
        <f>IF((0=1),SUMIFS('Daily evaluations'!$H$2:$H$36,'Daily evaluations'!$B$2:$B$36,"=p01_attention",'Daily evaluations'!$C$2:$C$36,"=d20270121"),"")</f>
      </c>
      <c r="CI112" s="12">
        <f>IF((0=1),SUMIFS('Daily evaluations'!$H$2:$H$36,'Daily evaluations'!$B$2:$B$36,"=p01_attention",'Daily evaluations'!$C$2:$C$36,"=d20270122"),"")</f>
      </c>
      <c r="CJ112" s="12">
        <f>IF((0=1),SUMIFS('Daily evaluations'!$H$2:$H$36,'Daily evaluations'!$B$2:$B$36,"=p01_attention",'Daily evaluations'!$C$2:$C$36,"=d20270125"),"")</f>
      </c>
      <c r="CK112" s="12">
        <f>IF((0=1),SUMIFS('Daily evaluations'!$H$2:$H$36,'Daily evaluations'!$B$2:$B$36,"=p01_attention",'Daily evaluations'!$C$2:$C$36,"=d20270126"),"")</f>
      </c>
      <c r="CL112" s="12">
        <f>IF((0=1),SUMIFS('Daily evaluations'!$H$2:$H$36,'Daily evaluations'!$B$2:$B$36,"=p01_attention",'Daily evaluations'!$C$2:$C$36,"=d20270127"),"")</f>
      </c>
      <c r="CM112" s="12">
        <f>IF((0=1),SUMIFS('Daily evaluations'!$H$2:$H$36,'Daily evaluations'!$B$2:$B$36,"=p01_attention",'Daily evaluations'!$C$2:$C$36,"=d20270128"),"")</f>
      </c>
      <c r="CN112" s="12">
        <f>IF((0=1),SUMIFS('Daily evaluations'!$H$2:$H$36,'Daily evaluations'!$B$2:$B$36,"=p01_attention",'Daily evaluations'!$C$2:$C$36,"=d20270129"),"")</f>
      </c>
      <c r="CO112" s="12">
        <f>IF((0=1),SUMIFS('Daily evaluations'!$H$2:$H$36,'Daily evaluations'!$B$2:$B$36,"=p01_attention",'Daily evaluations'!$C$2:$C$36,"=d20270201"),"")</f>
      </c>
      <c r="CP112" s="12">
        <f>IF((0=1),SUMIFS('Daily evaluations'!$H$2:$H$36,'Daily evaluations'!$B$2:$B$36,"=p01_attention",'Daily evaluations'!$C$2:$C$36,"=d20270202"),"")</f>
      </c>
      <c r="CQ112" s="12">
        <f>IF((0=1),SUMIFS('Daily evaluations'!$H$2:$H$36,'Daily evaluations'!$B$2:$B$36,"=p01_attention",'Daily evaluations'!$C$2:$C$36,"=d20270203"),"")</f>
      </c>
      <c r="CR112" s="12">
        <f>IF((0=1),SUMIFS('Daily evaluations'!$H$2:$H$36,'Daily evaluations'!$B$2:$B$36,"=p01_attention",'Daily evaluations'!$C$2:$C$36,"=d20270204"),"")</f>
      </c>
      <c r="CS112" s="12">
        <f>IF((0=1),SUMIFS('Daily evaluations'!$H$2:$H$36,'Daily evaluations'!$B$2:$B$36,"=p01_attention",'Daily evaluations'!$C$2:$C$36,"=d20270205"),"")</f>
      </c>
      <c r="CT112" s="12">
        <f>IF((0=1),SUMIFS('Daily evaluations'!$H$2:$H$36,'Daily evaluations'!$B$2:$B$36,"=p01_attention",'Daily evaluations'!$C$2:$C$36,"=d20270208"),"")</f>
      </c>
      <c r="CU112" s="12">
        <f>IF((0=1),SUMIFS('Daily evaluations'!$H$2:$H$36,'Daily evaluations'!$B$2:$B$36,"=p01_attention",'Daily evaluations'!$C$2:$C$36,"=d20270209"),"")</f>
      </c>
      <c r="CV112" s="12">
        <f>IF((0=1),SUMIFS('Daily evaluations'!$H$2:$H$36,'Daily evaluations'!$B$2:$B$36,"=p01_attention",'Daily evaluations'!$C$2:$C$36,"=d20270210"),"")</f>
      </c>
      <c r="CW112" s="12">
        <f>IF((0=1),SUMIFS('Daily evaluations'!$H$2:$H$36,'Daily evaluations'!$B$2:$B$36,"=p01_attention",'Daily evaluations'!$C$2:$C$36,"=d20270211"),"")</f>
      </c>
      <c r="CX112" s="12">
        <f>IF((0=1),SUMIFS('Daily evaluations'!$H$2:$H$36,'Daily evaluations'!$B$2:$B$36,"=p01_attention",'Daily evaluations'!$C$2:$C$36,"=d20270212"),"")</f>
      </c>
    </row>
    <row r="113">
      <c r="A113" s="0" t="inlineStr">
        <is>
          <t xml:space="preserve">Hit rate vs universe median</t>
        </is>
      </c>
      <c r="B113" s="0" t="inlineStr">
        <is>
          <t xml:space="preserve">Post-Earnings Drift, Overnight Leg</t>
        </is>
      </c>
      <c r="C113" s="12">
        <f>IF((1=1),SUMIFS('Daily evaluations'!$H$2:$H$36,'Daily evaluations'!$B$2:$B$36,"=p02_earnings_drift",'Daily evaluations'!$C$2:$C$36,"=d20260922"),"")</f>
        <v>0.53</v>
      </c>
      <c r="D113" s="12">
        <f>IF((0=1),SUMIFS('Daily evaluations'!$H$2:$H$36,'Daily evaluations'!$B$2:$B$36,"=p02_earnings_drift",'Daily evaluations'!$C$2:$C$36,"=d20260923"),"")</f>
      </c>
      <c r="E113" s="12">
        <f>IF((0=1),SUMIFS('Daily evaluations'!$H$2:$H$36,'Daily evaluations'!$B$2:$B$36,"=p02_earnings_drift",'Daily evaluations'!$C$2:$C$36,"=d20260924"),"")</f>
      </c>
      <c r="F113" s="12">
        <f>IF((0=1),SUMIFS('Daily evaluations'!$H$2:$H$36,'Daily evaluations'!$B$2:$B$36,"=p02_earnings_drift",'Daily evaluations'!$C$2:$C$36,"=d20260925"),"")</f>
      </c>
      <c r="G113" s="12">
        <f>IF((0=1),SUMIFS('Daily evaluations'!$H$2:$H$36,'Daily evaluations'!$B$2:$B$36,"=p02_earnings_drift",'Daily evaluations'!$C$2:$C$36,"=d20260928"),"")</f>
      </c>
      <c r="H113" s="12">
        <f>IF((0=1),SUMIFS('Daily evaluations'!$H$2:$H$36,'Daily evaluations'!$B$2:$B$36,"=p02_earnings_drift",'Daily evaluations'!$C$2:$C$36,"=d20260929"),"")</f>
      </c>
      <c r="I113" s="12">
        <f>IF((0=1),SUMIFS('Daily evaluations'!$H$2:$H$36,'Daily evaluations'!$B$2:$B$36,"=p02_earnings_drift",'Daily evaluations'!$C$2:$C$36,"=d20260930"),"")</f>
      </c>
      <c r="J113" s="12">
        <f>IF((0=1),SUMIFS('Daily evaluations'!$H$2:$H$36,'Daily evaluations'!$B$2:$B$36,"=p02_earnings_drift",'Daily evaluations'!$C$2:$C$36,"=d20261001"),"")</f>
      </c>
      <c r="K113" s="12">
        <f>IF((0=1),SUMIFS('Daily evaluations'!$H$2:$H$36,'Daily evaluations'!$B$2:$B$36,"=p02_earnings_drift",'Daily evaluations'!$C$2:$C$36,"=d20261002"),"")</f>
      </c>
      <c r="L113" s="12">
        <f>IF((0=1),SUMIFS('Daily evaluations'!$H$2:$H$36,'Daily evaluations'!$B$2:$B$36,"=p02_earnings_drift",'Daily evaluations'!$C$2:$C$36,"=d20261005"),"")</f>
      </c>
      <c r="M113" s="12">
        <f>IF((0=1),SUMIFS('Daily evaluations'!$H$2:$H$36,'Daily evaluations'!$B$2:$B$36,"=p02_earnings_drift",'Daily evaluations'!$C$2:$C$36,"=d20261006"),"")</f>
      </c>
      <c r="N113" s="12">
        <f>IF((0=1),SUMIFS('Daily evaluations'!$H$2:$H$36,'Daily evaluations'!$B$2:$B$36,"=p02_earnings_drift",'Daily evaluations'!$C$2:$C$36,"=d20261007"),"")</f>
      </c>
      <c r="O113" s="12">
        <f>IF((0=1),SUMIFS('Daily evaluations'!$H$2:$H$36,'Daily evaluations'!$B$2:$B$36,"=p02_earnings_drift",'Daily evaluations'!$C$2:$C$36,"=d20261008"),"")</f>
      </c>
      <c r="P113" s="12">
        <f>IF((0=1),SUMIFS('Daily evaluations'!$H$2:$H$36,'Daily evaluations'!$B$2:$B$36,"=p02_earnings_drift",'Daily evaluations'!$C$2:$C$36,"=d20261009"),"")</f>
      </c>
      <c r="Q113" s="12">
        <f>IF((0=1),SUMIFS('Daily evaluations'!$H$2:$H$36,'Daily evaluations'!$B$2:$B$36,"=p02_earnings_drift",'Daily evaluations'!$C$2:$C$36,"=d20261012"),"")</f>
      </c>
      <c r="R113" s="12">
        <f>IF((0=1),SUMIFS('Daily evaluations'!$H$2:$H$36,'Daily evaluations'!$B$2:$B$36,"=p02_earnings_drift",'Daily evaluations'!$C$2:$C$36,"=d20261013"),"")</f>
      </c>
      <c r="S113" s="12">
        <f>IF((0=1),SUMIFS('Daily evaluations'!$H$2:$H$36,'Daily evaluations'!$B$2:$B$36,"=p02_earnings_drift",'Daily evaluations'!$C$2:$C$36,"=d20261014"),"")</f>
      </c>
      <c r="T113" s="12">
        <f>IF((0=1),SUMIFS('Daily evaluations'!$H$2:$H$36,'Daily evaluations'!$B$2:$B$36,"=p02_earnings_drift",'Daily evaluations'!$C$2:$C$36,"=d20261015"),"")</f>
      </c>
      <c r="U113" s="12">
        <f>IF((0=1),SUMIFS('Daily evaluations'!$H$2:$H$36,'Daily evaluations'!$B$2:$B$36,"=p02_earnings_drift",'Daily evaluations'!$C$2:$C$36,"=d20261016"),"")</f>
      </c>
      <c r="V113" s="12">
        <f>IF((0=1),SUMIFS('Daily evaluations'!$H$2:$H$36,'Daily evaluations'!$B$2:$B$36,"=p02_earnings_drift",'Daily evaluations'!$C$2:$C$36,"=d20261019"),"")</f>
      </c>
      <c r="W113" s="12">
        <f>IF((0=1),SUMIFS('Daily evaluations'!$H$2:$H$36,'Daily evaluations'!$B$2:$B$36,"=p02_earnings_drift",'Daily evaluations'!$C$2:$C$36,"=d20261020"),"")</f>
      </c>
      <c r="X113" s="12">
        <f>IF((0=1),SUMIFS('Daily evaluations'!$H$2:$H$36,'Daily evaluations'!$B$2:$B$36,"=p02_earnings_drift",'Daily evaluations'!$C$2:$C$36,"=d20261021"),"")</f>
      </c>
      <c r="Y113" s="12">
        <f>IF((0=1),SUMIFS('Daily evaluations'!$H$2:$H$36,'Daily evaluations'!$B$2:$B$36,"=p02_earnings_drift",'Daily evaluations'!$C$2:$C$36,"=d20261022"),"")</f>
      </c>
      <c r="Z113" s="12">
        <f>IF((0=1),SUMIFS('Daily evaluations'!$H$2:$H$36,'Daily evaluations'!$B$2:$B$36,"=p02_earnings_drift",'Daily evaluations'!$C$2:$C$36,"=d20261023"),"")</f>
      </c>
      <c r="AA113" s="12">
        <f>IF((0=1),SUMIFS('Daily evaluations'!$H$2:$H$36,'Daily evaluations'!$B$2:$B$36,"=p02_earnings_drift",'Daily evaluations'!$C$2:$C$36,"=d20261026"),"")</f>
      </c>
      <c r="AB113" s="12">
        <f>IF((0=1),SUMIFS('Daily evaluations'!$H$2:$H$36,'Daily evaluations'!$B$2:$B$36,"=p02_earnings_drift",'Daily evaluations'!$C$2:$C$36,"=d20261027"),"")</f>
      </c>
      <c r="AC113" s="12">
        <f>IF((0=1),SUMIFS('Daily evaluations'!$H$2:$H$36,'Daily evaluations'!$B$2:$B$36,"=p02_earnings_drift",'Daily evaluations'!$C$2:$C$36,"=d20261028"),"")</f>
      </c>
      <c r="AD113" s="12">
        <f>IF((0=1),SUMIFS('Daily evaluations'!$H$2:$H$36,'Daily evaluations'!$B$2:$B$36,"=p02_earnings_drift",'Daily evaluations'!$C$2:$C$36,"=d20261029"),"")</f>
      </c>
      <c r="AE113" s="12">
        <f>IF((0=1),SUMIFS('Daily evaluations'!$H$2:$H$36,'Daily evaluations'!$B$2:$B$36,"=p02_earnings_drift",'Daily evaluations'!$C$2:$C$36,"=d20261030"),"")</f>
      </c>
      <c r="AF113" s="12">
        <f>IF((0=1),SUMIFS('Daily evaluations'!$H$2:$H$36,'Daily evaluations'!$B$2:$B$36,"=p02_earnings_drift",'Daily evaluations'!$C$2:$C$36,"=d20261102"),"")</f>
      </c>
      <c r="AG113" s="12">
        <f>IF((0=1),SUMIFS('Daily evaluations'!$H$2:$H$36,'Daily evaluations'!$B$2:$B$36,"=p02_earnings_drift",'Daily evaluations'!$C$2:$C$36,"=d20261103"),"")</f>
      </c>
      <c r="AH113" s="12">
        <f>IF((0=1),SUMIFS('Daily evaluations'!$H$2:$H$36,'Daily evaluations'!$B$2:$B$36,"=p02_earnings_drift",'Daily evaluations'!$C$2:$C$36,"=d20261104"),"")</f>
      </c>
      <c r="AI113" s="12">
        <f>IF((0=1),SUMIFS('Daily evaluations'!$H$2:$H$36,'Daily evaluations'!$B$2:$B$36,"=p02_earnings_drift",'Daily evaluations'!$C$2:$C$36,"=d20261105"),"")</f>
      </c>
      <c r="AJ113" s="12">
        <f>IF((0=1),SUMIFS('Daily evaluations'!$H$2:$H$36,'Daily evaluations'!$B$2:$B$36,"=p02_earnings_drift",'Daily evaluations'!$C$2:$C$36,"=d20261106"),"")</f>
      </c>
      <c r="AK113" s="12">
        <f>IF((0=1),SUMIFS('Daily evaluations'!$H$2:$H$36,'Daily evaluations'!$B$2:$B$36,"=p02_earnings_drift",'Daily evaluations'!$C$2:$C$36,"=d20261109"),"")</f>
      </c>
      <c r="AL113" s="12">
        <f>IF((0=1),SUMIFS('Daily evaluations'!$H$2:$H$36,'Daily evaluations'!$B$2:$B$36,"=p02_earnings_drift",'Daily evaluations'!$C$2:$C$36,"=d20261110"),"")</f>
      </c>
      <c r="AM113" s="12">
        <f>IF((0=1),SUMIFS('Daily evaluations'!$H$2:$H$36,'Daily evaluations'!$B$2:$B$36,"=p02_earnings_drift",'Daily evaluations'!$C$2:$C$36,"=d20261111"),"")</f>
      </c>
      <c r="AN113" s="12">
        <f>IF((0=1),SUMIFS('Daily evaluations'!$H$2:$H$36,'Daily evaluations'!$B$2:$B$36,"=p02_earnings_drift",'Daily evaluations'!$C$2:$C$36,"=d20261112"),"")</f>
      </c>
      <c r="AO113" s="12">
        <f>IF((0=1),SUMIFS('Daily evaluations'!$H$2:$H$36,'Daily evaluations'!$B$2:$B$36,"=p02_earnings_drift",'Daily evaluations'!$C$2:$C$36,"=d20261113"),"")</f>
      </c>
      <c r="AP113" s="12">
        <f>IF((0=1),SUMIFS('Daily evaluations'!$H$2:$H$36,'Daily evaluations'!$B$2:$B$36,"=p02_earnings_drift",'Daily evaluations'!$C$2:$C$36,"=d20261116"),"")</f>
      </c>
      <c r="AQ113" s="12">
        <f>IF((0=1),SUMIFS('Daily evaluations'!$H$2:$H$36,'Daily evaluations'!$B$2:$B$36,"=p02_earnings_drift",'Daily evaluations'!$C$2:$C$36,"=d20261117"),"")</f>
      </c>
      <c r="AR113" s="12">
        <f>IF((0=1),SUMIFS('Daily evaluations'!$H$2:$H$36,'Daily evaluations'!$B$2:$B$36,"=p02_earnings_drift",'Daily evaluations'!$C$2:$C$36,"=d20261118"),"")</f>
      </c>
      <c r="AS113" s="12">
        <f>IF((0=1),SUMIFS('Daily evaluations'!$H$2:$H$36,'Daily evaluations'!$B$2:$B$36,"=p02_earnings_drift",'Daily evaluations'!$C$2:$C$36,"=d20261119"),"")</f>
      </c>
      <c r="AT113" s="12">
        <f>IF((0=1),SUMIFS('Daily evaluations'!$H$2:$H$36,'Daily evaluations'!$B$2:$B$36,"=p02_earnings_drift",'Daily evaluations'!$C$2:$C$36,"=d20261120"),"")</f>
      </c>
      <c r="AU113" s="12">
        <f>IF((0=1),SUMIFS('Daily evaluations'!$H$2:$H$36,'Daily evaluations'!$B$2:$B$36,"=p02_earnings_drift",'Daily evaluations'!$C$2:$C$36,"=d20261123"),"")</f>
      </c>
      <c r="AV113" s="12">
        <f>IF((0=1),SUMIFS('Daily evaluations'!$H$2:$H$36,'Daily evaluations'!$B$2:$B$36,"=p02_earnings_drift",'Daily evaluations'!$C$2:$C$36,"=d20261124"),"")</f>
      </c>
      <c r="AW113" s="12">
        <f>IF((0=1),SUMIFS('Daily evaluations'!$H$2:$H$36,'Daily evaluations'!$B$2:$B$36,"=p02_earnings_drift",'Daily evaluations'!$C$2:$C$36,"=d20261125"),"")</f>
      </c>
      <c r="AX113" s="12">
        <f>IF((0=1),SUMIFS('Daily evaluations'!$H$2:$H$36,'Daily evaluations'!$B$2:$B$36,"=p02_earnings_drift",'Daily evaluations'!$C$2:$C$36,"=d20261127"),"")</f>
      </c>
      <c r="AY113" s="12">
        <f>IF((0=1),SUMIFS('Daily evaluations'!$H$2:$H$36,'Daily evaluations'!$B$2:$B$36,"=p02_earnings_drift",'Daily evaluations'!$C$2:$C$36,"=d20261130"),"")</f>
      </c>
      <c r="AZ113" s="12">
        <f>IF((0=1),SUMIFS('Daily evaluations'!$H$2:$H$36,'Daily evaluations'!$B$2:$B$36,"=p02_earnings_drift",'Daily evaluations'!$C$2:$C$36,"=d20261201"),"")</f>
      </c>
      <c r="BA113" s="12">
        <f>IF((0=1),SUMIFS('Daily evaluations'!$H$2:$H$36,'Daily evaluations'!$B$2:$B$36,"=p02_earnings_drift",'Daily evaluations'!$C$2:$C$36,"=d20261202"),"")</f>
      </c>
      <c r="BB113" s="12">
        <f>IF((0=1),SUMIFS('Daily evaluations'!$H$2:$H$36,'Daily evaluations'!$B$2:$B$36,"=p02_earnings_drift",'Daily evaluations'!$C$2:$C$36,"=d20261203"),"")</f>
      </c>
      <c r="BC113" s="12">
        <f>IF((0=1),SUMIFS('Daily evaluations'!$H$2:$H$36,'Daily evaluations'!$B$2:$B$36,"=p02_earnings_drift",'Daily evaluations'!$C$2:$C$36,"=d20261204"),"")</f>
      </c>
      <c r="BD113" s="12">
        <f>IF((0=1),SUMIFS('Daily evaluations'!$H$2:$H$36,'Daily evaluations'!$B$2:$B$36,"=p02_earnings_drift",'Daily evaluations'!$C$2:$C$36,"=d20261207"),"")</f>
      </c>
      <c r="BE113" s="12">
        <f>IF((0=1),SUMIFS('Daily evaluations'!$H$2:$H$36,'Daily evaluations'!$B$2:$B$36,"=p02_earnings_drift",'Daily evaluations'!$C$2:$C$36,"=d20261208"),"")</f>
      </c>
      <c r="BF113" s="12">
        <f>IF((0=1),SUMIFS('Daily evaluations'!$H$2:$H$36,'Daily evaluations'!$B$2:$B$36,"=p02_earnings_drift",'Daily evaluations'!$C$2:$C$36,"=d20261209"),"")</f>
      </c>
      <c r="BG113" s="12">
        <f>IF((0=1),SUMIFS('Daily evaluations'!$H$2:$H$36,'Daily evaluations'!$B$2:$B$36,"=p02_earnings_drift",'Daily evaluations'!$C$2:$C$36,"=d20261210"),"")</f>
      </c>
      <c r="BH113" s="12">
        <f>IF((0=1),SUMIFS('Daily evaluations'!$H$2:$H$36,'Daily evaluations'!$B$2:$B$36,"=p02_earnings_drift",'Daily evaluations'!$C$2:$C$36,"=d20261211"),"")</f>
      </c>
      <c r="BI113" s="12">
        <f>IF((0=1),SUMIFS('Daily evaluations'!$H$2:$H$36,'Daily evaluations'!$B$2:$B$36,"=p02_earnings_drift",'Daily evaluations'!$C$2:$C$36,"=d20261214"),"")</f>
      </c>
      <c r="BJ113" s="12">
        <f>IF((0=1),SUMIFS('Daily evaluations'!$H$2:$H$36,'Daily evaluations'!$B$2:$B$36,"=p02_earnings_drift",'Daily evaluations'!$C$2:$C$36,"=d20261215"),"")</f>
      </c>
      <c r="BK113" s="12">
        <f>IF((0=1),SUMIFS('Daily evaluations'!$H$2:$H$36,'Daily evaluations'!$B$2:$B$36,"=p02_earnings_drift",'Daily evaluations'!$C$2:$C$36,"=d20261216"),"")</f>
      </c>
      <c r="BL113" s="12">
        <f>IF((0=1),SUMIFS('Daily evaluations'!$H$2:$H$36,'Daily evaluations'!$B$2:$B$36,"=p02_earnings_drift",'Daily evaluations'!$C$2:$C$36,"=d20261217"),"")</f>
      </c>
      <c r="BM113" s="12">
        <f>IF((0=1),SUMIFS('Daily evaluations'!$H$2:$H$36,'Daily evaluations'!$B$2:$B$36,"=p02_earnings_drift",'Daily evaluations'!$C$2:$C$36,"=d20261218"),"")</f>
      </c>
      <c r="BN113" s="12">
        <f>IF((0=1),SUMIFS('Daily evaluations'!$H$2:$H$36,'Daily evaluations'!$B$2:$B$36,"=p02_earnings_drift",'Daily evaluations'!$C$2:$C$36,"=d20261221"),"")</f>
      </c>
      <c r="BO113" s="12">
        <f>IF((0=1),SUMIFS('Daily evaluations'!$H$2:$H$36,'Daily evaluations'!$B$2:$B$36,"=p02_earnings_drift",'Daily evaluations'!$C$2:$C$36,"=d20261222"),"")</f>
      </c>
      <c r="BP113" s="12">
        <f>IF((0=1),SUMIFS('Daily evaluations'!$H$2:$H$36,'Daily evaluations'!$B$2:$B$36,"=p02_earnings_drift",'Daily evaluations'!$C$2:$C$36,"=d20261223"),"")</f>
      </c>
      <c r="BQ113" s="12">
        <f>IF((0=1),SUMIFS('Daily evaluations'!$H$2:$H$36,'Daily evaluations'!$B$2:$B$36,"=p02_earnings_drift",'Daily evaluations'!$C$2:$C$36,"=d20261224"),"")</f>
      </c>
      <c r="BR113" s="12">
        <f>IF((0=1),SUMIFS('Daily evaluations'!$H$2:$H$36,'Daily evaluations'!$B$2:$B$36,"=p02_earnings_drift",'Daily evaluations'!$C$2:$C$36,"=d20261228"),"")</f>
      </c>
      <c r="BS113" s="12">
        <f>IF((0=1),SUMIFS('Daily evaluations'!$H$2:$H$36,'Daily evaluations'!$B$2:$B$36,"=p02_earnings_drift",'Daily evaluations'!$C$2:$C$36,"=d20261229"),"")</f>
      </c>
      <c r="BT113" s="12">
        <f>IF((0=1),SUMIFS('Daily evaluations'!$H$2:$H$36,'Daily evaluations'!$B$2:$B$36,"=p02_earnings_drift",'Daily evaluations'!$C$2:$C$36,"=d20261230"),"")</f>
      </c>
      <c r="BU113" s="12">
        <f>IF((0=1),SUMIFS('Daily evaluations'!$H$2:$H$36,'Daily evaluations'!$B$2:$B$36,"=p02_earnings_drift",'Daily evaluations'!$C$2:$C$36,"=d20261231"),"")</f>
      </c>
      <c r="BV113" s="12">
        <f>IF((0=1),SUMIFS('Daily evaluations'!$H$2:$H$36,'Daily evaluations'!$B$2:$B$36,"=p02_earnings_drift",'Daily evaluations'!$C$2:$C$36,"=d20270104"),"")</f>
      </c>
      <c r="BW113" s="12">
        <f>IF((0=1),SUMIFS('Daily evaluations'!$H$2:$H$36,'Daily evaluations'!$B$2:$B$36,"=p02_earnings_drift",'Daily evaluations'!$C$2:$C$36,"=d20270105"),"")</f>
      </c>
      <c r="BX113" s="12">
        <f>IF((0=1),SUMIFS('Daily evaluations'!$H$2:$H$36,'Daily evaluations'!$B$2:$B$36,"=p02_earnings_drift",'Daily evaluations'!$C$2:$C$36,"=d20270106"),"")</f>
      </c>
      <c r="BY113" s="12">
        <f>IF((0=1),SUMIFS('Daily evaluations'!$H$2:$H$36,'Daily evaluations'!$B$2:$B$36,"=p02_earnings_drift",'Daily evaluations'!$C$2:$C$36,"=d20270107"),"")</f>
      </c>
      <c r="BZ113" s="12">
        <f>IF((0=1),SUMIFS('Daily evaluations'!$H$2:$H$36,'Daily evaluations'!$B$2:$B$36,"=p02_earnings_drift",'Daily evaluations'!$C$2:$C$36,"=d20270108"),"")</f>
      </c>
      <c r="CA113" s="12">
        <f>IF((0=1),SUMIFS('Daily evaluations'!$H$2:$H$36,'Daily evaluations'!$B$2:$B$36,"=p02_earnings_drift",'Daily evaluations'!$C$2:$C$36,"=d20270111"),"")</f>
      </c>
      <c r="CB113" s="12">
        <f>IF((0=1),SUMIFS('Daily evaluations'!$H$2:$H$36,'Daily evaluations'!$B$2:$B$36,"=p02_earnings_drift",'Daily evaluations'!$C$2:$C$36,"=d20270112"),"")</f>
      </c>
      <c r="CC113" s="12">
        <f>IF((0=1),SUMIFS('Daily evaluations'!$H$2:$H$36,'Daily evaluations'!$B$2:$B$36,"=p02_earnings_drift",'Daily evaluations'!$C$2:$C$36,"=d20270113"),"")</f>
      </c>
      <c r="CD113" s="12">
        <f>IF((0=1),SUMIFS('Daily evaluations'!$H$2:$H$36,'Daily evaluations'!$B$2:$B$36,"=p02_earnings_drift",'Daily evaluations'!$C$2:$C$36,"=d20270114"),"")</f>
      </c>
      <c r="CE113" s="12">
        <f>IF((0=1),SUMIFS('Daily evaluations'!$H$2:$H$36,'Daily evaluations'!$B$2:$B$36,"=p02_earnings_drift",'Daily evaluations'!$C$2:$C$36,"=d20270115"),"")</f>
      </c>
      <c r="CF113" s="12">
        <f>IF((0=1),SUMIFS('Daily evaluations'!$H$2:$H$36,'Daily evaluations'!$B$2:$B$36,"=p02_earnings_drift",'Daily evaluations'!$C$2:$C$36,"=d20270119"),"")</f>
      </c>
      <c r="CG113" s="12">
        <f>IF((0=1),SUMIFS('Daily evaluations'!$H$2:$H$36,'Daily evaluations'!$B$2:$B$36,"=p02_earnings_drift",'Daily evaluations'!$C$2:$C$36,"=d20270120"),"")</f>
      </c>
      <c r="CH113" s="12">
        <f>IF((0=1),SUMIFS('Daily evaluations'!$H$2:$H$36,'Daily evaluations'!$B$2:$B$36,"=p02_earnings_drift",'Daily evaluations'!$C$2:$C$36,"=d20270121"),"")</f>
      </c>
      <c r="CI113" s="12">
        <f>IF((0=1),SUMIFS('Daily evaluations'!$H$2:$H$36,'Daily evaluations'!$B$2:$B$36,"=p02_earnings_drift",'Daily evaluations'!$C$2:$C$36,"=d20270122"),"")</f>
      </c>
      <c r="CJ113" s="12">
        <f>IF((0=1),SUMIFS('Daily evaluations'!$H$2:$H$36,'Daily evaluations'!$B$2:$B$36,"=p02_earnings_drift",'Daily evaluations'!$C$2:$C$36,"=d20270125"),"")</f>
      </c>
      <c r="CK113" s="12">
        <f>IF((0=1),SUMIFS('Daily evaluations'!$H$2:$H$36,'Daily evaluations'!$B$2:$B$36,"=p02_earnings_drift",'Daily evaluations'!$C$2:$C$36,"=d20270126"),"")</f>
      </c>
      <c r="CL113" s="12">
        <f>IF((0=1),SUMIFS('Daily evaluations'!$H$2:$H$36,'Daily evaluations'!$B$2:$B$36,"=p02_earnings_drift",'Daily evaluations'!$C$2:$C$36,"=d20270127"),"")</f>
      </c>
      <c r="CM113" s="12">
        <f>IF((0=1),SUMIFS('Daily evaluations'!$H$2:$H$36,'Daily evaluations'!$B$2:$B$36,"=p02_earnings_drift",'Daily evaluations'!$C$2:$C$36,"=d20270128"),"")</f>
      </c>
      <c r="CN113" s="12">
        <f>IF((0=1),SUMIFS('Daily evaluations'!$H$2:$H$36,'Daily evaluations'!$B$2:$B$36,"=p02_earnings_drift",'Daily evaluations'!$C$2:$C$36,"=d20270129"),"")</f>
      </c>
      <c r="CO113" s="12">
        <f>IF((0=1),SUMIFS('Daily evaluations'!$H$2:$H$36,'Daily evaluations'!$B$2:$B$36,"=p02_earnings_drift",'Daily evaluations'!$C$2:$C$36,"=d20270201"),"")</f>
      </c>
      <c r="CP113" s="12">
        <f>IF((0=1),SUMIFS('Daily evaluations'!$H$2:$H$36,'Daily evaluations'!$B$2:$B$36,"=p02_earnings_drift",'Daily evaluations'!$C$2:$C$36,"=d20270202"),"")</f>
      </c>
      <c r="CQ113" s="12">
        <f>IF((0=1),SUMIFS('Daily evaluations'!$H$2:$H$36,'Daily evaluations'!$B$2:$B$36,"=p02_earnings_drift",'Daily evaluations'!$C$2:$C$36,"=d20270203"),"")</f>
      </c>
      <c r="CR113" s="12">
        <f>IF((0=1),SUMIFS('Daily evaluations'!$H$2:$H$36,'Daily evaluations'!$B$2:$B$36,"=p02_earnings_drift",'Daily evaluations'!$C$2:$C$36,"=d20270204"),"")</f>
      </c>
      <c r="CS113" s="12">
        <f>IF((0=1),SUMIFS('Daily evaluations'!$H$2:$H$36,'Daily evaluations'!$B$2:$B$36,"=p02_earnings_drift",'Daily evaluations'!$C$2:$C$36,"=d20270205"),"")</f>
      </c>
      <c r="CT113" s="12">
        <f>IF((0=1),SUMIFS('Daily evaluations'!$H$2:$H$36,'Daily evaluations'!$B$2:$B$36,"=p02_earnings_drift",'Daily evaluations'!$C$2:$C$36,"=d20270208"),"")</f>
      </c>
      <c r="CU113" s="12">
        <f>IF((0=1),SUMIFS('Daily evaluations'!$H$2:$H$36,'Daily evaluations'!$B$2:$B$36,"=p02_earnings_drift",'Daily evaluations'!$C$2:$C$36,"=d20270209"),"")</f>
      </c>
      <c r="CV113" s="12">
        <f>IF((0=1),SUMIFS('Daily evaluations'!$H$2:$H$36,'Daily evaluations'!$B$2:$B$36,"=p02_earnings_drift",'Daily evaluations'!$C$2:$C$36,"=d20270210"),"")</f>
      </c>
      <c r="CW113" s="12">
        <f>IF((0=1),SUMIFS('Daily evaluations'!$H$2:$H$36,'Daily evaluations'!$B$2:$B$36,"=p02_earnings_drift",'Daily evaluations'!$C$2:$C$36,"=d20270211"),"")</f>
      </c>
      <c r="CX113" s="12">
        <f>IF((0=1),SUMIFS('Daily evaluations'!$H$2:$H$36,'Daily evaluations'!$B$2:$B$36,"=p02_earnings_drift",'Daily evaluations'!$C$2:$C$36,"=d20270212"),"")</f>
      </c>
    </row>
    <row r="114">
      <c r="A114" s="0" t="inlineStr">
        <is>
          <t xml:space="preserve">Hit rate vs universe median</t>
        </is>
      </c>
      <c r="B114" s="0" t="inlineStr">
        <is>
          <t xml:space="preserve">Intraday-to-Overnight Reversal</t>
        </is>
      </c>
      <c r="C114" s="12">
        <f>IF((1=1),SUMIFS('Daily evaluations'!$H$2:$H$36,'Daily evaluations'!$B$2:$B$36,"=p03_intraday_reversal",'Daily evaluations'!$C$2:$C$36,"=d20260922"),"")</f>
        <v>0.53</v>
      </c>
      <c r="D114" s="12">
        <f>IF((0=1),SUMIFS('Daily evaluations'!$H$2:$H$36,'Daily evaluations'!$B$2:$B$36,"=p03_intraday_reversal",'Daily evaluations'!$C$2:$C$36,"=d20260923"),"")</f>
      </c>
      <c r="E114" s="12">
        <f>IF((0=1),SUMIFS('Daily evaluations'!$H$2:$H$36,'Daily evaluations'!$B$2:$B$36,"=p03_intraday_reversal",'Daily evaluations'!$C$2:$C$36,"=d20260924"),"")</f>
      </c>
      <c r="F114" s="12">
        <f>IF((0=1),SUMIFS('Daily evaluations'!$H$2:$H$36,'Daily evaluations'!$B$2:$B$36,"=p03_intraday_reversal",'Daily evaluations'!$C$2:$C$36,"=d20260925"),"")</f>
      </c>
      <c r="G114" s="12">
        <f>IF((0=1),SUMIFS('Daily evaluations'!$H$2:$H$36,'Daily evaluations'!$B$2:$B$36,"=p03_intraday_reversal",'Daily evaluations'!$C$2:$C$36,"=d20260928"),"")</f>
      </c>
      <c r="H114" s="12">
        <f>IF((0=1),SUMIFS('Daily evaluations'!$H$2:$H$36,'Daily evaluations'!$B$2:$B$36,"=p03_intraday_reversal",'Daily evaluations'!$C$2:$C$36,"=d20260929"),"")</f>
      </c>
      <c r="I114" s="12">
        <f>IF((0=1),SUMIFS('Daily evaluations'!$H$2:$H$36,'Daily evaluations'!$B$2:$B$36,"=p03_intraday_reversal",'Daily evaluations'!$C$2:$C$36,"=d20260930"),"")</f>
      </c>
      <c r="J114" s="12">
        <f>IF((0=1),SUMIFS('Daily evaluations'!$H$2:$H$36,'Daily evaluations'!$B$2:$B$36,"=p03_intraday_reversal",'Daily evaluations'!$C$2:$C$36,"=d20261001"),"")</f>
      </c>
      <c r="K114" s="12">
        <f>IF((0=1),SUMIFS('Daily evaluations'!$H$2:$H$36,'Daily evaluations'!$B$2:$B$36,"=p03_intraday_reversal",'Daily evaluations'!$C$2:$C$36,"=d20261002"),"")</f>
      </c>
      <c r="L114" s="12">
        <f>IF((0=1),SUMIFS('Daily evaluations'!$H$2:$H$36,'Daily evaluations'!$B$2:$B$36,"=p03_intraday_reversal",'Daily evaluations'!$C$2:$C$36,"=d20261005"),"")</f>
      </c>
      <c r="M114" s="12">
        <f>IF((0=1),SUMIFS('Daily evaluations'!$H$2:$H$36,'Daily evaluations'!$B$2:$B$36,"=p03_intraday_reversal",'Daily evaluations'!$C$2:$C$36,"=d20261006"),"")</f>
      </c>
      <c r="N114" s="12">
        <f>IF((0=1),SUMIFS('Daily evaluations'!$H$2:$H$36,'Daily evaluations'!$B$2:$B$36,"=p03_intraday_reversal",'Daily evaluations'!$C$2:$C$36,"=d20261007"),"")</f>
      </c>
      <c r="O114" s="12">
        <f>IF((0=1),SUMIFS('Daily evaluations'!$H$2:$H$36,'Daily evaluations'!$B$2:$B$36,"=p03_intraday_reversal",'Daily evaluations'!$C$2:$C$36,"=d20261008"),"")</f>
      </c>
      <c r="P114" s="12">
        <f>IF((0=1),SUMIFS('Daily evaluations'!$H$2:$H$36,'Daily evaluations'!$B$2:$B$36,"=p03_intraday_reversal",'Daily evaluations'!$C$2:$C$36,"=d20261009"),"")</f>
      </c>
      <c r="Q114" s="12">
        <f>IF((0=1),SUMIFS('Daily evaluations'!$H$2:$H$36,'Daily evaluations'!$B$2:$B$36,"=p03_intraday_reversal",'Daily evaluations'!$C$2:$C$36,"=d20261012"),"")</f>
      </c>
      <c r="R114" s="12">
        <f>IF((0=1),SUMIFS('Daily evaluations'!$H$2:$H$36,'Daily evaluations'!$B$2:$B$36,"=p03_intraday_reversal",'Daily evaluations'!$C$2:$C$36,"=d20261013"),"")</f>
      </c>
      <c r="S114" s="12">
        <f>IF((0=1),SUMIFS('Daily evaluations'!$H$2:$H$36,'Daily evaluations'!$B$2:$B$36,"=p03_intraday_reversal",'Daily evaluations'!$C$2:$C$36,"=d20261014"),"")</f>
      </c>
      <c r="T114" s="12">
        <f>IF((0=1),SUMIFS('Daily evaluations'!$H$2:$H$36,'Daily evaluations'!$B$2:$B$36,"=p03_intraday_reversal",'Daily evaluations'!$C$2:$C$36,"=d20261015"),"")</f>
      </c>
      <c r="U114" s="12">
        <f>IF((0=1),SUMIFS('Daily evaluations'!$H$2:$H$36,'Daily evaluations'!$B$2:$B$36,"=p03_intraday_reversal",'Daily evaluations'!$C$2:$C$36,"=d20261016"),"")</f>
      </c>
      <c r="V114" s="12">
        <f>IF((0=1),SUMIFS('Daily evaluations'!$H$2:$H$36,'Daily evaluations'!$B$2:$B$36,"=p03_intraday_reversal",'Daily evaluations'!$C$2:$C$36,"=d20261019"),"")</f>
      </c>
      <c r="W114" s="12">
        <f>IF((0=1),SUMIFS('Daily evaluations'!$H$2:$H$36,'Daily evaluations'!$B$2:$B$36,"=p03_intraday_reversal",'Daily evaluations'!$C$2:$C$36,"=d20261020"),"")</f>
      </c>
      <c r="X114" s="12">
        <f>IF((0=1),SUMIFS('Daily evaluations'!$H$2:$H$36,'Daily evaluations'!$B$2:$B$36,"=p03_intraday_reversal",'Daily evaluations'!$C$2:$C$36,"=d20261021"),"")</f>
      </c>
      <c r="Y114" s="12">
        <f>IF((0=1),SUMIFS('Daily evaluations'!$H$2:$H$36,'Daily evaluations'!$B$2:$B$36,"=p03_intraday_reversal",'Daily evaluations'!$C$2:$C$36,"=d20261022"),"")</f>
      </c>
      <c r="Z114" s="12">
        <f>IF((0=1),SUMIFS('Daily evaluations'!$H$2:$H$36,'Daily evaluations'!$B$2:$B$36,"=p03_intraday_reversal",'Daily evaluations'!$C$2:$C$36,"=d20261023"),"")</f>
      </c>
      <c r="AA114" s="12">
        <f>IF((0=1),SUMIFS('Daily evaluations'!$H$2:$H$36,'Daily evaluations'!$B$2:$B$36,"=p03_intraday_reversal",'Daily evaluations'!$C$2:$C$36,"=d20261026"),"")</f>
      </c>
      <c r="AB114" s="12">
        <f>IF((0=1),SUMIFS('Daily evaluations'!$H$2:$H$36,'Daily evaluations'!$B$2:$B$36,"=p03_intraday_reversal",'Daily evaluations'!$C$2:$C$36,"=d20261027"),"")</f>
      </c>
      <c r="AC114" s="12">
        <f>IF((0=1),SUMIFS('Daily evaluations'!$H$2:$H$36,'Daily evaluations'!$B$2:$B$36,"=p03_intraday_reversal",'Daily evaluations'!$C$2:$C$36,"=d20261028"),"")</f>
      </c>
      <c r="AD114" s="12">
        <f>IF((0=1),SUMIFS('Daily evaluations'!$H$2:$H$36,'Daily evaluations'!$B$2:$B$36,"=p03_intraday_reversal",'Daily evaluations'!$C$2:$C$36,"=d20261029"),"")</f>
      </c>
      <c r="AE114" s="12">
        <f>IF((0=1),SUMIFS('Daily evaluations'!$H$2:$H$36,'Daily evaluations'!$B$2:$B$36,"=p03_intraday_reversal",'Daily evaluations'!$C$2:$C$36,"=d20261030"),"")</f>
      </c>
      <c r="AF114" s="12">
        <f>IF((0=1),SUMIFS('Daily evaluations'!$H$2:$H$36,'Daily evaluations'!$B$2:$B$36,"=p03_intraday_reversal",'Daily evaluations'!$C$2:$C$36,"=d20261102"),"")</f>
      </c>
      <c r="AG114" s="12">
        <f>IF((0=1),SUMIFS('Daily evaluations'!$H$2:$H$36,'Daily evaluations'!$B$2:$B$36,"=p03_intraday_reversal",'Daily evaluations'!$C$2:$C$36,"=d20261103"),"")</f>
      </c>
      <c r="AH114" s="12">
        <f>IF((0=1),SUMIFS('Daily evaluations'!$H$2:$H$36,'Daily evaluations'!$B$2:$B$36,"=p03_intraday_reversal",'Daily evaluations'!$C$2:$C$36,"=d20261104"),"")</f>
      </c>
      <c r="AI114" s="12">
        <f>IF((0=1),SUMIFS('Daily evaluations'!$H$2:$H$36,'Daily evaluations'!$B$2:$B$36,"=p03_intraday_reversal",'Daily evaluations'!$C$2:$C$36,"=d20261105"),"")</f>
      </c>
      <c r="AJ114" s="12">
        <f>IF((0=1),SUMIFS('Daily evaluations'!$H$2:$H$36,'Daily evaluations'!$B$2:$B$36,"=p03_intraday_reversal",'Daily evaluations'!$C$2:$C$36,"=d20261106"),"")</f>
      </c>
      <c r="AK114" s="12">
        <f>IF((0=1),SUMIFS('Daily evaluations'!$H$2:$H$36,'Daily evaluations'!$B$2:$B$36,"=p03_intraday_reversal",'Daily evaluations'!$C$2:$C$36,"=d20261109"),"")</f>
      </c>
      <c r="AL114" s="12">
        <f>IF((0=1),SUMIFS('Daily evaluations'!$H$2:$H$36,'Daily evaluations'!$B$2:$B$36,"=p03_intraday_reversal",'Daily evaluations'!$C$2:$C$36,"=d20261110"),"")</f>
      </c>
      <c r="AM114" s="12">
        <f>IF((0=1),SUMIFS('Daily evaluations'!$H$2:$H$36,'Daily evaluations'!$B$2:$B$36,"=p03_intraday_reversal",'Daily evaluations'!$C$2:$C$36,"=d20261111"),"")</f>
      </c>
      <c r="AN114" s="12">
        <f>IF((0=1),SUMIFS('Daily evaluations'!$H$2:$H$36,'Daily evaluations'!$B$2:$B$36,"=p03_intraday_reversal",'Daily evaluations'!$C$2:$C$36,"=d20261112"),"")</f>
      </c>
      <c r="AO114" s="12">
        <f>IF((0=1),SUMIFS('Daily evaluations'!$H$2:$H$36,'Daily evaluations'!$B$2:$B$36,"=p03_intraday_reversal",'Daily evaluations'!$C$2:$C$36,"=d20261113"),"")</f>
      </c>
      <c r="AP114" s="12">
        <f>IF((0=1),SUMIFS('Daily evaluations'!$H$2:$H$36,'Daily evaluations'!$B$2:$B$36,"=p03_intraday_reversal",'Daily evaluations'!$C$2:$C$36,"=d20261116"),"")</f>
      </c>
      <c r="AQ114" s="12">
        <f>IF((0=1),SUMIFS('Daily evaluations'!$H$2:$H$36,'Daily evaluations'!$B$2:$B$36,"=p03_intraday_reversal",'Daily evaluations'!$C$2:$C$36,"=d20261117"),"")</f>
      </c>
      <c r="AR114" s="12">
        <f>IF((0=1),SUMIFS('Daily evaluations'!$H$2:$H$36,'Daily evaluations'!$B$2:$B$36,"=p03_intraday_reversal",'Daily evaluations'!$C$2:$C$36,"=d20261118"),"")</f>
      </c>
      <c r="AS114" s="12">
        <f>IF((0=1),SUMIFS('Daily evaluations'!$H$2:$H$36,'Daily evaluations'!$B$2:$B$36,"=p03_intraday_reversal",'Daily evaluations'!$C$2:$C$36,"=d20261119"),"")</f>
      </c>
      <c r="AT114" s="12">
        <f>IF((0=1),SUMIFS('Daily evaluations'!$H$2:$H$36,'Daily evaluations'!$B$2:$B$36,"=p03_intraday_reversal",'Daily evaluations'!$C$2:$C$36,"=d20261120"),"")</f>
      </c>
      <c r="AU114" s="12">
        <f>IF((0=1),SUMIFS('Daily evaluations'!$H$2:$H$36,'Daily evaluations'!$B$2:$B$36,"=p03_intraday_reversal",'Daily evaluations'!$C$2:$C$36,"=d20261123"),"")</f>
      </c>
      <c r="AV114" s="12">
        <f>IF((0=1),SUMIFS('Daily evaluations'!$H$2:$H$36,'Daily evaluations'!$B$2:$B$36,"=p03_intraday_reversal",'Daily evaluations'!$C$2:$C$36,"=d20261124"),"")</f>
      </c>
      <c r="AW114" s="12">
        <f>IF((0=1),SUMIFS('Daily evaluations'!$H$2:$H$36,'Daily evaluations'!$B$2:$B$36,"=p03_intraday_reversal",'Daily evaluations'!$C$2:$C$36,"=d20261125"),"")</f>
      </c>
      <c r="AX114" s="12">
        <f>IF((0=1),SUMIFS('Daily evaluations'!$H$2:$H$36,'Daily evaluations'!$B$2:$B$36,"=p03_intraday_reversal",'Daily evaluations'!$C$2:$C$36,"=d20261127"),"")</f>
      </c>
      <c r="AY114" s="12">
        <f>IF((0=1),SUMIFS('Daily evaluations'!$H$2:$H$36,'Daily evaluations'!$B$2:$B$36,"=p03_intraday_reversal",'Daily evaluations'!$C$2:$C$36,"=d20261130"),"")</f>
      </c>
      <c r="AZ114" s="12">
        <f>IF((0=1),SUMIFS('Daily evaluations'!$H$2:$H$36,'Daily evaluations'!$B$2:$B$36,"=p03_intraday_reversal",'Daily evaluations'!$C$2:$C$36,"=d20261201"),"")</f>
      </c>
      <c r="BA114" s="12">
        <f>IF((0=1),SUMIFS('Daily evaluations'!$H$2:$H$36,'Daily evaluations'!$B$2:$B$36,"=p03_intraday_reversal",'Daily evaluations'!$C$2:$C$36,"=d20261202"),"")</f>
      </c>
      <c r="BB114" s="12">
        <f>IF((0=1),SUMIFS('Daily evaluations'!$H$2:$H$36,'Daily evaluations'!$B$2:$B$36,"=p03_intraday_reversal",'Daily evaluations'!$C$2:$C$36,"=d20261203"),"")</f>
      </c>
      <c r="BC114" s="12">
        <f>IF((0=1),SUMIFS('Daily evaluations'!$H$2:$H$36,'Daily evaluations'!$B$2:$B$36,"=p03_intraday_reversal",'Daily evaluations'!$C$2:$C$36,"=d20261204"),"")</f>
      </c>
      <c r="BD114" s="12">
        <f>IF((0=1),SUMIFS('Daily evaluations'!$H$2:$H$36,'Daily evaluations'!$B$2:$B$36,"=p03_intraday_reversal",'Daily evaluations'!$C$2:$C$36,"=d20261207"),"")</f>
      </c>
      <c r="BE114" s="12">
        <f>IF((0=1),SUMIFS('Daily evaluations'!$H$2:$H$36,'Daily evaluations'!$B$2:$B$36,"=p03_intraday_reversal",'Daily evaluations'!$C$2:$C$36,"=d20261208"),"")</f>
      </c>
      <c r="BF114" s="12">
        <f>IF((0=1),SUMIFS('Daily evaluations'!$H$2:$H$36,'Daily evaluations'!$B$2:$B$36,"=p03_intraday_reversal",'Daily evaluations'!$C$2:$C$36,"=d20261209"),"")</f>
      </c>
      <c r="BG114" s="12">
        <f>IF((0=1),SUMIFS('Daily evaluations'!$H$2:$H$36,'Daily evaluations'!$B$2:$B$36,"=p03_intraday_reversal",'Daily evaluations'!$C$2:$C$36,"=d20261210"),"")</f>
      </c>
      <c r="BH114" s="12">
        <f>IF((0=1),SUMIFS('Daily evaluations'!$H$2:$H$36,'Daily evaluations'!$B$2:$B$36,"=p03_intraday_reversal",'Daily evaluations'!$C$2:$C$36,"=d20261211"),"")</f>
      </c>
      <c r="BI114" s="12">
        <f>IF((0=1),SUMIFS('Daily evaluations'!$H$2:$H$36,'Daily evaluations'!$B$2:$B$36,"=p03_intraday_reversal",'Daily evaluations'!$C$2:$C$36,"=d20261214"),"")</f>
      </c>
      <c r="BJ114" s="12">
        <f>IF((0=1),SUMIFS('Daily evaluations'!$H$2:$H$36,'Daily evaluations'!$B$2:$B$36,"=p03_intraday_reversal",'Daily evaluations'!$C$2:$C$36,"=d20261215"),"")</f>
      </c>
      <c r="BK114" s="12">
        <f>IF((0=1),SUMIFS('Daily evaluations'!$H$2:$H$36,'Daily evaluations'!$B$2:$B$36,"=p03_intraday_reversal",'Daily evaluations'!$C$2:$C$36,"=d20261216"),"")</f>
      </c>
      <c r="BL114" s="12">
        <f>IF((0=1),SUMIFS('Daily evaluations'!$H$2:$H$36,'Daily evaluations'!$B$2:$B$36,"=p03_intraday_reversal",'Daily evaluations'!$C$2:$C$36,"=d20261217"),"")</f>
      </c>
      <c r="BM114" s="12">
        <f>IF((0=1),SUMIFS('Daily evaluations'!$H$2:$H$36,'Daily evaluations'!$B$2:$B$36,"=p03_intraday_reversal",'Daily evaluations'!$C$2:$C$36,"=d20261218"),"")</f>
      </c>
      <c r="BN114" s="12">
        <f>IF((0=1),SUMIFS('Daily evaluations'!$H$2:$H$36,'Daily evaluations'!$B$2:$B$36,"=p03_intraday_reversal",'Daily evaluations'!$C$2:$C$36,"=d20261221"),"")</f>
      </c>
      <c r="BO114" s="12">
        <f>IF((0=1),SUMIFS('Daily evaluations'!$H$2:$H$36,'Daily evaluations'!$B$2:$B$36,"=p03_intraday_reversal",'Daily evaluations'!$C$2:$C$36,"=d20261222"),"")</f>
      </c>
      <c r="BP114" s="12">
        <f>IF((0=1),SUMIFS('Daily evaluations'!$H$2:$H$36,'Daily evaluations'!$B$2:$B$36,"=p03_intraday_reversal",'Daily evaluations'!$C$2:$C$36,"=d20261223"),"")</f>
      </c>
      <c r="BQ114" s="12">
        <f>IF((0=1),SUMIFS('Daily evaluations'!$H$2:$H$36,'Daily evaluations'!$B$2:$B$36,"=p03_intraday_reversal",'Daily evaluations'!$C$2:$C$36,"=d20261224"),"")</f>
      </c>
      <c r="BR114" s="12">
        <f>IF((0=1),SUMIFS('Daily evaluations'!$H$2:$H$36,'Daily evaluations'!$B$2:$B$36,"=p03_intraday_reversal",'Daily evaluations'!$C$2:$C$36,"=d20261228"),"")</f>
      </c>
      <c r="BS114" s="12">
        <f>IF((0=1),SUMIFS('Daily evaluations'!$H$2:$H$36,'Daily evaluations'!$B$2:$B$36,"=p03_intraday_reversal",'Daily evaluations'!$C$2:$C$36,"=d20261229"),"")</f>
      </c>
      <c r="BT114" s="12">
        <f>IF((0=1),SUMIFS('Daily evaluations'!$H$2:$H$36,'Daily evaluations'!$B$2:$B$36,"=p03_intraday_reversal",'Daily evaluations'!$C$2:$C$36,"=d20261230"),"")</f>
      </c>
      <c r="BU114" s="12">
        <f>IF((0=1),SUMIFS('Daily evaluations'!$H$2:$H$36,'Daily evaluations'!$B$2:$B$36,"=p03_intraday_reversal",'Daily evaluations'!$C$2:$C$36,"=d20261231"),"")</f>
      </c>
      <c r="BV114" s="12">
        <f>IF((0=1),SUMIFS('Daily evaluations'!$H$2:$H$36,'Daily evaluations'!$B$2:$B$36,"=p03_intraday_reversal",'Daily evaluations'!$C$2:$C$36,"=d20270104"),"")</f>
      </c>
      <c r="BW114" s="12">
        <f>IF((0=1),SUMIFS('Daily evaluations'!$H$2:$H$36,'Daily evaluations'!$B$2:$B$36,"=p03_intraday_reversal",'Daily evaluations'!$C$2:$C$36,"=d20270105"),"")</f>
      </c>
      <c r="BX114" s="12">
        <f>IF((0=1),SUMIFS('Daily evaluations'!$H$2:$H$36,'Daily evaluations'!$B$2:$B$36,"=p03_intraday_reversal",'Daily evaluations'!$C$2:$C$36,"=d20270106"),"")</f>
      </c>
      <c r="BY114" s="12">
        <f>IF((0=1),SUMIFS('Daily evaluations'!$H$2:$H$36,'Daily evaluations'!$B$2:$B$36,"=p03_intraday_reversal",'Daily evaluations'!$C$2:$C$36,"=d20270107"),"")</f>
      </c>
      <c r="BZ114" s="12">
        <f>IF((0=1),SUMIFS('Daily evaluations'!$H$2:$H$36,'Daily evaluations'!$B$2:$B$36,"=p03_intraday_reversal",'Daily evaluations'!$C$2:$C$36,"=d20270108"),"")</f>
      </c>
      <c r="CA114" s="12">
        <f>IF((0=1),SUMIFS('Daily evaluations'!$H$2:$H$36,'Daily evaluations'!$B$2:$B$36,"=p03_intraday_reversal",'Daily evaluations'!$C$2:$C$36,"=d20270111"),"")</f>
      </c>
      <c r="CB114" s="12">
        <f>IF((0=1),SUMIFS('Daily evaluations'!$H$2:$H$36,'Daily evaluations'!$B$2:$B$36,"=p03_intraday_reversal",'Daily evaluations'!$C$2:$C$36,"=d20270112"),"")</f>
      </c>
      <c r="CC114" s="12">
        <f>IF((0=1),SUMIFS('Daily evaluations'!$H$2:$H$36,'Daily evaluations'!$B$2:$B$36,"=p03_intraday_reversal",'Daily evaluations'!$C$2:$C$36,"=d20270113"),"")</f>
      </c>
      <c r="CD114" s="12">
        <f>IF((0=1),SUMIFS('Daily evaluations'!$H$2:$H$36,'Daily evaluations'!$B$2:$B$36,"=p03_intraday_reversal",'Daily evaluations'!$C$2:$C$36,"=d20270114"),"")</f>
      </c>
      <c r="CE114" s="12">
        <f>IF((0=1),SUMIFS('Daily evaluations'!$H$2:$H$36,'Daily evaluations'!$B$2:$B$36,"=p03_intraday_reversal",'Daily evaluations'!$C$2:$C$36,"=d20270115"),"")</f>
      </c>
      <c r="CF114" s="12">
        <f>IF((0=1),SUMIFS('Daily evaluations'!$H$2:$H$36,'Daily evaluations'!$B$2:$B$36,"=p03_intraday_reversal",'Daily evaluations'!$C$2:$C$36,"=d20270119"),"")</f>
      </c>
      <c r="CG114" s="12">
        <f>IF((0=1),SUMIFS('Daily evaluations'!$H$2:$H$36,'Daily evaluations'!$B$2:$B$36,"=p03_intraday_reversal",'Daily evaluations'!$C$2:$C$36,"=d20270120"),"")</f>
      </c>
      <c r="CH114" s="12">
        <f>IF((0=1),SUMIFS('Daily evaluations'!$H$2:$H$36,'Daily evaluations'!$B$2:$B$36,"=p03_intraday_reversal",'Daily evaluations'!$C$2:$C$36,"=d20270121"),"")</f>
      </c>
      <c r="CI114" s="12">
        <f>IF((0=1),SUMIFS('Daily evaluations'!$H$2:$H$36,'Daily evaluations'!$B$2:$B$36,"=p03_intraday_reversal",'Daily evaluations'!$C$2:$C$36,"=d20270122"),"")</f>
      </c>
      <c r="CJ114" s="12">
        <f>IF((0=1),SUMIFS('Daily evaluations'!$H$2:$H$36,'Daily evaluations'!$B$2:$B$36,"=p03_intraday_reversal",'Daily evaluations'!$C$2:$C$36,"=d20270125"),"")</f>
      </c>
      <c r="CK114" s="12">
        <f>IF((0=1),SUMIFS('Daily evaluations'!$H$2:$H$36,'Daily evaluations'!$B$2:$B$36,"=p03_intraday_reversal",'Daily evaluations'!$C$2:$C$36,"=d20270126"),"")</f>
      </c>
      <c r="CL114" s="12">
        <f>IF((0=1),SUMIFS('Daily evaluations'!$H$2:$H$36,'Daily evaluations'!$B$2:$B$36,"=p03_intraday_reversal",'Daily evaluations'!$C$2:$C$36,"=d20270127"),"")</f>
      </c>
      <c r="CM114" s="12">
        <f>IF((0=1),SUMIFS('Daily evaluations'!$H$2:$H$36,'Daily evaluations'!$B$2:$B$36,"=p03_intraday_reversal",'Daily evaluations'!$C$2:$C$36,"=d20270128"),"")</f>
      </c>
      <c r="CN114" s="12">
        <f>IF((0=1),SUMIFS('Daily evaluations'!$H$2:$H$36,'Daily evaluations'!$B$2:$B$36,"=p03_intraday_reversal",'Daily evaluations'!$C$2:$C$36,"=d20270129"),"")</f>
      </c>
      <c r="CO114" s="12">
        <f>IF((0=1),SUMIFS('Daily evaluations'!$H$2:$H$36,'Daily evaluations'!$B$2:$B$36,"=p03_intraday_reversal",'Daily evaluations'!$C$2:$C$36,"=d20270201"),"")</f>
      </c>
      <c r="CP114" s="12">
        <f>IF((0=1),SUMIFS('Daily evaluations'!$H$2:$H$36,'Daily evaluations'!$B$2:$B$36,"=p03_intraday_reversal",'Daily evaluations'!$C$2:$C$36,"=d20270202"),"")</f>
      </c>
      <c r="CQ114" s="12">
        <f>IF((0=1),SUMIFS('Daily evaluations'!$H$2:$H$36,'Daily evaluations'!$B$2:$B$36,"=p03_intraday_reversal",'Daily evaluations'!$C$2:$C$36,"=d20270203"),"")</f>
      </c>
      <c r="CR114" s="12">
        <f>IF((0=1),SUMIFS('Daily evaluations'!$H$2:$H$36,'Daily evaluations'!$B$2:$B$36,"=p03_intraday_reversal",'Daily evaluations'!$C$2:$C$36,"=d20270204"),"")</f>
      </c>
      <c r="CS114" s="12">
        <f>IF((0=1),SUMIFS('Daily evaluations'!$H$2:$H$36,'Daily evaluations'!$B$2:$B$36,"=p03_intraday_reversal",'Daily evaluations'!$C$2:$C$36,"=d20270205"),"")</f>
      </c>
      <c r="CT114" s="12">
        <f>IF((0=1),SUMIFS('Daily evaluations'!$H$2:$H$36,'Daily evaluations'!$B$2:$B$36,"=p03_intraday_reversal",'Daily evaluations'!$C$2:$C$36,"=d20270208"),"")</f>
      </c>
      <c r="CU114" s="12">
        <f>IF((0=1),SUMIFS('Daily evaluations'!$H$2:$H$36,'Daily evaluations'!$B$2:$B$36,"=p03_intraday_reversal",'Daily evaluations'!$C$2:$C$36,"=d20270209"),"")</f>
      </c>
      <c r="CV114" s="12">
        <f>IF((0=1),SUMIFS('Daily evaluations'!$H$2:$H$36,'Daily evaluations'!$B$2:$B$36,"=p03_intraday_reversal",'Daily evaluations'!$C$2:$C$36,"=d20270210"),"")</f>
      </c>
      <c r="CW114" s="12">
        <f>IF((0=1),SUMIFS('Daily evaluations'!$H$2:$H$36,'Daily evaluations'!$B$2:$B$36,"=p03_intraday_reversal",'Daily evaluations'!$C$2:$C$36,"=d20270211"),"")</f>
      </c>
      <c r="CX114" s="12">
        <f>IF((0=1),SUMIFS('Daily evaluations'!$H$2:$H$36,'Daily evaluations'!$B$2:$B$36,"=p03_intraday_reversal",'Daily evaluations'!$C$2:$C$36,"=d20270212"),"")</f>
      </c>
    </row>
    <row r="115">
      <c r="A115" s="0" t="inlineStr">
        <is>
          <t xml:space="preserve">Hit rate vs universe median</t>
        </is>
      </c>
      <c r="B115" s="0" t="inlineStr">
        <is>
          <t xml:space="preserve">Analyst Revision Momentum</t>
        </is>
      </c>
      <c r="C115" s="12">
        <f>IF((1=1),SUMIFS('Daily evaluations'!$H$2:$H$36,'Daily evaluations'!$B$2:$B$36,"=p04_analyst_revisions",'Daily evaluations'!$C$2:$C$36,"=d20260922"),"")</f>
        <v>0.49</v>
      </c>
      <c r="D115" s="12">
        <f>IF((0=1),SUMIFS('Daily evaluations'!$H$2:$H$36,'Daily evaluations'!$B$2:$B$36,"=p04_analyst_revisions",'Daily evaluations'!$C$2:$C$36,"=d20260923"),"")</f>
      </c>
      <c r="E115" s="12">
        <f>IF((0=1),SUMIFS('Daily evaluations'!$H$2:$H$36,'Daily evaluations'!$B$2:$B$36,"=p04_analyst_revisions",'Daily evaluations'!$C$2:$C$36,"=d20260924"),"")</f>
      </c>
      <c r="F115" s="12">
        <f>IF((0=1),SUMIFS('Daily evaluations'!$H$2:$H$36,'Daily evaluations'!$B$2:$B$36,"=p04_analyst_revisions",'Daily evaluations'!$C$2:$C$36,"=d20260925"),"")</f>
      </c>
      <c r="G115" s="12">
        <f>IF((0=1),SUMIFS('Daily evaluations'!$H$2:$H$36,'Daily evaluations'!$B$2:$B$36,"=p04_analyst_revisions",'Daily evaluations'!$C$2:$C$36,"=d20260928"),"")</f>
      </c>
      <c r="H115" s="12">
        <f>IF((0=1),SUMIFS('Daily evaluations'!$H$2:$H$36,'Daily evaluations'!$B$2:$B$36,"=p04_analyst_revisions",'Daily evaluations'!$C$2:$C$36,"=d20260929"),"")</f>
      </c>
      <c r="I115" s="12">
        <f>IF((0=1),SUMIFS('Daily evaluations'!$H$2:$H$36,'Daily evaluations'!$B$2:$B$36,"=p04_analyst_revisions",'Daily evaluations'!$C$2:$C$36,"=d20260930"),"")</f>
      </c>
      <c r="J115" s="12">
        <f>IF((0=1),SUMIFS('Daily evaluations'!$H$2:$H$36,'Daily evaluations'!$B$2:$B$36,"=p04_analyst_revisions",'Daily evaluations'!$C$2:$C$36,"=d20261001"),"")</f>
      </c>
      <c r="K115" s="12">
        <f>IF((0=1),SUMIFS('Daily evaluations'!$H$2:$H$36,'Daily evaluations'!$B$2:$B$36,"=p04_analyst_revisions",'Daily evaluations'!$C$2:$C$36,"=d20261002"),"")</f>
      </c>
      <c r="L115" s="12">
        <f>IF((0=1),SUMIFS('Daily evaluations'!$H$2:$H$36,'Daily evaluations'!$B$2:$B$36,"=p04_analyst_revisions",'Daily evaluations'!$C$2:$C$36,"=d20261005"),"")</f>
      </c>
      <c r="M115" s="12">
        <f>IF((0=1),SUMIFS('Daily evaluations'!$H$2:$H$36,'Daily evaluations'!$B$2:$B$36,"=p04_analyst_revisions",'Daily evaluations'!$C$2:$C$36,"=d20261006"),"")</f>
      </c>
      <c r="N115" s="12">
        <f>IF((0=1),SUMIFS('Daily evaluations'!$H$2:$H$36,'Daily evaluations'!$B$2:$B$36,"=p04_analyst_revisions",'Daily evaluations'!$C$2:$C$36,"=d20261007"),"")</f>
      </c>
      <c r="O115" s="12">
        <f>IF((0=1),SUMIFS('Daily evaluations'!$H$2:$H$36,'Daily evaluations'!$B$2:$B$36,"=p04_analyst_revisions",'Daily evaluations'!$C$2:$C$36,"=d20261008"),"")</f>
      </c>
      <c r="P115" s="12">
        <f>IF((0=1),SUMIFS('Daily evaluations'!$H$2:$H$36,'Daily evaluations'!$B$2:$B$36,"=p04_analyst_revisions",'Daily evaluations'!$C$2:$C$36,"=d20261009"),"")</f>
      </c>
      <c r="Q115" s="12">
        <f>IF((0=1),SUMIFS('Daily evaluations'!$H$2:$H$36,'Daily evaluations'!$B$2:$B$36,"=p04_analyst_revisions",'Daily evaluations'!$C$2:$C$36,"=d20261012"),"")</f>
      </c>
      <c r="R115" s="12">
        <f>IF((0=1),SUMIFS('Daily evaluations'!$H$2:$H$36,'Daily evaluations'!$B$2:$B$36,"=p04_analyst_revisions",'Daily evaluations'!$C$2:$C$36,"=d20261013"),"")</f>
      </c>
      <c r="S115" s="12">
        <f>IF((0=1),SUMIFS('Daily evaluations'!$H$2:$H$36,'Daily evaluations'!$B$2:$B$36,"=p04_analyst_revisions",'Daily evaluations'!$C$2:$C$36,"=d20261014"),"")</f>
      </c>
      <c r="T115" s="12">
        <f>IF((0=1),SUMIFS('Daily evaluations'!$H$2:$H$36,'Daily evaluations'!$B$2:$B$36,"=p04_analyst_revisions",'Daily evaluations'!$C$2:$C$36,"=d20261015"),"")</f>
      </c>
      <c r="U115" s="12">
        <f>IF((0=1),SUMIFS('Daily evaluations'!$H$2:$H$36,'Daily evaluations'!$B$2:$B$36,"=p04_analyst_revisions",'Daily evaluations'!$C$2:$C$36,"=d20261016"),"")</f>
      </c>
      <c r="V115" s="12">
        <f>IF((0=1),SUMIFS('Daily evaluations'!$H$2:$H$36,'Daily evaluations'!$B$2:$B$36,"=p04_analyst_revisions",'Daily evaluations'!$C$2:$C$36,"=d20261019"),"")</f>
      </c>
      <c r="W115" s="12">
        <f>IF((0=1),SUMIFS('Daily evaluations'!$H$2:$H$36,'Daily evaluations'!$B$2:$B$36,"=p04_analyst_revisions",'Daily evaluations'!$C$2:$C$36,"=d20261020"),"")</f>
      </c>
      <c r="X115" s="12">
        <f>IF((0=1),SUMIFS('Daily evaluations'!$H$2:$H$36,'Daily evaluations'!$B$2:$B$36,"=p04_analyst_revisions",'Daily evaluations'!$C$2:$C$36,"=d20261021"),"")</f>
      </c>
      <c r="Y115" s="12">
        <f>IF((0=1),SUMIFS('Daily evaluations'!$H$2:$H$36,'Daily evaluations'!$B$2:$B$36,"=p04_analyst_revisions",'Daily evaluations'!$C$2:$C$36,"=d20261022"),"")</f>
      </c>
      <c r="Z115" s="12">
        <f>IF((0=1),SUMIFS('Daily evaluations'!$H$2:$H$36,'Daily evaluations'!$B$2:$B$36,"=p04_analyst_revisions",'Daily evaluations'!$C$2:$C$36,"=d20261023"),"")</f>
      </c>
      <c r="AA115" s="12">
        <f>IF((0=1),SUMIFS('Daily evaluations'!$H$2:$H$36,'Daily evaluations'!$B$2:$B$36,"=p04_analyst_revisions",'Daily evaluations'!$C$2:$C$36,"=d20261026"),"")</f>
      </c>
      <c r="AB115" s="12">
        <f>IF((0=1),SUMIFS('Daily evaluations'!$H$2:$H$36,'Daily evaluations'!$B$2:$B$36,"=p04_analyst_revisions",'Daily evaluations'!$C$2:$C$36,"=d20261027"),"")</f>
      </c>
      <c r="AC115" s="12">
        <f>IF((0=1),SUMIFS('Daily evaluations'!$H$2:$H$36,'Daily evaluations'!$B$2:$B$36,"=p04_analyst_revisions",'Daily evaluations'!$C$2:$C$36,"=d20261028"),"")</f>
      </c>
      <c r="AD115" s="12">
        <f>IF((0=1),SUMIFS('Daily evaluations'!$H$2:$H$36,'Daily evaluations'!$B$2:$B$36,"=p04_analyst_revisions",'Daily evaluations'!$C$2:$C$36,"=d20261029"),"")</f>
      </c>
      <c r="AE115" s="12">
        <f>IF((0=1),SUMIFS('Daily evaluations'!$H$2:$H$36,'Daily evaluations'!$B$2:$B$36,"=p04_analyst_revisions",'Daily evaluations'!$C$2:$C$36,"=d20261030"),"")</f>
      </c>
      <c r="AF115" s="12">
        <f>IF((0=1),SUMIFS('Daily evaluations'!$H$2:$H$36,'Daily evaluations'!$B$2:$B$36,"=p04_analyst_revisions",'Daily evaluations'!$C$2:$C$36,"=d20261102"),"")</f>
      </c>
      <c r="AG115" s="12">
        <f>IF((0=1),SUMIFS('Daily evaluations'!$H$2:$H$36,'Daily evaluations'!$B$2:$B$36,"=p04_analyst_revisions",'Daily evaluations'!$C$2:$C$36,"=d20261103"),"")</f>
      </c>
      <c r="AH115" s="12">
        <f>IF((0=1),SUMIFS('Daily evaluations'!$H$2:$H$36,'Daily evaluations'!$B$2:$B$36,"=p04_analyst_revisions",'Daily evaluations'!$C$2:$C$36,"=d20261104"),"")</f>
      </c>
      <c r="AI115" s="12">
        <f>IF((0=1),SUMIFS('Daily evaluations'!$H$2:$H$36,'Daily evaluations'!$B$2:$B$36,"=p04_analyst_revisions",'Daily evaluations'!$C$2:$C$36,"=d20261105"),"")</f>
      </c>
      <c r="AJ115" s="12">
        <f>IF((0=1),SUMIFS('Daily evaluations'!$H$2:$H$36,'Daily evaluations'!$B$2:$B$36,"=p04_analyst_revisions",'Daily evaluations'!$C$2:$C$36,"=d20261106"),"")</f>
      </c>
      <c r="AK115" s="12">
        <f>IF((0=1),SUMIFS('Daily evaluations'!$H$2:$H$36,'Daily evaluations'!$B$2:$B$36,"=p04_analyst_revisions",'Daily evaluations'!$C$2:$C$36,"=d20261109"),"")</f>
      </c>
      <c r="AL115" s="12">
        <f>IF((0=1),SUMIFS('Daily evaluations'!$H$2:$H$36,'Daily evaluations'!$B$2:$B$36,"=p04_analyst_revisions",'Daily evaluations'!$C$2:$C$36,"=d20261110"),"")</f>
      </c>
      <c r="AM115" s="12">
        <f>IF((0=1),SUMIFS('Daily evaluations'!$H$2:$H$36,'Daily evaluations'!$B$2:$B$36,"=p04_analyst_revisions",'Daily evaluations'!$C$2:$C$36,"=d20261111"),"")</f>
      </c>
      <c r="AN115" s="12">
        <f>IF((0=1),SUMIFS('Daily evaluations'!$H$2:$H$36,'Daily evaluations'!$B$2:$B$36,"=p04_analyst_revisions",'Daily evaluations'!$C$2:$C$36,"=d20261112"),"")</f>
      </c>
      <c r="AO115" s="12">
        <f>IF((0=1),SUMIFS('Daily evaluations'!$H$2:$H$36,'Daily evaluations'!$B$2:$B$36,"=p04_analyst_revisions",'Daily evaluations'!$C$2:$C$36,"=d20261113"),"")</f>
      </c>
      <c r="AP115" s="12">
        <f>IF((0=1),SUMIFS('Daily evaluations'!$H$2:$H$36,'Daily evaluations'!$B$2:$B$36,"=p04_analyst_revisions",'Daily evaluations'!$C$2:$C$36,"=d20261116"),"")</f>
      </c>
      <c r="AQ115" s="12">
        <f>IF((0=1),SUMIFS('Daily evaluations'!$H$2:$H$36,'Daily evaluations'!$B$2:$B$36,"=p04_analyst_revisions",'Daily evaluations'!$C$2:$C$36,"=d20261117"),"")</f>
      </c>
      <c r="AR115" s="12">
        <f>IF((0=1),SUMIFS('Daily evaluations'!$H$2:$H$36,'Daily evaluations'!$B$2:$B$36,"=p04_analyst_revisions",'Daily evaluations'!$C$2:$C$36,"=d20261118"),"")</f>
      </c>
      <c r="AS115" s="12">
        <f>IF((0=1),SUMIFS('Daily evaluations'!$H$2:$H$36,'Daily evaluations'!$B$2:$B$36,"=p04_analyst_revisions",'Daily evaluations'!$C$2:$C$36,"=d20261119"),"")</f>
      </c>
      <c r="AT115" s="12">
        <f>IF((0=1),SUMIFS('Daily evaluations'!$H$2:$H$36,'Daily evaluations'!$B$2:$B$36,"=p04_analyst_revisions",'Daily evaluations'!$C$2:$C$36,"=d20261120"),"")</f>
      </c>
      <c r="AU115" s="12">
        <f>IF((0=1),SUMIFS('Daily evaluations'!$H$2:$H$36,'Daily evaluations'!$B$2:$B$36,"=p04_analyst_revisions",'Daily evaluations'!$C$2:$C$36,"=d20261123"),"")</f>
      </c>
      <c r="AV115" s="12">
        <f>IF((0=1),SUMIFS('Daily evaluations'!$H$2:$H$36,'Daily evaluations'!$B$2:$B$36,"=p04_analyst_revisions",'Daily evaluations'!$C$2:$C$36,"=d20261124"),"")</f>
      </c>
      <c r="AW115" s="12">
        <f>IF((0=1),SUMIFS('Daily evaluations'!$H$2:$H$36,'Daily evaluations'!$B$2:$B$36,"=p04_analyst_revisions",'Daily evaluations'!$C$2:$C$36,"=d20261125"),"")</f>
      </c>
      <c r="AX115" s="12">
        <f>IF((0=1),SUMIFS('Daily evaluations'!$H$2:$H$36,'Daily evaluations'!$B$2:$B$36,"=p04_analyst_revisions",'Daily evaluations'!$C$2:$C$36,"=d20261127"),"")</f>
      </c>
      <c r="AY115" s="12">
        <f>IF((0=1),SUMIFS('Daily evaluations'!$H$2:$H$36,'Daily evaluations'!$B$2:$B$36,"=p04_analyst_revisions",'Daily evaluations'!$C$2:$C$36,"=d20261130"),"")</f>
      </c>
      <c r="AZ115" s="12">
        <f>IF((0=1),SUMIFS('Daily evaluations'!$H$2:$H$36,'Daily evaluations'!$B$2:$B$36,"=p04_analyst_revisions",'Daily evaluations'!$C$2:$C$36,"=d20261201"),"")</f>
      </c>
      <c r="BA115" s="12">
        <f>IF((0=1),SUMIFS('Daily evaluations'!$H$2:$H$36,'Daily evaluations'!$B$2:$B$36,"=p04_analyst_revisions",'Daily evaluations'!$C$2:$C$36,"=d20261202"),"")</f>
      </c>
      <c r="BB115" s="12">
        <f>IF((0=1),SUMIFS('Daily evaluations'!$H$2:$H$36,'Daily evaluations'!$B$2:$B$36,"=p04_analyst_revisions",'Daily evaluations'!$C$2:$C$36,"=d20261203"),"")</f>
      </c>
      <c r="BC115" s="12">
        <f>IF((0=1),SUMIFS('Daily evaluations'!$H$2:$H$36,'Daily evaluations'!$B$2:$B$36,"=p04_analyst_revisions",'Daily evaluations'!$C$2:$C$36,"=d20261204"),"")</f>
      </c>
      <c r="BD115" s="12">
        <f>IF((0=1),SUMIFS('Daily evaluations'!$H$2:$H$36,'Daily evaluations'!$B$2:$B$36,"=p04_analyst_revisions",'Daily evaluations'!$C$2:$C$36,"=d20261207"),"")</f>
      </c>
      <c r="BE115" s="12">
        <f>IF((0=1),SUMIFS('Daily evaluations'!$H$2:$H$36,'Daily evaluations'!$B$2:$B$36,"=p04_analyst_revisions",'Daily evaluations'!$C$2:$C$36,"=d20261208"),"")</f>
      </c>
      <c r="BF115" s="12">
        <f>IF((0=1),SUMIFS('Daily evaluations'!$H$2:$H$36,'Daily evaluations'!$B$2:$B$36,"=p04_analyst_revisions",'Daily evaluations'!$C$2:$C$36,"=d20261209"),"")</f>
      </c>
      <c r="BG115" s="12">
        <f>IF((0=1),SUMIFS('Daily evaluations'!$H$2:$H$36,'Daily evaluations'!$B$2:$B$36,"=p04_analyst_revisions",'Daily evaluations'!$C$2:$C$36,"=d20261210"),"")</f>
      </c>
      <c r="BH115" s="12">
        <f>IF((0=1),SUMIFS('Daily evaluations'!$H$2:$H$36,'Daily evaluations'!$B$2:$B$36,"=p04_analyst_revisions",'Daily evaluations'!$C$2:$C$36,"=d20261211"),"")</f>
      </c>
      <c r="BI115" s="12">
        <f>IF((0=1),SUMIFS('Daily evaluations'!$H$2:$H$36,'Daily evaluations'!$B$2:$B$36,"=p04_analyst_revisions",'Daily evaluations'!$C$2:$C$36,"=d20261214"),"")</f>
      </c>
      <c r="BJ115" s="12">
        <f>IF((0=1),SUMIFS('Daily evaluations'!$H$2:$H$36,'Daily evaluations'!$B$2:$B$36,"=p04_analyst_revisions",'Daily evaluations'!$C$2:$C$36,"=d20261215"),"")</f>
      </c>
      <c r="BK115" s="12">
        <f>IF((0=1),SUMIFS('Daily evaluations'!$H$2:$H$36,'Daily evaluations'!$B$2:$B$36,"=p04_analyst_revisions",'Daily evaluations'!$C$2:$C$36,"=d20261216"),"")</f>
      </c>
      <c r="BL115" s="12">
        <f>IF((0=1),SUMIFS('Daily evaluations'!$H$2:$H$36,'Daily evaluations'!$B$2:$B$36,"=p04_analyst_revisions",'Daily evaluations'!$C$2:$C$36,"=d20261217"),"")</f>
      </c>
      <c r="BM115" s="12">
        <f>IF((0=1),SUMIFS('Daily evaluations'!$H$2:$H$36,'Daily evaluations'!$B$2:$B$36,"=p04_analyst_revisions",'Daily evaluations'!$C$2:$C$36,"=d20261218"),"")</f>
      </c>
      <c r="BN115" s="12">
        <f>IF((0=1),SUMIFS('Daily evaluations'!$H$2:$H$36,'Daily evaluations'!$B$2:$B$36,"=p04_analyst_revisions",'Daily evaluations'!$C$2:$C$36,"=d20261221"),"")</f>
      </c>
      <c r="BO115" s="12">
        <f>IF((0=1),SUMIFS('Daily evaluations'!$H$2:$H$36,'Daily evaluations'!$B$2:$B$36,"=p04_analyst_revisions",'Daily evaluations'!$C$2:$C$36,"=d20261222"),"")</f>
      </c>
      <c r="BP115" s="12">
        <f>IF((0=1),SUMIFS('Daily evaluations'!$H$2:$H$36,'Daily evaluations'!$B$2:$B$36,"=p04_analyst_revisions",'Daily evaluations'!$C$2:$C$36,"=d20261223"),"")</f>
      </c>
      <c r="BQ115" s="12">
        <f>IF((0=1),SUMIFS('Daily evaluations'!$H$2:$H$36,'Daily evaluations'!$B$2:$B$36,"=p04_analyst_revisions",'Daily evaluations'!$C$2:$C$36,"=d20261224"),"")</f>
      </c>
      <c r="BR115" s="12">
        <f>IF((0=1),SUMIFS('Daily evaluations'!$H$2:$H$36,'Daily evaluations'!$B$2:$B$36,"=p04_analyst_revisions",'Daily evaluations'!$C$2:$C$36,"=d20261228"),"")</f>
      </c>
      <c r="BS115" s="12">
        <f>IF((0=1),SUMIFS('Daily evaluations'!$H$2:$H$36,'Daily evaluations'!$B$2:$B$36,"=p04_analyst_revisions",'Daily evaluations'!$C$2:$C$36,"=d20261229"),"")</f>
      </c>
      <c r="BT115" s="12">
        <f>IF((0=1),SUMIFS('Daily evaluations'!$H$2:$H$36,'Daily evaluations'!$B$2:$B$36,"=p04_analyst_revisions",'Daily evaluations'!$C$2:$C$36,"=d20261230"),"")</f>
      </c>
      <c r="BU115" s="12">
        <f>IF((0=1),SUMIFS('Daily evaluations'!$H$2:$H$36,'Daily evaluations'!$B$2:$B$36,"=p04_analyst_revisions",'Daily evaluations'!$C$2:$C$36,"=d20261231"),"")</f>
      </c>
      <c r="BV115" s="12">
        <f>IF((0=1),SUMIFS('Daily evaluations'!$H$2:$H$36,'Daily evaluations'!$B$2:$B$36,"=p04_analyst_revisions",'Daily evaluations'!$C$2:$C$36,"=d20270104"),"")</f>
      </c>
      <c r="BW115" s="12">
        <f>IF((0=1),SUMIFS('Daily evaluations'!$H$2:$H$36,'Daily evaluations'!$B$2:$B$36,"=p04_analyst_revisions",'Daily evaluations'!$C$2:$C$36,"=d20270105"),"")</f>
      </c>
      <c r="BX115" s="12">
        <f>IF((0=1),SUMIFS('Daily evaluations'!$H$2:$H$36,'Daily evaluations'!$B$2:$B$36,"=p04_analyst_revisions",'Daily evaluations'!$C$2:$C$36,"=d20270106"),"")</f>
      </c>
      <c r="BY115" s="12">
        <f>IF((0=1),SUMIFS('Daily evaluations'!$H$2:$H$36,'Daily evaluations'!$B$2:$B$36,"=p04_analyst_revisions",'Daily evaluations'!$C$2:$C$36,"=d20270107"),"")</f>
      </c>
      <c r="BZ115" s="12">
        <f>IF((0=1),SUMIFS('Daily evaluations'!$H$2:$H$36,'Daily evaluations'!$B$2:$B$36,"=p04_analyst_revisions",'Daily evaluations'!$C$2:$C$36,"=d20270108"),"")</f>
      </c>
      <c r="CA115" s="12">
        <f>IF((0=1),SUMIFS('Daily evaluations'!$H$2:$H$36,'Daily evaluations'!$B$2:$B$36,"=p04_analyst_revisions",'Daily evaluations'!$C$2:$C$36,"=d20270111"),"")</f>
      </c>
      <c r="CB115" s="12">
        <f>IF((0=1),SUMIFS('Daily evaluations'!$H$2:$H$36,'Daily evaluations'!$B$2:$B$36,"=p04_analyst_revisions",'Daily evaluations'!$C$2:$C$36,"=d20270112"),"")</f>
      </c>
      <c r="CC115" s="12">
        <f>IF((0=1),SUMIFS('Daily evaluations'!$H$2:$H$36,'Daily evaluations'!$B$2:$B$36,"=p04_analyst_revisions",'Daily evaluations'!$C$2:$C$36,"=d20270113"),"")</f>
      </c>
      <c r="CD115" s="12">
        <f>IF((0=1),SUMIFS('Daily evaluations'!$H$2:$H$36,'Daily evaluations'!$B$2:$B$36,"=p04_analyst_revisions",'Daily evaluations'!$C$2:$C$36,"=d20270114"),"")</f>
      </c>
      <c r="CE115" s="12">
        <f>IF((0=1),SUMIFS('Daily evaluations'!$H$2:$H$36,'Daily evaluations'!$B$2:$B$36,"=p04_analyst_revisions",'Daily evaluations'!$C$2:$C$36,"=d20270115"),"")</f>
      </c>
      <c r="CF115" s="12">
        <f>IF((0=1),SUMIFS('Daily evaluations'!$H$2:$H$36,'Daily evaluations'!$B$2:$B$36,"=p04_analyst_revisions",'Daily evaluations'!$C$2:$C$36,"=d20270119"),"")</f>
      </c>
      <c r="CG115" s="12">
        <f>IF((0=1),SUMIFS('Daily evaluations'!$H$2:$H$36,'Daily evaluations'!$B$2:$B$36,"=p04_analyst_revisions",'Daily evaluations'!$C$2:$C$36,"=d20270120"),"")</f>
      </c>
      <c r="CH115" s="12">
        <f>IF((0=1),SUMIFS('Daily evaluations'!$H$2:$H$36,'Daily evaluations'!$B$2:$B$36,"=p04_analyst_revisions",'Daily evaluations'!$C$2:$C$36,"=d20270121"),"")</f>
      </c>
      <c r="CI115" s="12">
        <f>IF((0=1),SUMIFS('Daily evaluations'!$H$2:$H$36,'Daily evaluations'!$B$2:$B$36,"=p04_analyst_revisions",'Daily evaluations'!$C$2:$C$36,"=d20270122"),"")</f>
      </c>
      <c r="CJ115" s="12">
        <f>IF((0=1),SUMIFS('Daily evaluations'!$H$2:$H$36,'Daily evaluations'!$B$2:$B$36,"=p04_analyst_revisions",'Daily evaluations'!$C$2:$C$36,"=d20270125"),"")</f>
      </c>
      <c r="CK115" s="12">
        <f>IF((0=1),SUMIFS('Daily evaluations'!$H$2:$H$36,'Daily evaluations'!$B$2:$B$36,"=p04_analyst_revisions",'Daily evaluations'!$C$2:$C$36,"=d20270126"),"")</f>
      </c>
      <c r="CL115" s="12">
        <f>IF((0=1),SUMIFS('Daily evaluations'!$H$2:$H$36,'Daily evaluations'!$B$2:$B$36,"=p04_analyst_revisions",'Daily evaluations'!$C$2:$C$36,"=d20270127"),"")</f>
      </c>
      <c r="CM115" s="12">
        <f>IF((0=1),SUMIFS('Daily evaluations'!$H$2:$H$36,'Daily evaluations'!$B$2:$B$36,"=p04_analyst_revisions",'Daily evaluations'!$C$2:$C$36,"=d20270128"),"")</f>
      </c>
      <c r="CN115" s="12">
        <f>IF((0=1),SUMIFS('Daily evaluations'!$H$2:$H$36,'Daily evaluations'!$B$2:$B$36,"=p04_analyst_revisions",'Daily evaluations'!$C$2:$C$36,"=d20270129"),"")</f>
      </c>
      <c r="CO115" s="12">
        <f>IF((0=1),SUMIFS('Daily evaluations'!$H$2:$H$36,'Daily evaluations'!$B$2:$B$36,"=p04_analyst_revisions",'Daily evaluations'!$C$2:$C$36,"=d20270201"),"")</f>
      </c>
      <c r="CP115" s="12">
        <f>IF((0=1),SUMIFS('Daily evaluations'!$H$2:$H$36,'Daily evaluations'!$B$2:$B$36,"=p04_analyst_revisions",'Daily evaluations'!$C$2:$C$36,"=d20270202"),"")</f>
      </c>
      <c r="CQ115" s="12">
        <f>IF((0=1),SUMIFS('Daily evaluations'!$H$2:$H$36,'Daily evaluations'!$B$2:$B$36,"=p04_analyst_revisions",'Daily evaluations'!$C$2:$C$36,"=d20270203"),"")</f>
      </c>
      <c r="CR115" s="12">
        <f>IF((0=1),SUMIFS('Daily evaluations'!$H$2:$H$36,'Daily evaluations'!$B$2:$B$36,"=p04_analyst_revisions",'Daily evaluations'!$C$2:$C$36,"=d20270204"),"")</f>
      </c>
      <c r="CS115" s="12">
        <f>IF((0=1),SUMIFS('Daily evaluations'!$H$2:$H$36,'Daily evaluations'!$B$2:$B$36,"=p04_analyst_revisions",'Daily evaluations'!$C$2:$C$36,"=d20270205"),"")</f>
      </c>
      <c r="CT115" s="12">
        <f>IF((0=1),SUMIFS('Daily evaluations'!$H$2:$H$36,'Daily evaluations'!$B$2:$B$36,"=p04_analyst_revisions",'Daily evaluations'!$C$2:$C$36,"=d20270208"),"")</f>
      </c>
      <c r="CU115" s="12">
        <f>IF((0=1),SUMIFS('Daily evaluations'!$H$2:$H$36,'Daily evaluations'!$B$2:$B$36,"=p04_analyst_revisions",'Daily evaluations'!$C$2:$C$36,"=d20270209"),"")</f>
      </c>
      <c r="CV115" s="12">
        <f>IF((0=1),SUMIFS('Daily evaluations'!$H$2:$H$36,'Daily evaluations'!$B$2:$B$36,"=p04_analyst_revisions",'Daily evaluations'!$C$2:$C$36,"=d20270210"),"")</f>
      </c>
      <c r="CW115" s="12">
        <f>IF((0=1),SUMIFS('Daily evaluations'!$H$2:$H$36,'Daily evaluations'!$B$2:$B$36,"=p04_analyst_revisions",'Daily evaluations'!$C$2:$C$36,"=d20270211"),"")</f>
      </c>
      <c r="CX115" s="12">
        <f>IF((0=1),SUMIFS('Daily evaluations'!$H$2:$H$36,'Daily evaluations'!$B$2:$B$36,"=p04_analyst_revisions",'Daily evaluations'!$C$2:$C$36,"=d20270212"),"")</f>
      </c>
    </row>
    <row r="116">
      <c r="A116" s="0" t="inlineStr">
        <is>
          <t xml:space="preserve">Hit rate vs universe median</t>
        </is>
      </c>
      <c r="B116" s="0" t="inlineStr">
        <is>
          <t xml:space="preserve">Clustered Insider Buying</t>
        </is>
      </c>
      <c r="C116" s="12">
        <f>IF((1=1),SUMIFS('Daily evaluations'!$H$2:$H$36,'Daily evaluations'!$B$2:$B$36,"=p05_insider_clusters",'Daily evaluations'!$C$2:$C$36,"=d20260922"),"")</f>
        <v>0.53</v>
      </c>
      <c r="D116" s="12">
        <f>IF((0=1),SUMIFS('Daily evaluations'!$H$2:$H$36,'Daily evaluations'!$B$2:$B$36,"=p05_insider_clusters",'Daily evaluations'!$C$2:$C$36,"=d20260923"),"")</f>
      </c>
      <c r="E116" s="12">
        <f>IF((0=1),SUMIFS('Daily evaluations'!$H$2:$H$36,'Daily evaluations'!$B$2:$B$36,"=p05_insider_clusters",'Daily evaluations'!$C$2:$C$36,"=d20260924"),"")</f>
      </c>
      <c r="F116" s="12">
        <f>IF((0=1),SUMIFS('Daily evaluations'!$H$2:$H$36,'Daily evaluations'!$B$2:$B$36,"=p05_insider_clusters",'Daily evaluations'!$C$2:$C$36,"=d20260925"),"")</f>
      </c>
      <c r="G116" s="12">
        <f>IF((0=1),SUMIFS('Daily evaluations'!$H$2:$H$36,'Daily evaluations'!$B$2:$B$36,"=p05_insider_clusters",'Daily evaluations'!$C$2:$C$36,"=d20260928"),"")</f>
      </c>
      <c r="H116" s="12">
        <f>IF((0=1),SUMIFS('Daily evaluations'!$H$2:$H$36,'Daily evaluations'!$B$2:$B$36,"=p05_insider_clusters",'Daily evaluations'!$C$2:$C$36,"=d20260929"),"")</f>
      </c>
      <c r="I116" s="12">
        <f>IF((0=1),SUMIFS('Daily evaluations'!$H$2:$H$36,'Daily evaluations'!$B$2:$B$36,"=p05_insider_clusters",'Daily evaluations'!$C$2:$C$36,"=d20260930"),"")</f>
      </c>
      <c r="J116" s="12">
        <f>IF((0=1),SUMIFS('Daily evaluations'!$H$2:$H$36,'Daily evaluations'!$B$2:$B$36,"=p05_insider_clusters",'Daily evaluations'!$C$2:$C$36,"=d20261001"),"")</f>
      </c>
      <c r="K116" s="12">
        <f>IF((0=1),SUMIFS('Daily evaluations'!$H$2:$H$36,'Daily evaluations'!$B$2:$B$36,"=p05_insider_clusters",'Daily evaluations'!$C$2:$C$36,"=d20261002"),"")</f>
      </c>
      <c r="L116" s="12">
        <f>IF((0=1),SUMIFS('Daily evaluations'!$H$2:$H$36,'Daily evaluations'!$B$2:$B$36,"=p05_insider_clusters",'Daily evaluations'!$C$2:$C$36,"=d20261005"),"")</f>
      </c>
      <c r="M116" s="12">
        <f>IF((0=1),SUMIFS('Daily evaluations'!$H$2:$H$36,'Daily evaluations'!$B$2:$B$36,"=p05_insider_clusters",'Daily evaluations'!$C$2:$C$36,"=d20261006"),"")</f>
      </c>
      <c r="N116" s="12">
        <f>IF((0=1),SUMIFS('Daily evaluations'!$H$2:$H$36,'Daily evaluations'!$B$2:$B$36,"=p05_insider_clusters",'Daily evaluations'!$C$2:$C$36,"=d20261007"),"")</f>
      </c>
      <c r="O116" s="12">
        <f>IF((0=1),SUMIFS('Daily evaluations'!$H$2:$H$36,'Daily evaluations'!$B$2:$B$36,"=p05_insider_clusters",'Daily evaluations'!$C$2:$C$36,"=d20261008"),"")</f>
      </c>
      <c r="P116" s="12">
        <f>IF((0=1),SUMIFS('Daily evaluations'!$H$2:$H$36,'Daily evaluations'!$B$2:$B$36,"=p05_insider_clusters",'Daily evaluations'!$C$2:$C$36,"=d20261009"),"")</f>
      </c>
      <c r="Q116" s="12">
        <f>IF((0=1),SUMIFS('Daily evaluations'!$H$2:$H$36,'Daily evaluations'!$B$2:$B$36,"=p05_insider_clusters",'Daily evaluations'!$C$2:$C$36,"=d20261012"),"")</f>
      </c>
      <c r="R116" s="12">
        <f>IF((0=1),SUMIFS('Daily evaluations'!$H$2:$H$36,'Daily evaluations'!$B$2:$B$36,"=p05_insider_clusters",'Daily evaluations'!$C$2:$C$36,"=d20261013"),"")</f>
      </c>
      <c r="S116" s="12">
        <f>IF((0=1),SUMIFS('Daily evaluations'!$H$2:$H$36,'Daily evaluations'!$B$2:$B$36,"=p05_insider_clusters",'Daily evaluations'!$C$2:$C$36,"=d20261014"),"")</f>
      </c>
      <c r="T116" s="12">
        <f>IF((0=1),SUMIFS('Daily evaluations'!$H$2:$H$36,'Daily evaluations'!$B$2:$B$36,"=p05_insider_clusters",'Daily evaluations'!$C$2:$C$36,"=d20261015"),"")</f>
      </c>
      <c r="U116" s="12">
        <f>IF((0=1),SUMIFS('Daily evaluations'!$H$2:$H$36,'Daily evaluations'!$B$2:$B$36,"=p05_insider_clusters",'Daily evaluations'!$C$2:$C$36,"=d20261016"),"")</f>
      </c>
      <c r="V116" s="12">
        <f>IF((0=1),SUMIFS('Daily evaluations'!$H$2:$H$36,'Daily evaluations'!$B$2:$B$36,"=p05_insider_clusters",'Daily evaluations'!$C$2:$C$36,"=d20261019"),"")</f>
      </c>
      <c r="W116" s="12">
        <f>IF((0=1),SUMIFS('Daily evaluations'!$H$2:$H$36,'Daily evaluations'!$B$2:$B$36,"=p05_insider_clusters",'Daily evaluations'!$C$2:$C$36,"=d20261020"),"")</f>
      </c>
      <c r="X116" s="12">
        <f>IF((0=1),SUMIFS('Daily evaluations'!$H$2:$H$36,'Daily evaluations'!$B$2:$B$36,"=p05_insider_clusters",'Daily evaluations'!$C$2:$C$36,"=d20261021"),"")</f>
      </c>
      <c r="Y116" s="12">
        <f>IF((0=1),SUMIFS('Daily evaluations'!$H$2:$H$36,'Daily evaluations'!$B$2:$B$36,"=p05_insider_clusters",'Daily evaluations'!$C$2:$C$36,"=d20261022"),"")</f>
      </c>
      <c r="Z116" s="12">
        <f>IF((0=1),SUMIFS('Daily evaluations'!$H$2:$H$36,'Daily evaluations'!$B$2:$B$36,"=p05_insider_clusters",'Daily evaluations'!$C$2:$C$36,"=d20261023"),"")</f>
      </c>
      <c r="AA116" s="12">
        <f>IF((0=1),SUMIFS('Daily evaluations'!$H$2:$H$36,'Daily evaluations'!$B$2:$B$36,"=p05_insider_clusters",'Daily evaluations'!$C$2:$C$36,"=d20261026"),"")</f>
      </c>
      <c r="AB116" s="12">
        <f>IF((0=1),SUMIFS('Daily evaluations'!$H$2:$H$36,'Daily evaluations'!$B$2:$B$36,"=p05_insider_clusters",'Daily evaluations'!$C$2:$C$36,"=d20261027"),"")</f>
      </c>
      <c r="AC116" s="12">
        <f>IF((0=1),SUMIFS('Daily evaluations'!$H$2:$H$36,'Daily evaluations'!$B$2:$B$36,"=p05_insider_clusters",'Daily evaluations'!$C$2:$C$36,"=d20261028"),"")</f>
      </c>
      <c r="AD116" s="12">
        <f>IF((0=1),SUMIFS('Daily evaluations'!$H$2:$H$36,'Daily evaluations'!$B$2:$B$36,"=p05_insider_clusters",'Daily evaluations'!$C$2:$C$36,"=d20261029"),"")</f>
      </c>
      <c r="AE116" s="12">
        <f>IF((0=1),SUMIFS('Daily evaluations'!$H$2:$H$36,'Daily evaluations'!$B$2:$B$36,"=p05_insider_clusters",'Daily evaluations'!$C$2:$C$36,"=d20261030"),"")</f>
      </c>
      <c r="AF116" s="12">
        <f>IF((0=1),SUMIFS('Daily evaluations'!$H$2:$H$36,'Daily evaluations'!$B$2:$B$36,"=p05_insider_clusters",'Daily evaluations'!$C$2:$C$36,"=d20261102"),"")</f>
      </c>
      <c r="AG116" s="12">
        <f>IF((0=1),SUMIFS('Daily evaluations'!$H$2:$H$36,'Daily evaluations'!$B$2:$B$36,"=p05_insider_clusters",'Daily evaluations'!$C$2:$C$36,"=d20261103"),"")</f>
      </c>
      <c r="AH116" s="12">
        <f>IF((0=1),SUMIFS('Daily evaluations'!$H$2:$H$36,'Daily evaluations'!$B$2:$B$36,"=p05_insider_clusters",'Daily evaluations'!$C$2:$C$36,"=d20261104"),"")</f>
      </c>
      <c r="AI116" s="12">
        <f>IF((0=1),SUMIFS('Daily evaluations'!$H$2:$H$36,'Daily evaluations'!$B$2:$B$36,"=p05_insider_clusters",'Daily evaluations'!$C$2:$C$36,"=d20261105"),"")</f>
      </c>
      <c r="AJ116" s="12">
        <f>IF((0=1),SUMIFS('Daily evaluations'!$H$2:$H$36,'Daily evaluations'!$B$2:$B$36,"=p05_insider_clusters",'Daily evaluations'!$C$2:$C$36,"=d20261106"),"")</f>
      </c>
      <c r="AK116" s="12">
        <f>IF((0=1),SUMIFS('Daily evaluations'!$H$2:$H$36,'Daily evaluations'!$B$2:$B$36,"=p05_insider_clusters",'Daily evaluations'!$C$2:$C$36,"=d20261109"),"")</f>
      </c>
      <c r="AL116" s="12">
        <f>IF((0=1),SUMIFS('Daily evaluations'!$H$2:$H$36,'Daily evaluations'!$B$2:$B$36,"=p05_insider_clusters",'Daily evaluations'!$C$2:$C$36,"=d20261110"),"")</f>
      </c>
      <c r="AM116" s="12">
        <f>IF((0=1),SUMIFS('Daily evaluations'!$H$2:$H$36,'Daily evaluations'!$B$2:$B$36,"=p05_insider_clusters",'Daily evaluations'!$C$2:$C$36,"=d20261111"),"")</f>
      </c>
      <c r="AN116" s="12">
        <f>IF((0=1),SUMIFS('Daily evaluations'!$H$2:$H$36,'Daily evaluations'!$B$2:$B$36,"=p05_insider_clusters",'Daily evaluations'!$C$2:$C$36,"=d20261112"),"")</f>
      </c>
      <c r="AO116" s="12">
        <f>IF((0=1),SUMIFS('Daily evaluations'!$H$2:$H$36,'Daily evaluations'!$B$2:$B$36,"=p05_insider_clusters",'Daily evaluations'!$C$2:$C$36,"=d20261113"),"")</f>
      </c>
      <c r="AP116" s="12">
        <f>IF((0=1),SUMIFS('Daily evaluations'!$H$2:$H$36,'Daily evaluations'!$B$2:$B$36,"=p05_insider_clusters",'Daily evaluations'!$C$2:$C$36,"=d20261116"),"")</f>
      </c>
      <c r="AQ116" s="12">
        <f>IF((0=1),SUMIFS('Daily evaluations'!$H$2:$H$36,'Daily evaluations'!$B$2:$B$36,"=p05_insider_clusters",'Daily evaluations'!$C$2:$C$36,"=d20261117"),"")</f>
      </c>
      <c r="AR116" s="12">
        <f>IF((0=1),SUMIFS('Daily evaluations'!$H$2:$H$36,'Daily evaluations'!$B$2:$B$36,"=p05_insider_clusters",'Daily evaluations'!$C$2:$C$36,"=d20261118"),"")</f>
      </c>
      <c r="AS116" s="12">
        <f>IF((0=1),SUMIFS('Daily evaluations'!$H$2:$H$36,'Daily evaluations'!$B$2:$B$36,"=p05_insider_clusters",'Daily evaluations'!$C$2:$C$36,"=d20261119"),"")</f>
      </c>
      <c r="AT116" s="12">
        <f>IF((0=1),SUMIFS('Daily evaluations'!$H$2:$H$36,'Daily evaluations'!$B$2:$B$36,"=p05_insider_clusters",'Daily evaluations'!$C$2:$C$36,"=d20261120"),"")</f>
      </c>
      <c r="AU116" s="12">
        <f>IF((0=1),SUMIFS('Daily evaluations'!$H$2:$H$36,'Daily evaluations'!$B$2:$B$36,"=p05_insider_clusters",'Daily evaluations'!$C$2:$C$36,"=d20261123"),"")</f>
      </c>
      <c r="AV116" s="12">
        <f>IF((0=1),SUMIFS('Daily evaluations'!$H$2:$H$36,'Daily evaluations'!$B$2:$B$36,"=p05_insider_clusters",'Daily evaluations'!$C$2:$C$36,"=d20261124"),"")</f>
      </c>
      <c r="AW116" s="12">
        <f>IF((0=1),SUMIFS('Daily evaluations'!$H$2:$H$36,'Daily evaluations'!$B$2:$B$36,"=p05_insider_clusters",'Daily evaluations'!$C$2:$C$36,"=d20261125"),"")</f>
      </c>
      <c r="AX116" s="12">
        <f>IF((0=1),SUMIFS('Daily evaluations'!$H$2:$H$36,'Daily evaluations'!$B$2:$B$36,"=p05_insider_clusters",'Daily evaluations'!$C$2:$C$36,"=d20261127"),"")</f>
      </c>
      <c r="AY116" s="12">
        <f>IF((0=1),SUMIFS('Daily evaluations'!$H$2:$H$36,'Daily evaluations'!$B$2:$B$36,"=p05_insider_clusters",'Daily evaluations'!$C$2:$C$36,"=d20261130"),"")</f>
      </c>
      <c r="AZ116" s="12">
        <f>IF((0=1),SUMIFS('Daily evaluations'!$H$2:$H$36,'Daily evaluations'!$B$2:$B$36,"=p05_insider_clusters",'Daily evaluations'!$C$2:$C$36,"=d20261201"),"")</f>
      </c>
      <c r="BA116" s="12">
        <f>IF((0=1),SUMIFS('Daily evaluations'!$H$2:$H$36,'Daily evaluations'!$B$2:$B$36,"=p05_insider_clusters",'Daily evaluations'!$C$2:$C$36,"=d20261202"),"")</f>
      </c>
      <c r="BB116" s="12">
        <f>IF((0=1),SUMIFS('Daily evaluations'!$H$2:$H$36,'Daily evaluations'!$B$2:$B$36,"=p05_insider_clusters",'Daily evaluations'!$C$2:$C$36,"=d20261203"),"")</f>
      </c>
      <c r="BC116" s="12">
        <f>IF((0=1),SUMIFS('Daily evaluations'!$H$2:$H$36,'Daily evaluations'!$B$2:$B$36,"=p05_insider_clusters",'Daily evaluations'!$C$2:$C$36,"=d20261204"),"")</f>
      </c>
      <c r="BD116" s="12">
        <f>IF((0=1),SUMIFS('Daily evaluations'!$H$2:$H$36,'Daily evaluations'!$B$2:$B$36,"=p05_insider_clusters",'Daily evaluations'!$C$2:$C$36,"=d20261207"),"")</f>
      </c>
      <c r="BE116" s="12">
        <f>IF((0=1),SUMIFS('Daily evaluations'!$H$2:$H$36,'Daily evaluations'!$B$2:$B$36,"=p05_insider_clusters",'Daily evaluations'!$C$2:$C$36,"=d20261208"),"")</f>
      </c>
      <c r="BF116" s="12">
        <f>IF((0=1),SUMIFS('Daily evaluations'!$H$2:$H$36,'Daily evaluations'!$B$2:$B$36,"=p05_insider_clusters",'Daily evaluations'!$C$2:$C$36,"=d20261209"),"")</f>
      </c>
      <c r="BG116" s="12">
        <f>IF((0=1),SUMIFS('Daily evaluations'!$H$2:$H$36,'Daily evaluations'!$B$2:$B$36,"=p05_insider_clusters",'Daily evaluations'!$C$2:$C$36,"=d20261210"),"")</f>
      </c>
      <c r="BH116" s="12">
        <f>IF((0=1),SUMIFS('Daily evaluations'!$H$2:$H$36,'Daily evaluations'!$B$2:$B$36,"=p05_insider_clusters",'Daily evaluations'!$C$2:$C$36,"=d20261211"),"")</f>
      </c>
      <c r="BI116" s="12">
        <f>IF((0=1),SUMIFS('Daily evaluations'!$H$2:$H$36,'Daily evaluations'!$B$2:$B$36,"=p05_insider_clusters",'Daily evaluations'!$C$2:$C$36,"=d20261214"),"")</f>
      </c>
      <c r="BJ116" s="12">
        <f>IF((0=1),SUMIFS('Daily evaluations'!$H$2:$H$36,'Daily evaluations'!$B$2:$B$36,"=p05_insider_clusters",'Daily evaluations'!$C$2:$C$36,"=d20261215"),"")</f>
      </c>
      <c r="BK116" s="12">
        <f>IF((0=1),SUMIFS('Daily evaluations'!$H$2:$H$36,'Daily evaluations'!$B$2:$B$36,"=p05_insider_clusters",'Daily evaluations'!$C$2:$C$36,"=d20261216"),"")</f>
      </c>
      <c r="BL116" s="12">
        <f>IF((0=1),SUMIFS('Daily evaluations'!$H$2:$H$36,'Daily evaluations'!$B$2:$B$36,"=p05_insider_clusters",'Daily evaluations'!$C$2:$C$36,"=d20261217"),"")</f>
      </c>
      <c r="BM116" s="12">
        <f>IF((0=1),SUMIFS('Daily evaluations'!$H$2:$H$36,'Daily evaluations'!$B$2:$B$36,"=p05_insider_clusters",'Daily evaluations'!$C$2:$C$36,"=d20261218"),"")</f>
      </c>
      <c r="BN116" s="12">
        <f>IF((0=1),SUMIFS('Daily evaluations'!$H$2:$H$36,'Daily evaluations'!$B$2:$B$36,"=p05_insider_clusters",'Daily evaluations'!$C$2:$C$36,"=d20261221"),"")</f>
      </c>
      <c r="BO116" s="12">
        <f>IF((0=1),SUMIFS('Daily evaluations'!$H$2:$H$36,'Daily evaluations'!$B$2:$B$36,"=p05_insider_clusters",'Daily evaluations'!$C$2:$C$36,"=d20261222"),"")</f>
      </c>
      <c r="BP116" s="12">
        <f>IF((0=1),SUMIFS('Daily evaluations'!$H$2:$H$36,'Daily evaluations'!$B$2:$B$36,"=p05_insider_clusters",'Daily evaluations'!$C$2:$C$36,"=d20261223"),"")</f>
      </c>
      <c r="BQ116" s="12">
        <f>IF((0=1),SUMIFS('Daily evaluations'!$H$2:$H$36,'Daily evaluations'!$B$2:$B$36,"=p05_insider_clusters",'Daily evaluations'!$C$2:$C$36,"=d20261224"),"")</f>
      </c>
      <c r="BR116" s="12">
        <f>IF((0=1),SUMIFS('Daily evaluations'!$H$2:$H$36,'Daily evaluations'!$B$2:$B$36,"=p05_insider_clusters",'Daily evaluations'!$C$2:$C$36,"=d20261228"),"")</f>
      </c>
      <c r="BS116" s="12">
        <f>IF((0=1),SUMIFS('Daily evaluations'!$H$2:$H$36,'Daily evaluations'!$B$2:$B$36,"=p05_insider_clusters",'Daily evaluations'!$C$2:$C$36,"=d20261229"),"")</f>
      </c>
      <c r="BT116" s="12">
        <f>IF((0=1),SUMIFS('Daily evaluations'!$H$2:$H$36,'Daily evaluations'!$B$2:$B$36,"=p05_insider_clusters",'Daily evaluations'!$C$2:$C$36,"=d20261230"),"")</f>
      </c>
      <c r="BU116" s="12">
        <f>IF((0=1),SUMIFS('Daily evaluations'!$H$2:$H$36,'Daily evaluations'!$B$2:$B$36,"=p05_insider_clusters",'Daily evaluations'!$C$2:$C$36,"=d20261231"),"")</f>
      </c>
      <c r="BV116" s="12">
        <f>IF((0=1),SUMIFS('Daily evaluations'!$H$2:$H$36,'Daily evaluations'!$B$2:$B$36,"=p05_insider_clusters",'Daily evaluations'!$C$2:$C$36,"=d20270104"),"")</f>
      </c>
      <c r="BW116" s="12">
        <f>IF((0=1),SUMIFS('Daily evaluations'!$H$2:$H$36,'Daily evaluations'!$B$2:$B$36,"=p05_insider_clusters",'Daily evaluations'!$C$2:$C$36,"=d20270105"),"")</f>
      </c>
      <c r="BX116" s="12">
        <f>IF((0=1),SUMIFS('Daily evaluations'!$H$2:$H$36,'Daily evaluations'!$B$2:$B$36,"=p05_insider_clusters",'Daily evaluations'!$C$2:$C$36,"=d20270106"),"")</f>
      </c>
      <c r="BY116" s="12">
        <f>IF((0=1),SUMIFS('Daily evaluations'!$H$2:$H$36,'Daily evaluations'!$B$2:$B$36,"=p05_insider_clusters",'Daily evaluations'!$C$2:$C$36,"=d20270107"),"")</f>
      </c>
      <c r="BZ116" s="12">
        <f>IF((0=1),SUMIFS('Daily evaluations'!$H$2:$H$36,'Daily evaluations'!$B$2:$B$36,"=p05_insider_clusters",'Daily evaluations'!$C$2:$C$36,"=d20270108"),"")</f>
      </c>
      <c r="CA116" s="12">
        <f>IF((0=1),SUMIFS('Daily evaluations'!$H$2:$H$36,'Daily evaluations'!$B$2:$B$36,"=p05_insider_clusters",'Daily evaluations'!$C$2:$C$36,"=d20270111"),"")</f>
      </c>
      <c r="CB116" s="12">
        <f>IF((0=1),SUMIFS('Daily evaluations'!$H$2:$H$36,'Daily evaluations'!$B$2:$B$36,"=p05_insider_clusters",'Daily evaluations'!$C$2:$C$36,"=d20270112"),"")</f>
      </c>
      <c r="CC116" s="12">
        <f>IF((0=1),SUMIFS('Daily evaluations'!$H$2:$H$36,'Daily evaluations'!$B$2:$B$36,"=p05_insider_clusters",'Daily evaluations'!$C$2:$C$36,"=d20270113"),"")</f>
      </c>
      <c r="CD116" s="12">
        <f>IF((0=1),SUMIFS('Daily evaluations'!$H$2:$H$36,'Daily evaluations'!$B$2:$B$36,"=p05_insider_clusters",'Daily evaluations'!$C$2:$C$36,"=d20270114"),"")</f>
      </c>
      <c r="CE116" s="12">
        <f>IF((0=1),SUMIFS('Daily evaluations'!$H$2:$H$36,'Daily evaluations'!$B$2:$B$36,"=p05_insider_clusters",'Daily evaluations'!$C$2:$C$36,"=d20270115"),"")</f>
      </c>
      <c r="CF116" s="12">
        <f>IF((0=1),SUMIFS('Daily evaluations'!$H$2:$H$36,'Daily evaluations'!$B$2:$B$36,"=p05_insider_clusters",'Daily evaluations'!$C$2:$C$36,"=d20270119"),"")</f>
      </c>
      <c r="CG116" s="12">
        <f>IF((0=1),SUMIFS('Daily evaluations'!$H$2:$H$36,'Daily evaluations'!$B$2:$B$36,"=p05_insider_clusters",'Daily evaluations'!$C$2:$C$36,"=d20270120"),"")</f>
      </c>
      <c r="CH116" s="12">
        <f>IF((0=1),SUMIFS('Daily evaluations'!$H$2:$H$36,'Daily evaluations'!$B$2:$B$36,"=p05_insider_clusters",'Daily evaluations'!$C$2:$C$36,"=d20270121"),"")</f>
      </c>
      <c r="CI116" s="12">
        <f>IF((0=1),SUMIFS('Daily evaluations'!$H$2:$H$36,'Daily evaluations'!$B$2:$B$36,"=p05_insider_clusters",'Daily evaluations'!$C$2:$C$36,"=d20270122"),"")</f>
      </c>
      <c r="CJ116" s="12">
        <f>IF((0=1),SUMIFS('Daily evaluations'!$H$2:$H$36,'Daily evaluations'!$B$2:$B$36,"=p05_insider_clusters",'Daily evaluations'!$C$2:$C$36,"=d20270125"),"")</f>
      </c>
      <c r="CK116" s="12">
        <f>IF((0=1),SUMIFS('Daily evaluations'!$H$2:$H$36,'Daily evaluations'!$B$2:$B$36,"=p05_insider_clusters",'Daily evaluations'!$C$2:$C$36,"=d20270126"),"")</f>
      </c>
      <c r="CL116" s="12">
        <f>IF((0=1),SUMIFS('Daily evaluations'!$H$2:$H$36,'Daily evaluations'!$B$2:$B$36,"=p05_insider_clusters",'Daily evaluations'!$C$2:$C$36,"=d20270127"),"")</f>
      </c>
      <c r="CM116" s="12">
        <f>IF((0=1),SUMIFS('Daily evaluations'!$H$2:$H$36,'Daily evaluations'!$B$2:$B$36,"=p05_insider_clusters",'Daily evaluations'!$C$2:$C$36,"=d20270128"),"")</f>
      </c>
      <c r="CN116" s="12">
        <f>IF((0=1),SUMIFS('Daily evaluations'!$H$2:$H$36,'Daily evaluations'!$B$2:$B$36,"=p05_insider_clusters",'Daily evaluations'!$C$2:$C$36,"=d20270129"),"")</f>
      </c>
      <c r="CO116" s="12">
        <f>IF((0=1),SUMIFS('Daily evaluations'!$H$2:$H$36,'Daily evaluations'!$B$2:$B$36,"=p05_insider_clusters",'Daily evaluations'!$C$2:$C$36,"=d20270201"),"")</f>
      </c>
      <c r="CP116" s="12">
        <f>IF((0=1),SUMIFS('Daily evaluations'!$H$2:$H$36,'Daily evaluations'!$B$2:$B$36,"=p05_insider_clusters",'Daily evaluations'!$C$2:$C$36,"=d20270202"),"")</f>
      </c>
      <c r="CQ116" s="12">
        <f>IF((0=1),SUMIFS('Daily evaluations'!$H$2:$H$36,'Daily evaluations'!$B$2:$B$36,"=p05_insider_clusters",'Daily evaluations'!$C$2:$C$36,"=d20270203"),"")</f>
      </c>
      <c r="CR116" s="12">
        <f>IF((0=1),SUMIFS('Daily evaluations'!$H$2:$H$36,'Daily evaluations'!$B$2:$B$36,"=p05_insider_clusters",'Daily evaluations'!$C$2:$C$36,"=d20270204"),"")</f>
      </c>
      <c r="CS116" s="12">
        <f>IF((0=1),SUMIFS('Daily evaluations'!$H$2:$H$36,'Daily evaluations'!$B$2:$B$36,"=p05_insider_clusters",'Daily evaluations'!$C$2:$C$36,"=d20270205"),"")</f>
      </c>
      <c r="CT116" s="12">
        <f>IF((0=1),SUMIFS('Daily evaluations'!$H$2:$H$36,'Daily evaluations'!$B$2:$B$36,"=p05_insider_clusters",'Daily evaluations'!$C$2:$C$36,"=d20270208"),"")</f>
      </c>
      <c r="CU116" s="12">
        <f>IF((0=1),SUMIFS('Daily evaluations'!$H$2:$H$36,'Daily evaluations'!$B$2:$B$36,"=p05_insider_clusters",'Daily evaluations'!$C$2:$C$36,"=d20270209"),"")</f>
      </c>
      <c r="CV116" s="12">
        <f>IF((0=1),SUMIFS('Daily evaluations'!$H$2:$H$36,'Daily evaluations'!$B$2:$B$36,"=p05_insider_clusters",'Daily evaluations'!$C$2:$C$36,"=d20270210"),"")</f>
      </c>
      <c r="CW116" s="12">
        <f>IF((0=1),SUMIFS('Daily evaluations'!$H$2:$H$36,'Daily evaluations'!$B$2:$B$36,"=p05_insider_clusters",'Daily evaluations'!$C$2:$C$36,"=d20270211"),"")</f>
      </c>
      <c r="CX116" s="12">
        <f>IF((0=1),SUMIFS('Daily evaluations'!$H$2:$H$36,'Daily evaluations'!$B$2:$B$36,"=p05_insider_clusters",'Daily evaluations'!$C$2:$C$36,"=d20270212"),"")</f>
      </c>
    </row>
    <row r="117">
      <c r="A117" s="0" t="inlineStr">
        <is>
          <t xml:space="preserve">Hit rate vs universe median</t>
        </is>
      </c>
      <c r="B117" s="0" t="inlineStr">
        <is>
          <t xml:space="preserve">Same-Month Seasonality</t>
        </is>
      </c>
      <c r="C117" s="12">
        <f>IF((1=1),SUMIFS('Daily evaluations'!$H$2:$H$36,'Daily evaluations'!$B$2:$B$36,"=p06_seasonality",'Daily evaluations'!$C$2:$C$36,"=d20260922"),"")</f>
        <v>0.5</v>
      </c>
      <c r="D117" s="12">
        <f>IF((0=1),SUMIFS('Daily evaluations'!$H$2:$H$36,'Daily evaluations'!$B$2:$B$36,"=p06_seasonality",'Daily evaluations'!$C$2:$C$36,"=d20260923"),"")</f>
      </c>
      <c r="E117" s="12">
        <f>IF((0=1),SUMIFS('Daily evaluations'!$H$2:$H$36,'Daily evaluations'!$B$2:$B$36,"=p06_seasonality",'Daily evaluations'!$C$2:$C$36,"=d20260924"),"")</f>
      </c>
      <c r="F117" s="12">
        <f>IF((0=1),SUMIFS('Daily evaluations'!$H$2:$H$36,'Daily evaluations'!$B$2:$B$36,"=p06_seasonality",'Daily evaluations'!$C$2:$C$36,"=d20260925"),"")</f>
      </c>
      <c r="G117" s="12">
        <f>IF((0=1),SUMIFS('Daily evaluations'!$H$2:$H$36,'Daily evaluations'!$B$2:$B$36,"=p06_seasonality",'Daily evaluations'!$C$2:$C$36,"=d20260928"),"")</f>
      </c>
      <c r="H117" s="12">
        <f>IF((0=1),SUMIFS('Daily evaluations'!$H$2:$H$36,'Daily evaluations'!$B$2:$B$36,"=p06_seasonality",'Daily evaluations'!$C$2:$C$36,"=d20260929"),"")</f>
      </c>
      <c r="I117" s="12">
        <f>IF((0=1),SUMIFS('Daily evaluations'!$H$2:$H$36,'Daily evaluations'!$B$2:$B$36,"=p06_seasonality",'Daily evaluations'!$C$2:$C$36,"=d20260930"),"")</f>
      </c>
      <c r="J117" s="12">
        <f>IF((0=1),SUMIFS('Daily evaluations'!$H$2:$H$36,'Daily evaluations'!$B$2:$B$36,"=p06_seasonality",'Daily evaluations'!$C$2:$C$36,"=d20261001"),"")</f>
      </c>
      <c r="K117" s="12">
        <f>IF((0=1),SUMIFS('Daily evaluations'!$H$2:$H$36,'Daily evaluations'!$B$2:$B$36,"=p06_seasonality",'Daily evaluations'!$C$2:$C$36,"=d20261002"),"")</f>
      </c>
      <c r="L117" s="12">
        <f>IF((0=1),SUMIFS('Daily evaluations'!$H$2:$H$36,'Daily evaluations'!$B$2:$B$36,"=p06_seasonality",'Daily evaluations'!$C$2:$C$36,"=d20261005"),"")</f>
      </c>
      <c r="M117" s="12">
        <f>IF((0=1),SUMIFS('Daily evaluations'!$H$2:$H$36,'Daily evaluations'!$B$2:$B$36,"=p06_seasonality",'Daily evaluations'!$C$2:$C$36,"=d20261006"),"")</f>
      </c>
      <c r="N117" s="12">
        <f>IF((0=1),SUMIFS('Daily evaluations'!$H$2:$H$36,'Daily evaluations'!$B$2:$B$36,"=p06_seasonality",'Daily evaluations'!$C$2:$C$36,"=d20261007"),"")</f>
      </c>
      <c r="O117" s="12">
        <f>IF((0=1),SUMIFS('Daily evaluations'!$H$2:$H$36,'Daily evaluations'!$B$2:$B$36,"=p06_seasonality",'Daily evaluations'!$C$2:$C$36,"=d20261008"),"")</f>
      </c>
      <c r="P117" s="12">
        <f>IF((0=1),SUMIFS('Daily evaluations'!$H$2:$H$36,'Daily evaluations'!$B$2:$B$36,"=p06_seasonality",'Daily evaluations'!$C$2:$C$36,"=d20261009"),"")</f>
      </c>
      <c r="Q117" s="12">
        <f>IF((0=1),SUMIFS('Daily evaluations'!$H$2:$H$36,'Daily evaluations'!$B$2:$B$36,"=p06_seasonality",'Daily evaluations'!$C$2:$C$36,"=d20261012"),"")</f>
      </c>
      <c r="R117" s="12">
        <f>IF((0=1),SUMIFS('Daily evaluations'!$H$2:$H$36,'Daily evaluations'!$B$2:$B$36,"=p06_seasonality",'Daily evaluations'!$C$2:$C$36,"=d20261013"),"")</f>
      </c>
      <c r="S117" s="12">
        <f>IF((0=1),SUMIFS('Daily evaluations'!$H$2:$H$36,'Daily evaluations'!$B$2:$B$36,"=p06_seasonality",'Daily evaluations'!$C$2:$C$36,"=d20261014"),"")</f>
      </c>
      <c r="T117" s="12">
        <f>IF((0=1),SUMIFS('Daily evaluations'!$H$2:$H$36,'Daily evaluations'!$B$2:$B$36,"=p06_seasonality",'Daily evaluations'!$C$2:$C$36,"=d20261015"),"")</f>
      </c>
      <c r="U117" s="12">
        <f>IF((0=1),SUMIFS('Daily evaluations'!$H$2:$H$36,'Daily evaluations'!$B$2:$B$36,"=p06_seasonality",'Daily evaluations'!$C$2:$C$36,"=d20261016"),"")</f>
      </c>
      <c r="V117" s="12">
        <f>IF((0=1),SUMIFS('Daily evaluations'!$H$2:$H$36,'Daily evaluations'!$B$2:$B$36,"=p06_seasonality",'Daily evaluations'!$C$2:$C$36,"=d20261019"),"")</f>
      </c>
      <c r="W117" s="12">
        <f>IF((0=1),SUMIFS('Daily evaluations'!$H$2:$H$36,'Daily evaluations'!$B$2:$B$36,"=p06_seasonality",'Daily evaluations'!$C$2:$C$36,"=d20261020"),"")</f>
      </c>
      <c r="X117" s="12">
        <f>IF((0=1),SUMIFS('Daily evaluations'!$H$2:$H$36,'Daily evaluations'!$B$2:$B$36,"=p06_seasonality",'Daily evaluations'!$C$2:$C$36,"=d20261021"),"")</f>
      </c>
      <c r="Y117" s="12">
        <f>IF((0=1),SUMIFS('Daily evaluations'!$H$2:$H$36,'Daily evaluations'!$B$2:$B$36,"=p06_seasonality",'Daily evaluations'!$C$2:$C$36,"=d20261022"),"")</f>
      </c>
      <c r="Z117" s="12">
        <f>IF((0=1),SUMIFS('Daily evaluations'!$H$2:$H$36,'Daily evaluations'!$B$2:$B$36,"=p06_seasonality",'Daily evaluations'!$C$2:$C$36,"=d20261023"),"")</f>
      </c>
      <c r="AA117" s="12">
        <f>IF((0=1),SUMIFS('Daily evaluations'!$H$2:$H$36,'Daily evaluations'!$B$2:$B$36,"=p06_seasonality",'Daily evaluations'!$C$2:$C$36,"=d20261026"),"")</f>
      </c>
      <c r="AB117" s="12">
        <f>IF((0=1),SUMIFS('Daily evaluations'!$H$2:$H$36,'Daily evaluations'!$B$2:$B$36,"=p06_seasonality",'Daily evaluations'!$C$2:$C$36,"=d20261027"),"")</f>
      </c>
      <c r="AC117" s="12">
        <f>IF((0=1),SUMIFS('Daily evaluations'!$H$2:$H$36,'Daily evaluations'!$B$2:$B$36,"=p06_seasonality",'Daily evaluations'!$C$2:$C$36,"=d20261028"),"")</f>
      </c>
      <c r="AD117" s="12">
        <f>IF((0=1),SUMIFS('Daily evaluations'!$H$2:$H$36,'Daily evaluations'!$B$2:$B$36,"=p06_seasonality",'Daily evaluations'!$C$2:$C$36,"=d20261029"),"")</f>
      </c>
      <c r="AE117" s="12">
        <f>IF((0=1),SUMIFS('Daily evaluations'!$H$2:$H$36,'Daily evaluations'!$B$2:$B$36,"=p06_seasonality",'Daily evaluations'!$C$2:$C$36,"=d20261030"),"")</f>
      </c>
      <c r="AF117" s="12">
        <f>IF((0=1),SUMIFS('Daily evaluations'!$H$2:$H$36,'Daily evaluations'!$B$2:$B$36,"=p06_seasonality",'Daily evaluations'!$C$2:$C$36,"=d20261102"),"")</f>
      </c>
      <c r="AG117" s="12">
        <f>IF((0=1),SUMIFS('Daily evaluations'!$H$2:$H$36,'Daily evaluations'!$B$2:$B$36,"=p06_seasonality",'Daily evaluations'!$C$2:$C$36,"=d20261103"),"")</f>
      </c>
      <c r="AH117" s="12">
        <f>IF((0=1),SUMIFS('Daily evaluations'!$H$2:$H$36,'Daily evaluations'!$B$2:$B$36,"=p06_seasonality",'Daily evaluations'!$C$2:$C$36,"=d20261104"),"")</f>
      </c>
      <c r="AI117" s="12">
        <f>IF((0=1),SUMIFS('Daily evaluations'!$H$2:$H$36,'Daily evaluations'!$B$2:$B$36,"=p06_seasonality",'Daily evaluations'!$C$2:$C$36,"=d20261105"),"")</f>
      </c>
      <c r="AJ117" s="12">
        <f>IF((0=1),SUMIFS('Daily evaluations'!$H$2:$H$36,'Daily evaluations'!$B$2:$B$36,"=p06_seasonality",'Daily evaluations'!$C$2:$C$36,"=d20261106"),"")</f>
      </c>
      <c r="AK117" s="12">
        <f>IF((0=1),SUMIFS('Daily evaluations'!$H$2:$H$36,'Daily evaluations'!$B$2:$B$36,"=p06_seasonality",'Daily evaluations'!$C$2:$C$36,"=d20261109"),"")</f>
      </c>
      <c r="AL117" s="12">
        <f>IF((0=1),SUMIFS('Daily evaluations'!$H$2:$H$36,'Daily evaluations'!$B$2:$B$36,"=p06_seasonality",'Daily evaluations'!$C$2:$C$36,"=d20261110"),"")</f>
      </c>
      <c r="AM117" s="12">
        <f>IF((0=1),SUMIFS('Daily evaluations'!$H$2:$H$36,'Daily evaluations'!$B$2:$B$36,"=p06_seasonality",'Daily evaluations'!$C$2:$C$36,"=d20261111"),"")</f>
      </c>
      <c r="AN117" s="12">
        <f>IF((0=1),SUMIFS('Daily evaluations'!$H$2:$H$36,'Daily evaluations'!$B$2:$B$36,"=p06_seasonality",'Daily evaluations'!$C$2:$C$36,"=d20261112"),"")</f>
      </c>
      <c r="AO117" s="12">
        <f>IF((0=1),SUMIFS('Daily evaluations'!$H$2:$H$36,'Daily evaluations'!$B$2:$B$36,"=p06_seasonality",'Daily evaluations'!$C$2:$C$36,"=d20261113"),"")</f>
      </c>
      <c r="AP117" s="12">
        <f>IF((0=1),SUMIFS('Daily evaluations'!$H$2:$H$36,'Daily evaluations'!$B$2:$B$36,"=p06_seasonality",'Daily evaluations'!$C$2:$C$36,"=d20261116"),"")</f>
      </c>
      <c r="AQ117" s="12">
        <f>IF((0=1),SUMIFS('Daily evaluations'!$H$2:$H$36,'Daily evaluations'!$B$2:$B$36,"=p06_seasonality",'Daily evaluations'!$C$2:$C$36,"=d20261117"),"")</f>
      </c>
      <c r="AR117" s="12">
        <f>IF((0=1),SUMIFS('Daily evaluations'!$H$2:$H$36,'Daily evaluations'!$B$2:$B$36,"=p06_seasonality",'Daily evaluations'!$C$2:$C$36,"=d20261118"),"")</f>
      </c>
      <c r="AS117" s="12">
        <f>IF((0=1),SUMIFS('Daily evaluations'!$H$2:$H$36,'Daily evaluations'!$B$2:$B$36,"=p06_seasonality",'Daily evaluations'!$C$2:$C$36,"=d20261119"),"")</f>
      </c>
      <c r="AT117" s="12">
        <f>IF((0=1),SUMIFS('Daily evaluations'!$H$2:$H$36,'Daily evaluations'!$B$2:$B$36,"=p06_seasonality",'Daily evaluations'!$C$2:$C$36,"=d20261120"),"")</f>
      </c>
      <c r="AU117" s="12">
        <f>IF((0=1),SUMIFS('Daily evaluations'!$H$2:$H$36,'Daily evaluations'!$B$2:$B$36,"=p06_seasonality",'Daily evaluations'!$C$2:$C$36,"=d20261123"),"")</f>
      </c>
      <c r="AV117" s="12">
        <f>IF((0=1),SUMIFS('Daily evaluations'!$H$2:$H$36,'Daily evaluations'!$B$2:$B$36,"=p06_seasonality",'Daily evaluations'!$C$2:$C$36,"=d20261124"),"")</f>
      </c>
      <c r="AW117" s="12">
        <f>IF((0=1),SUMIFS('Daily evaluations'!$H$2:$H$36,'Daily evaluations'!$B$2:$B$36,"=p06_seasonality",'Daily evaluations'!$C$2:$C$36,"=d20261125"),"")</f>
      </c>
      <c r="AX117" s="12">
        <f>IF((0=1),SUMIFS('Daily evaluations'!$H$2:$H$36,'Daily evaluations'!$B$2:$B$36,"=p06_seasonality",'Daily evaluations'!$C$2:$C$36,"=d20261127"),"")</f>
      </c>
      <c r="AY117" s="12">
        <f>IF((0=1),SUMIFS('Daily evaluations'!$H$2:$H$36,'Daily evaluations'!$B$2:$B$36,"=p06_seasonality",'Daily evaluations'!$C$2:$C$36,"=d20261130"),"")</f>
      </c>
      <c r="AZ117" s="12">
        <f>IF((0=1),SUMIFS('Daily evaluations'!$H$2:$H$36,'Daily evaluations'!$B$2:$B$36,"=p06_seasonality",'Daily evaluations'!$C$2:$C$36,"=d20261201"),"")</f>
      </c>
      <c r="BA117" s="12">
        <f>IF((0=1),SUMIFS('Daily evaluations'!$H$2:$H$36,'Daily evaluations'!$B$2:$B$36,"=p06_seasonality",'Daily evaluations'!$C$2:$C$36,"=d20261202"),"")</f>
      </c>
      <c r="BB117" s="12">
        <f>IF((0=1),SUMIFS('Daily evaluations'!$H$2:$H$36,'Daily evaluations'!$B$2:$B$36,"=p06_seasonality",'Daily evaluations'!$C$2:$C$36,"=d20261203"),"")</f>
      </c>
      <c r="BC117" s="12">
        <f>IF((0=1),SUMIFS('Daily evaluations'!$H$2:$H$36,'Daily evaluations'!$B$2:$B$36,"=p06_seasonality",'Daily evaluations'!$C$2:$C$36,"=d20261204"),"")</f>
      </c>
      <c r="BD117" s="12">
        <f>IF((0=1),SUMIFS('Daily evaluations'!$H$2:$H$36,'Daily evaluations'!$B$2:$B$36,"=p06_seasonality",'Daily evaluations'!$C$2:$C$36,"=d20261207"),"")</f>
      </c>
      <c r="BE117" s="12">
        <f>IF((0=1),SUMIFS('Daily evaluations'!$H$2:$H$36,'Daily evaluations'!$B$2:$B$36,"=p06_seasonality",'Daily evaluations'!$C$2:$C$36,"=d20261208"),"")</f>
      </c>
      <c r="BF117" s="12">
        <f>IF((0=1),SUMIFS('Daily evaluations'!$H$2:$H$36,'Daily evaluations'!$B$2:$B$36,"=p06_seasonality",'Daily evaluations'!$C$2:$C$36,"=d20261209"),"")</f>
      </c>
      <c r="BG117" s="12">
        <f>IF((0=1),SUMIFS('Daily evaluations'!$H$2:$H$36,'Daily evaluations'!$B$2:$B$36,"=p06_seasonality",'Daily evaluations'!$C$2:$C$36,"=d20261210"),"")</f>
      </c>
      <c r="BH117" s="12">
        <f>IF((0=1),SUMIFS('Daily evaluations'!$H$2:$H$36,'Daily evaluations'!$B$2:$B$36,"=p06_seasonality",'Daily evaluations'!$C$2:$C$36,"=d20261211"),"")</f>
      </c>
      <c r="BI117" s="12">
        <f>IF((0=1),SUMIFS('Daily evaluations'!$H$2:$H$36,'Daily evaluations'!$B$2:$B$36,"=p06_seasonality",'Daily evaluations'!$C$2:$C$36,"=d20261214"),"")</f>
      </c>
      <c r="BJ117" s="12">
        <f>IF((0=1),SUMIFS('Daily evaluations'!$H$2:$H$36,'Daily evaluations'!$B$2:$B$36,"=p06_seasonality",'Daily evaluations'!$C$2:$C$36,"=d20261215"),"")</f>
      </c>
      <c r="BK117" s="12">
        <f>IF((0=1),SUMIFS('Daily evaluations'!$H$2:$H$36,'Daily evaluations'!$B$2:$B$36,"=p06_seasonality",'Daily evaluations'!$C$2:$C$36,"=d20261216"),"")</f>
      </c>
      <c r="BL117" s="12">
        <f>IF((0=1),SUMIFS('Daily evaluations'!$H$2:$H$36,'Daily evaluations'!$B$2:$B$36,"=p06_seasonality",'Daily evaluations'!$C$2:$C$36,"=d20261217"),"")</f>
      </c>
      <c r="BM117" s="12">
        <f>IF((0=1),SUMIFS('Daily evaluations'!$H$2:$H$36,'Daily evaluations'!$B$2:$B$36,"=p06_seasonality",'Daily evaluations'!$C$2:$C$36,"=d20261218"),"")</f>
      </c>
      <c r="BN117" s="12">
        <f>IF((0=1),SUMIFS('Daily evaluations'!$H$2:$H$36,'Daily evaluations'!$B$2:$B$36,"=p06_seasonality",'Daily evaluations'!$C$2:$C$36,"=d20261221"),"")</f>
      </c>
      <c r="BO117" s="12">
        <f>IF((0=1),SUMIFS('Daily evaluations'!$H$2:$H$36,'Daily evaluations'!$B$2:$B$36,"=p06_seasonality",'Daily evaluations'!$C$2:$C$36,"=d20261222"),"")</f>
      </c>
      <c r="BP117" s="12">
        <f>IF((0=1),SUMIFS('Daily evaluations'!$H$2:$H$36,'Daily evaluations'!$B$2:$B$36,"=p06_seasonality",'Daily evaluations'!$C$2:$C$36,"=d20261223"),"")</f>
      </c>
      <c r="BQ117" s="12">
        <f>IF((0=1),SUMIFS('Daily evaluations'!$H$2:$H$36,'Daily evaluations'!$B$2:$B$36,"=p06_seasonality",'Daily evaluations'!$C$2:$C$36,"=d20261224"),"")</f>
      </c>
      <c r="BR117" s="12">
        <f>IF((0=1),SUMIFS('Daily evaluations'!$H$2:$H$36,'Daily evaluations'!$B$2:$B$36,"=p06_seasonality",'Daily evaluations'!$C$2:$C$36,"=d20261228"),"")</f>
      </c>
      <c r="BS117" s="12">
        <f>IF((0=1),SUMIFS('Daily evaluations'!$H$2:$H$36,'Daily evaluations'!$B$2:$B$36,"=p06_seasonality",'Daily evaluations'!$C$2:$C$36,"=d20261229"),"")</f>
      </c>
      <c r="BT117" s="12">
        <f>IF((0=1),SUMIFS('Daily evaluations'!$H$2:$H$36,'Daily evaluations'!$B$2:$B$36,"=p06_seasonality",'Daily evaluations'!$C$2:$C$36,"=d20261230"),"")</f>
      </c>
      <c r="BU117" s="12">
        <f>IF((0=1),SUMIFS('Daily evaluations'!$H$2:$H$36,'Daily evaluations'!$B$2:$B$36,"=p06_seasonality",'Daily evaluations'!$C$2:$C$36,"=d20261231"),"")</f>
      </c>
      <c r="BV117" s="12">
        <f>IF((0=1),SUMIFS('Daily evaluations'!$H$2:$H$36,'Daily evaluations'!$B$2:$B$36,"=p06_seasonality",'Daily evaluations'!$C$2:$C$36,"=d20270104"),"")</f>
      </c>
      <c r="BW117" s="12">
        <f>IF((0=1),SUMIFS('Daily evaluations'!$H$2:$H$36,'Daily evaluations'!$B$2:$B$36,"=p06_seasonality",'Daily evaluations'!$C$2:$C$36,"=d20270105"),"")</f>
      </c>
      <c r="BX117" s="12">
        <f>IF((0=1),SUMIFS('Daily evaluations'!$H$2:$H$36,'Daily evaluations'!$B$2:$B$36,"=p06_seasonality",'Daily evaluations'!$C$2:$C$36,"=d20270106"),"")</f>
      </c>
      <c r="BY117" s="12">
        <f>IF((0=1),SUMIFS('Daily evaluations'!$H$2:$H$36,'Daily evaluations'!$B$2:$B$36,"=p06_seasonality",'Daily evaluations'!$C$2:$C$36,"=d20270107"),"")</f>
      </c>
      <c r="BZ117" s="12">
        <f>IF((0=1),SUMIFS('Daily evaluations'!$H$2:$H$36,'Daily evaluations'!$B$2:$B$36,"=p06_seasonality",'Daily evaluations'!$C$2:$C$36,"=d20270108"),"")</f>
      </c>
      <c r="CA117" s="12">
        <f>IF((0=1),SUMIFS('Daily evaluations'!$H$2:$H$36,'Daily evaluations'!$B$2:$B$36,"=p06_seasonality",'Daily evaluations'!$C$2:$C$36,"=d20270111"),"")</f>
      </c>
      <c r="CB117" s="12">
        <f>IF((0=1),SUMIFS('Daily evaluations'!$H$2:$H$36,'Daily evaluations'!$B$2:$B$36,"=p06_seasonality",'Daily evaluations'!$C$2:$C$36,"=d20270112"),"")</f>
      </c>
      <c r="CC117" s="12">
        <f>IF((0=1),SUMIFS('Daily evaluations'!$H$2:$H$36,'Daily evaluations'!$B$2:$B$36,"=p06_seasonality",'Daily evaluations'!$C$2:$C$36,"=d20270113"),"")</f>
      </c>
      <c r="CD117" s="12">
        <f>IF((0=1),SUMIFS('Daily evaluations'!$H$2:$H$36,'Daily evaluations'!$B$2:$B$36,"=p06_seasonality",'Daily evaluations'!$C$2:$C$36,"=d20270114"),"")</f>
      </c>
      <c r="CE117" s="12">
        <f>IF((0=1),SUMIFS('Daily evaluations'!$H$2:$H$36,'Daily evaluations'!$B$2:$B$36,"=p06_seasonality",'Daily evaluations'!$C$2:$C$36,"=d20270115"),"")</f>
      </c>
      <c r="CF117" s="12">
        <f>IF((0=1),SUMIFS('Daily evaluations'!$H$2:$H$36,'Daily evaluations'!$B$2:$B$36,"=p06_seasonality",'Daily evaluations'!$C$2:$C$36,"=d20270119"),"")</f>
      </c>
      <c r="CG117" s="12">
        <f>IF((0=1),SUMIFS('Daily evaluations'!$H$2:$H$36,'Daily evaluations'!$B$2:$B$36,"=p06_seasonality",'Daily evaluations'!$C$2:$C$36,"=d20270120"),"")</f>
      </c>
      <c r="CH117" s="12">
        <f>IF((0=1),SUMIFS('Daily evaluations'!$H$2:$H$36,'Daily evaluations'!$B$2:$B$36,"=p06_seasonality",'Daily evaluations'!$C$2:$C$36,"=d20270121"),"")</f>
      </c>
      <c r="CI117" s="12">
        <f>IF((0=1),SUMIFS('Daily evaluations'!$H$2:$H$36,'Daily evaluations'!$B$2:$B$36,"=p06_seasonality",'Daily evaluations'!$C$2:$C$36,"=d20270122"),"")</f>
      </c>
      <c r="CJ117" s="12">
        <f>IF((0=1),SUMIFS('Daily evaluations'!$H$2:$H$36,'Daily evaluations'!$B$2:$B$36,"=p06_seasonality",'Daily evaluations'!$C$2:$C$36,"=d20270125"),"")</f>
      </c>
      <c r="CK117" s="12">
        <f>IF((0=1),SUMIFS('Daily evaluations'!$H$2:$H$36,'Daily evaluations'!$B$2:$B$36,"=p06_seasonality",'Daily evaluations'!$C$2:$C$36,"=d20270126"),"")</f>
      </c>
      <c r="CL117" s="12">
        <f>IF((0=1),SUMIFS('Daily evaluations'!$H$2:$H$36,'Daily evaluations'!$B$2:$B$36,"=p06_seasonality",'Daily evaluations'!$C$2:$C$36,"=d20270127"),"")</f>
      </c>
      <c r="CM117" s="12">
        <f>IF((0=1),SUMIFS('Daily evaluations'!$H$2:$H$36,'Daily evaluations'!$B$2:$B$36,"=p06_seasonality",'Daily evaluations'!$C$2:$C$36,"=d20270128"),"")</f>
      </c>
      <c r="CN117" s="12">
        <f>IF((0=1),SUMIFS('Daily evaluations'!$H$2:$H$36,'Daily evaluations'!$B$2:$B$36,"=p06_seasonality",'Daily evaluations'!$C$2:$C$36,"=d20270129"),"")</f>
      </c>
      <c r="CO117" s="12">
        <f>IF((0=1),SUMIFS('Daily evaluations'!$H$2:$H$36,'Daily evaluations'!$B$2:$B$36,"=p06_seasonality",'Daily evaluations'!$C$2:$C$36,"=d20270201"),"")</f>
      </c>
      <c r="CP117" s="12">
        <f>IF((0=1),SUMIFS('Daily evaluations'!$H$2:$H$36,'Daily evaluations'!$B$2:$B$36,"=p06_seasonality",'Daily evaluations'!$C$2:$C$36,"=d20270202"),"")</f>
      </c>
      <c r="CQ117" s="12">
        <f>IF((0=1),SUMIFS('Daily evaluations'!$H$2:$H$36,'Daily evaluations'!$B$2:$B$36,"=p06_seasonality",'Daily evaluations'!$C$2:$C$36,"=d20270203"),"")</f>
      </c>
      <c r="CR117" s="12">
        <f>IF((0=1),SUMIFS('Daily evaluations'!$H$2:$H$36,'Daily evaluations'!$B$2:$B$36,"=p06_seasonality",'Daily evaluations'!$C$2:$C$36,"=d20270204"),"")</f>
      </c>
      <c r="CS117" s="12">
        <f>IF((0=1),SUMIFS('Daily evaluations'!$H$2:$H$36,'Daily evaluations'!$B$2:$B$36,"=p06_seasonality",'Daily evaluations'!$C$2:$C$36,"=d20270205"),"")</f>
      </c>
      <c r="CT117" s="12">
        <f>IF((0=1),SUMIFS('Daily evaluations'!$H$2:$H$36,'Daily evaluations'!$B$2:$B$36,"=p06_seasonality",'Daily evaluations'!$C$2:$C$36,"=d20270208"),"")</f>
      </c>
      <c r="CU117" s="12">
        <f>IF((0=1),SUMIFS('Daily evaluations'!$H$2:$H$36,'Daily evaluations'!$B$2:$B$36,"=p06_seasonality",'Daily evaluations'!$C$2:$C$36,"=d20270209"),"")</f>
      </c>
      <c r="CV117" s="12">
        <f>IF((0=1),SUMIFS('Daily evaluations'!$H$2:$H$36,'Daily evaluations'!$B$2:$B$36,"=p06_seasonality",'Daily evaluations'!$C$2:$C$36,"=d20270210"),"")</f>
      </c>
      <c r="CW117" s="12">
        <f>IF((0=1),SUMIFS('Daily evaluations'!$H$2:$H$36,'Daily evaluations'!$B$2:$B$36,"=p06_seasonality",'Daily evaluations'!$C$2:$C$36,"=d20270211"),"")</f>
      </c>
      <c r="CX117" s="12">
        <f>IF((0=1),SUMIFS('Daily evaluations'!$H$2:$H$36,'Daily evaluations'!$B$2:$B$36,"=p06_seasonality",'Daily evaluations'!$C$2:$C$36,"=d20270212"),"")</f>
      </c>
    </row>
    <row r="118">
      <c r="A118" s="0" t="inlineStr">
        <is>
          <t xml:space="preserve">Hit rate vs universe median</t>
        </is>
      </c>
      <c r="B118" s="0" t="inlineStr">
        <is>
          <t xml:space="preserve">Quality at a Reasonable Price</t>
        </is>
      </c>
      <c r="C118" s="12">
        <f>IF((1=1),SUMIFS('Daily evaluations'!$H$2:$H$36,'Daily evaluations'!$B$2:$B$36,"=p07_quality_value",'Daily evaluations'!$C$2:$C$36,"=d20260922"),"")</f>
        <v>0.63</v>
      </c>
      <c r="D118" s="12">
        <f>IF((0=1),SUMIFS('Daily evaluations'!$H$2:$H$36,'Daily evaluations'!$B$2:$B$36,"=p07_quality_value",'Daily evaluations'!$C$2:$C$36,"=d20260923"),"")</f>
      </c>
      <c r="E118" s="12">
        <f>IF((0=1),SUMIFS('Daily evaluations'!$H$2:$H$36,'Daily evaluations'!$B$2:$B$36,"=p07_quality_value",'Daily evaluations'!$C$2:$C$36,"=d20260924"),"")</f>
      </c>
      <c r="F118" s="12">
        <f>IF((0=1),SUMIFS('Daily evaluations'!$H$2:$H$36,'Daily evaluations'!$B$2:$B$36,"=p07_quality_value",'Daily evaluations'!$C$2:$C$36,"=d20260925"),"")</f>
      </c>
      <c r="G118" s="12">
        <f>IF((0=1),SUMIFS('Daily evaluations'!$H$2:$H$36,'Daily evaluations'!$B$2:$B$36,"=p07_quality_value",'Daily evaluations'!$C$2:$C$36,"=d20260928"),"")</f>
      </c>
      <c r="H118" s="12">
        <f>IF((0=1),SUMIFS('Daily evaluations'!$H$2:$H$36,'Daily evaluations'!$B$2:$B$36,"=p07_quality_value",'Daily evaluations'!$C$2:$C$36,"=d20260929"),"")</f>
      </c>
      <c r="I118" s="12">
        <f>IF((0=1),SUMIFS('Daily evaluations'!$H$2:$H$36,'Daily evaluations'!$B$2:$B$36,"=p07_quality_value",'Daily evaluations'!$C$2:$C$36,"=d20260930"),"")</f>
      </c>
      <c r="J118" s="12">
        <f>IF((0=1),SUMIFS('Daily evaluations'!$H$2:$H$36,'Daily evaluations'!$B$2:$B$36,"=p07_quality_value",'Daily evaluations'!$C$2:$C$36,"=d20261001"),"")</f>
      </c>
      <c r="K118" s="12">
        <f>IF((0=1),SUMIFS('Daily evaluations'!$H$2:$H$36,'Daily evaluations'!$B$2:$B$36,"=p07_quality_value",'Daily evaluations'!$C$2:$C$36,"=d20261002"),"")</f>
      </c>
      <c r="L118" s="12">
        <f>IF((0=1),SUMIFS('Daily evaluations'!$H$2:$H$36,'Daily evaluations'!$B$2:$B$36,"=p07_quality_value",'Daily evaluations'!$C$2:$C$36,"=d20261005"),"")</f>
      </c>
      <c r="M118" s="12">
        <f>IF((0=1),SUMIFS('Daily evaluations'!$H$2:$H$36,'Daily evaluations'!$B$2:$B$36,"=p07_quality_value",'Daily evaluations'!$C$2:$C$36,"=d20261006"),"")</f>
      </c>
      <c r="N118" s="12">
        <f>IF((0=1),SUMIFS('Daily evaluations'!$H$2:$H$36,'Daily evaluations'!$B$2:$B$36,"=p07_quality_value",'Daily evaluations'!$C$2:$C$36,"=d20261007"),"")</f>
      </c>
      <c r="O118" s="12">
        <f>IF((0=1),SUMIFS('Daily evaluations'!$H$2:$H$36,'Daily evaluations'!$B$2:$B$36,"=p07_quality_value",'Daily evaluations'!$C$2:$C$36,"=d20261008"),"")</f>
      </c>
      <c r="P118" s="12">
        <f>IF((0=1),SUMIFS('Daily evaluations'!$H$2:$H$36,'Daily evaluations'!$B$2:$B$36,"=p07_quality_value",'Daily evaluations'!$C$2:$C$36,"=d20261009"),"")</f>
      </c>
      <c r="Q118" s="12">
        <f>IF((0=1),SUMIFS('Daily evaluations'!$H$2:$H$36,'Daily evaluations'!$B$2:$B$36,"=p07_quality_value",'Daily evaluations'!$C$2:$C$36,"=d20261012"),"")</f>
      </c>
      <c r="R118" s="12">
        <f>IF((0=1),SUMIFS('Daily evaluations'!$H$2:$H$36,'Daily evaluations'!$B$2:$B$36,"=p07_quality_value",'Daily evaluations'!$C$2:$C$36,"=d20261013"),"")</f>
      </c>
      <c r="S118" s="12">
        <f>IF((0=1),SUMIFS('Daily evaluations'!$H$2:$H$36,'Daily evaluations'!$B$2:$B$36,"=p07_quality_value",'Daily evaluations'!$C$2:$C$36,"=d20261014"),"")</f>
      </c>
      <c r="T118" s="12">
        <f>IF((0=1),SUMIFS('Daily evaluations'!$H$2:$H$36,'Daily evaluations'!$B$2:$B$36,"=p07_quality_value",'Daily evaluations'!$C$2:$C$36,"=d20261015"),"")</f>
      </c>
      <c r="U118" s="12">
        <f>IF((0=1),SUMIFS('Daily evaluations'!$H$2:$H$36,'Daily evaluations'!$B$2:$B$36,"=p07_quality_value",'Daily evaluations'!$C$2:$C$36,"=d20261016"),"")</f>
      </c>
      <c r="V118" s="12">
        <f>IF((0=1),SUMIFS('Daily evaluations'!$H$2:$H$36,'Daily evaluations'!$B$2:$B$36,"=p07_quality_value",'Daily evaluations'!$C$2:$C$36,"=d20261019"),"")</f>
      </c>
      <c r="W118" s="12">
        <f>IF((0=1),SUMIFS('Daily evaluations'!$H$2:$H$36,'Daily evaluations'!$B$2:$B$36,"=p07_quality_value",'Daily evaluations'!$C$2:$C$36,"=d20261020"),"")</f>
      </c>
      <c r="X118" s="12">
        <f>IF((0=1),SUMIFS('Daily evaluations'!$H$2:$H$36,'Daily evaluations'!$B$2:$B$36,"=p07_quality_value",'Daily evaluations'!$C$2:$C$36,"=d20261021"),"")</f>
      </c>
      <c r="Y118" s="12">
        <f>IF((0=1),SUMIFS('Daily evaluations'!$H$2:$H$36,'Daily evaluations'!$B$2:$B$36,"=p07_quality_value",'Daily evaluations'!$C$2:$C$36,"=d20261022"),"")</f>
      </c>
      <c r="Z118" s="12">
        <f>IF((0=1),SUMIFS('Daily evaluations'!$H$2:$H$36,'Daily evaluations'!$B$2:$B$36,"=p07_quality_value",'Daily evaluations'!$C$2:$C$36,"=d20261023"),"")</f>
      </c>
      <c r="AA118" s="12">
        <f>IF((0=1),SUMIFS('Daily evaluations'!$H$2:$H$36,'Daily evaluations'!$B$2:$B$36,"=p07_quality_value",'Daily evaluations'!$C$2:$C$36,"=d20261026"),"")</f>
      </c>
      <c r="AB118" s="12">
        <f>IF((0=1),SUMIFS('Daily evaluations'!$H$2:$H$36,'Daily evaluations'!$B$2:$B$36,"=p07_quality_value",'Daily evaluations'!$C$2:$C$36,"=d20261027"),"")</f>
      </c>
      <c r="AC118" s="12">
        <f>IF((0=1),SUMIFS('Daily evaluations'!$H$2:$H$36,'Daily evaluations'!$B$2:$B$36,"=p07_quality_value",'Daily evaluations'!$C$2:$C$36,"=d20261028"),"")</f>
      </c>
      <c r="AD118" s="12">
        <f>IF((0=1),SUMIFS('Daily evaluations'!$H$2:$H$36,'Daily evaluations'!$B$2:$B$36,"=p07_quality_value",'Daily evaluations'!$C$2:$C$36,"=d20261029"),"")</f>
      </c>
      <c r="AE118" s="12">
        <f>IF((0=1),SUMIFS('Daily evaluations'!$H$2:$H$36,'Daily evaluations'!$B$2:$B$36,"=p07_quality_value",'Daily evaluations'!$C$2:$C$36,"=d20261030"),"")</f>
      </c>
      <c r="AF118" s="12">
        <f>IF((0=1),SUMIFS('Daily evaluations'!$H$2:$H$36,'Daily evaluations'!$B$2:$B$36,"=p07_quality_value",'Daily evaluations'!$C$2:$C$36,"=d20261102"),"")</f>
      </c>
      <c r="AG118" s="12">
        <f>IF((0=1),SUMIFS('Daily evaluations'!$H$2:$H$36,'Daily evaluations'!$B$2:$B$36,"=p07_quality_value",'Daily evaluations'!$C$2:$C$36,"=d20261103"),"")</f>
      </c>
      <c r="AH118" s="12">
        <f>IF((0=1),SUMIFS('Daily evaluations'!$H$2:$H$36,'Daily evaluations'!$B$2:$B$36,"=p07_quality_value",'Daily evaluations'!$C$2:$C$36,"=d20261104"),"")</f>
      </c>
      <c r="AI118" s="12">
        <f>IF((0=1),SUMIFS('Daily evaluations'!$H$2:$H$36,'Daily evaluations'!$B$2:$B$36,"=p07_quality_value",'Daily evaluations'!$C$2:$C$36,"=d20261105"),"")</f>
      </c>
      <c r="AJ118" s="12">
        <f>IF((0=1),SUMIFS('Daily evaluations'!$H$2:$H$36,'Daily evaluations'!$B$2:$B$36,"=p07_quality_value",'Daily evaluations'!$C$2:$C$36,"=d20261106"),"")</f>
      </c>
      <c r="AK118" s="12">
        <f>IF((0=1),SUMIFS('Daily evaluations'!$H$2:$H$36,'Daily evaluations'!$B$2:$B$36,"=p07_quality_value",'Daily evaluations'!$C$2:$C$36,"=d20261109"),"")</f>
      </c>
      <c r="AL118" s="12">
        <f>IF((0=1),SUMIFS('Daily evaluations'!$H$2:$H$36,'Daily evaluations'!$B$2:$B$36,"=p07_quality_value",'Daily evaluations'!$C$2:$C$36,"=d20261110"),"")</f>
      </c>
      <c r="AM118" s="12">
        <f>IF((0=1),SUMIFS('Daily evaluations'!$H$2:$H$36,'Daily evaluations'!$B$2:$B$36,"=p07_quality_value",'Daily evaluations'!$C$2:$C$36,"=d20261111"),"")</f>
      </c>
      <c r="AN118" s="12">
        <f>IF((0=1),SUMIFS('Daily evaluations'!$H$2:$H$36,'Daily evaluations'!$B$2:$B$36,"=p07_quality_value",'Daily evaluations'!$C$2:$C$36,"=d20261112"),"")</f>
      </c>
      <c r="AO118" s="12">
        <f>IF((0=1),SUMIFS('Daily evaluations'!$H$2:$H$36,'Daily evaluations'!$B$2:$B$36,"=p07_quality_value",'Daily evaluations'!$C$2:$C$36,"=d20261113"),"")</f>
      </c>
      <c r="AP118" s="12">
        <f>IF((0=1),SUMIFS('Daily evaluations'!$H$2:$H$36,'Daily evaluations'!$B$2:$B$36,"=p07_quality_value",'Daily evaluations'!$C$2:$C$36,"=d20261116"),"")</f>
      </c>
      <c r="AQ118" s="12">
        <f>IF((0=1),SUMIFS('Daily evaluations'!$H$2:$H$36,'Daily evaluations'!$B$2:$B$36,"=p07_quality_value",'Daily evaluations'!$C$2:$C$36,"=d20261117"),"")</f>
      </c>
      <c r="AR118" s="12">
        <f>IF((0=1),SUMIFS('Daily evaluations'!$H$2:$H$36,'Daily evaluations'!$B$2:$B$36,"=p07_quality_value",'Daily evaluations'!$C$2:$C$36,"=d20261118"),"")</f>
      </c>
      <c r="AS118" s="12">
        <f>IF((0=1),SUMIFS('Daily evaluations'!$H$2:$H$36,'Daily evaluations'!$B$2:$B$36,"=p07_quality_value",'Daily evaluations'!$C$2:$C$36,"=d20261119"),"")</f>
      </c>
      <c r="AT118" s="12">
        <f>IF((0=1),SUMIFS('Daily evaluations'!$H$2:$H$36,'Daily evaluations'!$B$2:$B$36,"=p07_quality_value",'Daily evaluations'!$C$2:$C$36,"=d20261120"),"")</f>
      </c>
      <c r="AU118" s="12">
        <f>IF((0=1),SUMIFS('Daily evaluations'!$H$2:$H$36,'Daily evaluations'!$B$2:$B$36,"=p07_quality_value",'Daily evaluations'!$C$2:$C$36,"=d20261123"),"")</f>
      </c>
      <c r="AV118" s="12">
        <f>IF((0=1),SUMIFS('Daily evaluations'!$H$2:$H$36,'Daily evaluations'!$B$2:$B$36,"=p07_quality_value",'Daily evaluations'!$C$2:$C$36,"=d20261124"),"")</f>
      </c>
      <c r="AW118" s="12">
        <f>IF((0=1),SUMIFS('Daily evaluations'!$H$2:$H$36,'Daily evaluations'!$B$2:$B$36,"=p07_quality_value",'Daily evaluations'!$C$2:$C$36,"=d20261125"),"")</f>
      </c>
      <c r="AX118" s="12">
        <f>IF((0=1),SUMIFS('Daily evaluations'!$H$2:$H$36,'Daily evaluations'!$B$2:$B$36,"=p07_quality_value",'Daily evaluations'!$C$2:$C$36,"=d20261127"),"")</f>
      </c>
      <c r="AY118" s="12">
        <f>IF((0=1),SUMIFS('Daily evaluations'!$H$2:$H$36,'Daily evaluations'!$B$2:$B$36,"=p07_quality_value",'Daily evaluations'!$C$2:$C$36,"=d20261130"),"")</f>
      </c>
      <c r="AZ118" s="12">
        <f>IF((0=1),SUMIFS('Daily evaluations'!$H$2:$H$36,'Daily evaluations'!$B$2:$B$36,"=p07_quality_value",'Daily evaluations'!$C$2:$C$36,"=d20261201"),"")</f>
      </c>
      <c r="BA118" s="12">
        <f>IF((0=1),SUMIFS('Daily evaluations'!$H$2:$H$36,'Daily evaluations'!$B$2:$B$36,"=p07_quality_value",'Daily evaluations'!$C$2:$C$36,"=d20261202"),"")</f>
      </c>
      <c r="BB118" s="12">
        <f>IF((0=1),SUMIFS('Daily evaluations'!$H$2:$H$36,'Daily evaluations'!$B$2:$B$36,"=p07_quality_value",'Daily evaluations'!$C$2:$C$36,"=d20261203"),"")</f>
      </c>
      <c r="BC118" s="12">
        <f>IF((0=1),SUMIFS('Daily evaluations'!$H$2:$H$36,'Daily evaluations'!$B$2:$B$36,"=p07_quality_value",'Daily evaluations'!$C$2:$C$36,"=d20261204"),"")</f>
      </c>
      <c r="BD118" s="12">
        <f>IF((0=1),SUMIFS('Daily evaluations'!$H$2:$H$36,'Daily evaluations'!$B$2:$B$36,"=p07_quality_value",'Daily evaluations'!$C$2:$C$36,"=d20261207"),"")</f>
      </c>
      <c r="BE118" s="12">
        <f>IF((0=1),SUMIFS('Daily evaluations'!$H$2:$H$36,'Daily evaluations'!$B$2:$B$36,"=p07_quality_value",'Daily evaluations'!$C$2:$C$36,"=d20261208"),"")</f>
      </c>
      <c r="BF118" s="12">
        <f>IF((0=1),SUMIFS('Daily evaluations'!$H$2:$H$36,'Daily evaluations'!$B$2:$B$36,"=p07_quality_value",'Daily evaluations'!$C$2:$C$36,"=d20261209"),"")</f>
      </c>
      <c r="BG118" s="12">
        <f>IF((0=1),SUMIFS('Daily evaluations'!$H$2:$H$36,'Daily evaluations'!$B$2:$B$36,"=p07_quality_value",'Daily evaluations'!$C$2:$C$36,"=d20261210"),"")</f>
      </c>
      <c r="BH118" s="12">
        <f>IF((0=1),SUMIFS('Daily evaluations'!$H$2:$H$36,'Daily evaluations'!$B$2:$B$36,"=p07_quality_value",'Daily evaluations'!$C$2:$C$36,"=d20261211"),"")</f>
      </c>
      <c r="BI118" s="12">
        <f>IF((0=1),SUMIFS('Daily evaluations'!$H$2:$H$36,'Daily evaluations'!$B$2:$B$36,"=p07_quality_value",'Daily evaluations'!$C$2:$C$36,"=d20261214"),"")</f>
      </c>
      <c r="BJ118" s="12">
        <f>IF((0=1),SUMIFS('Daily evaluations'!$H$2:$H$36,'Daily evaluations'!$B$2:$B$36,"=p07_quality_value",'Daily evaluations'!$C$2:$C$36,"=d20261215"),"")</f>
      </c>
      <c r="BK118" s="12">
        <f>IF((0=1),SUMIFS('Daily evaluations'!$H$2:$H$36,'Daily evaluations'!$B$2:$B$36,"=p07_quality_value",'Daily evaluations'!$C$2:$C$36,"=d20261216"),"")</f>
      </c>
      <c r="BL118" s="12">
        <f>IF((0=1),SUMIFS('Daily evaluations'!$H$2:$H$36,'Daily evaluations'!$B$2:$B$36,"=p07_quality_value",'Daily evaluations'!$C$2:$C$36,"=d20261217"),"")</f>
      </c>
      <c r="BM118" s="12">
        <f>IF((0=1),SUMIFS('Daily evaluations'!$H$2:$H$36,'Daily evaluations'!$B$2:$B$36,"=p07_quality_value",'Daily evaluations'!$C$2:$C$36,"=d20261218"),"")</f>
      </c>
      <c r="BN118" s="12">
        <f>IF((0=1),SUMIFS('Daily evaluations'!$H$2:$H$36,'Daily evaluations'!$B$2:$B$36,"=p07_quality_value",'Daily evaluations'!$C$2:$C$36,"=d20261221"),"")</f>
      </c>
      <c r="BO118" s="12">
        <f>IF((0=1),SUMIFS('Daily evaluations'!$H$2:$H$36,'Daily evaluations'!$B$2:$B$36,"=p07_quality_value",'Daily evaluations'!$C$2:$C$36,"=d20261222"),"")</f>
      </c>
      <c r="BP118" s="12">
        <f>IF((0=1),SUMIFS('Daily evaluations'!$H$2:$H$36,'Daily evaluations'!$B$2:$B$36,"=p07_quality_value",'Daily evaluations'!$C$2:$C$36,"=d20261223"),"")</f>
      </c>
      <c r="BQ118" s="12">
        <f>IF((0=1),SUMIFS('Daily evaluations'!$H$2:$H$36,'Daily evaluations'!$B$2:$B$36,"=p07_quality_value",'Daily evaluations'!$C$2:$C$36,"=d20261224"),"")</f>
      </c>
      <c r="BR118" s="12">
        <f>IF((0=1),SUMIFS('Daily evaluations'!$H$2:$H$36,'Daily evaluations'!$B$2:$B$36,"=p07_quality_value",'Daily evaluations'!$C$2:$C$36,"=d20261228"),"")</f>
      </c>
      <c r="BS118" s="12">
        <f>IF((0=1),SUMIFS('Daily evaluations'!$H$2:$H$36,'Daily evaluations'!$B$2:$B$36,"=p07_quality_value",'Daily evaluations'!$C$2:$C$36,"=d20261229"),"")</f>
      </c>
      <c r="BT118" s="12">
        <f>IF((0=1),SUMIFS('Daily evaluations'!$H$2:$H$36,'Daily evaluations'!$B$2:$B$36,"=p07_quality_value",'Daily evaluations'!$C$2:$C$36,"=d20261230"),"")</f>
      </c>
      <c r="BU118" s="12">
        <f>IF((0=1),SUMIFS('Daily evaluations'!$H$2:$H$36,'Daily evaluations'!$B$2:$B$36,"=p07_quality_value",'Daily evaluations'!$C$2:$C$36,"=d20261231"),"")</f>
      </c>
      <c r="BV118" s="12">
        <f>IF((0=1),SUMIFS('Daily evaluations'!$H$2:$H$36,'Daily evaluations'!$B$2:$B$36,"=p07_quality_value",'Daily evaluations'!$C$2:$C$36,"=d20270104"),"")</f>
      </c>
      <c r="BW118" s="12">
        <f>IF((0=1),SUMIFS('Daily evaluations'!$H$2:$H$36,'Daily evaluations'!$B$2:$B$36,"=p07_quality_value",'Daily evaluations'!$C$2:$C$36,"=d20270105"),"")</f>
      </c>
      <c r="BX118" s="12">
        <f>IF((0=1),SUMIFS('Daily evaluations'!$H$2:$H$36,'Daily evaluations'!$B$2:$B$36,"=p07_quality_value",'Daily evaluations'!$C$2:$C$36,"=d20270106"),"")</f>
      </c>
      <c r="BY118" s="12">
        <f>IF((0=1),SUMIFS('Daily evaluations'!$H$2:$H$36,'Daily evaluations'!$B$2:$B$36,"=p07_quality_value",'Daily evaluations'!$C$2:$C$36,"=d20270107"),"")</f>
      </c>
      <c r="BZ118" s="12">
        <f>IF((0=1),SUMIFS('Daily evaluations'!$H$2:$H$36,'Daily evaluations'!$B$2:$B$36,"=p07_quality_value",'Daily evaluations'!$C$2:$C$36,"=d20270108"),"")</f>
      </c>
      <c r="CA118" s="12">
        <f>IF((0=1),SUMIFS('Daily evaluations'!$H$2:$H$36,'Daily evaluations'!$B$2:$B$36,"=p07_quality_value",'Daily evaluations'!$C$2:$C$36,"=d20270111"),"")</f>
      </c>
      <c r="CB118" s="12">
        <f>IF((0=1),SUMIFS('Daily evaluations'!$H$2:$H$36,'Daily evaluations'!$B$2:$B$36,"=p07_quality_value",'Daily evaluations'!$C$2:$C$36,"=d20270112"),"")</f>
      </c>
      <c r="CC118" s="12">
        <f>IF((0=1),SUMIFS('Daily evaluations'!$H$2:$H$36,'Daily evaluations'!$B$2:$B$36,"=p07_quality_value",'Daily evaluations'!$C$2:$C$36,"=d20270113"),"")</f>
      </c>
      <c r="CD118" s="12">
        <f>IF((0=1),SUMIFS('Daily evaluations'!$H$2:$H$36,'Daily evaluations'!$B$2:$B$36,"=p07_quality_value",'Daily evaluations'!$C$2:$C$36,"=d20270114"),"")</f>
      </c>
      <c r="CE118" s="12">
        <f>IF((0=1),SUMIFS('Daily evaluations'!$H$2:$H$36,'Daily evaluations'!$B$2:$B$36,"=p07_quality_value",'Daily evaluations'!$C$2:$C$36,"=d20270115"),"")</f>
      </c>
      <c r="CF118" s="12">
        <f>IF((0=1),SUMIFS('Daily evaluations'!$H$2:$H$36,'Daily evaluations'!$B$2:$B$36,"=p07_quality_value",'Daily evaluations'!$C$2:$C$36,"=d20270119"),"")</f>
      </c>
      <c r="CG118" s="12">
        <f>IF((0=1),SUMIFS('Daily evaluations'!$H$2:$H$36,'Daily evaluations'!$B$2:$B$36,"=p07_quality_value",'Daily evaluations'!$C$2:$C$36,"=d20270120"),"")</f>
      </c>
      <c r="CH118" s="12">
        <f>IF((0=1),SUMIFS('Daily evaluations'!$H$2:$H$36,'Daily evaluations'!$B$2:$B$36,"=p07_quality_value",'Daily evaluations'!$C$2:$C$36,"=d20270121"),"")</f>
      </c>
      <c r="CI118" s="12">
        <f>IF((0=1),SUMIFS('Daily evaluations'!$H$2:$H$36,'Daily evaluations'!$B$2:$B$36,"=p07_quality_value",'Daily evaluations'!$C$2:$C$36,"=d20270122"),"")</f>
      </c>
      <c r="CJ118" s="12">
        <f>IF((0=1),SUMIFS('Daily evaluations'!$H$2:$H$36,'Daily evaluations'!$B$2:$B$36,"=p07_quality_value",'Daily evaluations'!$C$2:$C$36,"=d20270125"),"")</f>
      </c>
      <c r="CK118" s="12">
        <f>IF((0=1),SUMIFS('Daily evaluations'!$H$2:$H$36,'Daily evaluations'!$B$2:$B$36,"=p07_quality_value",'Daily evaluations'!$C$2:$C$36,"=d20270126"),"")</f>
      </c>
      <c r="CL118" s="12">
        <f>IF((0=1),SUMIFS('Daily evaluations'!$H$2:$H$36,'Daily evaluations'!$B$2:$B$36,"=p07_quality_value",'Daily evaluations'!$C$2:$C$36,"=d20270127"),"")</f>
      </c>
      <c r="CM118" s="12">
        <f>IF((0=1),SUMIFS('Daily evaluations'!$H$2:$H$36,'Daily evaluations'!$B$2:$B$36,"=p07_quality_value",'Daily evaluations'!$C$2:$C$36,"=d20270128"),"")</f>
      </c>
      <c r="CN118" s="12">
        <f>IF((0=1),SUMIFS('Daily evaluations'!$H$2:$H$36,'Daily evaluations'!$B$2:$B$36,"=p07_quality_value",'Daily evaluations'!$C$2:$C$36,"=d20270129"),"")</f>
      </c>
      <c r="CO118" s="12">
        <f>IF((0=1),SUMIFS('Daily evaluations'!$H$2:$H$36,'Daily evaluations'!$B$2:$B$36,"=p07_quality_value",'Daily evaluations'!$C$2:$C$36,"=d20270201"),"")</f>
      </c>
      <c r="CP118" s="12">
        <f>IF((0=1),SUMIFS('Daily evaluations'!$H$2:$H$36,'Daily evaluations'!$B$2:$B$36,"=p07_quality_value",'Daily evaluations'!$C$2:$C$36,"=d20270202"),"")</f>
      </c>
      <c r="CQ118" s="12">
        <f>IF((0=1),SUMIFS('Daily evaluations'!$H$2:$H$36,'Daily evaluations'!$B$2:$B$36,"=p07_quality_value",'Daily evaluations'!$C$2:$C$36,"=d20270203"),"")</f>
      </c>
      <c r="CR118" s="12">
        <f>IF((0=1),SUMIFS('Daily evaluations'!$H$2:$H$36,'Daily evaluations'!$B$2:$B$36,"=p07_quality_value",'Daily evaluations'!$C$2:$C$36,"=d20270204"),"")</f>
      </c>
      <c r="CS118" s="12">
        <f>IF((0=1),SUMIFS('Daily evaluations'!$H$2:$H$36,'Daily evaluations'!$B$2:$B$36,"=p07_quality_value",'Daily evaluations'!$C$2:$C$36,"=d20270205"),"")</f>
      </c>
      <c r="CT118" s="12">
        <f>IF((0=1),SUMIFS('Daily evaluations'!$H$2:$H$36,'Daily evaluations'!$B$2:$B$36,"=p07_quality_value",'Daily evaluations'!$C$2:$C$36,"=d20270208"),"")</f>
      </c>
      <c r="CU118" s="12">
        <f>IF((0=1),SUMIFS('Daily evaluations'!$H$2:$H$36,'Daily evaluations'!$B$2:$B$36,"=p07_quality_value",'Daily evaluations'!$C$2:$C$36,"=d20270209"),"")</f>
      </c>
      <c r="CV118" s="12">
        <f>IF((0=1),SUMIFS('Daily evaluations'!$H$2:$H$36,'Daily evaluations'!$B$2:$B$36,"=p07_quality_value",'Daily evaluations'!$C$2:$C$36,"=d20270210"),"")</f>
      </c>
      <c r="CW118" s="12">
        <f>IF((0=1),SUMIFS('Daily evaluations'!$H$2:$H$36,'Daily evaluations'!$B$2:$B$36,"=p07_quality_value",'Daily evaluations'!$C$2:$C$36,"=d20270211"),"")</f>
      </c>
      <c r="CX118" s="12">
        <f>IF((0=1),SUMIFS('Daily evaluations'!$H$2:$H$36,'Daily evaluations'!$B$2:$B$36,"=p07_quality_value",'Daily evaluations'!$C$2:$C$36,"=d20270212"),"")</f>
      </c>
    </row>
    <row r="119">
      <c r="A119" s="0" t="inlineStr">
        <is>
          <t xml:space="preserve">Hit rate vs universe median</t>
        </is>
      </c>
      <c r="B119" s="0" t="inlineStr">
        <is>
          <t xml:space="preserve">Residual Momentum</t>
        </is>
      </c>
      <c r="C119" s="12">
        <f>IF((1=1),SUMIFS('Daily evaluations'!$H$2:$H$36,'Daily evaluations'!$B$2:$B$36,"=p08_residual_momentum",'Daily evaluations'!$C$2:$C$36,"=d20260922"),"")</f>
        <v>0.53</v>
      </c>
      <c r="D119" s="12">
        <f>IF((0=1),SUMIFS('Daily evaluations'!$H$2:$H$36,'Daily evaluations'!$B$2:$B$36,"=p08_residual_momentum",'Daily evaluations'!$C$2:$C$36,"=d20260923"),"")</f>
      </c>
      <c r="E119" s="12">
        <f>IF((0=1),SUMIFS('Daily evaluations'!$H$2:$H$36,'Daily evaluations'!$B$2:$B$36,"=p08_residual_momentum",'Daily evaluations'!$C$2:$C$36,"=d20260924"),"")</f>
      </c>
      <c r="F119" s="12">
        <f>IF((0=1),SUMIFS('Daily evaluations'!$H$2:$H$36,'Daily evaluations'!$B$2:$B$36,"=p08_residual_momentum",'Daily evaluations'!$C$2:$C$36,"=d20260925"),"")</f>
      </c>
      <c r="G119" s="12">
        <f>IF((0=1),SUMIFS('Daily evaluations'!$H$2:$H$36,'Daily evaluations'!$B$2:$B$36,"=p08_residual_momentum",'Daily evaluations'!$C$2:$C$36,"=d20260928"),"")</f>
      </c>
      <c r="H119" s="12">
        <f>IF((0=1),SUMIFS('Daily evaluations'!$H$2:$H$36,'Daily evaluations'!$B$2:$B$36,"=p08_residual_momentum",'Daily evaluations'!$C$2:$C$36,"=d20260929"),"")</f>
      </c>
      <c r="I119" s="12">
        <f>IF((0=1),SUMIFS('Daily evaluations'!$H$2:$H$36,'Daily evaluations'!$B$2:$B$36,"=p08_residual_momentum",'Daily evaluations'!$C$2:$C$36,"=d20260930"),"")</f>
      </c>
      <c r="J119" s="12">
        <f>IF((0=1),SUMIFS('Daily evaluations'!$H$2:$H$36,'Daily evaluations'!$B$2:$B$36,"=p08_residual_momentum",'Daily evaluations'!$C$2:$C$36,"=d20261001"),"")</f>
      </c>
      <c r="K119" s="12">
        <f>IF((0=1),SUMIFS('Daily evaluations'!$H$2:$H$36,'Daily evaluations'!$B$2:$B$36,"=p08_residual_momentum",'Daily evaluations'!$C$2:$C$36,"=d20261002"),"")</f>
      </c>
      <c r="L119" s="12">
        <f>IF((0=1),SUMIFS('Daily evaluations'!$H$2:$H$36,'Daily evaluations'!$B$2:$B$36,"=p08_residual_momentum",'Daily evaluations'!$C$2:$C$36,"=d20261005"),"")</f>
      </c>
      <c r="M119" s="12">
        <f>IF((0=1),SUMIFS('Daily evaluations'!$H$2:$H$36,'Daily evaluations'!$B$2:$B$36,"=p08_residual_momentum",'Daily evaluations'!$C$2:$C$36,"=d20261006"),"")</f>
      </c>
      <c r="N119" s="12">
        <f>IF((0=1),SUMIFS('Daily evaluations'!$H$2:$H$36,'Daily evaluations'!$B$2:$B$36,"=p08_residual_momentum",'Daily evaluations'!$C$2:$C$36,"=d20261007"),"")</f>
      </c>
      <c r="O119" s="12">
        <f>IF((0=1),SUMIFS('Daily evaluations'!$H$2:$H$36,'Daily evaluations'!$B$2:$B$36,"=p08_residual_momentum",'Daily evaluations'!$C$2:$C$36,"=d20261008"),"")</f>
      </c>
      <c r="P119" s="12">
        <f>IF((0=1),SUMIFS('Daily evaluations'!$H$2:$H$36,'Daily evaluations'!$B$2:$B$36,"=p08_residual_momentum",'Daily evaluations'!$C$2:$C$36,"=d20261009"),"")</f>
      </c>
      <c r="Q119" s="12">
        <f>IF((0=1),SUMIFS('Daily evaluations'!$H$2:$H$36,'Daily evaluations'!$B$2:$B$36,"=p08_residual_momentum",'Daily evaluations'!$C$2:$C$36,"=d20261012"),"")</f>
      </c>
      <c r="R119" s="12">
        <f>IF((0=1),SUMIFS('Daily evaluations'!$H$2:$H$36,'Daily evaluations'!$B$2:$B$36,"=p08_residual_momentum",'Daily evaluations'!$C$2:$C$36,"=d20261013"),"")</f>
      </c>
      <c r="S119" s="12">
        <f>IF((0=1),SUMIFS('Daily evaluations'!$H$2:$H$36,'Daily evaluations'!$B$2:$B$36,"=p08_residual_momentum",'Daily evaluations'!$C$2:$C$36,"=d20261014"),"")</f>
      </c>
      <c r="T119" s="12">
        <f>IF((0=1),SUMIFS('Daily evaluations'!$H$2:$H$36,'Daily evaluations'!$B$2:$B$36,"=p08_residual_momentum",'Daily evaluations'!$C$2:$C$36,"=d20261015"),"")</f>
      </c>
      <c r="U119" s="12">
        <f>IF((0=1),SUMIFS('Daily evaluations'!$H$2:$H$36,'Daily evaluations'!$B$2:$B$36,"=p08_residual_momentum",'Daily evaluations'!$C$2:$C$36,"=d20261016"),"")</f>
      </c>
      <c r="V119" s="12">
        <f>IF((0=1),SUMIFS('Daily evaluations'!$H$2:$H$36,'Daily evaluations'!$B$2:$B$36,"=p08_residual_momentum",'Daily evaluations'!$C$2:$C$36,"=d20261019"),"")</f>
      </c>
      <c r="W119" s="12">
        <f>IF((0=1),SUMIFS('Daily evaluations'!$H$2:$H$36,'Daily evaluations'!$B$2:$B$36,"=p08_residual_momentum",'Daily evaluations'!$C$2:$C$36,"=d20261020"),"")</f>
      </c>
      <c r="X119" s="12">
        <f>IF((0=1),SUMIFS('Daily evaluations'!$H$2:$H$36,'Daily evaluations'!$B$2:$B$36,"=p08_residual_momentum",'Daily evaluations'!$C$2:$C$36,"=d20261021"),"")</f>
      </c>
      <c r="Y119" s="12">
        <f>IF((0=1),SUMIFS('Daily evaluations'!$H$2:$H$36,'Daily evaluations'!$B$2:$B$36,"=p08_residual_momentum",'Daily evaluations'!$C$2:$C$36,"=d20261022"),"")</f>
      </c>
      <c r="Z119" s="12">
        <f>IF((0=1),SUMIFS('Daily evaluations'!$H$2:$H$36,'Daily evaluations'!$B$2:$B$36,"=p08_residual_momentum",'Daily evaluations'!$C$2:$C$36,"=d20261023"),"")</f>
      </c>
      <c r="AA119" s="12">
        <f>IF((0=1),SUMIFS('Daily evaluations'!$H$2:$H$36,'Daily evaluations'!$B$2:$B$36,"=p08_residual_momentum",'Daily evaluations'!$C$2:$C$36,"=d20261026"),"")</f>
      </c>
      <c r="AB119" s="12">
        <f>IF((0=1),SUMIFS('Daily evaluations'!$H$2:$H$36,'Daily evaluations'!$B$2:$B$36,"=p08_residual_momentum",'Daily evaluations'!$C$2:$C$36,"=d20261027"),"")</f>
      </c>
      <c r="AC119" s="12">
        <f>IF((0=1),SUMIFS('Daily evaluations'!$H$2:$H$36,'Daily evaluations'!$B$2:$B$36,"=p08_residual_momentum",'Daily evaluations'!$C$2:$C$36,"=d20261028"),"")</f>
      </c>
      <c r="AD119" s="12">
        <f>IF((0=1),SUMIFS('Daily evaluations'!$H$2:$H$36,'Daily evaluations'!$B$2:$B$36,"=p08_residual_momentum",'Daily evaluations'!$C$2:$C$36,"=d20261029"),"")</f>
      </c>
      <c r="AE119" s="12">
        <f>IF((0=1),SUMIFS('Daily evaluations'!$H$2:$H$36,'Daily evaluations'!$B$2:$B$36,"=p08_residual_momentum",'Daily evaluations'!$C$2:$C$36,"=d20261030"),"")</f>
      </c>
      <c r="AF119" s="12">
        <f>IF((0=1),SUMIFS('Daily evaluations'!$H$2:$H$36,'Daily evaluations'!$B$2:$B$36,"=p08_residual_momentum",'Daily evaluations'!$C$2:$C$36,"=d20261102"),"")</f>
      </c>
      <c r="AG119" s="12">
        <f>IF((0=1),SUMIFS('Daily evaluations'!$H$2:$H$36,'Daily evaluations'!$B$2:$B$36,"=p08_residual_momentum",'Daily evaluations'!$C$2:$C$36,"=d20261103"),"")</f>
      </c>
      <c r="AH119" s="12">
        <f>IF((0=1),SUMIFS('Daily evaluations'!$H$2:$H$36,'Daily evaluations'!$B$2:$B$36,"=p08_residual_momentum",'Daily evaluations'!$C$2:$C$36,"=d20261104"),"")</f>
      </c>
      <c r="AI119" s="12">
        <f>IF((0=1),SUMIFS('Daily evaluations'!$H$2:$H$36,'Daily evaluations'!$B$2:$B$36,"=p08_residual_momentum",'Daily evaluations'!$C$2:$C$36,"=d20261105"),"")</f>
      </c>
      <c r="AJ119" s="12">
        <f>IF((0=1),SUMIFS('Daily evaluations'!$H$2:$H$36,'Daily evaluations'!$B$2:$B$36,"=p08_residual_momentum",'Daily evaluations'!$C$2:$C$36,"=d20261106"),"")</f>
      </c>
      <c r="AK119" s="12">
        <f>IF((0=1),SUMIFS('Daily evaluations'!$H$2:$H$36,'Daily evaluations'!$B$2:$B$36,"=p08_residual_momentum",'Daily evaluations'!$C$2:$C$36,"=d20261109"),"")</f>
      </c>
      <c r="AL119" s="12">
        <f>IF((0=1),SUMIFS('Daily evaluations'!$H$2:$H$36,'Daily evaluations'!$B$2:$B$36,"=p08_residual_momentum",'Daily evaluations'!$C$2:$C$36,"=d20261110"),"")</f>
      </c>
      <c r="AM119" s="12">
        <f>IF((0=1),SUMIFS('Daily evaluations'!$H$2:$H$36,'Daily evaluations'!$B$2:$B$36,"=p08_residual_momentum",'Daily evaluations'!$C$2:$C$36,"=d20261111"),"")</f>
      </c>
      <c r="AN119" s="12">
        <f>IF((0=1),SUMIFS('Daily evaluations'!$H$2:$H$36,'Daily evaluations'!$B$2:$B$36,"=p08_residual_momentum",'Daily evaluations'!$C$2:$C$36,"=d20261112"),"")</f>
      </c>
      <c r="AO119" s="12">
        <f>IF((0=1),SUMIFS('Daily evaluations'!$H$2:$H$36,'Daily evaluations'!$B$2:$B$36,"=p08_residual_momentum",'Daily evaluations'!$C$2:$C$36,"=d20261113"),"")</f>
      </c>
      <c r="AP119" s="12">
        <f>IF((0=1),SUMIFS('Daily evaluations'!$H$2:$H$36,'Daily evaluations'!$B$2:$B$36,"=p08_residual_momentum",'Daily evaluations'!$C$2:$C$36,"=d20261116"),"")</f>
      </c>
      <c r="AQ119" s="12">
        <f>IF((0=1),SUMIFS('Daily evaluations'!$H$2:$H$36,'Daily evaluations'!$B$2:$B$36,"=p08_residual_momentum",'Daily evaluations'!$C$2:$C$36,"=d20261117"),"")</f>
      </c>
      <c r="AR119" s="12">
        <f>IF((0=1),SUMIFS('Daily evaluations'!$H$2:$H$36,'Daily evaluations'!$B$2:$B$36,"=p08_residual_momentum",'Daily evaluations'!$C$2:$C$36,"=d20261118"),"")</f>
      </c>
      <c r="AS119" s="12">
        <f>IF((0=1),SUMIFS('Daily evaluations'!$H$2:$H$36,'Daily evaluations'!$B$2:$B$36,"=p08_residual_momentum",'Daily evaluations'!$C$2:$C$36,"=d20261119"),"")</f>
      </c>
      <c r="AT119" s="12">
        <f>IF((0=1),SUMIFS('Daily evaluations'!$H$2:$H$36,'Daily evaluations'!$B$2:$B$36,"=p08_residual_momentum",'Daily evaluations'!$C$2:$C$36,"=d20261120"),"")</f>
      </c>
      <c r="AU119" s="12">
        <f>IF((0=1),SUMIFS('Daily evaluations'!$H$2:$H$36,'Daily evaluations'!$B$2:$B$36,"=p08_residual_momentum",'Daily evaluations'!$C$2:$C$36,"=d20261123"),"")</f>
      </c>
      <c r="AV119" s="12">
        <f>IF((0=1),SUMIFS('Daily evaluations'!$H$2:$H$36,'Daily evaluations'!$B$2:$B$36,"=p08_residual_momentum",'Daily evaluations'!$C$2:$C$36,"=d20261124"),"")</f>
      </c>
      <c r="AW119" s="12">
        <f>IF((0=1),SUMIFS('Daily evaluations'!$H$2:$H$36,'Daily evaluations'!$B$2:$B$36,"=p08_residual_momentum",'Daily evaluations'!$C$2:$C$36,"=d20261125"),"")</f>
      </c>
      <c r="AX119" s="12">
        <f>IF((0=1),SUMIFS('Daily evaluations'!$H$2:$H$36,'Daily evaluations'!$B$2:$B$36,"=p08_residual_momentum",'Daily evaluations'!$C$2:$C$36,"=d20261127"),"")</f>
      </c>
      <c r="AY119" s="12">
        <f>IF((0=1),SUMIFS('Daily evaluations'!$H$2:$H$36,'Daily evaluations'!$B$2:$B$36,"=p08_residual_momentum",'Daily evaluations'!$C$2:$C$36,"=d20261130"),"")</f>
      </c>
      <c r="AZ119" s="12">
        <f>IF((0=1),SUMIFS('Daily evaluations'!$H$2:$H$36,'Daily evaluations'!$B$2:$B$36,"=p08_residual_momentum",'Daily evaluations'!$C$2:$C$36,"=d20261201"),"")</f>
      </c>
      <c r="BA119" s="12">
        <f>IF((0=1),SUMIFS('Daily evaluations'!$H$2:$H$36,'Daily evaluations'!$B$2:$B$36,"=p08_residual_momentum",'Daily evaluations'!$C$2:$C$36,"=d20261202"),"")</f>
      </c>
      <c r="BB119" s="12">
        <f>IF((0=1),SUMIFS('Daily evaluations'!$H$2:$H$36,'Daily evaluations'!$B$2:$B$36,"=p08_residual_momentum",'Daily evaluations'!$C$2:$C$36,"=d20261203"),"")</f>
      </c>
      <c r="BC119" s="12">
        <f>IF((0=1),SUMIFS('Daily evaluations'!$H$2:$H$36,'Daily evaluations'!$B$2:$B$36,"=p08_residual_momentum",'Daily evaluations'!$C$2:$C$36,"=d20261204"),"")</f>
      </c>
      <c r="BD119" s="12">
        <f>IF((0=1),SUMIFS('Daily evaluations'!$H$2:$H$36,'Daily evaluations'!$B$2:$B$36,"=p08_residual_momentum",'Daily evaluations'!$C$2:$C$36,"=d20261207"),"")</f>
      </c>
      <c r="BE119" s="12">
        <f>IF((0=1),SUMIFS('Daily evaluations'!$H$2:$H$36,'Daily evaluations'!$B$2:$B$36,"=p08_residual_momentum",'Daily evaluations'!$C$2:$C$36,"=d20261208"),"")</f>
      </c>
      <c r="BF119" s="12">
        <f>IF((0=1),SUMIFS('Daily evaluations'!$H$2:$H$36,'Daily evaluations'!$B$2:$B$36,"=p08_residual_momentum",'Daily evaluations'!$C$2:$C$36,"=d20261209"),"")</f>
      </c>
      <c r="BG119" s="12">
        <f>IF((0=1),SUMIFS('Daily evaluations'!$H$2:$H$36,'Daily evaluations'!$B$2:$B$36,"=p08_residual_momentum",'Daily evaluations'!$C$2:$C$36,"=d20261210"),"")</f>
      </c>
      <c r="BH119" s="12">
        <f>IF((0=1),SUMIFS('Daily evaluations'!$H$2:$H$36,'Daily evaluations'!$B$2:$B$36,"=p08_residual_momentum",'Daily evaluations'!$C$2:$C$36,"=d20261211"),"")</f>
      </c>
      <c r="BI119" s="12">
        <f>IF((0=1),SUMIFS('Daily evaluations'!$H$2:$H$36,'Daily evaluations'!$B$2:$B$36,"=p08_residual_momentum",'Daily evaluations'!$C$2:$C$36,"=d20261214"),"")</f>
      </c>
      <c r="BJ119" s="12">
        <f>IF((0=1),SUMIFS('Daily evaluations'!$H$2:$H$36,'Daily evaluations'!$B$2:$B$36,"=p08_residual_momentum",'Daily evaluations'!$C$2:$C$36,"=d20261215"),"")</f>
      </c>
      <c r="BK119" s="12">
        <f>IF((0=1),SUMIFS('Daily evaluations'!$H$2:$H$36,'Daily evaluations'!$B$2:$B$36,"=p08_residual_momentum",'Daily evaluations'!$C$2:$C$36,"=d20261216"),"")</f>
      </c>
      <c r="BL119" s="12">
        <f>IF((0=1),SUMIFS('Daily evaluations'!$H$2:$H$36,'Daily evaluations'!$B$2:$B$36,"=p08_residual_momentum",'Daily evaluations'!$C$2:$C$36,"=d20261217"),"")</f>
      </c>
      <c r="BM119" s="12">
        <f>IF((0=1),SUMIFS('Daily evaluations'!$H$2:$H$36,'Daily evaluations'!$B$2:$B$36,"=p08_residual_momentum",'Daily evaluations'!$C$2:$C$36,"=d20261218"),"")</f>
      </c>
      <c r="BN119" s="12">
        <f>IF((0=1),SUMIFS('Daily evaluations'!$H$2:$H$36,'Daily evaluations'!$B$2:$B$36,"=p08_residual_momentum",'Daily evaluations'!$C$2:$C$36,"=d20261221"),"")</f>
      </c>
      <c r="BO119" s="12">
        <f>IF((0=1),SUMIFS('Daily evaluations'!$H$2:$H$36,'Daily evaluations'!$B$2:$B$36,"=p08_residual_momentum",'Daily evaluations'!$C$2:$C$36,"=d20261222"),"")</f>
      </c>
      <c r="BP119" s="12">
        <f>IF((0=1),SUMIFS('Daily evaluations'!$H$2:$H$36,'Daily evaluations'!$B$2:$B$36,"=p08_residual_momentum",'Daily evaluations'!$C$2:$C$36,"=d20261223"),"")</f>
      </c>
      <c r="BQ119" s="12">
        <f>IF((0=1),SUMIFS('Daily evaluations'!$H$2:$H$36,'Daily evaluations'!$B$2:$B$36,"=p08_residual_momentum",'Daily evaluations'!$C$2:$C$36,"=d20261224"),"")</f>
      </c>
      <c r="BR119" s="12">
        <f>IF((0=1),SUMIFS('Daily evaluations'!$H$2:$H$36,'Daily evaluations'!$B$2:$B$36,"=p08_residual_momentum",'Daily evaluations'!$C$2:$C$36,"=d20261228"),"")</f>
      </c>
      <c r="BS119" s="12">
        <f>IF((0=1),SUMIFS('Daily evaluations'!$H$2:$H$36,'Daily evaluations'!$B$2:$B$36,"=p08_residual_momentum",'Daily evaluations'!$C$2:$C$36,"=d20261229"),"")</f>
      </c>
      <c r="BT119" s="12">
        <f>IF((0=1),SUMIFS('Daily evaluations'!$H$2:$H$36,'Daily evaluations'!$B$2:$B$36,"=p08_residual_momentum",'Daily evaluations'!$C$2:$C$36,"=d20261230"),"")</f>
      </c>
      <c r="BU119" s="12">
        <f>IF((0=1),SUMIFS('Daily evaluations'!$H$2:$H$36,'Daily evaluations'!$B$2:$B$36,"=p08_residual_momentum",'Daily evaluations'!$C$2:$C$36,"=d20261231"),"")</f>
      </c>
      <c r="BV119" s="12">
        <f>IF((0=1),SUMIFS('Daily evaluations'!$H$2:$H$36,'Daily evaluations'!$B$2:$B$36,"=p08_residual_momentum",'Daily evaluations'!$C$2:$C$36,"=d20270104"),"")</f>
      </c>
      <c r="BW119" s="12">
        <f>IF((0=1),SUMIFS('Daily evaluations'!$H$2:$H$36,'Daily evaluations'!$B$2:$B$36,"=p08_residual_momentum",'Daily evaluations'!$C$2:$C$36,"=d20270105"),"")</f>
      </c>
      <c r="BX119" s="12">
        <f>IF((0=1),SUMIFS('Daily evaluations'!$H$2:$H$36,'Daily evaluations'!$B$2:$B$36,"=p08_residual_momentum",'Daily evaluations'!$C$2:$C$36,"=d20270106"),"")</f>
      </c>
      <c r="BY119" s="12">
        <f>IF((0=1),SUMIFS('Daily evaluations'!$H$2:$H$36,'Daily evaluations'!$B$2:$B$36,"=p08_residual_momentum",'Daily evaluations'!$C$2:$C$36,"=d20270107"),"")</f>
      </c>
      <c r="BZ119" s="12">
        <f>IF((0=1),SUMIFS('Daily evaluations'!$H$2:$H$36,'Daily evaluations'!$B$2:$B$36,"=p08_residual_momentum",'Daily evaluations'!$C$2:$C$36,"=d20270108"),"")</f>
      </c>
      <c r="CA119" s="12">
        <f>IF((0=1),SUMIFS('Daily evaluations'!$H$2:$H$36,'Daily evaluations'!$B$2:$B$36,"=p08_residual_momentum",'Daily evaluations'!$C$2:$C$36,"=d20270111"),"")</f>
      </c>
      <c r="CB119" s="12">
        <f>IF((0=1),SUMIFS('Daily evaluations'!$H$2:$H$36,'Daily evaluations'!$B$2:$B$36,"=p08_residual_momentum",'Daily evaluations'!$C$2:$C$36,"=d20270112"),"")</f>
      </c>
      <c r="CC119" s="12">
        <f>IF((0=1),SUMIFS('Daily evaluations'!$H$2:$H$36,'Daily evaluations'!$B$2:$B$36,"=p08_residual_momentum",'Daily evaluations'!$C$2:$C$36,"=d20270113"),"")</f>
      </c>
      <c r="CD119" s="12">
        <f>IF((0=1),SUMIFS('Daily evaluations'!$H$2:$H$36,'Daily evaluations'!$B$2:$B$36,"=p08_residual_momentum",'Daily evaluations'!$C$2:$C$36,"=d20270114"),"")</f>
      </c>
      <c r="CE119" s="12">
        <f>IF((0=1),SUMIFS('Daily evaluations'!$H$2:$H$36,'Daily evaluations'!$B$2:$B$36,"=p08_residual_momentum",'Daily evaluations'!$C$2:$C$36,"=d20270115"),"")</f>
      </c>
      <c r="CF119" s="12">
        <f>IF((0=1),SUMIFS('Daily evaluations'!$H$2:$H$36,'Daily evaluations'!$B$2:$B$36,"=p08_residual_momentum",'Daily evaluations'!$C$2:$C$36,"=d20270119"),"")</f>
      </c>
      <c r="CG119" s="12">
        <f>IF((0=1),SUMIFS('Daily evaluations'!$H$2:$H$36,'Daily evaluations'!$B$2:$B$36,"=p08_residual_momentum",'Daily evaluations'!$C$2:$C$36,"=d20270120"),"")</f>
      </c>
      <c r="CH119" s="12">
        <f>IF((0=1),SUMIFS('Daily evaluations'!$H$2:$H$36,'Daily evaluations'!$B$2:$B$36,"=p08_residual_momentum",'Daily evaluations'!$C$2:$C$36,"=d20270121"),"")</f>
      </c>
      <c r="CI119" s="12">
        <f>IF((0=1),SUMIFS('Daily evaluations'!$H$2:$H$36,'Daily evaluations'!$B$2:$B$36,"=p08_residual_momentum",'Daily evaluations'!$C$2:$C$36,"=d20270122"),"")</f>
      </c>
      <c r="CJ119" s="12">
        <f>IF((0=1),SUMIFS('Daily evaluations'!$H$2:$H$36,'Daily evaluations'!$B$2:$B$36,"=p08_residual_momentum",'Daily evaluations'!$C$2:$C$36,"=d20270125"),"")</f>
      </c>
      <c r="CK119" s="12">
        <f>IF((0=1),SUMIFS('Daily evaluations'!$H$2:$H$36,'Daily evaluations'!$B$2:$B$36,"=p08_residual_momentum",'Daily evaluations'!$C$2:$C$36,"=d20270126"),"")</f>
      </c>
      <c r="CL119" s="12">
        <f>IF((0=1),SUMIFS('Daily evaluations'!$H$2:$H$36,'Daily evaluations'!$B$2:$B$36,"=p08_residual_momentum",'Daily evaluations'!$C$2:$C$36,"=d20270127"),"")</f>
      </c>
      <c r="CM119" s="12">
        <f>IF((0=1),SUMIFS('Daily evaluations'!$H$2:$H$36,'Daily evaluations'!$B$2:$B$36,"=p08_residual_momentum",'Daily evaluations'!$C$2:$C$36,"=d20270128"),"")</f>
      </c>
      <c r="CN119" s="12">
        <f>IF((0=1),SUMIFS('Daily evaluations'!$H$2:$H$36,'Daily evaluations'!$B$2:$B$36,"=p08_residual_momentum",'Daily evaluations'!$C$2:$C$36,"=d20270129"),"")</f>
      </c>
      <c r="CO119" s="12">
        <f>IF((0=1),SUMIFS('Daily evaluations'!$H$2:$H$36,'Daily evaluations'!$B$2:$B$36,"=p08_residual_momentum",'Daily evaluations'!$C$2:$C$36,"=d20270201"),"")</f>
      </c>
      <c r="CP119" s="12">
        <f>IF((0=1),SUMIFS('Daily evaluations'!$H$2:$H$36,'Daily evaluations'!$B$2:$B$36,"=p08_residual_momentum",'Daily evaluations'!$C$2:$C$36,"=d20270202"),"")</f>
      </c>
      <c r="CQ119" s="12">
        <f>IF((0=1),SUMIFS('Daily evaluations'!$H$2:$H$36,'Daily evaluations'!$B$2:$B$36,"=p08_residual_momentum",'Daily evaluations'!$C$2:$C$36,"=d20270203"),"")</f>
      </c>
      <c r="CR119" s="12">
        <f>IF((0=1),SUMIFS('Daily evaluations'!$H$2:$H$36,'Daily evaluations'!$B$2:$B$36,"=p08_residual_momentum",'Daily evaluations'!$C$2:$C$36,"=d20270204"),"")</f>
      </c>
      <c r="CS119" s="12">
        <f>IF((0=1),SUMIFS('Daily evaluations'!$H$2:$H$36,'Daily evaluations'!$B$2:$B$36,"=p08_residual_momentum",'Daily evaluations'!$C$2:$C$36,"=d20270205"),"")</f>
      </c>
      <c r="CT119" s="12">
        <f>IF((0=1),SUMIFS('Daily evaluations'!$H$2:$H$36,'Daily evaluations'!$B$2:$B$36,"=p08_residual_momentum",'Daily evaluations'!$C$2:$C$36,"=d20270208"),"")</f>
      </c>
      <c r="CU119" s="12">
        <f>IF((0=1),SUMIFS('Daily evaluations'!$H$2:$H$36,'Daily evaluations'!$B$2:$B$36,"=p08_residual_momentum",'Daily evaluations'!$C$2:$C$36,"=d20270209"),"")</f>
      </c>
      <c r="CV119" s="12">
        <f>IF((0=1),SUMIFS('Daily evaluations'!$H$2:$H$36,'Daily evaluations'!$B$2:$B$36,"=p08_residual_momentum",'Daily evaluations'!$C$2:$C$36,"=d20270210"),"")</f>
      </c>
      <c r="CW119" s="12">
        <f>IF((0=1),SUMIFS('Daily evaluations'!$H$2:$H$36,'Daily evaluations'!$B$2:$B$36,"=p08_residual_momentum",'Daily evaluations'!$C$2:$C$36,"=d20270211"),"")</f>
      </c>
      <c r="CX119" s="12">
        <f>IF((0=1),SUMIFS('Daily evaluations'!$H$2:$H$36,'Daily evaluations'!$B$2:$B$36,"=p08_residual_momentum",'Daily evaluations'!$C$2:$C$36,"=d20270212"),"")</f>
      </c>
    </row>
    <row r="120">
      <c r="A120" s="0" t="inlineStr">
        <is>
          <t xml:space="preserve">Hit rate vs universe median</t>
        </is>
      </c>
      <c r="B120" s="0" t="inlineStr">
        <is>
          <t xml:space="preserve">Overnight Return Persistence</t>
        </is>
      </c>
      <c r="C120" s="12">
        <f>IF((1=1),SUMIFS('Daily evaluations'!$H$2:$H$36,'Daily evaluations'!$B$2:$B$36,"=p09_overnight_persistence",'Daily evaluations'!$C$2:$C$36,"=d20260922"),"")</f>
        <v>0.56</v>
      </c>
      <c r="D120" s="12">
        <f>IF((0=1),SUMIFS('Daily evaluations'!$H$2:$H$36,'Daily evaluations'!$B$2:$B$36,"=p09_overnight_persistence",'Daily evaluations'!$C$2:$C$36,"=d20260923"),"")</f>
      </c>
      <c r="E120" s="12">
        <f>IF((0=1),SUMIFS('Daily evaluations'!$H$2:$H$36,'Daily evaluations'!$B$2:$B$36,"=p09_overnight_persistence",'Daily evaluations'!$C$2:$C$36,"=d20260924"),"")</f>
      </c>
      <c r="F120" s="12">
        <f>IF((0=1),SUMIFS('Daily evaluations'!$H$2:$H$36,'Daily evaluations'!$B$2:$B$36,"=p09_overnight_persistence",'Daily evaluations'!$C$2:$C$36,"=d20260925"),"")</f>
      </c>
      <c r="G120" s="12">
        <f>IF((0=1),SUMIFS('Daily evaluations'!$H$2:$H$36,'Daily evaluations'!$B$2:$B$36,"=p09_overnight_persistence",'Daily evaluations'!$C$2:$C$36,"=d20260928"),"")</f>
      </c>
      <c r="H120" s="12">
        <f>IF((0=1),SUMIFS('Daily evaluations'!$H$2:$H$36,'Daily evaluations'!$B$2:$B$36,"=p09_overnight_persistence",'Daily evaluations'!$C$2:$C$36,"=d20260929"),"")</f>
      </c>
      <c r="I120" s="12">
        <f>IF((0=1),SUMIFS('Daily evaluations'!$H$2:$H$36,'Daily evaluations'!$B$2:$B$36,"=p09_overnight_persistence",'Daily evaluations'!$C$2:$C$36,"=d20260930"),"")</f>
      </c>
      <c r="J120" s="12">
        <f>IF((0=1),SUMIFS('Daily evaluations'!$H$2:$H$36,'Daily evaluations'!$B$2:$B$36,"=p09_overnight_persistence",'Daily evaluations'!$C$2:$C$36,"=d20261001"),"")</f>
      </c>
      <c r="K120" s="12">
        <f>IF((0=1),SUMIFS('Daily evaluations'!$H$2:$H$36,'Daily evaluations'!$B$2:$B$36,"=p09_overnight_persistence",'Daily evaluations'!$C$2:$C$36,"=d20261002"),"")</f>
      </c>
      <c r="L120" s="12">
        <f>IF((0=1),SUMIFS('Daily evaluations'!$H$2:$H$36,'Daily evaluations'!$B$2:$B$36,"=p09_overnight_persistence",'Daily evaluations'!$C$2:$C$36,"=d20261005"),"")</f>
      </c>
      <c r="M120" s="12">
        <f>IF((0=1),SUMIFS('Daily evaluations'!$H$2:$H$36,'Daily evaluations'!$B$2:$B$36,"=p09_overnight_persistence",'Daily evaluations'!$C$2:$C$36,"=d20261006"),"")</f>
      </c>
      <c r="N120" s="12">
        <f>IF((0=1),SUMIFS('Daily evaluations'!$H$2:$H$36,'Daily evaluations'!$B$2:$B$36,"=p09_overnight_persistence",'Daily evaluations'!$C$2:$C$36,"=d20261007"),"")</f>
      </c>
      <c r="O120" s="12">
        <f>IF((0=1),SUMIFS('Daily evaluations'!$H$2:$H$36,'Daily evaluations'!$B$2:$B$36,"=p09_overnight_persistence",'Daily evaluations'!$C$2:$C$36,"=d20261008"),"")</f>
      </c>
      <c r="P120" s="12">
        <f>IF((0=1),SUMIFS('Daily evaluations'!$H$2:$H$36,'Daily evaluations'!$B$2:$B$36,"=p09_overnight_persistence",'Daily evaluations'!$C$2:$C$36,"=d20261009"),"")</f>
      </c>
      <c r="Q120" s="12">
        <f>IF((0=1),SUMIFS('Daily evaluations'!$H$2:$H$36,'Daily evaluations'!$B$2:$B$36,"=p09_overnight_persistence",'Daily evaluations'!$C$2:$C$36,"=d20261012"),"")</f>
      </c>
      <c r="R120" s="12">
        <f>IF((0=1),SUMIFS('Daily evaluations'!$H$2:$H$36,'Daily evaluations'!$B$2:$B$36,"=p09_overnight_persistence",'Daily evaluations'!$C$2:$C$36,"=d20261013"),"")</f>
      </c>
      <c r="S120" s="12">
        <f>IF((0=1),SUMIFS('Daily evaluations'!$H$2:$H$36,'Daily evaluations'!$B$2:$B$36,"=p09_overnight_persistence",'Daily evaluations'!$C$2:$C$36,"=d20261014"),"")</f>
      </c>
      <c r="T120" s="12">
        <f>IF((0=1),SUMIFS('Daily evaluations'!$H$2:$H$36,'Daily evaluations'!$B$2:$B$36,"=p09_overnight_persistence",'Daily evaluations'!$C$2:$C$36,"=d20261015"),"")</f>
      </c>
      <c r="U120" s="12">
        <f>IF((0=1),SUMIFS('Daily evaluations'!$H$2:$H$36,'Daily evaluations'!$B$2:$B$36,"=p09_overnight_persistence",'Daily evaluations'!$C$2:$C$36,"=d20261016"),"")</f>
      </c>
      <c r="V120" s="12">
        <f>IF((0=1),SUMIFS('Daily evaluations'!$H$2:$H$36,'Daily evaluations'!$B$2:$B$36,"=p09_overnight_persistence",'Daily evaluations'!$C$2:$C$36,"=d20261019"),"")</f>
      </c>
      <c r="W120" s="12">
        <f>IF((0=1),SUMIFS('Daily evaluations'!$H$2:$H$36,'Daily evaluations'!$B$2:$B$36,"=p09_overnight_persistence",'Daily evaluations'!$C$2:$C$36,"=d20261020"),"")</f>
      </c>
      <c r="X120" s="12">
        <f>IF((0=1),SUMIFS('Daily evaluations'!$H$2:$H$36,'Daily evaluations'!$B$2:$B$36,"=p09_overnight_persistence",'Daily evaluations'!$C$2:$C$36,"=d20261021"),"")</f>
      </c>
      <c r="Y120" s="12">
        <f>IF((0=1),SUMIFS('Daily evaluations'!$H$2:$H$36,'Daily evaluations'!$B$2:$B$36,"=p09_overnight_persistence",'Daily evaluations'!$C$2:$C$36,"=d20261022"),"")</f>
      </c>
      <c r="Z120" s="12">
        <f>IF((0=1),SUMIFS('Daily evaluations'!$H$2:$H$36,'Daily evaluations'!$B$2:$B$36,"=p09_overnight_persistence",'Daily evaluations'!$C$2:$C$36,"=d20261023"),"")</f>
      </c>
      <c r="AA120" s="12">
        <f>IF((0=1),SUMIFS('Daily evaluations'!$H$2:$H$36,'Daily evaluations'!$B$2:$B$36,"=p09_overnight_persistence",'Daily evaluations'!$C$2:$C$36,"=d20261026"),"")</f>
      </c>
      <c r="AB120" s="12">
        <f>IF((0=1),SUMIFS('Daily evaluations'!$H$2:$H$36,'Daily evaluations'!$B$2:$B$36,"=p09_overnight_persistence",'Daily evaluations'!$C$2:$C$36,"=d20261027"),"")</f>
      </c>
      <c r="AC120" s="12">
        <f>IF((0=1),SUMIFS('Daily evaluations'!$H$2:$H$36,'Daily evaluations'!$B$2:$B$36,"=p09_overnight_persistence",'Daily evaluations'!$C$2:$C$36,"=d20261028"),"")</f>
      </c>
      <c r="AD120" s="12">
        <f>IF((0=1),SUMIFS('Daily evaluations'!$H$2:$H$36,'Daily evaluations'!$B$2:$B$36,"=p09_overnight_persistence",'Daily evaluations'!$C$2:$C$36,"=d20261029"),"")</f>
      </c>
      <c r="AE120" s="12">
        <f>IF((0=1),SUMIFS('Daily evaluations'!$H$2:$H$36,'Daily evaluations'!$B$2:$B$36,"=p09_overnight_persistence",'Daily evaluations'!$C$2:$C$36,"=d20261030"),"")</f>
      </c>
      <c r="AF120" s="12">
        <f>IF((0=1),SUMIFS('Daily evaluations'!$H$2:$H$36,'Daily evaluations'!$B$2:$B$36,"=p09_overnight_persistence",'Daily evaluations'!$C$2:$C$36,"=d20261102"),"")</f>
      </c>
      <c r="AG120" s="12">
        <f>IF((0=1),SUMIFS('Daily evaluations'!$H$2:$H$36,'Daily evaluations'!$B$2:$B$36,"=p09_overnight_persistence",'Daily evaluations'!$C$2:$C$36,"=d20261103"),"")</f>
      </c>
      <c r="AH120" s="12">
        <f>IF((0=1),SUMIFS('Daily evaluations'!$H$2:$H$36,'Daily evaluations'!$B$2:$B$36,"=p09_overnight_persistence",'Daily evaluations'!$C$2:$C$36,"=d20261104"),"")</f>
      </c>
      <c r="AI120" s="12">
        <f>IF((0=1),SUMIFS('Daily evaluations'!$H$2:$H$36,'Daily evaluations'!$B$2:$B$36,"=p09_overnight_persistence",'Daily evaluations'!$C$2:$C$36,"=d20261105"),"")</f>
      </c>
      <c r="AJ120" s="12">
        <f>IF((0=1),SUMIFS('Daily evaluations'!$H$2:$H$36,'Daily evaluations'!$B$2:$B$36,"=p09_overnight_persistence",'Daily evaluations'!$C$2:$C$36,"=d20261106"),"")</f>
      </c>
      <c r="AK120" s="12">
        <f>IF((0=1),SUMIFS('Daily evaluations'!$H$2:$H$36,'Daily evaluations'!$B$2:$B$36,"=p09_overnight_persistence",'Daily evaluations'!$C$2:$C$36,"=d20261109"),"")</f>
      </c>
      <c r="AL120" s="12">
        <f>IF((0=1),SUMIFS('Daily evaluations'!$H$2:$H$36,'Daily evaluations'!$B$2:$B$36,"=p09_overnight_persistence",'Daily evaluations'!$C$2:$C$36,"=d20261110"),"")</f>
      </c>
      <c r="AM120" s="12">
        <f>IF((0=1),SUMIFS('Daily evaluations'!$H$2:$H$36,'Daily evaluations'!$B$2:$B$36,"=p09_overnight_persistence",'Daily evaluations'!$C$2:$C$36,"=d20261111"),"")</f>
      </c>
      <c r="AN120" s="12">
        <f>IF((0=1),SUMIFS('Daily evaluations'!$H$2:$H$36,'Daily evaluations'!$B$2:$B$36,"=p09_overnight_persistence",'Daily evaluations'!$C$2:$C$36,"=d20261112"),"")</f>
      </c>
      <c r="AO120" s="12">
        <f>IF((0=1),SUMIFS('Daily evaluations'!$H$2:$H$36,'Daily evaluations'!$B$2:$B$36,"=p09_overnight_persistence",'Daily evaluations'!$C$2:$C$36,"=d20261113"),"")</f>
      </c>
      <c r="AP120" s="12">
        <f>IF((0=1),SUMIFS('Daily evaluations'!$H$2:$H$36,'Daily evaluations'!$B$2:$B$36,"=p09_overnight_persistence",'Daily evaluations'!$C$2:$C$36,"=d20261116"),"")</f>
      </c>
      <c r="AQ120" s="12">
        <f>IF((0=1),SUMIFS('Daily evaluations'!$H$2:$H$36,'Daily evaluations'!$B$2:$B$36,"=p09_overnight_persistence",'Daily evaluations'!$C$2:$C$36,"=d20261117"),"")</f>
      </c>
      <c r="AR120" s="12">
        <f>IF((0=1),SUMIFS('Daily evaluations'!$H$2:$H$36,'Daily evaluations'!$B$2:$B$36,"=p09_overnight_persistence",'Daily evaluations'!$C$2:$C$36,"=d20261118"),"")</f>
      </c>
      <c r="AS120" s="12">
        <f>IF((0=1),SUMIFS('Daily evaluations'!$H$2:$H$36,'Daily evaluations'!$B$2:$B$36,"=p09_overnight_persistence",'Daily evaluations'!$C$2:$C$36,"=d20261119"),"")</f>
      </c>
      <c r="AT120" s="12">
        <f>IF((0=1),SUMIFS('Daily evaluations'!$H$2:$H$36,'Daily evaluations'!$B$2:$B$36,"=p09_overnight_persistence",'Daily evaluations'!$C$2:$C$36,"=d20261120"),"")</f>
      </c>
      <c r="AU120" s="12">
        <f>IF((0=1),SUMIFS('Daily evaluations'!$H$2:$H$36,'Daily evaluations'!$B$2:$B$36,"=p09_overnight_persistence",'Daily evaluations'!$C$2:$C$36,"=d20261123"),"")</f>
      </c>
      <c r="AV120" s="12">
        <f>IF((0=1),SUMIFS('Daily evaluations'!$H$2:$H$36,'Daily evaluations'!$B$2:$B$36,"=p09_overnight_persistence",'Daily evaluations'!$C$2:$C$36,"=d20261124"),"")</f>
      </c>
      <c r="AW120" s="12">
        <f>IF((0=1),SUMIFS('Daily evaluations'!$H$2:$H$36,'Daily evaluations'!$B$2:$B$36,"=p09_overnight_persistence",'Daily evaluations'!$C$2:$C$36,"=d20261125"),"")</f>
      </c>
      <c r="AX120" s="12">
        <f>IF((0=1),SUMIFS('Daily evaluations'!$H$2:$H$36,'Daily evaluations'!$B$2:$B$36,"=p09_overnight_persistence",'Daily evaluations'!$C$2:$C$36,"=d20261127"),"")</f>
      </c>
      <c r="AY120" s="12">
        <f>IF((0=1),SUMIFS('Daily evaluations'!$H$2:$H$36,'Daily evaluations'!$B$2:$B$36,"=p09_overnight_persistence",'Daily evaluations'!$C$2:$C$36,"=d20261130"),"")</f>
      </c>
      <c r="AZ120" s="12">
        <f>IF((0=1),SUMIFS('Daily evaluations'!$H$2:$H$36,'Daily evaluations'!$B$2:$B$36,"=p09_overnight_persistence",'Daily evaluations'!$C$2:$C$36,"=d20261201"),"")</f>
      </c>
      <c r="BA120" s="12">
        <f>IF((0=1),SUMIFS('Daily evaluations'!$H$2:$H$36,'Daily evaluations'!$B$2:$B$36,"=p09_overnight_persistence",'Daily evaluations'!$C$2:$C$36,"=d20261202"),"")</f>
      </c>
      <c r="BB120" s="12">
        <f>IF((0=1),SUMIFS('Daily evaluations'!$H$2:$H$36,'Daily evaluations'!$B$2:$B$36,"=p09_overnight_persistence",'Daily evaluations'!$C$2:$C$36,"=d20261203"),"")</f>
      </c>
      <c r="BC120" s="12">
        <f>IF((0=1),SUMIFS('Daily evaluations'!$H$2:$H$36,'Daily evaluations'!$B$2:$B$36,"=p09_overnight_persistence",'Daily evaluations'!$C$2:$C$36,"=d20261204"),"")</f>
      </c>
      <c r="BD120" s="12">
        <f>IF((0=1),SUMIFS('Daily evaluations'!$H$2:$H$36,'Daily evaluations'!$B$2:$B$36,"=p09_overnight_persistence",'Daily evaluations'!$C$2:$C$36,"=d20261207"),"")</f>
      </c>
      <c r="BE120" s="12">
        <f>IF((0=1),SUMIFS('Daily evaluations'!$H$2:$H$36,'Daily evaluations'!$B$2:$B$36,"=p09_overnight_persistence",'Daily evaluations'!$C$2:$C$36,"=d20261208"),"")</f>
      </c>
      <c r="BF120" s="12">
        <f>IF((0=1),SUMIFS('Daily evaluations'!$H$2:$H$36,'Daily evaluations'!$B$2:$B$36,"=p09_overnight_persistence",'Daily evaluations'!$C$2:$C$36,"=d20261209"),"")</f>
      </c>
      <c r="BG120" s="12">
        <f>IF((0=1),SUMIFS('Daily evaluations'!$H$2:$H$36,'Daily evaluations'!$B$2:$B$36,"=p09_overnight_persistence",'Daily evaluations'!$C$2:$C$36,"=d20261210"),"")</f>
      </c>
      <c r="BH120" s="12">
        <f>IF((0=1),SUMIFS('Daily evaluations'!$H$2:$H$36,'Daily evaluations'!$B$2:$B$36,"=p09_overnight_persistence",'Daily evaluations'!$C$2:$C$36,"=d20261211"),"")</f>
      </c>
      <c r="BI120" s="12">
        <f>IF((0=1),SUMIFS('Daily evaluations'!$H$2:$H$36,'Daily evaluations'!$B$2:$B$36,"=p09_overnight_persistence",'Daily evaluations'!$C$2:$C$36,"=d20261214"),"")</f>
      </c>
      <c r="BJ120" s="12">
        <f>IF((0=1),SUMIFS('Daily evaluations'!$H$2:$H$36,'Daily evaluations'!$B$2:$B$36,"=p09_overnight_persistence",'Daily evaluations'!$C$2:$C$36,"=d20261215"),"")</f>
      </c>
      <c r="BK120" s="12">
        <f>IF((0=1),SUMIFS('Daily evaluations'!$H$2:$H$36,'Daily evaluations'!$B$2:$B$36,"=p09_overnight_persistence",'Daily evaluations'!$C$2:$C$36,"=d20261216"),"")</f>
      </c>
      <c r="BL120" s="12">
        <f>IF((0=1),SUMIFS('Daily evaluations'!$H$2:$H$36,'Daily evaluations'!$B$2:$B$36,"=p09_overnight_persistence",'Daily evaluations'!$C$2:$C$36,"=d20261217"),"")</f>
      </c>
      <c r="BM120" s="12">
        <f>IF((0=1),SUMIFS('Daily evaluations'!$H$2:$H$36,'Daily evaluations'!$B$2:$B$36,"=p09_overnight_persistence",'Daily evaluations'!$C$2:$C$36,"=d20261218"),"")</f>
      </c>
      <c r="BN120" s="12">
        <f>IF((0=1),SUMIFS('Daily evaluations'!$H$2:$H$36,'Daily evaluations'!$B$2:$B$36,"=p09_overnight_persistence",'Daily evaluations'!$C$2:$C$36,"=d20261221"),"")</f>
      </c>
      <c r="BO120" s="12">
        <f>IF((0=1),SUMIFS('Daily evaluations'!$H$2:$H$36,'Daily evaluations'!$B$2:$B$36,"=p09_overnight_persistence",'Daily evaluations'!$C$2:$C$36,"=d20261222"),"")</f>
      </c>
      <c r="BP120" s="12">
        <f>IF((0=1),SUMIFS('Daily evaluations'!$H$2:$H$36,'Daily evaluations'!$B$2:$B$36,"=p09_overnight_persistence",'Daily evaluations'!$C$2:$C$36,"=d20261223"),"")</f>
      </c>
      <c r="BQ120" s="12">
        <f>IF((0=1),SUMIFS('Daily evaluations'!$H$2:$H$36,'Daily evaluations'!$B$2:$B$36,"=p09_overnight_persistence",'Daily evaluations'!$C$2:$C$36,"=d20261224"),"")</f>
      </c>
      <c r="BR120" s="12">
        <f>IF((0=1),SUMIFS('Daily evaluations'!$H$2:$H$36,'Daily evaluations'!$B$2:$B$36,"=p09_overnight_persistence",'Daily evaluations'!$C$2:$C$36,"=d20261228"),"")</f>
      </c>
      <c r="BS120" s="12">
        <f>IF((0=1),SUMIFS('Daily evaluations'!$H$2:$H$36,'Daily evaluations'!$B$2:$B$36,"=p09_overnight_persistence",'Daily evaluations'!$C$2:$C$36,"=d20261229"),"")</f>
      </c>
      <c r="BT120" s="12">
        <f>IF((0=1),SUMIFS('Daily evaluations'!$H$2:$H$36,'Daily evaluations'!$B$2:$B$36,"=p09_overnight_persistence",'Daily evaluations'!$C$2:$C$36,"=d20261230"),"")</f>
      </c>
      <c r="BU120" s="12">
        <f>IF((0=1),SUMIFS('Daily evaluations'!$H$2:$H$36,'Daily evaluations'!$B$2:$B$36,"=p09_overnight_persistence",'Daily evaluations'!$C$2:$C$36,"=d20261231"),"")</f>
      </c>
      <c r="BV120" s="12">
        <f>IF((0=1),SUMIFS('Daily evaluations'!$H$2:$H$36,'Daily evaluations'!$B$2:$B$36,"=p09_overnight_persistence",'Daily evaluations'!$C$2:$C$36,"=d20270104"),"")</f>
      </c>
      <c r="BW120" s="12">
        <f>IF((0=1),SUMIFS('Daily evaluations'!$H$2:$H$36,'Daily evaluations'!$B$2:$B$36,"=p09_overnight_persistence",'Daily evaluations'!$C$2:$C$36,"=d20270105"),"")</f>
      </c>
      <c r="BX120" s="12">
        <f>IF((0=1),SUMIFS('Daily evaluations'!$H$2:$H$36,'Daily evaluations'!$B$2:$B$36,"=p09_overnight_persistence",'Daily evaluations'!$C$2:$C$36,"=d20270106"),"")</f>
      </c>
      <c r="BY120" s="12">
        <f>IF((0=1),SUMIFS('Daily evaluations'!$H$2:$H$36,'Daily evaluations'!$B$2:$B$36,"=p09_overnight_persistence",'Daily evaluations'!$C$2:$C$36,"=d20270107"),"")</f>
      </c>
      <c r="BZ120" s="12">
        <f>IF((0=1),SUMIFS('Daily evaluations'!$H$2:$H$36,'Daily evaluations'!$B$2:$B$36,"=p09_overnight_persistence",'Daily evaluations'!$C$2:$C$36,"=d20270108"),"")</f>
      </c>
      <c r="CA120" s="12">
        <f>IF((0=1),SUMIFS('Daily evaluations'!$H$2:$H$36,'Daily evaluations'!$B$2:$B$36,"=p09_overnight_persistence",'Daily evaluations'!$C$2:$C$36,"=d20270111"),"")</f>
      </c>
      <c r="CB120" s="12">
        <f>IF((0=1),SUMIFS('Daily evaluations'!$H$2:$H$36,'Daily evaluations'!$B$2:$B$36,"=p09_overnight_persistence",'Daily evaluations'!$C$2:$C$36,"=d20270112"),"")</f>
      </c>
      <c r="CC120" s="12">
        <f>IF((0=1),SUMIFS('Daily evaluations'!$H$2:$H$36,'Daily evaluations'!$B$2:$B$36,"=p09_overnight_persistence",'Daily evaluations'!$C$2:$C$36,"=d20270113"),"")</f>
      </c>
      <c r="CD120" s="12">
        <f>IF((0=1),SUMIFS('Daily evaluations'!$H$2:$H$36,'Daily evaluations'!$B$2:$B$36,"=p09_overnight_persistence",'Daily evaluations'!$C$2:$C$36,"=d20270114"),"")</f>
      </c>
      <c r="CE120" s="12">
        <f>IF((0=1),SUMIFS('Daily evaluations'!$H$2:$H$36,'Daily evaluations'!$B$2:$B$36,"=p09_overnight_persistence",'Daily evaluations'!$C$2:$C$36,"=d20270115"),"")</f>
      </c>
      <c r="CF120" s="12">
        <f>IF((0=1),SUMIFS('Daily evaluations'!$H$2:$H$36,'Daily evaluations'!$B$2:$B$36,"=p09_overnight_persistence",'Daily evaluations'!$C$2:$C$36,"=d20270119"),"")</f>
      </c>
      <c r="CG120" s="12">
        <f>IF((0=1),SUMIFS('Daily evaluations'!$H$2:$H$36,'Daily evaluations'!$B$2:$B$36,"=p09_overnight_persistence",'Daily evaluations'!$C$2:$C$36,"=d20270120"),"")</f>
      </c>
      <c r="CH120" s="12">
        <f>IF((0=1),SUMIFS('Daily evaluations'!$H$2:$H$36,'Daily evaluations'!$B$2:$B$36,"=p09_overnight_persistence",'Daily evaluations'!$C$2:$C$36,"=d20270121"),"")</f>
      </c>
      <c r="CI120" s="12">
        <f>IF((0=1),SUMIFS('Daily evaluations'!$H$2:$H$36,'Daily evaluations'!$B$2:$B$36,"=p09_overnight_persistence",'Daily evaluations'!$C$2:$C$36,"=d20270122"),"")</f>
      </c>
      <c r="CJ120" s="12">
        <f>IF((0=1),SUMIFS('Daily evaluations'!$H$2:$H$36,'Daily evaluations'!$B$2:$B$36,"=p09_overnight_persistence",'Daily evaluations'!$C$2:$C$36,"=d20270125"),"")</f>
      </c>
      <c r="CK120" s="12">
        <f>IF((0=1),SUMIFS('Daily evaluations'!$H$2:$H$36,'Daily evaluations'!$B$2:$B$36,"=p09_overnight_persistence",'Daily evaluations'!$C$2:$C$36,"=d20270126"),"")</f>
      </c>
      <c r="CL120" s="12">
        <f>IF((0=1),SUMIFS('Daily evaluations'!$H$2:$H$36,'Daily evaluations'!$B$2:$B$36,"=p09_overnight_persistence",'Daily evaluations'!$C$2:$C$36,"=d20270127"),"")</f>
      </c>
      <c r="CM120" s="12">
        <f>IF((0=1),SUMIFS('Daily evaluations'!$H$2:$H$36,'Daily evaluations'!$B$2:$B$36,"=p09_overnight_persistence",'Daily evaluations'!$C$2:$C$36,"=d20270128"),"")</f>
      </c>
      <c r="CN120" s="12">
        <f>IF((0=1),SUMIFS('Daily evaluations'!$H$2:$H$36,'Daily evaluations'!$B$2:$B$36,"=p09_overnight_persistence",'Daily evaluations'!$C$2:$C$36,"=d20270129"),"")</f>
      </c>
      <c r="CO120" s="12">
        <f>IF((0=1),SUMIFS('Daily evaluations'!$H$2:$H$36,'Daily evaluations'!$B$2:$B$36,"=p09_overnight_persistence",'Daily evaluations'!$C$2:$C$36,"=d20270201"),"")</f>
      </c>
      <c r="CP120" s="12">
        <f>IF((0=1),SUMIFS('Daily evaluations'!$H$2:$H$36,'Daily evaluations'!$B$2:$B$36,"=p09_overnight_persistence",'Daily evaluations'!$C$2:$C$36,"=d20270202"),"")</f>
      </c>
      <c r="CQ120" s="12">
        <f>IF((0=1),SUMIFS('Daily evaluations'!$H$2:$H$36,'Daily evaluations'!$B$2:$B$36,"=p09_overnight_persistence",'Daily evaluations'!$C$2:$C$36,"=d20270203"),"")</f>
      </c>
      <c r="CR120" s="12">
        <f>IF((0=1),SUMIFS('Daily evaluations'!$H$2:$H$36,'Daily evaluations'!$B$2:$B$36,"=p09_overnight_persistence",'Daily evaluations'!$C$2:$C$36,"=d20270204"),"")</f>
      </c>
      <c r="CS120" s="12">
        <f>IF((0=1),SUMIFS('Daily evaluations'!$H$2:$H$36,'Daily evaluations'!$B$2:$B$36,"=p09_overnight_persistence",'Daily evaluations'!$C$2:$C$36,"=d20270205"),"")</f>
      </c>
      <c r="CT120" s="12">
        <f>IF((0=1),SUMIFS('Daily evaluations'!$H$2:$H$36,'Daily evaluations'!$B$2:$B$36,"=p09_overnight_persistence",'Daily evaluations'!$C$2:$C$36,"=d20270208"),"")</f>
      </c>
      <c r="CU120" s="12">
        <f>IF((0=1),SUMIFS('Daily evaluations'!$H$2:$H$36,'Daily evaluations'!$B$2:$B$36,"=p09_overnight_persistence",'Daily evaluations'!$C$2:$C$36,"=d20270209"),"")</f>
      </c>
      <c r="CV120" s="12">
        <f>IF((0=1),SUMIFS('Daily evaluations'!$H$2:$H$36,'Daily evaluations'!$B$2:$B$36,"=p09_overnight_persistence",'Daily evaluations'!$C$2:$C$36,"=d20270210"),"")</f>
      </c>
      <c r="CW120" s="12">
        <f>IF((0=1),SUMIFS('Daily evaluations'!$H$2:$H$36,'Daily evaluations'!$B$2:$B$36,"=p09_overnight_persistence",'Daily evaluations'!$C$2:$C$36,"=d20270211"),"")</f>
      </c>
      <c r="CX120" s="12">
        <f>IF((0=1),SUMIFS('Daily evaluations'!$H$2:$H$36,'Daily evaluations'!$B$2:$B$36,"=p09_overnight_persistence",'Daily evaluations'!$C$2:$C$36,"=d20270212"),"")</f>
      </c>
    </row>
    <row r="121">
      <c r="A121" s="0" t="inlineStr">
        <is>
          <t xml:space="preserve">Hit rate vs universe median</t>
        </is>
      </c>
      <c r="B121" s="0" t="inlineStr">
        <is>
          <t xml:space="preserve">52-Week-High Anchoring</t>
        </is>
      </c>
      <c r="C121" s="12">
        <f>IF((1=1),SUMIFS('Daily evaluations'!$H$2:$H$36,'Daily evaluations'!$B$2:$B$36,"=p10_52wk_high",'Daily evaluations'!$C$2:$C$36,"=d20260922"),"")</f>
        <v>0.78</v>
      </c>
      <c r="D121" s="12">
        <f>IF((0=1),SUMIFS('Daily evaluations'!$H$2:$H$36,'Daily evaluations'!$B$2:$B$36,"=p10_52wk_high",'Daily evaluations'!$C$2:$C$36,"=d20260923"),"")</f>
      </c>
      <c r="E121" s="12">
        <f>IF((0=1),SUMIFS('Daily evaluations'!$H$2:$H$36,'Daily evaluations'!$B$2:$B$36,"=p10_52wk_high",'Daily evaluations'!$C$2:$C$36,"=d20260924"),"")</f>
      </c>
      <c r="F121" s="12">
        <f>IF((0=1),SUMIFS('Daily evaluations'!$H$2:$H$36,'Daily evaluations'!$B$2:$B$36,"=p10_52wk_high",'Daily evaluations'!$C$2:$C$36,"=d20260925"),"")</f>
      </c>
      <c r="G121" s="12">
        <f>IF((0=1),SUMIFS('Daily evaluations'!$H$2:$H$36,'Daily evaluations'!$B$2:$B$36,"=p10_52wk_high",'Daily evaluations'!$C$2:$C$36,"=d20260928"),"")</f>
      </c>
      <c r="H121" s="12">
        <f>IF((0=1),SUMIFS('Daily evaluations'!$H$2:$H$36,'Daily evaluations'!$B$2:$B$36,"=p10_52wk_high",'Daily evaluations'!$C$2:$C$36,"=d20260929"),"")</f>
      </c>
      <c r="I121" s="12">
        <f>IF((0=1),SUMIFS('Daily evaluations'!$H$2:$H$36,'Daily evaluations'!$B$2:$B$36,"=p10_52wk_high",'Daily evaluations'!$C$2:$C$36,"=d20260930"),"")</f>
      </c>
      <c r="J121" s="12">
        <f>IF((0=1),SUMIFS('Daily evaluations'!$H$2:$H$36,'Daily evaluations'!$B$2:$B$36,"=p10_52wk_high",'Daily evaluations'!$C$2:$C$36,"=d20261001"),"")</f>
      </c>
      <c r="K121" s="12">
        <f>IF((0=1),SUMIFS('Daily evaluations'!$H$2:$H$36,'Daily evaluations'!$B$2:$B$36,"=p10_52wk_high",'Daily evaluations'!$C$2:$C$36,"=d20261002"),"")</f>
      </c>
      <c r="L121" s="12">
        <f>IF((0=1),SUMIFS('Daily evaluations'!$H$2:$H$36,'Daily evaluations'!$B$2:$B$36,"=p10_52wk_high",'Daily evaluations'!$C$2:$C$36,"=d20261005"),"")</f>
      </c>
      <c r="M121" s="12">
        <f>IF((0=1),SUMIFS('Daily evaluations'!$H$2:$H$36,'Daily evaluations'!$B$2:$B$36,"=p10_52wk_high",'Daily evaluations'!$C$2:$C$36,"=d20261006"),"")</f>
      </c>
      <c r="N121" s="12">
        <f>IF((0=1),SUMIFS('Daily evaluations'!$H$2:$H$36,'Daily evaluations'!$B$2:$B$36,"=p10_52wk_high",'Daily evaluations'!$C$2:$C$36,"=d20261007"),"")</f>
      </c>
      <c r="O121" s="12">
        <f>IF((0=1),SUMIFS('Daily evaluations'!$H$2:$H$36,'Daily evaluations'!$B$2:$B$36,"=p10_52wk_high",'Daily evaluations'!$C$2:$C$36,"=d20261008"),"")</f>
      </c>
      <c r="P121" s="12">
        <f>IF((0=1),SUMIFS('Daily evaluations'!$H$2:$H$36,'Daily evaluations'!$B$2:$B$36,"=p10_52wk_high",'Daily evaluations'!$C$2:$C$36,"=d20261009"),"")</f>
      </c>
      <c r="Q121" s="12">
        <f>IF((0=1),SUMIFS('Daily evaluations'!$H$2:$H$36,'Daily evaluations'!$B$2:$B$36,"=p10_52wk_high",'Daily evaluations'!$C$2:$C$36,"=d20261012"),"")</f>
      </c>
      <c r="R121" s="12">
        <f>IF((0=1),SUMIFS('Daily evaluations'!$H$2:$H$36,'Daily evaluations'!$B$2:$B$36,"=p10_52wk_high",'Daily evaluations'!$C$2:$C$36,"=d20261013"),"")</f>
      </c>
      <c r="S121" s="12">
        <f>IF((0=1),SUMIFS('Daily evaluations'!$H$2:$H$36,'Daily evaluations'!$B$2:$B$36,"=p10_52wk_high",'Daily evaluations'!$C$2:$C$36,"=d20261014"),"")</f>
      </c>
      <c r="T121" s="12">
        <f>IF((0=1),SUMIFS('Daily evaluations'!$H$2:$H$36,'Daily evaluations'!$B$2:$B$36,"=p10_52wk_high",'Daily evaluations'!$C$2:$C$36,"=d20261015"),"")</f>
      </c>
      <c r="U121" s="12">
        <f>IF((0=1),SUMIFS('Daily evaluations'!$H$2:$H$36,'Daily evaluations'!$B$2:$B$36,"=p10_52wk_high",'Daily evaluations'!$C$2:$C$36,"=d20261016"),"")</f>
      </c>
      <c r="V121" s="12">
        <f>IF((0=1),SUMIFS('Daily evaluations'!$H$2:$H$36,'Daily evaluations'!$B$2:$B$36,"=p10_52wk_high",'Daily evaluations'!$C$2:$C$36,"=d20261019"),"")</f>
      </c>
      <c r="W121" s="12">
        <f>IF((0=1),SUMIFS('Daily evaluations'!$H$2:$H$36,'Daily evaluations'!$B$2:$B$36,"=p10_52wk_high",'Daily evaluations'!$C$2:$C$36,"=d20261020"),"")</f>
      </c>
      <c r="X121" s="12">
        <f>IF((0=1),SUMIFS('Daily evaluations'!$H$2:$H$36,'Daily evaluations'!$B$2:$B$36,"=p10_52wk_high",'Daily evaluations'!$C$2:$C$36,"=d20261021"),"")</f>
      </c>
      <c r="Y121" s="12">
        <f>IF((0=1),SUMIFS('Daily evaluations'!$H$2:$H$36,'Daily evaluations'!$B$2:$B$36,"=p10_52wk_high",'Daily evaluations'!$C$2:$C$36,"=d20261022"),"")</f>
      </c>
      <c r="Z121" s="12">
        <f>IF((0=1),SUMIFS('Daily evaluations'!$H$2:$H$36,'Daily evaluations'!$B$2:$B$36,"=p10_52wk_high",'Daily evaluations'!$C$2:$C$36,"=d20261023"),"")</f>
      </c>
      <c r="AA121" s="12">
        <f>IF((0=1),SUMIFS('Daily evaluations'!$H$2:$H$36,'Daily evaluations'!$B$2:$B$36,"=p10_52wk_high",'Daily evaluations'!$C$2:$C$36,"=d20261026"),"")</f>
      </c>
      <c r="AB121" s="12">
        <f>IF((0=1),SUMIFS('Daily evaluations'!$H$2:$H$36,'Daily evaluations'!$B$2:$B$36,"=p10_52wk_high",'Daily evaluations'!$C$2:$C$36,"=d20261027"),"")</f>
      </c>
      <c r="AC121" s="12">
        <f>IF((0=1),SUMIFS('Daily evaluations'!$H$2:$H$36,'Daily evaluations'!$B$2:$B$36,"=p10_52wk_high",'Daily evaluations'!$C$2:$C$36,"=d20261028"),"")</f>
      </c>
      <c r="AD121" s="12">
        <f>IF((0=1),SUMIFS('Daily evaluations'!$H$2:$H$36,'Daily evaluations'!$B$2:$B$36,"=p10_52wk_high",'Daily evaluations'!$C$2:$C$36,"=d20261029"),"")</f>
      </c>
      <c r="AE121" s="12">
        <f>IF((0=1),SUMIFS('Daily evaluations'!$H$2:$H$36,'Daily evaluations'!$B$2:$B$36,"=p10_52wk_high",'Daily evaluations'!$C$2:$C$36,"=d20261030"),"")</f>
      </c>
      <c r="AF121" s="12">
        <f>IF((0=1),SUMIFS('Daily evaluations'!$H$2:$H$36,'Daily evaluations'!$B$2:$B$36,"=p10_52wk_high",'Daily evaluations'!$C$2:$C$36,"=d20261102"),"")</f>
      </c>
      <c r="AG121" s="12">
        <f>IF((0=1),SUMIFS('Daily evaluations'!$H$2:$H$36,'Daily evaluations'!$B$2:$B$36,"=p10_52wk_high",'Daily evaluations'!$C$2:$C$36,"=d20261103"),"")</f>
      </c>
      <c r="AH121" s="12">
        <f>IF((0=1),SUMIFS('Daily evaluations'!$H$2:$H$36,'Daily evaluations'!$B$2:$B$36,"=p10_52wk_high",'Daily evaluations'!$C$2:$C$36,"=d20261104"),"")</f>
      </c>
      <c r="AI121" s="12">
        <f>IF((0=1),SUMIFS('Daily evaluations'!$H$2:$H$36,'Daily evaluations'!$B$2:$B$36,"=p10_52wk_high",'Daily evaluations'!$C$2:$C$36,"=d20261105"),"")</f>
      </c>
      <c r="AJ121" s="12">
        <f>IF((0=1),SUMIFS('Daily evaluations'!$H$2:$H$36,'Daily evaluations'!$B$2:$B$36,"=p10_52wk_high",'Daily evaluations'!$C$2:$C$36,"=d20261106"),"")</f>
      </c>
      <c r="AK121" s="12">
        <f>IF((0=1),SUMIFS('Daily evaluations'!$H$2:$H$36,'Daily evaluations'!$B$2:$B$36,"=p10_52wk_high",'Daily evaluations'!$C$2:$C$36,"=d20261109"),"")</f>
      </c>
      <c r="AL121" s="12">
        <f>IF((0=1),SUMIFS('Daily evaluations'!$H$2:$H$36,'Daily evaluations'!$B$2:$B$36,"=p10_52wk_high",'Daily evaluations'!$C$2:$C$36,"=d20261110"),"")</f>
      </c>
      <c r="AM121" s="12">
        <f>IF((0=1),SUMIFS('Daily evaluations'!$H$2:$H$36,'Daily evaluations'!$B$2:$B$36,"=p10_52wk_high",'Daily evaluations'!$C$2:$C$36,"=d20261111"),"")</f>
      </c>
      <c r="AN121" s="12">
        <f>IF((0=1),SUMIFS('Daily evaluations'!$H$2:$H$36,'Daily evaluations'!$B$2:$B$36,"=p10_52wk_high",'Daily evaluations'!$C$2:$C$36,"=d20261112"),"")</f>
      </c>
      <c r="AO121" s="12">
        <f>IF((0=1),SUMIFS('Daily evaluations'!$H$2:$H$36,'Daily evaluations'!$B$2:$B$36,"=p10_52wk_high",'Daily evaluations'!$C$2:$C$36,"=d20261113"),"")</f>
      </c>
      <c r="AP121" s="12">
        <f>IF((0=1),SUMIFS('Daily evaluations'!$H$2:$H$36,'Daily evaluations'!$B$2:$B$36,"=p10_52wk_high",'Daily evaluations'!$C$2:$C$36,"=d20261116"),"")</f>
      </c>
      <c r="AQ121" s="12">
        <f>IF((0=1),SUMIFS('Daily evaluations'!$H$2:$H$36,'Daily evaluations'!$B$2:$B$36,"=p10_52wk_high",'Daily evaluations'!$C$2:$C$36,"=d20261117"),"")</f>
      </c>
      <c r="AR121" s="12">
        <f>IF((0=1),SUMIFS('Daily evaluations'!$H$2:$H$36,'Daily evaluations'!$B$2:$B$36,"=p10_52wk_high",'Daily evaluations'!$C$2:$C$36,"=d20261118"),"")</f>
      </c>
      <c r="AS121" s="12">
        <f>IF((0=1),SUMIFS('Daily evaluations'!$H$2:$H$36,'Daily evaluations'!$B$2:$B$36,"=p10_52wk_high",'Daily evaluations'!$C$2:$C$36,"=d20261119"),"")</f>
      </c>
      <c r="AT121" s="12">
        <f>IF((0=1),SUMIFS('Daily evaluations'!$H$2:$H$36,'Daily evaluations'!$B$2:$B$36,"=p10_52wk_high",'Daily evaluations'!$C$2:$C$36,"=d20261120"),"")</f>
      </c>
      <c r="AU121" s="12">
        <f>IF((0=1),SUMIFS('Daily evaluations'!$H$2:$H$36,'Daily evaluations'!$B$2:$B$36,"=p10_52wk_high",'Daily evaluations'!$C$2:$C$36,"=d20261123"),"")</f>
      </c>
      <c r="AV121" s="12">
        <f>IF((0=1),SUMIFS('Daily evaluations'!$H$2:$H$36,'Daily evaluations'!$B$2:$B$36,"=p10_52wk_high",'Daily evaluations'!$C$2:$C$36,"=d20261124"),"")</f>
      </c>
      <c r="AW121" s="12">
        <f>IF((0=1),SUMIFS('Daily evaluations'!$H$2:$H$36,'Daily evaluations'!$B$2:$B$36,"=p10_52wk_high",'Daily evaluations'!$C$2:$C$36,"=d20261125"),"")</f>
      </c>
      <c r="AX121" s="12">
        <f>IF((0=1),SUMIFS('Daily evaluations'!$H$2:$H$36,'Daily evaluations'!$B$2:$B$36,"=p10_52wk_high",'Daily evaluations'!$C$2:$C$36,"=d20261127"),"")</f>
      </c>
      <c r="AY121" s="12">
        <f>IF((0=1),SUMIFS('Daily evaluations'!$H$2:$H$36,'Daily evaluations'!$B$2:$B$36,"=p10_52wk_high",'Daily evaluations'!$C$2:$C$36,"=d20261130"),"")</f>
      </c>
      <c r="AZ121" s="12">
        <f>IF((0=1),SUMIFS('Daily evaluations'!$H$2:$H$36,'Daily evaluations'!$B$2:$B$36,"=p10_52wk_high",'Daily evaluations'!$C$2:$C$36,"=d20261201"),"")</f>
      </c>
      <c r="BA121" s="12">
        <f>IF((0=1),SUMIFS('Daily evaluations'!$H$2:$H$36,'Daily evaluations'!$B$2:$B$36,"=p10_52wk_high",'Daily evaluations'!$C$2:$C$36,"=d20261202"),"")</f>
      </c>
      <c r="BB121" s="12">
        <f>IF((0=1),SUMIFS('Daily evaluations'!$H$2:$H$36,'Daily evaluations'!$B$2:$B$36,"=p10_52wk_high",'Daily evaluations'!$C$2:$C$36,"=d20261203"),"")</f>
      </c>
      <c r="BC121" s="12">
        <f>IF((0=1),SUMIFS('Daily evaluations'!$H$2:$H$36,'Daily evaluations'!$B$2:$B$36,"=p10_52wk_high",'Daily evaluations'!$C$2:$C$36,"=d20261204"),"")</f>
      </c>
      <c r="BD121" s="12">
        <f>IF((0=1),SUMIFS('Daily evaluations'!$H$2:$H$36,'Daily evaluations'!$B$2:$B$36,"=p10_52wk_high",'Daily evaluations'!$C$2:$C$36,"=d20261207"),"")</f>
      </c>
      <c r="BE121" s="12">
        <f>IF((0=1),SUMIFS('Daily evaluations'!$H$2:$H$36,'Daily evaluations'!$B$2:$B$36,"=p10_52wk_high",'Daily evaluations'!$C$2:$C$36,"=d20261208"),"")</f>
      </c>
      <c r="BF121" s="12">
        <f>IF((0=1),SUMIFS('Daily evaluations'!$H$2:$H$36,'Daily evaluations'!$B$2:$B$36,"=p10_52wk_high",'Daily evaluations'!$C$2:$C$36,"=d20261209"),"")</f>
      </c>
      <c r="BG121" s="12">
        <f>IF((0=1),SUMIFS('Daily evaluations'!$H$2:$H$36,'Daily evaluations'!$B$2:$B$36,"=p10_52wk_high",'Daily evaluations'!$C$2:$C$36,"=d20261210"),"")</f>
      </c>
      <c r="BH121" s="12">
        <f>IF((0=1),SUMIFS('Daily evaluations'!$H$2:$H$36,'Daily evaluations'!$B$2:$B$36,"=p10_52wk_high",'Daily evaluations'!$C$2:$C$36,"=d20261211"),"")</f>
      </c>
      <c r="BI121" s="12">
        <f>IF((0=1),SUMIFS('Daily evaluations'!$H$2:$H$36,'Daily evaluations'!$B$2:$B$36,"=p10_52wk_high",'Daily evaluations'!$C$2:$C$36,"=d20261214"),"")</f>
      </c>
      <c r="BJ121" s="12">
        <f>IF((0=1),SUMIFS('Daily evaluations'!$H$2:$H$36,'Daily evaluations'!$B$2:$B$36,"=p10_52wk_high",'Daily evaluations'!$C$2:$C$36,"=d20261215"),"")</f>
      </c>
      <c r="BK121" s="12">
        <f>IF((0=1),SUMIFS('Daily evaluations'!$H$2:$H$36,'Daily evaluations'!$B$2:$B$36,"=p10_52wk_high",'Daily evaluations'!$C$2:$C$36,"=d20261216"),"")</f>
      </c>
      <c r="BL121" s="12">
        <f>IF((0=1),SUMIFS('Daily evaluations'!$H$2:$H$36,'Daily evaluations'!$B$2:$B$36,"=p10_52wk_high",'Daily evaluations'!$C$2:$C$36,"=d20261217"),"")</f>
      </c>
      <c r="BM121" s="12">
        <f>IF((0=1),SUMIFS('Daily evaluations'!$H$2:$H$36,'Daily evaluations'!$B$2:$B$36,"=p10_52wk_high",'Daily evaluations'!$C$2:$C$36,"=d20261218"),"")</f>
      </c>
      <c r="BN121" s="12">
        <f>IF((0=1),SUMIFS('Daily evaluations'!$H$2:$H$36,'Daily evaluations'!$B$2:$B$36,"=p10_52wk_high",'Daily evaluations'!$C$2:$C$36,"=d20261221"),"")</f>
      </c>
      <c r="BO121" s="12">
        <f>IF((0=1),SUMIFS('Daily evaluations'!$H$2:$H$36,'Daily evaluations'!$B$2:$B$36,"=p10_52wk_high",'Daily evaluations'!$C$2:$C$36,"=d20261222"),"")</f>
      </c>
      <c r="BP121" s="12">
        <f>IF((0=1),SUMIFS('Daily evaluations'!$H$2:$H$36,'Daily evaluations'!$B$2:$B$36,"=p10_52wk_high",'Daily evaluations'!$C$2:$C$36,"=d20261223"),"")</f>
      </c>
      <c r="BQ121" s="12">
        <f>IF((0=1),SUMIFS('Daily evaluations'!$H$2:$H$36,'Daily evaluations'!$B$2:$B$36,"=p10_52wk_high",'Daily evaluations'!$C$2:$C$36,"=d20261224"),"")</f>
      </c>
      <c r="BR121" s="12">
        <f>IF((0=1),SUMIFS('Daily evaluations'!$H$2:$H$36,'Daily evaluations'!$B$2:$B$36,"=p10_52wk_high",'Daily evaluations'!$C$2:$C$36,"=d20261228"),"")</f>
      </c>
      <c r="BS121" s="12">
        <f>IF((0=1),SUMIFS('Daily evaluations'!$H$2:$H$36,'Daily evaluations'!$B$2:$B$36,"=p10_52wk_high",'Daily evaluations'!$C$2:$C$36,"=d20261229"),"")</f>
      </c>
      <c r="BT121" s="12">
        <f>IF((0=1),SUMIFS('Daily evaluations'!$H$2:$H$36,'Daily evaluations'!$B$2:$B$36,"=p10_52wk_high",'Daily evaluations'!$C$2:$C$36,"=d20261230"),"")</f>
      </c>
      <c r="BU121" s="12">
        <f>IF((0=1),SUMIFS('Daily evaluations'!$H$2:$H$36,'Daily evaluations'!$B$2:$B$36,"=p10_52wk_high",'Daily evaluations'!$C$2:$C$36,"=d20261231"),"")</f>
      </c>
      <c r="BV121" s="12">
        <f>IF((0=1),SUMIFS('Daily evaluations'!$H$2:$H$36,'Daily evaluations'!$B$2:$B$36,"=p10_52wk_high",'Daily evaluations'!$C$2:$C$36,"=d20270104"),"")</f>
      </c>
      <c r="BW121" s="12">
        <f>IF((0=1),SUMIFS('Daily evaluations'!$H$2:$H$36,'Daily evaluations'!$B$2:$B$36,"=p10_52wk_high",'Daily evaluations'!$C$2:$C$36,"=d20270105"),"")</f>
      </c>
      <c r="BX121" s="12">
        <f>IF((0=1),SUMIFS('Daily evaluations'!$H$2:$H$36,'Daily evaluations'!$B$2:$B$36,"=p10_52wk_high",'Daily evaluations'!$C$2:$C$36,"=d20270106"),"")</f>
      </c>
      <c r="BY121" s="12">
        <f>IF((0=1),SUMIFS('Daily evaluations'!$H$2:$H$36,'Daily evaluations'!$B$2:$B$36,"=p10_52wk_high",'Daily evaluations'!$C$2:$C$36,"=d20270107"),"")</f>
      </c>
      <c r="BZ121" s="12">
        <f>IF((0=1),SUMIFS('Daily evaluations'!$H$2:$H$36,'Daily evaluations'!$B$2:$B$36,"=p10_52wk_high",'Daily evaluations'!$C$2:$C$36,"=d20270108"),"")</f>
      </c>
      <c r="CA121" s="12">
        <f>IF((0=1),SUMIFS('Daily evaluations'!$H$2:$H$36,'Daily evaluations'!$B$2:$B$36,"=p10_52wk_high",'Daily evaluations'!$C$2:$C$36,"=d20270111"),"")</f>
      </c>
      <c r="CB121" s="12">
        <f>IF((0=1),SUMIFS('Daily evaluations'!$H$2:$H$36,'Daily evaluations'!$B$2:$B$36,"=p10_52wk_high",'Daily evaluations'!$C$2:$C$36,"=d20270112"),"")</f>
      </c>
      <c r="CC121" s="12">
        <f>IF((0=1),SUMIFS('Daily evaluations'!$H$2:$H$36,'Daily evaluations'!$B$2:$B$36,"=p10_52wk_high",'Daily evaluations'!$C$2:$C$36,"=d20270113"),"")</f>
      </c>
      <c r="CD121" s="12">
        <f>IF((0=1),SUMIFS('Daily evaluations'!$H$2:$H$36,'Daily evaluations'!$B$2:$B$36,"=p10_52wk_high",'Daily evaluations'!$C$2:$C$36,"=d20270114"),"")</f>
      </c>
      <c r="CE121" s="12">
        <f>IF((0=1),SUMIFS('Daily evaluations'!$H$2:$H$36,'Daily evaluations'!$B$2:$B$36,"=p10_52wk_high",'Daily evaluations'!$C$2:$C$36,"=d20270115"),"")</f>
      </c>
      <c r="CF121" s="12">
        <f>IF((0=1),SUMIFS('Daily evaluations'!$H$2:$H$36,'Daily evaluations'!$B$2:$B$36,"=p10_52wk_high",'Daily evaluations'!$C$2:$C$36,"=d20270119"),"")</f>
      </c>
      <c r="CG121" s="12">
        <f>IF((0=1),SUMIFS('Daily evaluations'!$H$2:$H$36,'Daily evaluations'!$B$2:$B$36,"=p10_52wk_high",'Daily evaluations'!$C$2:$C$36,"=d20270120"),"")</f>
      </c>
      <c r="CH121" s="12">
        <f>IF((0=1),SUMIFS('Daily evaluations'!$H$2:$H$36,'Daily evaluations'!$B$2:$B$36,"=p10_52wk_high",'Daily evaluations'!$C$2:$C$36,"=d20270121"),"")</f>
      </c>
      <c r="CI121" s="12">
        <f>IF((0=1),SUMIFS('Daily evaluations'!$H$2:$H$36,'Daily evaluations'!$B$2:$B$36,"=p10_52wk_high",'Daily evaluations'!$C$2:$C$36,"=d20270122"),"")</f>
      </c>
      <c r="CJ121" s="12">
        <f>IF((0=1),SUMIFS('Daily evaluations'!$H$2:$H$36,'Daily evaluations'!$B$2:$B$36,"=p10_52wk_high",'Daily evaluations'!$C$2:$C$36,"=d20270125"),"")</f>
      </c>
      <c r="CK121" s="12">
        <f>IF((0=1),SUMIFS('Daily evaluations'!$H$2:$H$36,'Daily evaluations'!$B$2:$B$36,"=p10_52wk_high",'Daily evaluations'!$C$2:$C$36,"=d20270126"),"")</f>
      </c>
      <c r="CL121" s="12">
        <f>IF((0=1),SUMIFS('Daily evaluations'!$H$2:$H$36,'Daily evaluations'!$B$2:$B$36,"=p10_52wk_high",'Daily evaluations'!$C$2:$C$36,"=d20270127"),"")</f>
      </c>
      <c r="CM121" s="12">
        <f>IF((0=1),SUMIFS('Daily evaluations'!$H$2:$H$36,'Daily evaluations'!$B$2:$B$36,"=p10_52wk_high",'Daily evaluations'!$C$2:$C$36,"=d20270128"),"")</f>
      </c>
      <c r="CN121" s="12">
        <f>IF((0=1),SUMIFS('Daily evaluations'!$H$2:$H$36,'Daily evaluations'!$B$2:$B$36,"=p10_52wk_high",'Daily evaluations'!$C$2:$C$36,"=d20270129"),"")</f>
      </c>
      <c r="CO121" s="12">
        <f>IF((0=1),SUMIFS('Daily evaluations'!$H$2:$H$36,'Daily evaluations'!$B$2:$B$36,"=p10_52wk_high",'Daily evaluations'!$C$2:$C$36,"=d20270201"),"")</f>
      </c>
      <c r="CP121" s="12">
        <f>IF((0=1),SUMIFS('Daily evaluations'!$H$2:$H$36,'Daily evaluations'!$B$2:$B$36,"=p10_52wk_high",'Daily evaluations'!$C$2:$C$36,"=d20270202"),"")</f>
      </c>
      <c r="CQ121" s="12">
        <f>IF((0=1),SUMIFS('Daily evaluations'!$H$2:$H$36,'Daily evaluations'!$B$2:$B$36,"=p10_52wk_high",'Daily evaluations'!$C$2:$C$36,"=d20270203"),"")</f>
      </c>
      <c r="CR121" s="12">
        <f>IF((0=1),SUMIFS('Daily evaluations'!$H$2:$H$36,'Daily evaluations'!$B$2:$B$36,"=p10_52wk_high",'Daily evaluations'!$C$2:$C$36,"=d20270204"),"")</f>
      </c>
      <c r="CS121" s="12">
        <f>IF((0=1),SUMIFS('Daily evaluations'!$H$2:$H$36,'Daily evaluations'!$B$2:$B$36,"=p10_52wk_high",'Daily evaluations'!$C$2:$C$36,"=d20270205"),"")</f>
      </c>
      <c r="CT121" s="12">
        <f>IF((0=1),SUMIFS('Daily evaluations'!$H$2:$H$36,'Daily evaluations'!$B$2:$B$36,"=p10_52wk_high",'Daily evaluations'!$C$2:$C$36,"=d20270208"),"")</f>
      </c>
      <c r="CU121" s="12">
        <f>IF((0=1),SUMIFS('Daily evaluations'!$H$2:$H$36,'Daily evaluations'!$B$2:$B$36,"=p10_52wk_high",'Daily evaluations'!$C$2:$C$36,"=d20270209"),"")</f>
      </c>
      <c r="CV121" s="12">
        <f>IF((0=1),SUMIFS('Daily evaluations'!$H$2:$H$36,'Daily evaluations'!$B$2:$B$36,"=p10_52wk_high",'Daily evaluations'!$C$2:$C$36,"=d20270210"),"")</f>
      </c>
      <c r="CW121" s="12">
        <f>IF((0=1),SUMIFS('Daily evaluations'!$H$2:$H$36,'Daily evaluations'!$B$2:$B$36,"=p10_52wk_high",'Daily evaluations'!$C$2:$C$36,"=d20270211"),"")</f>
      </c>
      <c r="CX121" s="12">
        <f>IF((0=1),SUMIFS('Daily evaluations'!$H$2:$H$36,'Daily evaluations'!$B$2:$B$36,"=p10_52wk_high",'Daily evaluations'!$C$2:$C$36,"=d20270212"),"")</f>
      </c>
    </row>
    <row r="122">
      <c r="A122" s="0" t="inlineStr">
        <is>
          <t xml:space="preserve">Hit rate vs universe median</t>
        </is>
      </c>
      <c r="B122" s="0" t="inlineStr">
        <is>
          <t xml:space="preserve">Random 1</t>
        </is>
      </c>
      <c r="C122" s="12">
        <f>IF((1=1),SUMIFS('Daily evaluations'!$H$2:$H$36,'Daily evaluations'!$B$2:$B$36,"=random_01",'Daily evaluations'!$C$2:$C$36,"=d20260922"),"")</f>
        <v>0.48</v>
      </c>
      <c r="D122" s="12">
        <f>IF((0=1),SUMIFS('Daily evaluations'!$H$2:$H$36,'Daily evaluations'!$B$2:$B$36,"=random_01",'Daily evaluations'!$C$2:$C$36,"=d20260923"),"")</f>
      </c>
      <c r="E122" s="12">
        <f>IF((0=1),SUMIFS('Daily evaluations'!$H$2:$H$36,'Daily evaluations'!$B$2:$B$36,"=random_01",'Daily evaluations'!$C$2:$C$36,"=d20260924"),"")</f>
      </c>
      <c r="F122" s="12">
        <f>IF((0=1),SUMIFS('Daily evaluations'!$H$2:$H$36,'Daily evaluations'!$B$2:$B$36,"=random_01",'Daily evaluations'!$C$2:$C$36,"=d20260925"),"")</f>
      </c>
      <c r="G122" s="12">
        <f>IF((0=1),SUMIFS('Daily evaluations'!$H$2:$H$36,'Daily evaluations'!$B$2:$B$36,"=random_01",'Daily evaluations'!$C$2:$C$36,"=d20260928"),"")</f>
      </c>
      <c r="H122" s="12">
        <f>IF((0=1),SUMIFS('Daily evaluations'!$H$2:$H$36,'Daily evaluations'!$B$2:$B$36,"=random_01",'Daily evaluations'!$C$2:$C$36,"=d20260929"),"")</f>
      </c>
      <c r="I122" s="12">
        <f>IF((0=1),SUMIFS('Daily evaluations'!$H$2:$H$36,'Daily evaluations'!$B$2:$B$36,"=random_01",'Daily evaluations'!$C$2:$C$36,"=d20260930"),"")</f>
      </c>
      <c r="J122" s="12">
        <f>IF((0=1),SUMIFS('Daily evaluations'!$H$2:$H$36,'Daily evaluations'!$B$2:$B$36,"=random_01",'Daily evaluations'!$C$2:$C$36,"=d20261001"),"")</f>
      </c>
      <c r="K122" s="12">
        <f>IF((0=1),SUMIFS('Daily evaluations'!$H$2:$H$36,'Daily evaluations'!$B$2:$B$36,"=random_01",'Daily evaluations'!$C$2:$C$36,"=d20261002"),"")</f>
      </c>
      <c r="L122" s="12">
        <f>IF((0=1),SUMIFS('Daily evaluations'!$H$2:$H$36,'Daily evaluations'!$B$2:$B$36,"=random_01",'Daily evaluations'!$C$2:$C$36,"=d20261005"),"")</f>
      </c>
      <c r="M122" s="12">
        <f>IF((0=1),SUMIFS('Daily evaluations'!$H$2:$H$36,'Daily evaluations'!$B$2:$B$36,"=random_01",'Daily evaluations'!$C$2:$C$36,"=d20261006"),"")</f>
      </c>
      <c r="N122" s="12">
        <f>IF((0=1),SUMIFS('Daily evaluations'!$H$2:$H$36,'Daily evaluations'!$B$2:$B$36,"=random_01",'Daily evaluations'!$C$2:$C$36,"=d20261007"),"")</f>
      </c>
      <c r="O122" s="12">
        <f>IF((0=1),SUMIFS('Daily evaluations'!$H$2:$H$36,'Daily evaluations'!$B$2:$B$36,"=random_01",'Daily evaluations'!$C$2:$C$36,"=d20261008"),"")</f>
      </c>
      <c r="P122" s="12">
        <f>IF((0=1),SUMIFS('Daily evaluations'!$H$2:$H$36,'Daily evaluations'!$B$2:$B$36,"=random_01",'Daily evaluations'!$C$2:$C$36,"=d20261009"),"")</f>
      </c>
      <c r="Q122" s="12">
        <f>IF((0=1),SUMIFS('Daily evaluations'!$H$2:$H$36,'Daily evaluations'!$B$2:$B$36,"=random_01",'Daily evaluations'!$C$2:$C$36,"=d20261012"),"")</f>
      </c>
      <c r="R122" s="12">
        <f>IF((0=1),SUMIFS('Daily evaluations'!$H$2:$H$36,'Daily evaluations'!$B$2:$B$36,"=random_01",'Daily evaluations'!$C$2:$C$36,"=d20261013"),"")</f>
      </c>
      <c r="S122" s="12">
        <f>IF((0=1),SUMIFS('Daily evaluations'!$H$2:$H$36,'Daily evaluations'!$B$2:$B$36,"=random_01",'Daily evaluations'!$C$2:$C$36,"=d20261014"),"")</f>
      </c>
      <c r="T122" s="12">
        <f>IF((0=1),SUMIFS('Daily evaluations'!$H$2:$H$36,'Daily evaluations'!$B$2:$B$36,"=random_01",'Daily evaluations'!$C$2:$C$36,"=d20261015"),"")</f>
      </c>
      <c r="U122" s="12">
        <f>IF((0=1),SUMIFS('Daily evaluations'!$H$2:$H$36,'Daily evaluations'!$B$2:$B$36,"=random_01",'Daily evaluations'!$C$2:$C$36,"=d20261016"),"")</f>
      </c>
      <c r="V122" s="12">
        <f>IF((0=1),SUMIFS('Daily evaluations'!$H$2:$H$36,'Daily evaluations'!$B$2:$B$36,"=random_01",'Daily evaluations'!$C$2:$C$36,"=d20261019"),"")</f>
      </c>
      <c r="W122" s="12">
        <f>IF((0=1),SUMIFS('Daily evaluations'!$H$2:$H$36,'Daily evaluations'!$B$2:$B$36,"=random_01",'Daily evaluations'!$C$2:$C$36,"=d20261020"),"")</f>
      </c>
      <c r="X122" s="12">
        <f>IF((0=1),SUMIFS('Daily evaluations'!$H$2:$H$36,'Daily evaluations'!$B$2:$B$36,"=random_01",'Daily evaluations'!$C$2:$C$36,"=d20261021"),"")</f>
      </c>
      <c r="Y122" s="12">
        <f>IF((0=1),SUMIFS('Daily evaluations'!$H$2:$H$36,'Daily evaluations'!$B$2:$B$36,"=random_01",'Daily evaluations'!$C$2:$C$36,"=d20261022"),"")</f>
      </c>
      <c r="Z122" s="12">
        <f>IF((0=1),SUMIFS('Daily evaluations'!$H$2:$H$36,'Daily evaluations'!$B$2:$B$36,"=random_01",'Daily evaluations'!$C$2:$C$36,"=d20261023"),"")</f>
      </c>
      <c r="AA122" s="12">
        <f>IF((0=1),SUMIFS('Daily evaluations'!$H$2:$H$36,'Daily evaluations'!$B$2:$B$36,"=random_01",'Daily evaluations'!$C$2:$C$36,"=d20261026"),"")</f>
      </c>
      <c r="AB122" s="12">
        <f>IF((0=1),SUMIFS('Daily evaluations'!$H$2:$H$36,'Daily evaluations'!$B$2:$B$36,"=random_01",'Daily evaluations'!$C$2:$C$36,"=d20261027"),"")</f>
      </c>
      <c r="AC122" s="12">
        <f>IF((0=1),SUMIFS('Daily evaluations'!$H$2:$H$36,'Daily evaluations'!$B$2:$B$36,"=random_01",'Daily evaluations'!$C$2:$C$36,"=d20261028"),"")</f>
      </c>
      <c r="AD122" s="12">
        <f>IF((0=1),SUMIFS('Daily evaluations'!$H$2:$H$36,'Daily evaluations'!$B$2:$B$36,"=random_01",'Daily evaluations'!$C$2:$C$36,"=d20261029"),"")</f>
      </c>
      <c r="AE122" s="12">
        <f>IF((0=1),SUMIFS('Daily evaluations'!$H$2:$H$36,'Daily evaluations'!$B$2:$B$36,"=random_01",'Daily evaluations'!$C$2:$C$36,"=d20261030"),"")</f>
      </c>
      <c r="AF122" s="12">
        <f>IF((0=1),SUMIFS('Daily evaluations'!$H$2:$H$36,'Daily evaluations'!$B$2:$B$36,"=random_01",'Daily evaluations'!$C$2:$C$36,"=d20261102"),"")</f>
      </c>
      <c r="AG122" s="12">
        <f>IF((0=1),SUMIFS('Daily evaluations'!$H$2:$H$36,'Daily evaluations'!$B$2:$B$36,"=random_01",'Daily evaluations'!$C$2:$C$36,"=d20261103"),"")</f>
      </c>
      <c r="AH122" s="12">
        <f>IF((0=1),SUMIFS('Daily evaluations'!$H$2:$H$36,'Daily evaluations'!$B$2:$B$36,"=random_01",'Daily evaluations'!$C$2:$C$36,"=d20261104"),"")</f>
      </c>
      <c r="AI122" s="12">
        <f>IF((0=1),SUMIFS('Daily evaluations'!$H$2:$H$36,'Daily evaluations'!$B$2:$B$36,"=random_01",'Daily evaluations'!$C$2:$C$36,"=d20261105"),"")</f>
      </c>
      <c r="AJ122" s="12">
        <f>IF((0=1),SUMIFS('Daily evaluations'!$H$2:$H$36,'Daily evaluations'!$B$2:$B$36,"=random_01",'Daily evaluations'!$C$2:$C$36,"=d20261106"),"")</f>
      </c>
      <c r="AK122" s="12">
        <f>IF((0=1),SUMIFS('Daily evaluations'!$H$2:$H$36,'Daily evaluations'!$B$2:$B$36,"=random_01",'Daily evaluations'!$C$2:$C$36,"=d20261109"),"")</f>
      </c>
      <c r="AL122" s="12">
        <f>IF((0=1),SUMIFS('Daily evaluations'!$H$2:$H$36,'Daily evaluations'!$B$2:$B$36,"=random_01",'Daily evaluations'!$C$2:$C$36,"=d20261110"),"")</f>
      </c>
      <c r="AM122" s="12">
        <f>IF((0=1),SUMIFS('Daily evaluations'!$H$2:$H$36,'Daily evaluations'!$B$2:$B$36,"=random_01",'Daily evaluations'!$C$2:$C$36,"=d20261111"),"")</f>
      </c>
      <c r="AN122" s="12">
        <f>IF((0=1),SUMIFS('Daily evaluations'!$H$2:$H$36,'Daily evaluations'!$B$2:$B$36,"=random_01",'Daily evaluations'!$C$2:$C$36,"=d20261112"),"")</f>
      </c>
      <c r="AO122" s="12">
        <f>IF((0=1),SUMIFS('Daily evaluations'!$H$2:$H$36,'Daily evaluations'!$B$2:$B$36,"=random_01",'Daily evaluations'!$C$2:$C$36,"=d20261113"),"")</f>
      </c>
      <c r="AP122" s="12">
        <f>IF((0=1),SUMIFS('Daily evaluations'!$H$2:$H$36,'Daily evaluations'!$B$2:$B$36,"=random_01",'Daily evaluations'!$C$2:$C$36,"=d20261116"),"")</f>
      </c>
      <c r="AQ122" s="12">
        <f>IF((0=1),SUMIFS('Daily evaluations'!$H$2:$H$36,'Daily evaluations'!$B$2:$B$36,"=random_01",'Daily evaluations'!$C$2:$C$36,"=d20261117"),"")</f>
      </c>
      <c r="AR122" s="12">
        <f>IF((0=1),SUMIFS('Daily evaluations'!$H$2:$H$36,'Daily evaluations'!$B$2:$B$36,"=random_01",'Daily evaluations'!$C$2:$C$36,"=d20261118"),"")</f>
      </c>
      <c r="AS122" s="12">
        <f>IF((0=1),SUMIFS('Daily evaluations'!$H$2:$H$36,'Daily evaluations'!$B$2:$B$36,"=random_01",'Daily evaluations'!$C$2:$C$36,"=d20261119"),"")</f>
      </c>
      <c r="AT122" s="12">
        <f>IF((0=1),SUMIFS('Daily evaluations'!$H$2:$H$36,'Daily evaluations'!$B$2:$B$36,"=random_01",'Daily evaluations'!$C$2:$C$36,"=d20261120"),"")</f>
      </c>
      <c r="AU122" s="12">
        <f>IF((0=1),SUMIFS('Daily evaluations'!$H$2:$H$36,'Daily evaluations'!$B$2:$B$36,"=random_01",'Daily evaluations'!$C$2:$C$36,"=d20261123"),"")</f>
      </c>
      <c r="AV122" s="12">
        <f>IF((0=1),SUMIFS('Daily evaluations'!$H$2:$H$36,'Daily evaluations'!$B$2:$B$36,"=random_01",'Daily evaluations'!$C$2:$C$36,"=d20261124"),"")</f>
      </c>
      <c r="AW122" s="12">
        <f>IF((0=1),SUMIFS('Daily evaluations'!$H$2:$H$36,'Daily evaluations'!$B$2:$B$36,"=random_01",'Daily evaluations'!$C$2:$C$36,"=d20261125"),"")</f>
      </c>
      <c r="AX122" s="12">
        <f>IF((0=1),SUMIFS('Daily evaluations'!$H$2:$H$36,'Daily evaluations'!$B$2:$B$36,"=random_01",'Daily evaluations'!$C$2:$C$36,"=d20261127"),"")</f>
      </c>
      <c r="AY122" s="12">
        <f>IF((0=1),SUMIFS('Daily evaluations'!$H$2:$H$36,'Daily evaluations'!$B$2:$B$36,"=random_01",'Daily evaluations'!$C$2:$C$36,"=d20261130"),"")</f>
      </c>
      <c r="AZ122" s="12">
        <f>IF((0=1),SUMIFS('Daily evaluations'!$H$2:$H$36,'Daily evaluations'!$B$2:$B$36,"=random_01",'Daily evaluations'!$C$2:$C$36,"=d20261201"),"")</f>
      </c>
      <c r="BA122" s="12">
        <f>IF((0=1),SUMIFS('Daily evaluations'!$H$2:$H$36,'Daily evaluations'!$B$2:$B$36,"=random_01",'Daily evaluations'!$C$2:$C$36,"=d20261202"),"")</f>
      </c>
      <c r="BB122" s="12">
        <f>IF((0=1),SUMIFS('Daily evaluations'!$H$2:$H$36,'Daily evaluations'!$B$2:$B$36,"=random_01",'Daily evaluations'!$C$2:$C$36,"=d20261203"),"")</f>
      </c>
      <c r="BC122" s="12">
        <f>IF((0=1),SUMIFS('Daily evaluations'!$H$2:$H$36,'Daily evaluations'!$B$2:$B$36,"=random_01",'Daily evaluations'!$C$2:$C$36,"=d20261204"),"")</f>
      </c>
      <c r="BD122" s="12">
        <f>IF((0=1),SUMIFS('Daily evaluations'!$H$2:$H$36,'Daily evaluations'!$B$2:$B$36,"=random_01",'Daily evaluations'!$C$2:$C$36,"=d20261207"),"")</f>
      </c>
      <c r="BE122" s="12">
        <f>IF((0=1),SUMIFS('Daily evaluations'!$H$2:$H$36,'Daily evaluations'!$B$2:$B$36,"=random_01",'Daily evaluations'!$C$2:$C$36,"=d20261208"),"")</f>
      </c>
      <c r="BF122" s="12">
        <f>IF((0=1),SUMIFS('Daily evaluations'!$H$2:$H$36,'Daily evaluations'!$B$2:$B$36,"=random_01",'Daily evaluations'!$C$2:$C$36,"=d20261209"),"")</f>
      </c>
      <c r="BG122" s="12">
        <f>IF((0=1),SUMIFS('Daily evaluations'!$H$2:$H$36,'Daily evaluations'!$B$2:$B$36,"=random_01",'Daily evaluations'!$C$2:$C$36,"=d20261210"),"")</f>
      </c>
      <c r="BH122" s="12">
        <f>IF((0=1),SUMIFS('Daily evaluations'!$H$2:$H$36,'Daily evaluations'!$B$2:$B$36,"=random_01",'Daily evaluations'!$C$2:$C$36,"=d20261211"),"")</f>
      </c>
      <c r="BI122" s="12">
        <f>IF((0=1),SUMIFS('Daily evaluations'!$H$2:$H$36,'Daily evaluations'!$B$2:$B$36,"=random_01",'Daily evaluations'!$C$2:$C$36,"=d20261214"),"")</f>
      </c>
      <c r="BJ122" s="12">
        <f>IF((0=1),SUMIFS('Daily evaluations'!$H$2:$H$36,'Daily evaluations'!$B$2:$B$36,"=random_01",'Daily evaluations'!$C$2:$C$36,"=d20261215"),"")</f>
      </c>
      <c r="BK122" s="12">
        <f>IF((0=1),SUMIFS('Daily evaluations'!$H$2:$H$36,'Daily evaluations'!$B$2:$B$36,"=random_01",'Daily evaluations'!$C$2:$C$36,"=d20261216"),"")</f>
      </c>
      <c r="BL122" s="12">
        <f>IF((0=1),SUMIFS('Daily evaluations'!$H$2:$H$36,'Daily evaluations'!$B$2:$B$36,"=random_01",'Daily evaluations'!$C$2:$C$36,"=d20261217"),"")</f>
      </c>
      <c r="BM122" s="12">
        <f>IF((0=1),SUMIFS('Daily evaluations'!$H$2:$H$36,'Daily evaluations'!$B$2:$B$36,"=random_01",'Daily evaluations'!$C$2:$C$36,"=d20261218"),"")</f>
      </c>
      <c r="BN122" s="12">
        <f>IF((0=1),SUMIFS('Daily evaluations'!$H$2:$H$36,'Daily evaluations'!$B$2:$B$36,"=random_01",'Daily evaluations'!$C$2:$C$36,"=d20261221"),"")</f>
      </c>
      <c r="BO122" s="12">
        <f>IF((0=1),SUMIFS('Daily evaluations'!$H$2:$H$36,'Daily evaluations'!$B$2:$B$36,"=random_01",'Daily evaluations'!$C$2:$C$36,"=d20261222"),"")</f>
      </c>
      <c r="BP122" s="12">
        <f>IF((0=1),SUMIFS('Daily evaluations'!$H$2:$H$36,'Daily evaluations'!$B$2:$B$36,"=random_01",'Daily evaluations'!$C$2:$C$36,"=d20261223"),"")</f>
      </c>
      <c r="BQ122" s="12">
        <f>IF((0=1),SUMIFS('Daily evaluations'!$H$2:$H$36,'Daily evaluations'!$B$2:$B$36,"=random_01",'Daily evaluations'!$C$2:$C$36,"=d20261224"),"")</f>
      </c>
      <c r="BR122" s="12">
        <f>IF((0=1),SUMIFS('Daily evaluations'!$H$2:$H$36,'Daily evaluations'!$B$2:$B$36,"=random_01",'Daily evaluations'!$C$2:$C$36,"=d20261228"),"")</f>
      </c>
      <c r="BS122" s="12">
        <f>IF((0=1),SUMIFS('Daily evaluations'!$H$2:$H$36,'Daily evaluations'!$B$2:$B$36,"=random_01",'Daily evaluations'!$C$2:$C$36,"=d20261229"),"")</f>
      </c>
      <c r="BT122" s="12">
        <f>IF((0=1),SUMIFS('Daily evaluations'!$H$2:$H$36,'Daily evaluations'!$B$2:$B$36,"=random_01",'Daily evaluations'!$C$2:$C$36,"=d20261230"),"")</f>
      </c>
      <c r="BU122" s="12">
        <f>IF((0=1),SUMIFS('Daily evaluations'!$H$2:$H$36,'Daily evaluations'!$B$2:$B$36,"=random_01",'Daily evaluations'!$C$2:$C$36,"=d20261231"),"")</f>
      </c>
      <c r="BV122" s="12">
        <f>IF((0=1),SUMIFS('Daily evaluations'!$H$2:$H$36,'Daily evaluations'!$B$2:$B$36,"=random_01",'Daily evaluations'!$C$2:$C$36,"=d20270104"),"")</f>
      </c>
      <c r="BW122" s="12">
        <f>IF((0=1),SUMIFS('Daily evaluations'!$H$2:$H$36,'Daily evaluations'!$B$2:$B$36,"=random_01",'Daily evaluations'!$C$2:$C$36,"=d20270105"),"")</f>
      </c>
      <c r="BX122" s="12">
        <f>IF((0=1),SUMIFS('Daily evaluations'!$H$2:$H$36,'Daily evaluations'!$B$2:$B$36,"=random_01",'Daily evaluations'!$C$2:$C$36,"=d20270106"),"")</f>
      </c>
      <c r="BY122" s="12">
        <f>IF((0=1),SUMIFS('Daily evaluations'!$H$2:$H$36,'Daily evaluations'!$B$2:$B$36,"=random_01",'Daily evaluations'!$C$2:$C$36,"=d20270107"),"")</f>
      </c>
      <c r="BZ122" s="12">
        <f>IF((0=1),SUMIFS('Daily evaluations'!$H$2:$H$36,'Daily evaluations'!$B$2:$B$36,"=random_01",'Daily evaluations'!$C$2:$C$36,"=d20270108"),"")</f>
      </c>
      <c r="CA122" s="12">
        <f>IF((0=1),SUMIFS('Daily evaluations'!$H$2:$H$36,'Daily evaluations'!$B$2:$B$36,"=random_01",'Daily evaluations'!$C$2:$C$36,"=d20270111"),"")</f>
      </c>
      <c r="CB122" s="12">
        <f>IF((0=1),SUMIFS('Daily evaluations'!$H$2:$H$36,'Daily evaluations'!$B$2:$B$36,"=random_01",'Daily evaluations'!$C$2:$C$36,"=d20270112"),"")</f>
      </c>
      <c r="CC122" s="12">
        <f>IF((0=1),SUMIFS('Daily evaluations'!$H$2:$H$36,'Daily evaluations'!$B$2:$B$36,"=random_01",'Daily evaluations'!$C$2:$C$36,"=d20270113"),"")</f>
      </c>
      <c r="CD122" s="12">
        <f>IF((0=1),SUMIFS('Daily evaluations'!$H$2:$H$36,'Daily evaluations'!$B$2:$B$36,"=random_01",'Daily evaluations'!$C$2:$C$36,"=d20270114"),"")</f>
      </c>
      <c r="CE122" s="12">
        <f>IF((0=1),SUMIFS('Daily evaluations'!$H$2:$H$36,'Daily evaluations'!$B$2:$B$36,"=random_01",'Daily evaluations'!$C$2:$C$36,"=d20270115"),"")</f>
      </c>
      <c r="CF122" s="12">
        <f>IF((0=1),SUMIFS('Daily evaluations'!$H$2:$H$36,'Daily evaluations'!$B$2:$B$36,"=random_01",'Daily evaluations'!$C$2:$C$36,"=d20270119"),"")</f>
      </c>
      <c r="CG122" s="12">
        <f>IF((0=1),SUMIFS('Daily evaluations'!$H$2:$H$36,'Daily evaluations'!$B$2:$B$36,"=random_01",'Daily evaluations'!$C$2:$C$36,"=d20270120"),"")</f>
      </c>
      <c r="CH122" s="12">
        <f>IF((0=1),SUMIFS('Daily evaluations'!$H$2:$H$36,'Daily evaluations'!$B$2:$B$36,"=random_01",'Daily evaluations'!$C$2:$C$36,"=d20270121"),"")</f>
      </c>
      <c r="CI122" s="12">
        <f>IF((0=1),SUMIFS('Daily evaluations'!$H$2:$H$36,'Daily evaluations'!$B$2:$B$36,"=random_01",'Daily evaluations'!$C$2:$C$36,"=d20270122"),"")</f>
      </c>
      <c r="CJ122" s="12">
        <f>IF((0=1),SUMIFS('Daily evaluations'!$H$2:$H$36,'Daily evaluations'!$B$2:$B$36,"=random_01",'Daily evaluations'!$C$2:$C$36,"=d20270125"),"")</f>
      </c>
      <c r="CK122" s="12">
        <f>IF((0=1),SUMIFS('Daily evaluations'!$H$2:$H$36,'Daily evaluations'!$B$2:$B$36,"=random_01",'Daily evaluations'!$C$2:$C$36,"=d20270126"),"")</f>
      </c>
      <c r="CL122" s="12">
        <f>IF((0=1),SUMIFS('Daily evaluations'!$H$2:$H$36,'Daily evaluations'!$B$2:$B$36,"=random_01",'Daily evaluations'!$C$2:$C$36,"=d20270127"),"")</f>
      </c>
      <c r="CM122" s="12">
        <f>IF((0=1),SUMIFS('Daily evaluations'!$H$2:$H$36,'Daily evaluations'!$B$2:$B$36,"=random_01",'Daily evaluations'!$C$2:$C$36,"=d20270128"),"")</f>
      </c>
      <c r="CN122" s="12">
        <f>IF((0=1),SUMIFS('Daily evaluations'!$H$2:$H$36,'Daily evaluations'!$B$2:$B$36,"=random_01",'Daily evaluations'!$C$2:$C$36,"=d20270129"),"")</f>
      </c>
      <c r="CO122" s="12">
        <f>IF((0=1),SUMIFS('Daily evaluations'!$H$2:$H$36,'Daily evaluations'!$B$2:$B$36,"=random_01",'Daily evaluations'!$C$2:$C$36,"=d20270201"),"")</f>
      </c>
      <c r="CP122" s="12">
        <f>IF((0=1),SUMIFS('Daily evaluations'!$H$2:$H$36,'Daily evaluations'!$B$2:$B$36,"=random_01",'Daily evaluations'!$C$2:$C$36,"=d20270202"),"")</f>
      </c>
      <c r="CQ122" s="12">
        <f>IF((0=1),SUMIFS('Daily evaluations'!$H$2:$H$36,'Daily evaluations'!$B$2:$B$36,"=random_01",'Daily evaluations'!$C$2:$C$36,"=d20270203"),"")</f>
      </c>
      <c r="CR122" s="12">
        <f>IF((0=1),SUMIFS('Daily evaluations'!$H$2:$H$36,'Daily evaluations'!$B$2:$B$36,"=random_01",'Daily evaluations'!$C$2:$C$36,"=d20270204"),"")</f>
      </c>
      <c r="CS122" s="12">
        <f>IF((0=1),SUMIFS('Daily evaluations'!$H$2:$H$36,'Daily evaluations'!$B$2:$B$36,"=random_01",'Daily evaluations'!$C$2:$C$36,"=d20270205"),"")</f>
      </c>
      <c r="CT122" s="12">
        <f>IF((0=1),SUMIFS('Daily evaluations'!$H$2:$H$36,'Daily evaluations'!$B$2:$B$36,"=random_01",'Daily evaluations'!$C$2:$C$36,"=d20270208"),"")</f>
      </c>
      <c r="CU122" s="12">
        <f>IF((0=1),SUMIFS('Daily evaluations'!$H$2:$H$36,'Daily evaluations'!$B$2:$B$36,"=random_01",'Daily evaluations'!$C$2:$C$36,"=d20270209"),"")</f>
      </c>
      <c r="CV122" s="12">
        <f>IF((0=1),SUMIFS('Daily evaluations'!$H$2:$H$36,'Daily evaluations'!$B$2:$B$36,"=random_01",'Daily evaluations'!$C$2:$C$36,"=d20270210"),"")</f>
      </c>
      <c r="CW122" s="12">
        <f>IF((0=1),SUMIFS('Daily evaluations'!$H$2:$H$36,'Daily evaluations'!$B$2:$B$36,"=random_01",'Daily evaluations'!$C$2:$C$36,"=d20270211"),"")</f>
      </c>
      <c r="CX122" s="12">
        <f>IF((0=1),SUMIFS('Daily evaluations'!$H$2:$H$36,'Daily evaluations'!$B$2:$B$36,"=random_01",'Daily evaluations'!$C$2:$C$36,"=d20270212"),"")</f>
      </c>
    </row>
    <row r="123">
      <c r="A123" s="0" t="inlineStr">
        <is>
          <t xml:space="preserve">Hit rate vs universe median</t>
        </is>
      </c>
      <c r="B123" s="0" t="inlineStr">
        <is>
          <t xml:space="preserve">Random 2</t>
        </is>
      </c>
      <c r="C123" s="12">
        <f>IF((1=1),SUMIFS('Daily evaluations'!$H$2:$H$36,'Daily evaluations'!$B$2:$B$36,"=random_02",'Daily evaluations'!$C$2:$C$36,"=d20260922"),"")</f>
        <v>0.49</v>
      </c>
      <c r="D123" s="12">
        <f>IF((0=1),SUMIFS('Daily evaluations'!$H$2:$H$36,'Daily evaluations'!$B$2:$B$36,"=random_02",'Daily evaluations'!$C$2:$C$36,"=d20260923"),"")</f>
      </c>
      <c r="E123" s="12">
        <f>IF((0=1),SUMIFS('Daily evaluations'!$H$2:$H$36,'Daily evaluations'!$B$2:$B$36,"=random_02",'Daily evaluations'!$C$2:$C$36,"=d20260924"),"")</f>
      </c>
      <c r="F123" s="12">
        <f>IF((0=1),SUMIFS('Daily evaluations'!$H$2:$H$36,'Daily evaluations'!$B$2:$B$36,"=random_02",'Daily evaluations'!$C$2:$C$36,"=d20260925"),"")</f>
      </c>
      <c r="G123" s="12">
        <f>IF((0=1),SUMIFS('Daily evaluations'!$H$2:$H$36,'Daily evaluations'!$B$2:$B$36,"=random_02",'Daily evaluations'!$C$2:$C$36,"=d20260928"),"")</f>
      </c>
      <c r="H123" s="12">
        <f>IF((0=1),SUMIFS('Daily evaluations'!$H$2:$H$36,'Daily evaluations'!$B$2:$B$36,"=random_02",'Daily evaluations'!$C$2:$C$36,"=d20260929"),"")</f>
      </c>
      <c r="I123" s="12">
        <f>IF((0=1),SUMIFS('Daily evaluations'!$H$2:$H$36,'Daily evaluations'!$B$2:$B$36,"=random_02",'Daily evaluations'!$C$2:$C$36,"=d20260930"),"")</f>
      </c>
      <c r="J123" s="12">
        <f>IF((0=1),SUMIFS('Daily evaluations'!$H$2:$H$36,'Daily evaluations'!$B$2:$B$36,"=random_02",'Daily evaluations'!$C$2:$C$36,"=d20261001"),"")</f>
      </c>
      <c r="K123" s="12">
        <f>IF((0=1),SUMIFS('Daily evaluations'!$H$2:$H$36,'Daily evaluations'!$B$2:$B$36,"=random_02",'Daily evaluations'!$C$2:$C$36,"=d20261002"),"")</f>
      </c>
      <c r="L123" s="12">
        <f>IF((0=1),SUMIFS('Daily evaluations'!$H$2:$H$36,'Daily evaluations'!$B$2:$B$36,"=random_02",'Daily evaluations'!$C$2:$C$36,"=d20261005"),"")</f>
      </c>
      <c r="M123" s="12">
        <f>IF((0=1),SUMIFS('Daily evaluations'!$H$2:$H$36,'Daily evaluations'!$B$2:$B$36,"=random_02",'Daily evaluations'!$C$2:$C$36,"=d20261006"),"")</f>
      </c>
      <c r="N123" s="12">
        <f>IF((0=1),SUMIFS('Daily evaluations'!$H$2:$H$36,'Daily evaluations'!$B$2:$B$36,"=random_02",'Daily evaluations'!$C$2:$C$36,"=d20261007"),"")</f>
      </c>
      <c r="O123" s="12">
        <f>IF((0=1),SUMIFS('Daily evaluations'!$H$2:$H$36,'Daily evaluations'!$B$2:$B$36,"=random_02",'Daily evaluations'!$C$2:$C$36,"=d20261008"),"")</f>
      </c>
      <c r="P123" s="12">
        <f>IF((0=1),SUMIFS('Daily evaluations'!$H$2:$H$36,'Daily evaluations'!$B$2:$B$36,"=random_02",'Daily evaluations'!$C$2:$C$36,"=d20261009"),"")</f>
      </c>
      <c r="Q123" s="12">
        <f>IF((0=1),SUMIFS('Daily evaluations'!$H$2:$H$36,'Daily evaluations'!$B$2:$B$36,"=random_02",'Daily evaluations'!$C$2:$C$36,"=d20261012"),"")</f>
      </c>
      <c r="R123" s="12">
        <f>IF((0=1),SUMIFS('Daily evaluations'!$H$2:$H$36,'Daily evaluations'!$B$2:$B$36,"=random_02",'Daily evaluations'!$C$2:$C$36,"=d20261013"),"")</f>
      </c>
      <c r="S123" s="12">
        <f>IF((0=1),SUMIFS('Daily evaluations'!$H$2:$H$36,'Daily evaluations'!$B$2:$B$36,"=random_02",'Daily evaluations'!$C$2:$C$36,"=d20261014"),"")</f>
      </c>
      <c r="T123" s="12">
        <f>IF((0=1),SUMIFS('Daily evaluations'!$H$2:$H$36,'Daily evaluations'!$B$2:$B$36,"=random_02",'Daily evaluations'!$C$2:$C$36,"=d20261015"),"")</f>
      </c>
      <c r="U123" s="12">
        <f>IF((0=1),SUMIFS('Daily evaluations'!$H$2:$H$36,'Daily evaluations'!$B$2:$B$36,"=random_02",'Daily evaluations'!$C$2:$C$36,"=d20261016"),"")</f>
      </c>
      <c r="V123" s="12">
        <f>IF((0=1),SUMIFS('Daily evaluations'!$H$2:$H$36,'Daily evaluations'!$B$2:$B$36,"=random_02",'Daily evaluations'!$C$2:$C$36,"=d20261019"),"")</f>
      </c>
      <c r="W123" s="12">
        <f>IF((0=1),SUMIFS('Daily evaluations'!$H$2:$H$36,'Daily evaluations'!$B$2:$B$36,"=random_02",'Daily evaluations'!$C$2:$C$36,"=d20261020"),"")</f>
      </c>
      <c r="X123" s="12">
        <f>IF((0=1),SUMIFS('Daily evaluations'!$H$2:$H$36,'Daily evaluations'!$B$2:$B$36,"=random_02",'Daily evaluations'!$C$2:$C$36,"=d20261021"),"")</f>
      </c>
      <c r="Y123" s="12">
        <f>IF((0=1),SUMIFS('Daily evaluations'!$H$2:$H$36,'Daily evaluations'!$B$2:$B$36,"=random_02",'Daily evaluations'!$C$2:$C$36,"=d20261022"),"")</f>
      </c>
      <c r="Z123" s="12">
        <f>IF((0=1),SUMIFS('Daily evaluations'!$H$2:$H$36,'Daily evaluations'!$B$2:$B$36,"=random_02",'Daily evaluations'!$C$2:$C$36,"=d20261023"),"")</f>
      </c>
      <c r="AA123" s="12">
        <f>IF((0=1),SUMIFS('Daily evaluations'!$H$2:$H$36,'Daily evaluations'!$B$2:$B$36,"=random_02",'Daily evaluations'!$C$2:$C$36,"=d20261026"),"")</f>
      </c>
      <c r="AB123" s="12">
        <f>IF((0=1),SUMIFS('Daily evaluations'!$H$2:$H$36,'Daily evaluations'!$B$2:$B$36,"=random_02",'Daily evaluations'!$C$2:$C$36,"=d20261027"),"")</f>
      </c>
      <c r="AC123" s="12">
        <f>IF((0=1),SUMIFS('Daily evaluations'!$H$2:$H$36,'Daily evaluations'!$B$2:$B$36,"=random_02",'Daily evaluations'!$C$2:$C$36,"=d20261028"),"")</f>
      </c>
      <c r="AD123" s="12">
        <f>IF((0=1),SUMIFS('Daily evaluations'!$H$2:$H$36,'Daily evaluations'!$B$2:$B$36,"=random_02",'Daily evaluations'!$C$2:$C$36,"=d20261029"),"")</f>
      </c>
      <c r="AE123" s="12">
        <f>IF((0=1),SUMIFS('Daily evaluations'!$H$2:$H$36,'Daily evaluations'!$B$2:$B$36,"=random_02",'Daily evaluations'!$C$2:$C$36,"=d20261030"),"")</f>
      </c>
      <c r="AF123" s="12">
        <f>IF((0=1),SUMIFS('Daily evaluations'!$H$2:$H$36,'Daily evaluations'!$B$2:$B$36,"=random_02",'Daily evaluations'!$C$2:$C$36,"=d20261102"),"")</f>
      </c>
      <c r="AG123" s="12">
        <f>IF((0=1),SUMIFS('Daily evaluations'!$H$2:$H$36,'Daily evaluations'!$B$2:$B$36,"=random_02",'Daily evaluations'!$C$2:$C$36,"=d20261103"),"")</f>
      </c>
      <c r="AH123" s="12">
        <f>IF((0=1),SUMIFS('Daily evaluations'!$H$2:$H$36,'Daily evaluations'!$B$2:$B$36,"=random_02",'Daily evaluations'!$C$2:$C$36,"=d20261104"),"")</f>
      </c>
      <c r="AI123" s="12">
        <f>IF((0=1),SUMIFS('Daily evaluations'!$H$2:$H$36,'Daily evaluations'!$B$2:$B$36,"=random_02",'Daily evaluations'!$C$2:$C$36,"=d20261105"),"")</f>
      </c>
      <c r="AJ123" s="12">
        <f>IF((0=1),SUMIFS('Daily evaluations'!$H$2:$H$36,'Daily evaluations'!$B$2:$B$36,"=random_02",'Daily evaluations'!$C$2:$C$36,"=d20261106"),"")</f>
      </c>
      <c r="AK123" s="12">
        <f>IF((0=1),SUMIFS('Daily evaluations'!$H$2:$H$36,'Daily evaluations'!$B$2:$B$36,"=random_02",'Daily evaluations'!$C$2:$C$36,"=d20261109"),"")</f>
      </c>
      <c r="AL123" s="12">
        <f>IF((0=1),SUMIFS('Daily evaluations'!$H$2:$H$36,'Daily evaluations'!$B$2:$B$36,"=random_02",'Daily evaluations'!$C$2:$C$36,"=d20261110"),"")</f>
      </c>
      <c r="AM123" s="12">
        <f>IF((0=1),SUMIFS('Daily evaluations'!$H$2:$H$36,'Daily evaluations'!$B$2:$B$36,"=random_02",'Daily evaluations'!$C$2:$C$36,"=d20261111"),"")</f>
      </c>
      <c r="AN123" s="12">
        <f>IF((0=1),SUMIFS('Daily evaluations'!$H$2:$H$36,'Daily evaluations'!$B$2:$B$36,"=random_02",'Daily evaluations'!$C$2:$C$36,"=d20261112"),"")</f>
      </c>
      <c r="AO123" s="12">
        <f>IF((0=1),SUMIFS('Daily evaluations'!$H$2:$H$36,'Daily evaluations'!$B$2:$B$36,"=random_02",'Daily evaluations'!$C$2:$C$36,"=d20261113"),"")</f>
      </c>
      <c r="AP123" s="12">
        <f>IF((0=1),SUMIFS('Daily evaluations'!$H$2:$H$36,'Daily evaluations'!$B$2:$B$36,"=random_02",'Daily evaluations'!$C$2:$C$36,"=d20261116"),"")</f>
      </c>
      <c r="AQ123" s="12">
        <f>IF((0=1),SUMIFS('Daily evaluations'!$H$2:$H$36,'Daily evaluations'!$B$2:$B$36,"=random_02",'Daily evaluations'!$C$2:$C$36,"=d20261117"),"")</f>
      </c>
      <c r="AR123" s="12">
        <f>IF((0=1),SUMIFS('Daily evaluations'!$H$2:$H$36,'Daily evaluations'!$B$2:$B$36,"=random_02",'Daily evaluations'!$C$2:$C$36,"=d20261118"),"")</f>
      </c>
      <c r="AS123" s="12">
        <f>IF((0=1),SUMIFS('Daily evaluations'!$H$2:$H$36,'Daily evaluations'!$B$2:$B$36,"=random_02",'Daily evaluations'!$C$2:$C$36,"=d20261119"),"")</f>
      </c>
      <c r="AT123" s="12">
        <f>IF((0=1),SUMIFS('Daily evaluations'!$H$2:$H$36,'Daily evaluations'!$B$2:$B$36,"=random_02",'Daily evaluations'!$C$2:$C$36,"=d20261120"),"")</f>
      </c>
      <c r="AU123" s="12">
        <f>IF((0=1),SUMIFS('Daily evaluations'!$H$2:$H$36,'Daily evaluations'!$B$2:$B$36,"=random_02",'Daily evaluations'!$C$2:$C$36,"=d20261123"),"")</f>
      </c>
      <c r="AV123" s="12">
        <f>IF((0=1),SUMIFS('Daily evaluations'!$H$2:$H$36,'Daily evaluations'!$B$2:$B$36,"=random_02",'Daily evaluations'!$C$2:$C$36,"=d20261124"),"")</f>
      </c>
      <c r="AW123" s="12">
        <f>IF((0=1),SUMIFS('Daily evaluations'!$H$2:$H$36,'Daily evaluations'!$B$2:$B$36,"=random_02",'Daily evaluations'!$C$2:$C$36,"=d20261125"),"")</f>
      </c>
      <c r="AX123" s="12">
        <f>IF((0=1),SUMIFS('Daily evaluations'!$H$2:$H$36,'Daily evaluations'!$B$2:$B$36,"=random_02",'Daily evaluations'!$C$2:$C$36,"=d20261127"),"")</f>
      </c>
      <c r="AY123" s="12">
        <f>IF((0=1),SUMIFS('Daily evaluations'!$H$2:$H$36,'Daily evaluations'!$B$2:$B$36,"=random_02",'Daily evaluations'!$C$2:$C$36,"=d20261130"),"")</f>
      </c>
      <c r="AZ123" s="12">
        <f>IF((0=1),SUMIFS('Daily evaluations'!$H$2:$H$36,'Daily evaluations'!$B$2:$B$36,"=random_02",'Daily evaluations'!$C$2:$C$36,"=d20261201"),"")</f>
      </c>
      <c r="BA123" s="12">
        <f>IF((0=1),SUMIFS('Daily evaluations'!$H$2:$H$36,'Daily evaluations'!$B$2:$B$36,"=random_02",'Daily evaluations'!$C$2:$C$36,"=d20261202"),"")</f>
      </c>
      <c r="BB123" s="12">
        <f>IF((0=1),SUMIFS('Daily evaluations'!$H$2:$H$36,'Daily evaluations'!$B$2:$B$36,"=random_02",'Daily evaluations'!$C$2:$C$36,"=d20261203"),"")</f>
      </c>
      <c r="BC123" s="12">
        <f>IF((0=1),SUMIFS('Daily evaluations'!$H$2:$H$36,'Daily evaluations'!$B$2:$B$36,"=random_02",'Daily evaluations'!$C$2:$C$36,"=d20261204"),"")</f>
      </c>
      <c r="BD123" s="12">
        <f>IF((0=1),SUMIFS('Daily evaluations'!$H$2:$H$36,'Daily evaluations'!$B$2:$B$36,"=random_02",'Daily evaluations'!$C$2:$C$36,"=d20261207"),"")</f>
      </c>
      <c r="BE123" s="12">
        <f>IF((0=1),SUMIFS('Daily evaluations'!$H$2:$H$36,'Daily evaluations'!$B$2:$B$36,"=random_02",'Daily evaluations'!$C$2:$C$36,"=d20261208"),"")</f>
      </c>
      <c r="BF123" s="12">
        <f>IF((0=1),SUMIFS('Daily evaluations'!$H$2:$H$36,'Daily evaluations'!$B$2:$B$36,"=random_02",'Daily evaluations'!$C$2:$C$36,"=d20261209"),"")</f>
      </c>
      <c r="BG123" s="12">
        <f>IF((0=1),SUMIFS('Daily evaluations'!$H$2:$H$36,'Daily evaluations'!$B$2:$B$36,"=random_02",'Daily evaluations'!$C$2:$C$36,"=d20261210"),"")</f>
      </c>
      <c r="BH123" s="12">
        <f>IF((0=1),SUMIFS('Daily evaluations'!$H$2:$H$36,'Daily evaluations'!$B$2:$B$36,"=random_02",'Daily evaluations'!$C$2:$C$36,"=d20261211"),"")</f>
      </c>
      <c r="BI123" s="12">
        <f>IF((0=1),SUMIFS('Daily evaluations'!$H$2:$H$36,'Daily evaluations'!$B$2:$B$36,"=random_02",'Daily evaluations'!$C$2:$C$36,"=d20261214"),"")</f>
      </c>
      <c r="BJ123" s="12">
        <f>IF((0=1),SUMIFS('Daily evaluations'!$H$2:$H$36,'Daily evaluations'!$B$2:$B$36,"=random_02",'Daily evaluations'!$C$2:$C$36,"=d20261215"),"")</f>
      </c>
      <c r="BK123" s="12">
        <f>IF((0=1),SUMIFS('Daily evaluations'!$H$2:$H$36,'Daily evaluations'!$B$2:$B$36,"=random_02",'Daily evaluations'!$C$2:$C$36,"=d20261216"),"")</f>
      </c>
      <c r="BL123" s="12">
        <f>IF((0=1),SUMIFS('Daily evaluations'!$H$2:$H$36,'Daily evaluations'!$B$2:$B$36,"=random_02",'Daily evaluations'!$C$2:$C$36,"=d20261217"),"")</f>
      </c>
      <c r="BM123" s="12">
        <f>IF((0=1),SUMIFS('Daily evaluations'!$H$2:$H$36,'Daily evaluations'!$B$2:$B$36,"=random_02",'Daily evaluations'!$C$2:$C$36,"=d20261218"),"")</f>
      </c>
      <c r="BN123" s="12">
        <f>IF((0=1),SUMIFS('Daily evaluations'!$H$2:$H$36,'Daily evaluations'!$B$2:$B$36,"=random_02",'Daily evaluations'!$C$2:$C$36,"=d20261221"),"")</f>
      </c>
      <c r="BO123" s="12">
        <f>IF((0=1),SUMIFS('Daily evaluations'!$H$2:$H$36,'Daily evaluations'!$B$2:$B$36,"=random_02",'Daily evaluations'!$C$2:$C$36,"=d20261222"),"")</f>
      </c>
      <c r="BP123" s="12">
        <f>IF((0=1),SUMIFS('Daily evaluations'!$H$2:$H$36,'Daily evaluations'!$B$2:$B$36,"=random_02",'Daily evaluations'!$C$2:$C$36,"=d20261223"),"")</f>
      </c>
      <c r="BQ123" s="12">
        <f>IF((0=1),SUMIFS('Daily evaluations'!$H$2:$H$36,'Daily evaluations'!$B$2:$B$36,"=random_02",'Daily evaluations'!$C$2:$C$36,"=d20261224"),"")</f>
      </c>
      <c r="BR123" s="12">
        <f>IF((0=1),SUMIFS('Daily evaluations'!$H$2:$H$36,'Daily evaluations'!$B$2:$B$36,"=random_02",'Daily evaluations'!$C$2:$C$36,"=d20261228"),"")</f>
      </c>
      <c r="BS123" s="12">
        <f>IF((0=1),SUMIFS('Daily evaluations'!$H$2:$H$36,'Daily evaluations'!$B$2:$B$36,"=random_02",'Daily evaluations'!$C$2:$C$36,"=d20261229"),"")</f>
      </c>
      <c r="BT123" s="12">
        <f>IF((0=1),SUMIFS('Daily evaluations'!$H$2:$H$36,'Daily evaluations'!$B$2:$B$36,"=random_02",'Daily evaluations'!$C$2:$C$36,"=d20261230"),"")</f>
      </c>
      <c r="BU123" s="12">
        <f>IF((0=1),SUMIFS('Daily evaluations'!$H$2:$H$36,'Daily evaluations'!$B$2:$B$36,"=random_02",'Daily evaluations'!$C$2:$C$36,"=d20261231"),"")</f>
      </c>
      <c r="BV123" s="12">
        <f>IF((0=1),SUMIFS('Daily evaluations'!$H$2:$H$36,'Daily evaluations'!$B$2:$B$36,"=random_02",'Daily evaluations'!$C$2:$C$36,"=d20270104"),"")</f>
      </c>
      <c r="BW123" s="12">
        <f>IF((0=1),SUMIFS('Daily evaluations'!$H$2:$H$36,'Daily evaluations'!$B$2:$B$36,"=random_02",'Daily evaluations'!$C$2:$C$36,"=d20270105"),"")</f>
      </c>
      <c r="BX123" s="12">
        <f>IF((0=1),SUMIFS('Daily evaluations'!$H$2:$H$36,'Daily evaluations'!$B$2:$B$36,"=random_02",'Daily evaluations'!$C$2:$C$36,"=d20270106"),"")</f>
      </c>
      <c r="BY123" s="12">
        <f>IF((0=1),SUMIFS('Daily evaluations'!$H$2:$H$36,'Daily evaluations'!$B$2:$B$36,"=random_02",'Daily evaluations'!$C$2:$C$36,"=d20270107"),"")</f>
      </c>
      <c r="BZ123" s="12">
        <f>IF((0=1),SUMIFS('Daily evaluations'!$H$2:$H$36,'Daily evaluations'!$B$2:$B$36,"=random_02",'Daily evaluations'!$C$2:$C$36,"=d20270108"),"")</f>
      </c>
      <c r="CA123" s="12">
        <f>IF((0=1),SUMIFS('Daily evaluations'!$H$2:$H$36,'Daily evaluations'!$B$2:$B$36,"=random_02",'Daily evaluations'!$C$2:$C$36,"=d20270111"),"")</f>
      </c>
      <c r="CB123" s="12">
        <f>IF((0=1),SUMIFS('Daily evaluations'!$H$2:$H$36,'Daily evaluations'!$B$2:$B$36,"=random_02",'Daily evaluations'!$C$2:$C$36,"=d20270112"),"")</f>
      </c>
      <c r="CC123" s="12">
        <f>IF((0=1),SUMIFS('Daily evaluations'!$H$2:$H$36,'Daily evaluations'!$B$2:$B$36,"=random_02",'Daily evaluations'!$C$2:$C$36,"=d20270113"),"")</f>
      </c>
      <c r="CD123" s="12">
        <f>IF((0=1),SUMIFS('Daily evaluations'!$H$2:$H$36,'Daily evaluations'!$B$2:$B$36,"=random_02",'Daily evaluations'!$C$2:$C$36,"=d20270114"),"")</f>
      </c>
      <c r="CE123" s="12">
        <f>IF((0=1),SUMIFS('Daily evaluations'!$H$2:$H$36,'Daily evaluations'!$B$2:$B$36,"=random_02",'Daily evaluations'!$C$2:$C$36,"=d20270115"),"")</f>
      </c>
      <c r="CF123" s="12">
        <f>IF((0=1),SUMIFS('Daily evaluations'!$H$2:$H$36,'Daily evaluations'!$B$2:$B$36,"=random_02",'Daily evaluations'!$C$2:$C$36,"=d20270119"),"")</f>
      </c>
      <c r="CG123" s="12">
        <f>IF((0=1),SUMIFS('Daily evaluations'!$H$2:$H$36,'Daily evaluations'!$B$2:$B$36,"=random_02",'Daily evaluations'!$C$2:$C$36,"=d20270120"),"")</f>
      </c>
      <c r="CH123" s="12">
        <f>IF((0=1),SUMIFS('Daily evaluations'!$H$2:$H$36,'Daily evaluations'!$B$2:$B$36,"=random_02",'Daily evaluations'!$C$2:$C$36,"=d20270121"),"")</f>
      </c>
      <c r="CI123" s="12">
        <f>IF((0=1),SUMIFS('Daily evaluations'!$H$2:$H$36,'Daily evaluations'!$B$2:$B$36,"=random_02",'Daily evaluations'!$C$2:$C$36,"=d20270122"),"")</f>
      </c>
      <c r="CJ123" s="12">
        <f>IF((0=1),SUMIFS('Daily evaluations'!$H$2:$H$36,'Daily evaluations'!$B$2:$B$36,"=random_02",'Daily evaluations'!$C$2:$C$36,"=d20270125"),"")</f>
      </c>
      <c r="CK123" s="12">
        <f>IF((0=1),SUMIFS('Daily evaluations'!$H$2:$H$36,'Daily evaluations'!$B$2:$B$36,"=random_02",'Daily evaluations'!$C$2:$C$36,"=d20270126"),"")</f>
      </c>
      <c r="CL123" s="12">
        <f>IF((0=1),SUMIFS('Daily evaluations'!$H$2:$H$36,'Daily evaluations'!$B$2:$B$36,"=random_02",'Daily evaluations'!$C$2:$C$36,"=d20270127"),"")</f>
      </c>
      <c r="CM123" s="12">
        <f>IF((0=1),SUMIFS('Daily evaluations'!$H$2:$H$36,'Daily evaluations'!$B$2:$B$36,"=random_02",'Daily evaluations'!$C$2:$C$36,"=d20270128"),"")</f>
      </c>
      <c r="CN123" s="12">
        <f>IF((0=1),SUMIFS('Daily evaluations'!$H$2:$H$36,'Daily evaluations'!$B$2:$B$36,"=random_02",'Daily evaluations'!$C$2:$C$36,"=d20270129"),"")</f>
      </c>
      <c r="CO123" s="12">
        <f>IF((0=1),SUMIFS('Daily evaluations'!$H$2:$H$36,'Daily evaluations'!$B$2:$B$36,"=random_02",'Daily evaluations'!$C$2:$C$36,"=d20270201"),"")</f>
      </c>
      <c r="CP123" s="12">
        <f>IF((0=1),SUMIFS('Daily evaluations'!$H$2:$H$36,'Daily evaluations'!$B$2:$B$36,"=random_02",'Daily evaluations'!$C$2:$C$36,"=d20270202"),"")</f>
      </c>
      <c r="CQ123" s="12">
        <f>IF((0=1),SUMIFS('Daily evaluations'!$H$2:$H$36,'Daily evaluations'!$B$2:$B$36,"=random_02",'Daily evaluations'!$C$2:$C$36,"=d20270203"),"")</f>
      </c>
      <c r="CR123" s="12">
        <f>IF((0=1),SUMIFS('Daily evaluations'!$H$2:$H$36,'Daily evaluations'!$B$2:$B$36,"=random_02",'Daily evaluations'!$C$2:$C$36,"=d20270204"),"")</f>
      </c>
      <c r="CS123" s="12">
        <f>IF((0=1),SUMIFS('Daily evaluations'!$H$2:$H$36,'Daily evaluations'!$B$2:$B$36,"=random_02",'Daily evaluations'!$C$2:$C$36,"=d20270205"),"")</f>
      </c>
      <c r="CT123" s="12">
        <f>IF((0=1),SUMIFS('Daily evaluations'!$H$2:$H$36,'Daily evaluations'!$B$2:$B$36,"=random_02",'Daily evaluations'!$C$2:$C$36,"=d20270208"),"")</f>
      </c>
      <c r="CU123" s="12">
        <f>IF((0=1),SUMIFS('Daily evaluations'!$H$2:$H$36,'Daily evaluations'!$B$2:$B$36,"=random_02",'Daily evaluations'!$C$2:$C$36,"=d20270209"),"")</f>
      </c>
      <c r="CV123" s="12">
        <f>IF((0=1),SUMIFS('Daily evaluations'!$H$2:$H$36,'Daily evaluations'!$B$2:$B$36,"=random_02",'Daily evaluations'!$C$2:$C$36,"=d20270210"),"")</f>
      </c>
      <c r="CW123" s="12">
        <f>IF((0=1),SUMIFS('Daily evaluations'!$H$2:$H$36,'Daily evaluations'!$B$2:$B$36,"=random_02",'Daily evaluations'!$C$2:$C$36,"=d20270211"),"")</f>
      </c>
      <c r="CX123" s="12">
        <f>IF((0=1),SUMIFS('Daily evaluations'!$H$2:$H$36,'Daily evaluations'!$B$2:$B$36,"=random_02",'Daily evaluations'!$C$2:$C$36,"=d20270212"),"")</f>
      </c>
    </row>
    <row r="124">
      <c r="A124" s="0" t="inlineStr">
        <is>
          <t xml:space="preserve">Hit rate vs universe median</t>
        </is>
      </c>
      <c r="B124" s="0" t="inlineStr">
        <is>
          <t xml:space="preserve">Random 3</t>
        </is>
      </c>
      <c r="C124" s="12">
        <f>IF((1=1),SUMIFS('Daily evaluations'!$H$2:$H$36,'Daily evaluations'!$B$2:$B$36,"=random_03",'Daily evaluations'!$C$2:$C$36,"=d20260922"),"")</f>
        <v>0.55</v>
      </c>
      <c r="D124" s="12">
        <f>IF((0=1),SUMIFS('Daily evaluations'!$H$2:$H$36,'Daily evaluations'!$B$2:$B$36,"=random_03",'Daily evaluations'!$C$2:$C$36,"=d20260923"),"")</f>
      </c>
      <c r="E124" s="12">
        <f>IF((0=1),SUMIFS('Daily evaluations'!$H$2:$H$36,'Daily evaluations'!$B$2:$B$36,"=random_03",'Daily evaluations'!$C$2:$C$36,"=d20260924"),"")</f>
      </c>
      <c r="F124" s="12">
        <f>IF((0=1),SUMIFS('Daily evaluations'!$H$2:$H$36,'Daily evaluations'!$B$2:$B$36,"=random_03",'Daily evaluations'!$C$2:$C$36,"=d20260925"),"")</f>
      </c>
      <c r="G124" s="12">
        <f>IF((0=1),SUMIFS('Daily evaluations'!$H$2:$H$36,'Daily evaluations'!$B$2:$B$36,"=random_03",'Daily evaluations'!$C$2:$C$36,"=d20260928"),"")</f>
      </c>
      <c r="H124" s="12">
        <f>IF((0=1),SUMIFS('Daily evaluations'!$H$2:$H$36,'Daily evaluations'!$B$2:$B$36,"=random_03",'Daily evaluations'!$C$2:$C$36,"=d20260929"),"")</f>
      </c>
      <c r="I124" s="12">
        <f>IF((0=1),SUMIFS('Daily evaluations'!$H$2:$H$36,'Daily evaluations'!$B$2:$B$36,"=random_03",'Daily evaluations'!$C$2:$C$36,"=d20260930"),"")</f>
      </c>
      <c r="J124" s="12">
        <f>IF((0=1),SUMIFS('Daily evaluations'!$H$2:$H$36,'Daily evaluations'!$B$2:$B$36,"=random_03",'Daily evaluations'!$C$2:$C$36,"=d20261001"),"")</f>
      </c>
      <c r="K124" s="12">
        <f>IF((0=1),SUMIFS('Daily evaluations'!$H$2:$H$36,'Daily evaluations'!$B$2:$B$36,"=random_03",'Daily evaluations'!$C$2:$C$36,"=d20261002"),"")</f>
      </c>
      <c r="L124" s="12">
        <f>IF((0=1),SUMIFS('Daily evaluations'!$H$2:$H$36,'Daily evaluations'!$B$2:$B$36,"=random_03",'Daily evaluations'!$C$2:$C$36,"=d20261005"),"")</f>
      </c>
      <c r="M124" s="12">
        <f>IF((0=1),SUMIFS('Daily evaluations'!$H$2:$H$36,'Daily evaluations'!$B$2:$B$36,"=random_03",'Daily evaluations'!$C$2:$C$36,"=d20261006"),"")</f>
      </c>
      <c r="N124" s="12">
        <f>IF((0=1),SUMIFS('Daily evaluations'!$H$2:$H$36,'Daily evaluations'!$B$2:$B$36,"=random_03",'Daily evaluations'!$C$2:$C$36,"=d20261007"),"")</f>
      </c>
      <c r="O124" s="12">
        <f>IF((0=1),SUMIFS('Daily evaluations'!$H$2:$H$36,'Daily evaluations'!$B$2:$B$36,"=random_03",'Daily evaluations'!$C$2:$C$36,"=d20261008"),"")</f>
      </c>
      <c r="P124" s="12">
        <f>IF((0=1),SUMIFS('Daily evaluations'!$H$2:$H$36,'Daily evaluations'!$B$2:$B$36,"=random_03",'Daily evaluations'!$C$2:$C$36,"=d20261009"),"")</f>
      </c>
      <c r="Q124" s="12">
        <f>IF((0=1),SUMIFS('Daily evaluations'!$H$2:$H$36,'Daily evaluations'!$B$2:$B$36,"=random_03",'Daily evaluations'!$C$2:$C$36,"=d20261012"),"")</f>
      </c>
      <c r="R124" s="12">
        <f>IF((0=1),SUMIFS('Daily evaluations'!$H$2:$H$36,'Daily evaluations'!$B$2:$B$36,"=random_03",'Daily evaluations'!$C$2:$C$36,"=d20261013"),"")</f>
      </c>
      <c r="S124" s="12">
        <f>IF((0=1),SUMIFS('Daily evaluations'!$H$2:$H$36,'Daily evaluations'!$B$2:$B$36,"=random_03",'Daily evaluations'!$C$2:$C$36,"=d20261014"),"")</f>
      </c>
      <c r="T124" s="12">
        <f>IF((0=1),SUMIFS('Daily evaluations'!$H$2:$H$36,'Daily evaluations'!$B$2:$B$36,"=random_03",'Daily evaluations'!$C$2:$C$36,"=d20261015"),"")</f>
      </c>
      <c r="U124" s="12">
        <f>IF((0=1),SUMIFS('Daily evaluations'!$H$2:$H$36,'Daily evaluations'!$B$2:$B$36,"=random_03",'Daily evaluations'!$C$2:$C$36,"=d20261016"),"")</f>
      </c>
      <c r="V124" s="12">
        <f>IF((0=1),SUMIFS('Daily evaluations'!$H$2:$H$36,'Daily evaluations'!$B$2:$B$36,"=random_03",'Daily evaluations'!$C$2:$C$36,"=d20261019"),"")</f>
      </c>
      <c r="W124" s="12">
        <f>IF((0=1),SUMIFS('Daily evaluations'!$H$2:$H$36,'Daily evaluations'!$B$2:$B$36,"=random_03",'Daily evaluations'!$C$2:$C$36,"=d20261020"),"")</f>
      </c>
      <c r="X124" s="12">
        <f>IF((0=1),SUMIFS('Daily evaluations'!$H$2:$H$36,'Daily evaluations'!$B$2:$B$36,"=random_03",'Daily evaluations'!$C$2:$C$36,"=d20261021"),"")</f>
      </c>
      <c r="Y124" s="12">
        <f>IF((0=1),SUMIFS('Daily evaluations'!$H$2:$H$36,'Daily evaluations'!$B$2:$B$36,"=random_03",'Daily evaluations'!$C$2:$C$36,"=d20261022"),"")</f>
      </c>
      <c r="Z124" s="12">
        <f>IF((0=1),SUMIFS('Daily evaluations'!$H$2:$H$36,'Daily evaluations'!$B$2:$B$36,"=random_03",'Daily evaluations'!$C$2:$C$36,"=d20261023"),"")</f>
      </c>
      <c r="AA124" s="12">
        <f>IF((0=1),SUMIFS('Daily evaluations'!$H$2:$H$36,'Daily evaluations'!$B$2:$B$36,"=random_03",'Daily evaluations'!$C$2:$C$36,"=d20261026"),"")</f>
      </c>
      <c r="AB124" s="12">
        <f>IF((0=1),SUMIFS('Daily evaluations'!$H$2:$H$36,'Daily evaluations'!$B$2:$B$36,"=random_03",'Daily evaluations'!$C$2:$C$36,"=d20261027"),"")</f>
      </c>
      <c r="AC124" s="12">
        <f>IF((0=1),SUMIFS('Daily evaluations'!$H$2:$H$36,'Daily evaluations'!$B$2:$B$36,"=random_03",'Daily evaluations'!$C$2:$C$36,"=d20261028"),"")</f>
      </c>
      <c r="AD124" s="12">
        <f>IF((0=1),SUMIFS('Daily evaluations'!$H$2:$H$36,'Daily evaluations'!$B$2:$B$36,"=random_03",'Daily evaluations'!$C$2:$C$36,"=d20261029"),"")</f>
      </c>
      <c r="AE124" s="12">
        <f>IF((0=1),SUMIFS('Daily evaluations'!$H$2:$H$36,'Daily evaluations'!$B$2:$B$36,"=random_03",'Daily evaluations'!$C$2:$C$36,"=d20261030"),"")</f>
      </c>
      <c r="AF124" s="12">
        <f>IF((0=1),SUMIFS('Daily evaluations'!$H$2:$H$36,'Daily evaluations'!$B$2:$B$36,"=random_03",'Daily evaluations'!$C$2:$C$36,"=d20261102"),"")</f>
      </c>
      <c r="AG124" s="12">
        <f>IF((0=1),SUMIFS('Daily evaluations'!$H$2:$H$36,'Daily evaluations'!$B$2:$B$36,"=random_03",'Daily evaluations'!$C$2:$C$36,"=d20261103"),"")</f>
      </c>
      <c r="AH124" s="12">
        <f>IF((0=1),SUMIFS('Daily evaluations'!$H$2:$H$36,'Daily evaluations'!$B$2:$B$36,"=random_03",'Daily evaluations'!$C$2:$C$36,"=d20261104"),"")</f>
      </c>
      <c r="AI124" s="12">
        <f>IF((0=1),SUMIFS('Daily evaluations'!$H$2:$H$36,'Daily evaluations'!$B$2:$B$36,"=random_03",'Daily evaluations'!$C$2:$C$36,"=d20261105"),"")</f>
      </c>
      <c r="AJ124" s="12">
        <f>IF((0=1),SUMIFS('Daily evaluations'!$H$2:$H$36,'Daily evaluations'!$B$2:$B$36,"=random_03",'Daily evaluations'!$C$2:$C$36,"=d20261106"),"")</f>
      </c>
      <c r="AK124" s="12">
        <f>IF((0=1),SUMIFS('Daily evaluations'!$H$2:$H$36,'Daily evaluations'!$B$2:$B$36,"=random_03",'Daily evaluations'!$C$2:$C$36,"=d20261109"),"")</f>
      </c>
      <c r="AL124" s="12">
        <f>IF((0=1),SUMIFS('Daily evaluations'!$H$2:$H$36,'Daily evaluations'!$B$2:$B$36,"=random_03",'Daily evaluations'!$C$2:$C$36,"=d20261110"),"")</f>
      </c>
      <c r="AM124" s="12">
        <f>IF((0=1),SUMIFS('Daily evaluations'!$H$2:$H$36,'Daily evaluations'!$B$2:$B$36,"=random_03",'Daily evaluations'!$C$2:$C$36,"=d20261111"),"")</f>
      </c>
      <c r="AN124" s="12">
        <f>IF((0=1),SUMIFS('Daily evaluations'!$H$2:$H$36,'Daily evaluations'!$B$2:$B$36,"=random_03",'Daily evaluations'!$C$2:$C$36,"=d20261112"),"")</f>
      </c>
      <c r="AO124" s="12">
        <f>IF((0=1),SUMIFS('Daily evaluations'!$H$2:$H$36,'Daily evaluations'!$B$2:$B$36,"=random_03",'Daily evaluations'!$C$2:$C$36,"=d20261113"),"")</f>
      </c>
      <c r="AP124" s="12">
        <f>IF((0=1),SUMIFS('Daily evaluations'!$H$2:$H$36,'Daily evaluations'!$B$2:$B$36,"=random_03",'Daily evaluations'!$C$2:$C$36,"=d20261116"),"")</f>
      </c>
      <c r="AQ124" s="12">
        <f>IF((0=1),SUMIFS('Daily evaluations'!$H$2:$H$36,'Daily evaluations'!$B$2:$B$36,"=random_03",'Daily evaluations'!$C$2:$C$36,"=d20261117"),"")</f>
      </c>
      <c r="AR124" s="12">
        <f>IF((0=1),SUMIFS('Daily evaluations'!$H$2:$H$36,'Daily evaluations'!$B$2:$B$36,"=random_03",'Daily evaluations'!$C$2:$C$36,"=d20261118"),"")</f>
      </c>
      <c r="AS124" s="12">
        <f>IF((0=1),SUMIFS('Daily evaluations'!$H$2:$H$36,'Daily evaluations'!$B$2:$B$36,"=random_03",'Daily evaluations'!$C$2:$C$36,"=d20261119"),"")</f>
      </c>
      <c r="AT124" s="12">
        <f>IF((0=1),SUMIFS('Daily evaluations'!$H$2:$H$36,'Daily evaluations'!$B$2:$B$36,"=random_03",'Daily evaluations'!$C$2:$C$36,"=d20261120"),"")</f>
      </c>
      <c r="AU124" s="12">
        <f>IF((0=1),SUMIFS('Daily evaluations'!$H$2:$H$36,'Daily evaluations'!$B$2:$B$36,"=random_03",'Daily evaluations'!$C$2:$C$36,"=d20261123"),"")</f>
      </c>
      <c r="AV124" s="12">
        <f>IF((0=1),SUMIFS('Daily evaluations'!$H$2:$H$36,'Daily evaluations'!$B$2:$B$36,"=random_03",'Daily evaluations'!$C$2:$C$36,"=d20261124"),"")</f>
      </c>
      <c r="AW124" s="12">
        <f>IF((0=1),SUMIFS('Daily evaluations'!$H$2:$H$36,'Daily evaluations'!$B$2:$B$36,"=random_03",'Daily evaluations'!$C$2:$C$36,"=d20261125"),"")</f>
      </c>
      <c r="AX124" s="12">
        <f>IF((0=1),SUMIFS('Daily evaluations'!$H$2:$H$36,'Daily evaluations'!$B$2:$B$36,"=random_03",'Daily evaluations'!$C$2:$C$36,"=d20261127"),"")</f>
      </c>
      <c r="AY124" s="12">
        <f>IF((0=1),SUMIFS('Daily evaluations'!$H$2:$H$36,'Daily evaluations'!$B$2:$B$36,"=random_03",'Daily evaluations'!$C$2:$C$36,"=d20261130"),"")</f>
      </c>
      <c r="AZ124" s="12">
        <f>IF((0=1),SUMIFS('Daily evaluations'!$H$2:$H$36,'Daily evaluations'!$B$2:$B$36,"=random_03",'Daily evaluations'!$C$2:$C$36,"=d20261201"),"")</f>
      </c>
      <c r="BA124" s="12">
        <f>IF((0=1),SUMIFS('Daily evaluations'!$H$2:$H$36,'Daily evaluations'!$B$2:$B$36,"=random_03",'Daily evaluations'!$C$2:$C$36,"=d20261202"),"")</f>
      </c>
      <c r="BB124" s="12">
        <f>IF((0=1),SUMIFS('Daily evaluations'!$H$2:$H$36,'Daily evaluations'!$B$2:$B$36,"=random_03",'Daily evaluations'!$C$2:$C$36,"=d20261203"),"")</f>
      </c>
      <c r="BC124" s="12">
        <f>IF((0=1),SUMIFS('Daily evaluations'!$H$2:$H$36,'Daily evaluations'!$B$2:$B$36,"=random_03",'Daily evaluations'!$C$2:$C$36,"=d20261204"),"")</f>
      </c>
      <c r="BD124" s="12">
        <f>IF((0=1),SUMIFS('Daily evaluations'!$H$2:$H$36,'Daily evaluations'!$B$2:$B$36,"=random_03",'Daily evaluations'!$C$2:$C$36,"=d20261207"),"")</f>
      </c>
      <c r="BE124" s="12">
        <f>IF((0=1),SUMIFS('Daily evaluations'!$H$2:$H$36,'Daily evaluations'!$B$2:$B$36,"=random_03",'Daily evaluations'!$C$2:$C$36,"=d20261208"),"")</f>
      </c>
      <c r="BF124" s="12">
        <f>IF((0=1),SUMIFS('Daily evaluations'!$H$2:$H$36,'Daily evaluations'!$B$2:$B$36,"=random_03",'Daily evaluations'!$C$2:$C$36,"=d20261209"),"")</f>
      </c>
      <c r="BG124" s="12">
        <f>IF((0=1),SUMIFS('Daily evaluations'!$H$2:$H$36,'Daily evaluations'!$B$2:$B$36,"=random_03",'Daily evaluations'!$C$2:$C$36,"=d20261210"),"")</f>
      </c>
      <c r="BH124" s="12">
        <f>IF((0=1),SUMIFS('Daily evaluations'!$H$2:$H$36,'Daily evaluations'!$B$2:$B$36,"=random_03",'Daily evaluations'!$C$2:$C$36,"=d20261211"),"")</f>
      </c>
      <c r="BI124" s="12">
        <f>IF((0=1),SUMIFS('Daily evaluations'!$H$2:$H$36,'Daily evaluations'!$B$2:$B$36,"=random_03",'Daily evaluations'!$C$2:$C$36,"=d20261214"),"")</f>
      </c>
      <c r="BJ124" s="12">
        <f>IF((0=1),SUMIFS('Daily evaluations'!$H$2:$H$36,'Daily evaluations'!$B$2:$B$36,"=random_03",'Daily evaluations'!$C$2:$C$36,"=d20261215"),"")</f>
      </c>
      <c r="BK124" s="12">
        <f>IF((0=1),SUMIFS('Daily evaluations'!$H$2:$H$36,'Daily evaluations'!$B$2:$B$36,"=random_03",'Daily evaluations'!$C$2:$C$36,"=d20261216"),"")</f>
      </c>
      <c r="BL124" s="12">
        <f>IF((0=1),SUMIFS('Daily evaluations'!$H$2:$H$36,'Daily evaluations'!$B$2:$B$36,"=random_03",'Daily evaluations'!$C$2:$C$36,"=d20261217"),"")</f>
      </c>
      <c r="BM124" s="12">
        <f>IF((0=1),SUMIFS('Daily evaluations'!$H$2:$H$36,'Daily evaluations'!$B$2:$B$36,"=random_03",'Daily evaluations'!$C$2:$C$36,"=d20261218"),"")</f>
      </c>
      <c r="BN124" s="12">
        <f>IF((0=1),SUMIFS('Daily evaluations'!$H$2:$H$36,'Daily evaluations'!$B$2:$B$36,"=random_03",'Daily evaluations'!$C$2:$C$36,"=d20261221"),"")</f>
      </c>
      <c r="BO124" s="12">
        <f>IF((0=1),SUMIFS('Daily evaluations'!$H$2:$H$36,'Daily evaluations'!$B$2:$B$36,"=random_03",'Daily evaluations'!$C$2:$C$36,"=d20261222"),"")</f>
      </c>
      <c r="BP124" s="12">
        <f>IF((0=1),SUMIFS('Daily evaluations'!$H$2:$H$36,'Daily evaluations'!$B$2:$B$36,"=random_03",'Daily evaluations'!$C$2:$C$36,"=d20261223"),"")</f>
      </c>
      <c r="BQ124" s="12">
        <f>IF((0=1),SUMIFS('Daily evaluations'!$H$2:$H$36,'Daily evaluations'!$B$2:$B$36,"=random_03",'Daily evaluations'!$C$2:$C$36,"=d20261224"),"")</f>
      </c>
      <c r="BR124" s="12">
        <f>IF((0=1),SUMIFS('Daily evaluations'!$H$2:$H$36,'Daily evaluations'!$B$2:$B$36,"=random_03",'Daily evaluations'!$C$2:$C$36,"=d20261228"),"")</f>
      </c>
      <c r="BS124" s="12">
        <f>IF((0=1),SUMIFS('Daily evaluations'!$H$2:$H$36,'Daily evaluations'!$B$2:$B$36,"=random_03",'Daily evaluations'!$C$2:$C$36,"=d20261229"),"")</f>
      </c>
      <c r="BT124" s="12">
        <f>IF((0=1),SUMIFS('Daily evaluations'!$H$2:$H$36,'Daily evaluations'!$B$2:$B$36,"=random_03",'Daily evaluations'!$C$2:$C$36,"=d20261230"),"")</f>
      </c>
      <c r="BU124" s="12">
        <f>IF((0=1),SUMIFS('Daily evaluations'!$H$2:$H$36,'Daily evaluations'!$B$2:$B$36,"=random_03",'Daily evaluations'!$C$2:$C$36,"=d20261231"),"")</f>
      </c>
      <c r="BV124" s="12">
        <f>IF((0=1),SUMIFS('Daily evaluations'!$H$2:$H$36,'Daily evaluations'!$B$2:$B$36,"=random_03",'Daily evaluations'!$C$2:$C$36,"=d20270104"),"")</f>
      </c>
      <c r="BW124" s="12">
        <f>IF((0=1),SUMIFS('Daily evaluations'!$H$2:$H$36,'Daily evaluations'!$B$2:$B$36,"=random_03",'Daily evaluations'!$C$2:$C$36,"=d20270105"),"")</f>
      </c>
      <c r="BX124" s="12">
        <f>IF((0=1),SUMIFS('Daily evaluations'!$H$2:$H$36,'Daily evaluations'!$B$2:$B$36,"=random_03",'Daily evaluations'!$C$2:$C$36,"=d20270106"),"")</f>
      </c>
      <c r="BY124" s="12">
        <f>IF((0=1),SUMIFS('Daily evaluations'!$H$2:$H$36,'Daily evaluations'!$B$2:$B$36,"=random_03",'Daily evaluations'!$C$2:$C$36,"=d20270107"),"")</f>
      </c>
      <c r="BZ124" s="12">
        <f>IF((0=1),SUMIFS('Daily evaluations'!$H$2:$H$36,'Daily evaluations'!$B$2:$B$36,"=random_03",'Daily evaluations'!$C$2:$C$36,"=d20270108"),"")</f>
      </c>
      <c r="CA124" s="12">
        <f>IF((0=1),SUMIFS('Daily evaluations'!$H$2:$H$36,'Daily evaluations'!$B$2:$B$36,"=random_03",'Daily evaluations'!$C$2:$C$36,"=d20270111"),"")</f>
      </c>
      <c r="CB124" s="12">
        <f>IF((0=1),SUMIFS('Daily evaluations'!$H$2:$H$36,'Daily evaluations'!$B$2:$B$36,"=random_03",'Daily evaluations'!$C$2:$C$36,"=d20270112"),"")</f>
      </c>
      <c r="CC124" s="12">
        <f>IF((0=1),SUMIFS('Daily evaluations'!$H$2:$H$36,'Daily evaluations'!$B$2:$B$36,"=random_03",'Daily evaluations'!$C$2:$C$36,"=d20270113"),"")</f>
      </c>
      <c r="CD124" s="12">
        <f>IF((0=1),SUMIFS('Daily evaluations'!$H$2:$H$36,'Daily evaluations'!$B$2:$B$36,"=random_03",'Daily evaluations'!$C$2:$C$36,"=d20270114"),"")</f>
      </c>
      <c r="CE124" s="12">
        <f>IF((0=1),SUMIFS('Daily evaluations'!$H$2:$H$36,'Daily evaluations'!$B$2:$B$36,"=random_03",'Daily evaluations'!$C$2:$C$36,"=d20270115"),"")</f>
      </c>
      <c r="CF124" s="12">
        <f>IF((0=1),SUMIFS('Daily evaluations'!$H$2:$H$36,'Daily evaluations'!$B$2:$B$36,"=random_03",'Daily evaluations'!$C$2:$C$36,"=d20270119"),"")</f>
      </c>
      <c r="CG124" s="12">
        <f>IF((0=1),SUMIFS('Daily evaluations'!$H$2:$H$36,'Daily evaluations'!$B$2:$B$36,"=random_03",'Daily evaluations'!$C$2:$C$36,"=d20270120"),"")</f>
      </c>
      <c r="CH124" s="12">
        <f>IF((0=1),SUMIFS('Daily evaluations'!$H$2:$H$36,'Daily evaluations'!$B$2:$B$36,"=random_03",'Daily evaluations'!$C$2:$C$36,"=d20270121"),"")</f>
      </c>
      <c r="CI124" s="12">
        <f>IF((0=1),SUMIFS('Daily evaluations'!$H$2:$H$36,'Daily evaluations'!$B$2:$B$36,"=random_03",'Daily evaluations'!$C$2:$C$36,"=d20270122"),"")</f>
      </c>
      <c r="CJ124" s="12">
        <f>IF((0=1),SUMIFS('Daily evaluations'!$H$2:$H$36,'Daily evaluations'!$B$2:$B$36,"=random_03",'Daily evaluations'!$C$2:$C$36,"=d20270125"),"")</f>
      </c>
      <c r="CK124" s="12">
        <f>IF((0=1),SUMIFS('Daily evaluations'!$H$2:$H$36,'Daily evaluations'!$B$2:$B$36,"=random_03",'Daily evaluations'!$C$2:$C$36,"=d20270126"),"")</f>
      </c>
      <c r="CL124" s="12">
        <f>IF((0=1),SUMIFS('Daily evaluations'!$H$2:$H$36,'Daily evaluations'!$B$2:$B$36,"=random_03",'Daily evaluations'!$C$2:$C$36,"=d20270127"),"")</f>
      </c>
      <c r="CM124" s="12">
        <f>IF((0=1),SUMIFS('Daily evaluations'!$H$2:$H$36,'Daily evaluations'!$B$2:$B$36,"=random_03",'Daily evaluations'!$C$2:$C$36,"=d20270128"),"")</f>
      </c>
      <c r="CN124" s="12">
        <f>IF((0=1),SUMIFS('Daily evaluations'!$H$2:$H$36,'Daily evaluations'!$B$2:$B$36,"=random_03",'Daily evaluations'!$C$2:$C$36,"=d20270129"),"")</f>
      </c>
      <c r="CO124" s="12">
        <f>IF((0=1),SUMIFS('Daily evaluations'!$H$2:$H$36,'Daily evaluations'!$B$2:$B$36,"=random_03",'Daily evaluations'!$C$2:$C$36,"=d20270201"),"")</f>
      </c>
      <c r="CP124" s="12">
        <f>IF((0=1),SUMIFS('Daily evaluations'!$H$2:$H$36,'Daily evaluations'!$B$2:$B$36,"=random_03",'Daily evaluations'!$C$2:$C$36,"=d20270202"),"")</f>
      </c>
      <c r="CQ124" s="12">
        <f>IF((0=1),SUMIFS('Daily evaluations'!$H$2:$H$36,'Daily evaluations'!$B$2:$B$36,"=random_03",'Daily evaluations'!$C$2:$C$36,"=d20270203"),"")</f>
      </c>
      <c r="CR124" s="12">
        <f>IF((0=1),SUMIFS('Daily evaluations'!$H$2:$H$36,'Daily evaluations'!$B$2:$B$36,"=random_03",'Daily evaluations'!$C$2:$C$36,"=d20270204"),"")</f>
      </c>
      <c r="CS124" s="12">
        <f>IF((0=1),SUMIFS('Daily evaluations'!$H$2:$H$36,'Daily evaluations'!$B$2:$B$36,"=random_03",'Daily evaluations'!$C$2:$C$36,"=d20270205"),"")</f>
      </c>
      <c r="CT124" s="12">
        <f>IF((0=1),SUMIFS('Daily evaluations'!$H$2:$H$36,'Daily evaluations'!$B$2:$B$36,"=random_03",'Daily evaluations'!$C$2:$C$36,"=d20270208"),"")</f>
      </c>
      <c r="CU124" s="12">
        <f>IF((0=1),SUMIFS('Daily evaluations'!$H$2:$H$36,'Daily evaluations'!$B$2:$B$36,"=random_03",'Daily evaluations'!$C$2:$C$36,"=d20270209"),"")</f>
      </c>
      <c r="CV124" s="12">
        <f>IF((0=1),SUMIFS('Daily evaluations'!$H$2:$H$36,'Daily evaluations'!$B$2:$B$36,"=random_03",'Daily evaluations'!$C$2:$C$36,"=d20270210"),"")</f>
      </c>
      <c r="CW124" s="12">
        <f>IF((0=1),SUMIFS('Daily evaluations'!$H$2:$H$36,'Daily evaluations'!$B$2:$B$36,"=random_03",'Daily evaluations'!$C$2:$C$36,"=d20270211"),"")</f>
      </c>
      <c r="CX124" s="12">
        <f>IF((0=1),SUMIFS('Daily evaluations'!$H$2:$H$36,'Daily evaluations'!$B$2:$B$36,"=random_03",'Daily evaluations'!$C$2:$C$36,"=d20270212"),"")</f>
      </c>
    </row>
    <row r="125">
      <c r="A125" s="0" t="inlineStr">
        <is>
          <t xml:space="preserve">Hit rate vs universe median</t>
        </is>
      </c>
      <c r="B125" s="0" t="inlineStr">
        <is>
          <t xml:space="preserve">Random 4</t>
        </is>
      </c>
      <c r="C125" s="12">
        <f>IF((1=1),SUMIFS('Daily evaluations'!$H$2:$H$36,'Daily evaluations'!$B$2:$B$36,"=random_04",'Daily evaluations'!$C$2:$C$36,"=d20260922"),"")</f>
        <v>0.47</v>
      </c>
      <c r="D125" s="12">
        <f>IF((0=1),SUMIFS('Daily evaluations'!$H$2:$H$36,'Daily evaluations'!$B$2:$B$36,"=random_04",'Daily evaluations'!$C$2:$C$36,"=d20260923"),"")</f>
      </c>
      <c r="E125" s="12">
        <f>IF((0=1),SUMIFS('Daily evaluations'!$H$2:$H$36,'Daily evaluations'!$B$2:$B$36,"=random_04",'Daily evaluations'!$C$2:$C$36,"=d20260924"),"")</f>
      </c>
      <c r="F125" s="12">
        <f>IF((0=1),SUMIFS('Daily evaluations'!$H$2:$H$36,'Daily evaluations'!$B$2:$B$36,"=random_04",'Daily evaluations'!$C$2:$C$36,"=d20260925"),"")</f>
      </c>
      <c r="G125" s="12">
        <f>IF((0=1),SUMIFS('Daily evaluations'!$H$2:$H$36,'Daily evaluations'!$B$2:$B$36,"=random_04",'Daily evaluations'!$C$2:$C$36,"=d20260928"),"")</f>
      </c>
      <c r="H125" s="12">
        <f>IF((0=1),SUMIFS('Daily evaluations'!$H$2:$H$36,'Daily evaluations'!$B$2:$B$36,"=random_04",'Daily evaluations'!$C$2:$C$36,"=d20260929"),"")</f>
      </c>
      <c r="I125" s="12">
        <f>IF((0=1),SUMIFS('Daily evaluations'!$H$2:$H$36,'Daily evaluations'!$B$2:$B$36,"=random_04",'Daily evaluations'!$C$2:$C$36,"=d20260930"),"")</f>
      </c>
      <c r="J125" s="12">
        <f>IF((0=1),SUMIFS('Daily evaluations'!$H$2:$H$36,'Daily evaluations'!$B$2:$B$36,"=random_04",'Daily evaluations'!$C$2:$C$36,"=d20261001"),"")</f>
      </c>
      <c r="K125" s="12">
        <f>IF((0=1),SUMIFS('Daily evaluations'!$H$2:$H$36,'Daily evaluations'!$B$2:$B$36,"=random_04",'Daily evaluations'!$C$2:$C$36,"=d20261002"),"")</f>
      </c>
      <c r="L125" s="12">
        <f>IF((0=1),SUMIFS('Daily evaluations'!$H$2:$H$36,'Daily evaluations'!$B$2:$B$36,"=random_04",'Daily evaluations'!$C$2:$C$36,"=d20261005"),"")</f>
      </c>
      <c r="M125" s="12">
        <f>IF((0=1),SUMIFS('Daily evaluations'!$H$2:$H$36,'Daily evaluations'!$B$2:$B$36,"=random_04",'Daily evaluations'!$C$2:$C$36,"=d20261006"),"")</f>
      </c>
      <c r="N125" s="12">
        <f>IF((0=1),SUMIFS('Daily evaluations'!$H$2:$H$36,'Daily evaluations'!$B$2:$B$36,"=random_04",'Daily evaluations'!$C$2:$C$36,"=d20261007"),"")</f>
      </c>
      <c r="O125" s="12">
        <f>IF((0=1),SUMIFS('Daily evaluations'!$H$2:$H$36,'Daily evaluations'!$B$2:$B$36,"=random_04",'Daily evaluations'!$C$2:$C$36,"=d20261008"),"")</f>
      </c>
      <c r="P125" s="12">
        <f>IF((0=1),SUMIFS('Daily evaluations'!$H$2:$H$36,'Daily evaluations'!$B$2:$B$36,"=random_04",'Daily evaluations'!$C$2:$C$36,"=d20261009"),"")</f>
      </c>
      <c r="Q125" s="12">
        <f>IF((0=1),SUMIFS('Daily evaluations'!$H$2:$H$36,'Daily evaluations'!$B$2:$B$36,"=random_04",'Daily evaluations'!$C$2:$C$36,"=d20261012"),"")</f>
      </c>
      <c r="R125" s="12">
        <f>IF((0=1),SUMIFS('Daily evaluations'!$H$2:$H$36,'Daily evaluations'!$B$2:$B$36,"=random_04",'Daily evaluations'!$C$2:$C$36,"=d20261013"),"")</f>
      </c>
      <c r="S125" s="12">
        <f>IF((0=1),SUMIFS('Daily evaluations'!$H$2:$H$36,'Daily evaluations'!$B$2:$B$36,"=random_04",'Daily evaluations'!$C$2:$C$36,"=d20261014"),"")</f>
      </c>
      <c r="T125" s="12">
        <f>IF((0=1),SUMIFS('Daily evaluations'!$H$2:$H$36,'Daily evaluations'!$B$2:$B$36,"=random_04",'Daily evaluations'!$C$2:$C$36,"=d20261015"),"")</f>
      </c>
      <c r="U125" s="12">
        <f>IF((0=1),SUMIFS('Daily evaluations'!$H$2:$H$36,'Daily evaluations'!$B$2:$B$36,"=random_04",'Daily evaluations'!$C$2:$C$36,"=d20261016"),"")</f>
      </c>
      <c r="V125" s="12">
        <f>IF((0=1),SUMIFS('Daily evaluations'!$H$2:$H$36,'Daily evaluations'!$B$2:$B$36,"=random_04",'Daily evaluations'!$C$2:$C$36,"=d20261019"),"")</f>
      </c>
      <c r="W125" s="12">
        <f>IF((0=1),SUMIFS('Daily evaluations'!$H$2:$H$36,'Daily evaluations'!$B$2:$B$36,"=random_04",'Daily evaluations'!$C$2:$C$36,"=d20261020"),"")</f>
      </c>
      <c r="X125" s="12">
        <f>IF((0=1),SUMIFS('Daily evaluations'!$H$2:$H$36,'Daily evaluations'!$B$2:$B$36,"=random_04",'Daily evaluations'!$C$2:$C$36,"=d20261021"),"")</f>
      </c>
      <c r="Y125" s="12">
        <f>IF((0=1),SUMIFS('Daily evaluations'!$H$2:$H$36,'Daily evaluations'!$B$2:$B$36,"=random_04",'Daily evaluations'!$C$2:$C$36,"=d20261022"),"")</f>
      </c>
      <c r="Z125" s="12">
        <f>IF((0=1),SUMIFS('Daily evaluations'!$H$2:$H$36,'Daily evaluations'!$B$2:$B$36,"=random_04",'Daily evaluations'!$C$2:$C$36,"=d20261023"),"")</f>
      </c>
      <c r="AA125" s="12">
        <f>IF((0=1),SUMIFS('Daily evaluations'!$H$2:$H$36,'Daily evaluations'!$B$2:$B$36,"=random_04",'Daily evaluations'!$C$2:$C$36,"=d20261026"),"")</f>
      </c>
      <c r="AB125" s="12">
        <f>IF((0=1),SUMIFS('Daily evaluations'!$H$2:$H$36,'Daily evaluations'!$B$2:$B$36,"=random_04",'Daily evaluations'!$C$2:$C$36,"=d20261027"),"")</f>
      </c>
      <c r="AC125" s="12">
        <f>IF((0=1),SUMIFS('Daily evaluations'!$H$2:$H$36,'Daily evaluations'!$B$2:$B$36,"=random_04",'Daily evaluations'!$C$2:$C$36,"=d20261028"),"")</f>
      </c>
      <c r="AD125" s="12">
        <f>IF((0=1),SUMIFS('Daily evaluations'!$H$2:$H$36,'Daily evaluations'!$B$2:$B$36,"=random_04",'Daily evaluations'!$C$2:$C$36,"=d20261029"),"")</f>
      </c>
      <c r="AE125" s="12">
        <f>IF((0=1),SUMIFS('Daily evaluations'!$H$2:$H$36,'Daily evaluations'!$B$2:$B$36,"=random_04",'Daily evaluations'!$C$2:$C$36,"=d20261030"),"")</f>
      </c>
      <c r="AF125" s="12">
        <f>IF((0=1),SUMIFS('Daily evaluations'!$H$2:$H$36,'Daily evaluations'!$B$2:$B$36,"=random_04",'Daily evaluations'!$C$2:$C$36,"=d20261102"),"")</f>
      </c>
      <c r="AG125" s="12">
        <f>IF((0=1),SUMIFS('Daily evaluations'!$H$2:$H$36,'Daily evaluations'!$B$2:$B$36,"=random_04",'Daily evaluations'!$C$2:$C$36,"=d20261103"),"")</f>
      </c>
      <c r="AH125" s="12">
        <f>IF((0=1),SUMIFS('Daily evaluations'!$H$2:$H$36,'Daily evaluations'!$B$2:$B$36,"=random_04",'Daily evaluations'!$C$2:$C$36,"=d20261104"),"")</f>
      </c>
      <c r="AI125" s="12">
        <f>IF((0=1),SUMIFS('Daily evaluations'!$H$2:$H$36,'Daily evaluations'!$B$2:$B$36,"=random_04",'Daily evaluations'!$C$2:$C$36,"=d20261105"),"")</f>
      </c>
      <c r="AJ125" s="12">
        <f>IF((0=1),SUMIFS('Daily evaluations'!$H$2:$H$36,'Daily evaluations'!$B$2:$B$36,"=random_04",'Daily evaluations'!$C$2:$C$36,"=d20261106"),"")</f>
      </c>
      <c r="AK125" s="12">
        <f>IF((0=1),SUMIFS('Daily evaluations'!$H$2:$H$36,'Daily evaluations'!$B$2:$B$36,"=random_04",'Daily evaluations'!$C$2:$C$36,"=d20261109"),"")</f>
      </c>
      <c r="AL125" s="12">
        <f>IF((0=1),SUMIFS('Daily evaluations'!$H$2:$H$36,'Daily evaluations'!$B$2:$B$36,"=random_04",'Daily evaluations'!$C$2:$C$36,"=d20261110"),"")</f>
      </c>
      <c r="AM125" s="12">
        <f>IF((0=1),SUMIFS('Daily evaluations'!$H$2:$H$36,'Daily evaluations'!$B$2:$B$36,"=random_04",'Daily evaluations'!$C$2:$C$36,"=d20261111"),"")</f>
      </c>
      <c r="AN125" s="12">
        <f>IF((0=1),SUMIFS('Daily evaluations'!$H$2:$H$36,'Daily evaluations'!$B$2:$B$36,"=random_04",'Daily evaluations'!$C$2:$C$36,"=d20261112"),"")</f>
      </c>
      <c r="AO125" s="12">
        <f>IF((0=1),SUMIFS('Daily evaluations'!$H$2:$H$36,'Daily evaluations'!$B$2:$B$36,"=random_04",'Daily evaluations'!$C$2:$C$36,"=d20261113"),"")</f>
      </c>
      <c r="AP125" s="12">
        <f>IF((0=1),SUMIFS('Daily evaluations'!$H$2:$H$36,'Daily evaluations'!$B$2:$B$36,"=random_04",'Daily evaluations'!$C$2:$C$36,"=d20261116"),"")</f>
      </c>
      <c r="AQ125" s="12">
        <f>IF((0=1),SUMIFS('Daily evaluations'!$H$2:$H$36,'Daily evaluations'!$B$2:$B$36,"=random_04",'Daily evaluations'!$C$2:$C$36,"=d20261117"),"")</f>
      </c>
      <c r="AR125" s="12">
        <f>IF((0=1),SUMIFS('Daily evaluations'!$H$2:$H$36,'Daily evaluations'!$B$2:$B$36,"=random_04",'Daily evaluations'!$C$2:$C$36,"=d20261118"),"")</f>
      </c>
      <c r="AS125" s="12">
        <f>IF((0=1),SUMIFS('Daily evaluations'!$H$2:$H$36,'Daily evaluations'!$B$2:$B$36,"=random_04",'Daily evaluations'!$C$2:$C$36,"=d20261119"),"")</f>
      </c>
      <c r="AT125" s="12">
        <f>IF((0=1),SUMIFS('Daily evaluations'!$H$2:$H$36,'Daily evaluations'!$B$2:$B$36,"=random_04",'Daily evaluations'!$C$2:$C$36,"=d20261120"),"")</f>
      </c>
      <c r="AU125" s="12">
        <f>IF((0=1),SUMIFS('Daily evaluations'!$H$2:$H$36,'Daily evaluations'!$B$2:$B$36,"=random_04",'Daily evaluations'!$C$2:$C$36,"=d20261123"),"")</f>
      </c>
      <c r="AV125" s="12">
        <f>IF((0=1),SUMIFS('Daily evaluations'!$H$2:$H$36,'Daily evaluations'!$B$2:$B$36,"=random_04",'Daily evaluations'!$C$2:$C$36,"=d20261124"),"")</f>
      </c>
      <c r="AW125" s="12">
        <f>IF((0=1),SUMIFS('Daily evaluations'!$H$2:$H$36,'Daily evaluations'!$B$2:$B$36,"=random_04",'Daily evaluations'!$C$2:$C$36,"=d20261125"),"")</f>
      </c>
      <c r="AX125" s="12">
        <f>IF((0=1),SUMIFS('Daily evaluations'!$H$2:$H$36,'Daily evaluations'!$B$2:$B$36,"=random_04",'Daily evaluations'!$C$2:$C$36,"=d20261127"),"")</f>
      </c>
      <c r="AY125" s="12">
        <f>IF((0=1),SUMIFS('Daily evaluations'!$H$2:$H$36,'Daily evaluations'!$B$2:$B$36,"=random_04",'Daily evaluations'!$C$2:$C$36,"=d20261130"),"")</f>
      </c>
      <c r="AZ125" s="12">
        <f>IF((0=1),SUMIFS('Daily evaluations'!$H$2:$H$36,'Daily evaluations'!$B$2:$B$36,"=random_04",'Daily evaluations'!$C$2:$C$36,"=d20261201"),"")</f>
      </c>
      <c r="BA125" s="12">
        <f>IF((0=1),SUMIFS('Daily evaluations'!$H$2:$H$36,'Daily evaluations'!$B$2:$B$36,"=random_04",'Daily evaluations'!$C$2:$C$36,"=d20261202"),"")</f>
      </c>
      <c r="BB125" s="12">
        <f>IF((0=1),SUMIFS('Daily evaluations'!$H$2:$H$36,'Daily evaluations'!$B$2:$B$36,"=random_04",'Daily evaluations'!$C$2:$C$36,"=d20261203"),"")</f>
      </c>
      <c r="BC125" s="12">
        <f>IF((0=1),SUMIFS('Daily evaluations'!$H$2:$H$36,'Daily evaluations'!$B$2:$B$36,"=random_04",'Daily evaluations'!$C$2:$C$36,"=d20261204"),"")</f>
      </c>
      <c r="BD125" s="12">
        <f>IF((0=1),SUMIFS('Daily evaluations'!$H$2:$H$36,'Daily evaluations'!$B$2:$B$36,"=random_04",'Daily evaluations'!$C$2:$C$36,"=d20261207"),"")</f>
      </c>
      <c r="BE125" s="12">
        <f>IF((0=1),SUMIFS('Daily evaluations'!$H$2:$H$36,'Daily evaluations'!$B$2:$B$36,"=random_04",'Daily evaluations'!$C$2:$C$36,"=d20261208"),"")</f>
      </c>
      <c r="BF125" s="12">
        <f>IF((0=1),SUMIFS('Daily evaluations'!$H$2:$H$36,'Daily evaluations'!$B$2:$B$36,"=random_04",'Daily evaluations'!$C$2:$C$36,"=d20261209"),"")</f>
      </c>
      <c r="BG125" s="12">
        <f>IF((0=1),SUMIFS('Daily evaluations'!$H$2:$H$36,'Daily evaluations'!$B$2:$B$36,"=random_04",'Daily evaluations'!$C$2:$C$36,"=d20261210"),"")</f>
      </c>
      <c r="BH125" s="12">
        <f>IF((0=1),SUMIFS('Daily evaluations'!$H$2:$H$36,'Daily evaluations'!$B$2:$B$36,"=random_04",'Daily evaluations'!$C$2:$C$36,"=d20261211"),"")</f>
      </c>
      <c r="BI125" s="12">
        <f>IF((0=1),SUMIFS('Daily evaluations'!$H$2:$H$36,'Daily evaluations'!$B$2:$B$36,"=random_04",'Daily evaluations'!$C$2:$C$36,"=d20261214"),"")</f>
      </c>
      <c r="BJ125" s="12">
        <f>IF((0=1),SUMIFS('Daily evaluations'!$H$2:$H$36,'Daily evaluations'!$B$2:$B$36,"=random_04",'Daily evaluations'!$C$2:$C$36,"=d20261215"),"")</f>
      </c>
      <c r="BK125" s="12">
        <f>IF((0=1),SUMIFS('Daily evaluations'!$H$2:$H$36,'Daily evaluations'!$B$2:$B$36,"=random_04",'Daily evaluations'!$C$2:$C$36,"=d20261216"),"")</f>
      </c>
      <c r="BL125" s="12">
        <f>IF((0=1),SUMIFS('Daily evaluations'!$H$2:$H$36,'Daily evaluations'!$B$2:$B$36,"=random_04",'Daily evaluations'!$C$2:$C$36,"=d20261217"),"")</f>
      </c>
      <c r="BM125" s="12">
        <f>IF((0=1),SUMIFS('Daily evaluations'!$H$2:$H$36,'Daily evaluations'!$B$2:$B$36,"=random_04",'Daily evaluations'!$C$2:$C$36,"=d20261218"),"")</f>
      </c>
      <c r="BN125" s="12">
        <f>IF((0=1),SUMIFS('Daily evaluations'!$H$2:$H$36,'Daily evaluations'!$B$2:$B$36,"=random_04",'Daily evaluations'!$C$2:$C$36,"=d20261221"),"")</f>
      </c>
      <c r="BO125" s="12">
        <f>IF((0=1),SUMIFS('Daily evaluations'!$H$2:$H$36,'Daily evaluations'!$B$2:$B$36,"=random_04",'Daily evaluations'!$C$2:$C$36,"=d20261222"),"")</f>
      </c>
      <c r="BP125" s="12">
        <f>IF((0=1),SUMIFS('Daily evaluations'!$H$2:$H$36,'Daily evaluations'!$B$2:$B$36,"=random_04",'Daily evaluations'!$C$2:$C$36,"=d20261223"),"")</f>
      </c>
      <c r="BQ125" s="12">
        <f>IF((0=1),SUMIFS('Daily evaluations'!$H$2:$H$36,'Daily evaluations'!$B$2:$B$36,"=random_04",'Daily evaluations'!$C$2:$C$36,"=d20261224"),"")</f>
      </c>
      <c r="BR125" s="12">
        <f>IF((0=1),SUMIFS('Daily evaluations'!$H$2:$H$36,'Daily evaluations'!$B$2:$B$36,"=random_04",'Daily evaluations'!$C$2:$C$36,"=d20261228"),"")</f>
      </c>
      <c r="BS125" s="12">
        <f>IF((0=1),SUMIFS('Daily evaluations'!$H$2:$H$36,'Daily evaluations'!$B$2:$B$36,"=random_04",'Daily evaluations'!$C$2:$C$36,"=d20261229"),"")</f>
      </c>
      <c r="BT125" s="12">
        <f>IF((0=1),SUMIFS('Daily evaluations'!$H$2:$H$36,'Daily evaluations'!$B$2:$B$36,"=random_04",'Daily evaluations'!$C$2:$C$36,"=d20261230"),"")</f>
      </c>
      <c r="BU125" s="12">
        <f>IF((0=1),SUMIFS('Daily evaluations'!$H$2:$H$36,'Daily evaluations'!$B$2:$B$36,"=random_04",'Daily evaluations'!$C$2:$C$36,"=d20261231"),"")</f>
      </c>
      <c r="BV125" s="12">
        <f>IF((0=1),SUMIFS('Daily evaluations'!$H$2:$H$36,'Daily evaluations'!$B$2:$B$36,"=random_04",'Daily evaluations'!$C$2:$C$36,"=d20270104"),"")</f>
      </c>
      <c r="BW125" s="12">
        <f>IF((0=1),SUMIFS('Daily evaluations'!$H$2:$H$36,'Daily evaluations'!$B$2:$B$36,"=random_04",'Daily evaluations'!$C$2:$C$36,"=d20270105"),"")</f>
      </c>
      <c r="BX125" s="12">
        <f>IF((0=1),SUMIFS('Daily evaluations'!$H$2:$H$36,'Daily evaluations'!$B$2:$B$36,"=random_04",'Daily evaluations'!$C$2:$C$36,"=d20270106"),"")</f>
      </c>
      <c r="BY125" s="12">
        <f>IF((0=1),SUMIFS('Daily evaluations'!$H$2:$H$36,'Daily evaluations'!$B$2:$B$36,"=random_04",'Daily evaluations'!$C$2:$C$36,"=d20270107"),"")</f>
      </c>
      <c r="BZ125" s="12">
        <f>IF((0=1),SUMIFS('Daily evaluations'!$H$2:$H$36,'Daily evaluations'!$B$2:$B$36,"=random_04",'Daily evaluations'!$C$2:$C$36,"=d20270108"),"")</f>
      </c>
      <c r="CA125" s="12">
        <f>IF((0=1),SUMIFS('Daily evaluations'!$H$2:$H$36,'Daily evaluations'!$B$2:$B$36,"=random_04",'Daily evaluations'!$C$2:$C$36,"=d20270111"),"")</f>
      </c>
      <c r="CB125" s="12">
        <f>IF((0=1),SUMIFS('Daily evaluations'!$H$2:$H$36,'Daily evaluations'!$B$2:$B$36,"=random_04",'Daily evaluations'!$C$2:$C$36,"=d20270112"),"")</f>
      </c>
      <c r="CC125" s="12">
        <f>IF((0=1),SUMIFS('Daily evaluations'!$H$2:$H$36,'Daily evaluations'!$B$2:$B$36,"=random_04",'Daily evaluations'!$C$2:$C$36,"=d20270113"),"")</f>
      </c>
      <c r="CD125" s="12">
        <f>IF((0=1),SUMIFS('Daily evaluations'!$H$2:$H$36,'Daily evaluations'!$B$2:$B$36,"=random_04",'Daily evaluations'!$C$2:$C$36,"=d20270114"),"")</f>
      </c>
      <c r="CE125" s="12">
        <f>IF((0=1),SUMIFS('Daily evaluations'!$H$2:$H$36,'Daily evaluations'!$B$2:$B$36,"=random_04",'Daily evaluations'!$C$2:$C$36,"=d20270115"),"")</f>
      </c>
      <c r="CF125" s="12">
        <f>IF((0=1),SUMIFS('Daily evaluations'!$H$2:$H$36,'Daily evaluations'!$B$2:$B$36,"=random_04",'Daily evaluations'!$C$2:$C$36,"=d20270119"),"")</f>
      </c>
      <c r="CG125" s="12">
        <f>IF((0=1),SUMIFS('Daily evaluations'!$H$2:$H$36,'Daily evaluations'!$B$2:$B$36,"=random_04",'Daily evaluations'!$C$2:$C$36,"=d20270120"),"")</f>
      </c>
      <c r="CH125" s="12">
        <f>IF((0=1),SUMIFS('Daily evaluations'!$H$2:$H$36,'Daily evaluations'!$B$2:$B$36,"=random_04",'Daily evaluations'!$C$2:$C$36,"=d20270121"),"")</f>
      </c>
      <c r="CI125" s="12">
        <f>IF((0=1),SUMIFS('Daily evaluations'!$H$2:$H$36,'Daily evaluations'!$B$2:$B$36,"=random_04",'Daily evaluations'!$C$2:$C$36,"=d20270122"),"")</f>
      </c>
      <c r="CJ125" s="12">
        <f>IF((0=1),SUMIFS('Daily evaluations'!$H$2:$H$36,'Daily evaluations'!$B$2:$B$36,"=random_04",'Daily evaluations'!$C$2:$C$36,"=d20270125"),"")</f>
      </c>
      <c r="CK125" s="12">
        <f>IF((0=1),SUMIFS('Daily evaluations'!$H$2:$H$36,'Daily evaluations'!$B$2:$B$36,"=random_04",'Daily evaluations'!$C$2:$C$36,"=d20270126"),"")</f>
      </c>
      <c r="CL125" s="12">
        <f>IF((0=1),SUMIFS('Daily evaluations'!$H$2:$H$36,'Daily evaluations'!$B$2:$B$36,"=random_04",'Daily evaluations'!$C$2:$C$36,"=d20270127"),"")</f>
      </c>
      <c r="CM125" s="12">
        <f>IF((0=1),SUMIFS('Daily evaluations'!$H$2:$H$36,'Daily evaluations'!$B$2:$B$36,"=random_04",'Daily evaluations'!$C$2:$C$36,"=d20270128"),"")</f>
      </c>
      <c r="CN125" s="12">
        <f>IF((0=1),SUMIFS('Daily evaluations'!$H$2:$H$36,'Daily evaluations'!$B$2:$B$36,"=random_04",'Daily evaluations'!$C$2:$C$36,"=d20270129"),"")</f>
      </c>
      <c r="CO125" s="12">
        <f>IF((0=1),SUMIFS('Daily evaluations'!$H$2:$H$36,'Daily evaluations'!$B$2:$B$36,"=random_04",'Daily evaluations'!$C$2:$C$36,"=d20270201"),"")</f>
      </c>
      <c r="CP125" s="12">
        <f>IF((0=1),SUMIFS('Daily evaluations'!$H$2:$H$36,'Daily evaluations'!$B$2:$B$36,"=random_04",'Daily evaluations'!$C$2:$C$36,"=d20270202"),"")</f>
      </c>
      <c r="CQ125" s="12">
        <f>IF((0=1),SUMIFS('Daily evaluations'!$H$2:$H$36,'Daily evaluations'!$B$2:$B$36,"=random_04",'Daily evaluations'!$C$2:$C$36,"=d20270203"),"")</f>
      </c>
      <c r="CR125" s="12">
        <f>IF((0=1),SUMIFS('Daily evaluations'!$H$2:$H$36,'Daily evaluations'!$B$2:$B$36,"=random_04",'Daily evaluations'!$C$2:$C$36,"=d20270204"),"")</f>
      </c>
      <c r="CS125" s="12">
        <f>IF((0=1),SUMIFS('Daily evaluations'!$H$2:$H$36,'Daily evaluations'!$B$2:$B$36,"=random_04",'Daily evaluations'!$C$2:$C$36,"=d20270205"),"")</f>
      </c>
      <c r="CT125" s="12">
        <f>IF((0=1),SUMIFS('Daily evaluations'!$H$2:$H$36,'Daily evaluations'!$B$2:$B$36,"=random_04",'Daily evaluations'!$C$2:$C$36,"=d20270208"),"")</f>
      </c>
      <c r="CU125" s="12">
        <f>IF((0=1),SUMIFS('Daily evaluations'!$H$2:$H$36,'Daily evaluations'!$B$2:$B$36,"=random_04",'Daily evaluations'!$C$2:$C$36,"=d20270209"),"")</f>
      </c>
      <c r="CV125" s="12">
        <f>IF((0=1),SUMIFS('Daily evaluations'!$H$2:$H$36,'Daily evaluations'!$B$2:$B$36,"=random_04",'Daily evaluations'!$C$2:$C$36,"=d20270210"),"")</f>
      </c>
      <c r="CW125" s="12">
        <f>IF((0=1),SUMIFS('Daily evaluations'!$H$2:$H$36,'Daily evaluations'!$B$2:$B$36,"=random_04",'Daily evaluations'!$C$2:$C$36,"=d20270211"),"")</f>
      </c>
      <c r="CX125" s="12">
        <f>IF((0=1),SUMIFS('Daily evaluations'!$H$2:$H$36,'Daily evaluations'!$B$2:$B$36,"=random_04",'Daily evaluations'!$C$2:$C$36,"=d20270212"),"")</f>
      </c>
    </row>
    <row r="126">
      <c r="A126" s="0" t="inlineStr">
        <is>
          <t xml:space="preserve">Hit rate vs universe median</t>
        </is>
      </c>
      <c r="B126" s="0" t="inlineStr">
        <is>
          <t xml:space="preserve">Random 5</t>
        </is>
      </c>
      <c r="C126" s="12">
        <f>IF((1=1),SUMIFS('Daily evaluations'!$H$2:$H$36,'Daily evaluations'!$B$2:$B$36,"=random_05",'Daily evaluations'!$C$2:$C$36,"=d20260922"),"")</f>
        <v>0.45</v>
      </c>
      <c r="D126" s="12">
        <f>IF((0=1),SUMIFS('Daily evaluations'!$H$2:$H$36,'Daily evaluations'!$B$2:$B$36,"=random_05",'Daily evaluations'!$C$2:$C$36,"=d20260923"),"")</f>
      </c>
      <c r="E126" s="12">
        <f>IF((0=1),SUMIFS('Daily evaluations'!$H$2:$H$36,'Daily evaluations'!$B$2:$B$36,"=random_05",'Daily evaluations'!$C$2:$C$36,"=d20260924"),"")</f>
      </c>
      <c r="F126" s="12">
        <f>IF((0=1),SUMIFS('Daily evaluations'!$H$2:$H$36,'Daily evaluations'!$B$2:$B$36,"=random_05",'Daily evaluations'!$C$2:$C$36,"=d20260925"),"")</f>
      </c>
      <c r="G126" s="12">
        <f>IF((0=1),SUMIFS('Daily evaluations'!$H$2:$H$36,'Daily evaluations'!$B$2:$B$36,"=random_05",'Daily evaluations'!$C$2:$C$36,"=d20260928"),"")</f>
      </c>
      <c r="H126" s="12">
        <f>IF((0=1),SUMIFS('Daily evaluations'!$H$2:$H$36,'Daily evaluations'!$B$2:$B$36,"=random_05",'Daily evaluations'!$C$2:$C$36,"=d20260929"),"")</f>
      </c>
      <c r="I126" s="12">
        <f>IF((0=1),SUMIFS('Daily evaluations'!$H$2:$H$36,'Daily evaluations'!$B$2:$B$36,"=random_05",'Daily evaluations'!$C$2:$C$36,"=d20260930"),"")</f>
      </c>
      <c r="J126" s="12">
        <f>IF((0=1),SUMIFS('Daily evaluations'!$H$2:$H$36,'Daily evaluations'!$B$2:$B$36,"=random_05",'Daily evaluations'!$C$2:$C$36,"=d20261001"),"")</f>
      </c>
      <c r="K126" s="12">
        <f>IF((0=1),SUMIFS('Daily evaluations'!$H$2:$H$36,'Daily evaluations'!$B$2:$B$36,"=random_05",'Daily evaluations'!$C$2:$C$36,"=d20261002"),"")</f>
      </c>
      <c r="L126" s="12">
        <f>IF((0=1),SUMIFS('Daily evaluations'!$H$2:$H$36,'Daily evaluations'!$B$2:$B$36,"=random_05",'Daily evaluations'!$C$2:$C$36,"=d20261005"),"")</f>
      </c>
      <c r="M126" s="12">
        <f>IF((0=1),SUMIFS('Daily evaluations'!$H$2:$H$36,'Daily evaluations'!$B$2:$B$36,"=random_05",'Daily evaluations'!$C$2:$C$36,"=d20261006"),"")</f>
      </c>
      <c r="N126" s="12">
        <f>IF((0=1),SUMIFS('Daily evaluations'!$H$2:$H$36,'Daily evaluations'!$B$2:$B$36,"=random_05",'Daily evaluations'!$C$2:$C$36,"=d20261007"),"")</f>
      </c>
      <c r="O126" s="12">
        <f>IF((0=1),SUMIFS('Daily evaluations'!$H$2:$H$36,'Daily evaluations'!$B$2:$B$36,"=random_05",'Daily evaluations'!$C$2:$C$36,"=d20261008"),"")</f>
      </c>
      <c r="P126" s="12">
        <f>IF((0=1),SUMIFS('Daily evaluations'!$H$2:$H$36,'Daily evaluations'!$B$2:$B$36,"=random_05",'Daily evaluations'!$C$2:$C$36,"=d20261009"),"")</f>
      </c>
      <c r="Q126" s="12">
        <f>IF((0=1),SUMIFS('Daily evaluations'!$H$2:$H$36,'Daily evaluations'!$B$2:$B$36,"=random_05",'Daily evaluations'!$C$2:$C$36,"=d20261012"),"")</f>
      </c>
      <c r="R126" s="12">
        <f>IF((0=1),SUMIFS('Daily evaluations'!$H$2:$H$36,'Daily evaluations'!$B$2:$B$36,"=random_05",'Daily evaluations'!$C$2:$C$36,"=d20261013"),"")</f>
      </c>
      <c r="S126" s="12">
        <f>IF((0=1),SUMIFS('Daily evaluations'!$H$2:$H$36,'Daily evaluations'!$B$2:$B$36,"=random_05",'Daily evaluations'!$C$2:$C$36,"=d20261014"),"")</f>
      </c>
      <c r="T126" s="12">
        <f>IF((0=1),SUMIFS('Daily evaluations'!$H$2:$H$36,'Daily evaluations'!$B$2:$B$36,"=random_05",'Daily evaluations'!$C$2:$C$36,"=d20261015"),"")</f>
      </c>
      <c r="U126" s="12">
        <f>IF((0=1),SUMIFS('Daily evaluations'!$H$2:$H$36,'Daily evaluations'!$B$2:$B$36,"=random_05",'Daily evaluations'!$C$2:$C$36,"=d20261016"),"")</f>
      </c>
      <c r="V126" s="12">
        <f>IF((0=1),SUMIFS('Daily evaluations'!$H$2:$H$36,'Daily evaluations'!$B$2:$B$36,"=random_05",'Daily evaluations'!$C$2:$C$36,"=d20261019"),"")</f>
      </c>
      <c r="W126" s="12">
        <f>IF((0=1),SUMIFS('Daily evaluations'!$H$2:$H$36,'Daily evaluations'!$B$2:$B$36,"=random_05",'Daily evaluations'!$C$2:$C$36,"=d20261020"),"")</f>
      </c>
      <c r="X126" s="12">
        <f>IF((0=1),SUMIFS('Daily evaluations'!$H$2:$H$36,'Daily evaluations'!$B$2:$B$36,"=random_05",'Daily evaluations'!$C$2:$C$36,"=d20261021"),"")</f>
      </c>
      <c r="Y126" s="12">
        <f>IF((0=1),SUMIFS('Daily evaluations'!$H$2:$H$36,'Daily evaluations'!$B$2:$B$36,"=random_05",'Daily evaluations'!$C$2:$C$36,"=d20261022"),"")</f>
      </c>
      <c r="Z126" s="12">
        <f>IF((0=1),SUMIFS('Daily evaluations'!$H$2:$H$36,'Daily evaluations'!$B$2:$B$36,"=random_05",'Daily evaluations'!$C$2:$C$36,"=d20261023"),"")</f>
      </c>
      <c r="AA126" s="12">
        <f>IF((0=1),SUMIFS('Daily evaluations'!$H$2:$H$36,'Daily evaluations'!$B$2:$B$36,"=random_05",'Daily evaluations'!$C$2:$C$36,"=d20261026"),"")</f>
      </c>
      <c r="AB126" s="12">
        <f>IF((0=1),SUMIFS('Daily evaluations'!$H$2:$H$36,'Daily evaluations'!$B$2:$B$36,"=random_05",'Daily evaluations'!$C$2:$C$36,"=d20261027"),"")</f>
      </c>
      <c r="AC126" s="12">
        <f>IF((0=1),SUMIFS('Daily evaluations'!$H$2:$H$36,'Daily evaluations'!$B$2:$B$36,"=random_05",'Daily evaluations'!$C$2:$C$36,"=d20261028"),"")</f>
      </c>
      <c r="AD126" s="12">
        <f>IF((0=1),SUMIFS('Daily evaluations'!$H$2:$H$36,'Daily evaluations'!$B$2:$B$36,"=random_05",'Daily evaluations'!$C$2:$C$36,"=d20261029"),"")</f>
      </c>
      <c r="AE126" s="12">
        <f>IF((0=1),SUMIFS('Daily evaluations'!$H$2:$H$36,'Daily evaluations'!$B$2:$B$36,"=random_05",'Daily evaluations'!$C$2:$C$36,"=d20261030"),"")</f>
      </c>
      <c r="AF126" s="12">
        <f>IF((0=1),SUMIFS('Daily evaluations'!$H$2:$H$36,'Daily evaluations'!$B$2:$B$36,"=random_05",'Daily evaluations'!$C$2:$C$36,"=d20261102"),"")</f>
      </c>
      <c r="AG126" s="12">
        <f>IF((0=1),SUMIFS('Daily evaluations'!$H$2:$H$36,'Daily evaluations'!$B$2:$B$36,"=random_05",'Daily evaluations'!$C$2:$C$36,"=d20261103"),"")</f>
      </c>
      <c r="AH126" s="12">
        <f>IF((0=1),SUMIFS('Daily evaluations'!$H$2:$H$36,'Daily evaluations'!$B$2:$B$36,"=random_05",'Daily evaluations'!$C$2:$C$36,"=d20261104"),"")</f>
      </c>
      <c r="AI126" s="12">
        <f>IF((0=1),SUMIFS('Daily evaluations'!$H$2:$H$36,'Daily evaluations'!$B$2:$B$36,"=random_05",'Daily evaluations'!$C$2:$C$36,"=d20261105"),"")</f>
      </c>
      <c r="AJ126" s="12">
        <f>IF((0=1),SUMIFS('Daily evaluations'!$H$2:$H$36,'Daily evaluations'!$B$2:$B$36,"=random_05",'Daily evaluations'!$C$2:$C$36,"=d20261106"),"")</f>
      </c>
      <c r="AK126" s="12">
        <f>IF((0=1),SUMIFS('Daily evaluations'!$H$2:$H$36,'Daily evaluations'!$B$2:$B$36,"=random_05",'Daily evaluations'!$C$2:$C$36,"=d20261109"),"")</f>
      </c>
      <c r="AL126" s="12">
        <f>IF((0=1),SUMIFS('Daily evaluations'!$H$2:$H$36,'Daily evaluations'!$B$2:$B$36,"=random_05",'Daily evaluations'!$C$2:$C$36,"=d20261110"),"")</f>
      </c>
      <c r="AM126" s="12">
        <f>IF((0=1),SUMIFS('Daily evaluations'!$H$2:$H$36,'Daily evaluations'!$B$2:$B$36,"=random_05",'Daily evaluations'!$C$2:$C$36,"=d20261111"),"")</f>
      </c>
      <c r="AN126" s="12">
        <f>IF((0=1),SUMIFS('Daily evaluations'!$H$2:$H$36,'Daily evaluations'!$B$2:$B$36,"=random_05",'Daily evaluations'!$C$2:$C$36,"=d20261112"),"")</f>
      </c>
      <c r="AO126" s="12">
        <f>IF((0=1),SUMIFS('Daily evaluations'!$H$2:$H$36,'Daily evaluations'!$B$2:$B$36,"=random_05",'Daily evaluations'!$C$2:$C$36,"=d20261113"),"")</f>
      </c>
      <c r="AP126" s="12">
        <f>IF((0=1),SUMIFS('Daily evaluations'!$H$2:$H$36,'Daily evaluations'!$B$2:$B$36,"=random_05",'Daily evaluations'!$C$2:$C$36,"=d20261116"),"")</f>
      </c>
      <c r="AQ126" s="12">
        <f>IF((0=1),SUMIFS('Daily evaluations'!$H$2:$H$36,'Daily evaluations'!$B$2:$B$36,"=random_05",'Daily evaluations'!$C$2:$C$36,"=d20261117"),"")</f>
      </c>
      <c r="AR126" s="12">
        <f>IF((0=1),SUMIFS('Daily evaluations'!$H$2:$H$36,'Daily evaluations'!$B$2:$B$36,"=random_05",'Daily evaluations'!$C$2:$C$36,"=d20261118"),"")</f>
      </c>
      <c r="AS126" s="12">
        <f>IF((0=1),SUMIFS('Daily evaluations'!$H$2:$H$36,'Daily evaluations'!$B$2:$B$36,"=random_05",'Daily evaluations'!$C$2:$C$36,"=d20261119"),"")</f>
      </c>
      <c r="AT126" s="12">
        <f>IF((0=1),SUMIFS('Daily evaluations'!$H$2:$H$36,'Daily evaluations'!$B$2:$B$36,"=random_05",'Daily evaluations'!$C$2:$C$36,"=d20261120"),"")</f>
      </c>
      <c r="AU126" s="12">
        <f>IF((0=1),SUMIFS('Daily evaluations'!$H$2:$H$36,'Daily evaluations'!$B$2:$B$36,"=random_05",'Daily evaluations'!$C$2:$C$36,"=d20261123"),"")</f>
      </c>
      <c r="AV126" s="12">
        <f>IF((0=1),SUMIFS('Daily evaluations'!$H$2:$H$36,'Daily evaluations'!$B$2:$B$36,"=random_05",'Daily evaluations'!$C$2:$C$36,"=d20261124"),"")</f>
      </c>
      <c r="AW126" s="12">
        <f>IF((0=1),SUMIFS('Daily evaluations'!$H$2:$H$36,'Daily evaluations'!$B$2:$B$36,"=random_05",'Daily evaluations'!$C$2:$C$36,"=d20261125"),"")</f>
      </c>
      <c r="AX126" s="12">
        <f>IF((0=1),SUMIFS('Daily evaluations'!$H$2:$H$36,'Daily evaluations'!$B$2:$B$36,"=random_05",'Daily evaluations'!$C$2:$C$36,"=d20261127"),"")</f>
      </c>
      <c r="AY126" s="12">
        <f>IF((0=1),SUMIFS('Daily evaluations'!$H$2:$H$36,'Daily evaluations'!$B$2:$B$36,"=random_05",'Daily evaluations'!$C$2:$C$36,"=d20261130"),"")</f>
      </c>
      <c r="AZ126" s="12">
        <f>IF((0=1),SUMIFS('Daily evaluations'!$H$2:$H$36,'Daily evaluations'!$B$2:$B$36,"=random_05",'Daily evaluations'!$C$2:$C$36,"=d20261201"),"")</f>
      </c>
      <c r="BA126" s="12">
        <f>IF((0=1),SUMIFS('Daily evaluations'!$H$2:$H$36,'Daily evaluations'!$B$2:$B$36,"=random_05",'Daily evaluations'!$C$2:$C$36,"=d20261202"),"")</f>
      </c>
      <c r="BB126" s="12">
        <f>IF((0=1),SUMIFS('Daily evaluations'!$H$2:$H$36,'Daily evaluations'!$B$2:$B$36,"=random_05",'Daily evaluations'!$C$2:$C$36,"=d20261203"),"")</f>
      </c>
      <c r="BC126" s="12">
        <f>IF((0=1),SUMIFS('Daily evaluations'!$H$2:$H$36,'Daily evaluations'!$B$2:$B$36,"=random_05",'Daily evaluations'!$C$2:$C$36,"=d20261204"),"")</f>
      </c>
      <c r="BD126" s="12">
        <f>IF((0=1),SUMIFS('Daily evaluations'!$H$2:$H$36,'Daily evaluations'!$B$2:$B$36,"=random_05",'Daily evaluations'!$C$2:$C$36,"=d20261207"),"")</f>
      </c>
      <c r="BE126" s="12">
        <f>IF((0=1),SUMIFS('Daily evaluations'!$H$2:$H$36,'Daily evaluations'!$B$2:$B$36,"=random_05",'Daily evaluations'!$C$2:$C$36,"=d20261208"),"")</f>
      </c>
      <c r="BF126" s="12">
        <f>IF((0=1),SUMIFS('Daily evaluations'!$H$2:$H$36,'Daily evaluations'!$B$2:$B$36,"=random_05",'Daily evaluations'!$C$2:$C$36,"=d20261209"),"")</f>
      </c>
      <c r="BG126" s="12">
        <f>IF((0=1),SUMIFS('Daily evaluations'!$H$2:$H$36,'Daily evaluations'!$B$2:$B$36,"=random_05",'Daily evaluations'!$C$2:$C$36,"=d20261210"),"")</f>
      </c>
      <c r="BH126" s="12">
        <f>IF((0=1),SUMIFS('Daily evaluations'!$H$2:$H$36,'Daily evaluations'!$B$2:$B$36,"=random_05",'Daily evaluations'!$C$2:$C$36,"=d20261211"),"")</f>
      </c>
      <c r="BI126" s="12">
        <f>IF((0=1),SUMIFS('Daily evaluations'!$H$2:$H$36,'Daily evaluations'!$B$2:$B$36,"=random_05",'Daily evaluations'!$C$2:$C$36,"=d20261214"),"")</f>
      </c>
      <c r="BJ126" s="12">
        <f>IF((0=1),SUMIFS('Daily evaluations'!$H$2:$H$36,'Daily evaluations'!$B$2:$B$36,"=random_05",'Daily evaluations'!$C$2:$C$36,"=d20261215"),"")</f>
      </c>
      <c r="BK126" s="12">
        <f>IF((0=1),SUMIFS('Daily evaluations'!$H$2:$H$36,'Daily evaluations'!$B$2:$B$36,"=random_05",'Daily evaluations'!$C$2:$C$36,"=d20261216"),"")</f>
      </c>
      <c r="BL126" s="12">
        <f>IF((0=1),SUMIFS('Daily evaluations'!$H$2:$H$36,'Daily evaluations'!$B$2:$B$36,"=random_05",'Daily evaluations'!$C$2:$C$36,"=d20261217"),"")</f>
      </c>
      <c r="BM126" s="12">
        <f>IF((0=1),SUMIFS('Daily evaluations'!$H$2:$H$36,'Daily evaluations'!$B$2:$B$36,"=random_05",'Daily evaluations'!$C$2:$C$36,"=d20261218"),"")</f>
      </c>
      <c r="BN126" s="12">
        <f>IF((0=1),SUMIFS('Daily evaluations'!$H$2:$H$36,'Daily evaluations'!$B$2:$B$36,"=random_05",'Daily evaluations'!$C$2:$C$36,"=d20261221"),"")</f>
      </c>
      <c r="BO126" s="12">
        <f>IF((0=1),SUMIFS('Daily evaluations'!$H$2:$H$36,'Daily evaluations'!$B$2:$B$36,"=random_05",'Daily evaluations'!$C$2:$C$36,"=d20261222"),"")</f>
      </c>
      <c r="BP126" s="12">
        <f>IF((0=1),SUMIFS('Daily evaluations'!$H$2:$H$36,'Daily evaluations'!$B$2:$B$36,"=random_05",'Daily evaluations'!$C$2:$C$36,"=d20261223"),"")</f>
      </c>
      <c r="BQ126" s="12">
        <f>IF((0=1),SUMIFS('Daily evaluations'!$H$2:$H$36,'Daily evaluations'!$B$2:$B$36,"=random_05",'Daily evaluations'!$C$2:$C$36,"=d20261224"),"")</f>
      </c>
      <c r="BR126" s="12">
        <f>IF((0=1),SUMIFS('Daily evaluations'!$H$2:$H$36,'Daily evaluations'!$B$2:$B$36,"=random_05",'Daily evaluations'!$C$2:$C$36,"=d20261228"),"")</f>
      </c>
      <c r="BS126" s="12">
        <f>IF((0=1),SUMIFS('Daily evaluations'!$H$2:$H$36,'Daily evaluations'!$B$2:$B$36,"=random_05",'Daily evaluations'!$C$2:$C$36,"=d20261229"),"")</f>
      </c>
      <c r="BT126" s="12">
        <f>IF((0=1),SUMIFS('Daily evaluations'!$H$2:$H$36,'Daily evaluations'!$B$2:$B$36,"=random_05",'Daily evaluations'!$C$2:$C$36,"=d20261230"),"")</f>
      </c>
      <c r="BU126" s="12">
        <f>IF((0=1),SUMIFS('Daily evaluations'!$H$2:$H$36,'Daily evaluations'!$B$2:$B$36,"=random_05",'Daily evaluations'!$C$2:$C$36,"=d20261231"),"")</f>
      </c>
      <c r="BV126" s="12">
        <f>IF((0=1),SUMIFS('Daily evaluations'!$H$2:$H$36,'Daily evaluations'!$B$2:$B$36,"=random_05",'Daily evaluations'!$C$2:$C$36,"=d20270104"),"")</f>
      </c>
      <c r="BW126" s="12">
        <f>IF((0=1),SUMIFS('Daily evaluations'!$H$2:$H$36,'Daily evaluations'!$B$2:$B$36,"=random_05",'Daily evaluations'!$C$2:$C$36,"=d20270105"),"")</f>
      </c>
      <c r="BX126" s="12">
        <f>IF((0=1),SUMIFS('Daily evaluations'!$H$2:$H$36,'Daily evaluations'!$B$2:$B$36,"=random_05",'Daily evaluations'!$C$2:$C$36,"=d20270106"),"")</f>
      </c>
      <c r="BY126" s="12">
        <f>IF((0=1),SUMIFS('Daily evaluations'!$H$2:$H$36,'Daily evaluations'!$B$2:$B$36,"=random_05",'Daily evaluations'!$C$2:$C$36,"=d20270107"),"")</f>
      </c>
      <c r="BZ126" s="12">
        <f>IF((0=1),SUMIFS('Daily evaluations'!$H$2:$H$36,'Daily evaluations'!$B$2:$B$36,"=random_05",'Daily evaluations'!$C$2:$C$36,"=d20270108"),"")</f>
      </c>
      <c r="CA126" s="12">
        <f>IF((0=1),SUMIFS('Daily evaluations'!$H$2:$H$36,'Daily evaluations'!$B$2:$B$36,"=random_05",'Daily evaluations'!$C$2:$C$36,"=d20270111"),"")</f>
      </c>
      <c r="CB126" s="12">
        <f>IF((0=1),SUMIFS('Daily evaluations'!$H$2:$H$36,'Daily evaluations'!$B$2:$B$36,"=random_05",'Daily evaluations'!$C$2:$C$36,"=d20270112"),"")</f>
      </c>
      <c r="CC126" s="12">
        <f>IF((0=1),SUMIFS('Daily evaluations'!$H$2:$H$36,'Daily evaluations'!$B$2:$B$36,"=random_05",'Daily evaluations'!$C$2:$C$36,"=d20270113"),"")</f>
      </c>
      <c r="CD126" s="12">
        <f>IF((0=1),SUMIFS('Daily evaluations'!$H$2:$H$36,'Daily evaluations'!$B$2:$B$36,"=random_05",'Daily evaluations'!$C$2:$C$36,"=d20270114"),"")</f>
      </c>
      <c r="CE126" s="12">
        <f>IF((0=1),SUMIFS('Daily evaluations'!$H$2:$H$36,'Daily evaluations'!$B$2:$B$36,"=random_05",'Daily evaluations'!$C$2:$C$36,"=d20270115"),"")</f>
      </c>
      <c r="CF126" s="12">
        <f>IF((0=1),SUMIFS('Daily evaluations'!$H$2:$H$36,'Daily evaluations'!$B$2:$B$36,"=random_05",'Daily evaluations'!$C$2:$C$36,"=d20270119"),"")</f>
      </c>
      <c r="CG126" s="12">
        <f>IF((0=1),SUMIFS('Daily evaluations'!$H$2:$H$36,'Daily evaluations'!$B$2:$B$36,"=random_05",'Daily evaluations'!$C$2:$C$36,"=d20270120"),"")</f>
      </c>
      <c r="CH126" s="12">
        <f>IF((0=1),SUMIFS('Daily evaluations'!$H$2:$H$36,'Daily evaluations'!$B$2:$B$36,"=random_05",'Daily evaluations'!$C$2:$C$36,"=d20270121"),"")</f>
      </c>
      <c r="CI126" s="12">
        <f>IF((0=1),SUMIFS('Daily evaluations'!$H$2:$H$36,'Daily evaluations'!$B$2:$B$36,"=random_05",'Daily evaluations'!$C$2:$C$36,"=d20270122"),"")</f>
      </c>
      <c r="CJ126" s="12">
        <f>IF((0=1),SUMIFS('Daily evaluations'!$H$2:$H$36,'Daily evaluations'!$B$2:$B$36,"=random_05",'Daily evaluations'!$C$2:$C$36,"=d20270125"),"")</f>
      </c>
      <c r="CK126" s="12">
        <f>IF((0=1),SUMIFS('Daily evaluations'!$H$2:$H$36,'Daily evaluations'!$B$2:$B$36,"=random_05",'Daily evaluations'!$C$2:$C$36,"=d20270126"),"")</f>
      </c>
      <c r="CL126" s="12">
        <f>IF((0=1),SUMIFS('Daily evaluations'!$H$2:$H$36,'Daily evaluations'!$B$2:$B$36,"=random_05",'Daily evaluations'!$C$2:$C$36,"=d20270127"),"")</f>
      </c>
      <c r="CM126" s="12">
        <f>IF((0=1),SUMIFS('Daily evaluations'!$H$2:$H$36,'Daily evaluations'!$B$2:$B$36,"=random_05",'Daily evaluations'!$C$2:$C$36,"=d20270128"),"")</f>
      </c>
      <c r="CN126" s="12">
        <f>IF((0=1),SUMIFS('Daily evaluations'!$H$2:$H$36,'Daily evaluations'!$B$2:$B$36,"=random_05",'Daily evaluations'!$C$2:$C$36,"=d20270129"),"")</f>
      </c>
      <c r="CO126" s="12">
        <f>IF((0=1),SUMIFS('Daily evaluations'!$H$2:$H$36,'Daily evaluations'!$B$2:$B$36,"=random_05",'Daily evaluations'!$C$2:$C$36,"=d20270201"),"")</f>
      </c>
      <c r="CP126" s="12">
        <f>IF((0=1),SUMIFS('Daily evaluations'!$H$2:$H$36,'Daily evaluations'!$B$2:$B$36,"=random_05",'Daily evaluations'!$C$2:$C$36,"=d20270202"),"")</f>
      </c>
      <c r="CQ126" s="12">
        <f>IF((0=1),SUMIFS('Daily evaluations'!$H$2:$H$36,'Daily evaluations'!$B$2:$B$36,"=random_05",'Daily evaluations'!$C$2:$C$36,"=d20270203"),"")</f>
      </c>
      <c r="CR126" s="12">
        <f>IF((0=1),SUMIFS('Daily evaluations'!$H$2:$H$36,'Daily evaluations'!$B$2:$B$36,"=random_05",'Daily evaluations'!$C$2:$C$36,"=d20270204"),"")</f>
      </c>
      <c r="CS126" s="12">
        <f>IF((0=1),SUMIFS('Daily evaluations'!$H$2:$H$36,'Daily evaluations'!$B$2:$B$36,"=random_05",'Daily evaluations'!$C$2:$C$36,"=d20270205"),"")</f>
      </c>
      <c r="CT126" s="12">
        <f>IF((0=1),SUMIFS('Daily evaluations'!$H$2:$H$36,'Daily evaluations'!$B$2:$B$36,"=random_05",'Daily evaluations'!$C$2:$C$36,"=d20270208"),"")</f>
      </c>
      <c r="CU126" s="12">
        <f>IF((0=1),SUMIFS('Daily evaluations'!$H$2:$H$36,'Daily evaluations'!$B$2:$B$36,"=random_05",'Daily evaluations'!$C$2:$C$36,"=d20270209"),"")</f>
      </c>
      <c r="CV126" s="12">
        <f>IF((0=1),SUMIFS('Daily evaluations'!$H$2:$H$36,'Daily evaluations'!$B$2:$B$36,"=random_05",'Daily evaluations'!$C$2:$C$36,"=d20270210"),"")</f>
      </c>
      <c r="CW126" s="12">
        <f>IF((0=1),SUMIFS('Daily evaluations'!$H$2:$H$36,'Daily evaluations'!$B$2:$B$36,"=random_05",'Daily evaluations'!$C$2:$C$36,"=d20270211"),"")</f>
      </c>
      <c r="CX126" s="12">
        <f>IF((0=1),SUMIFS('Daily evaluations'!$H$2:$H$36,'Daily evaluations'!$B$2:$B$36,"=random_05",'Daily evaluations'!$C$2:$C$36,"=d20270212"),"")</f>
      </c>
    </row>
    <row r="127">
      <c r="A127" s="0" t="inlineStr">
        <is>
          <t xml:space="preserve">Hit rate vs universe median</t>
        </is>
      </c>
      <c r="B127" s="0" t="inlineStr">
        <is>
          <t xml:space="preserve">Random 6</t>
        </is>
      </c>
      <c r="C127" s="12">
        <f>IF((1=1),SUMIFS('Daily evaluations'!$H$2:$H$36,'Daily evaluations'!$B$2:$B$36,"=random_06",'Daily evaluations'!$C$2:$C$36,"=d20260922"),"")</f>
        <v>0.52</v>
      </c>
      <c r="D127" s="12">
        <f>IF((0=1),SUMIFS('Daily evaluations'!$H$2:$H$36,'Daily evaluations'!$B$2:$B$36,"=random_06",'Daily evaluations'!$C$2:$C$36,"=d20260923"),"")</f>
      </c>
      <c r="E127" s="12">
        <f>IF((0=1),SUMIFS('Daily evaluations'!$H$2:$H$36,'Daily evaluations'!$B$2:$B$36,"=random_06",'Daily evaluations'!$C$2:$C$36,"=d20260924"),"")</f>
      </c>
      <c r="F127" s="12">
        <f>IF((0=1),SUMIFS('Daily evaluations'!$H$2:$H$36,'Daily evaluations'!$B$2:$B$36,"=random_06",'Daily evaluations'!$C$2:$C$36,"=d20260925"),"")</f>
      </c>
      <c r="G127" s="12">
        <f>IF((0=1),SUMIFS('Daily evaluations'!$H$2:$H$36,'Daily evaluations'!$B$2:$B$36,"=random_06",'Daily evaluations'!$C$2:$C$36,"=d20260928"),"")</f>
      </c>
      <c r="H127" s="12">
        <f>IF((0=1),SUMIFS('Daily evaluations'!$H$2:$H$36,'Daily evaluations'!$B$2:$B$36,"=random_06",'Daily evaluations'!$C$2:$C$36,"=d20260929"),"")</f>
      </c>
      <c r="I127" s="12">
        <f>IF((0=1),SUMIFS('Daily evaluations'!$H$2:$H$36,'Daily evaluations'!$B$2:$B$36,"=random_06",'Daily evaluations'!$C$2:$C$36,"=d20260930"),"")</f>
      </c>
      <c r="J127" s="12">
        <f>IF((0=1),SUMIFS('Daily evaluations'!$H$2:$H$36,'Daily evaluations'!$B$2:$B$36,"=random_06",'Daily evaluations'!$C$2:$C$36,"=d20261001"),"")</f>
      </c>
      <c r="K127" s="12">
        <f>IF((0=1),SUMIFS('Daily evaluations'!$H$2:$H$36,'Daily evaluations'!$B$2:$B$36,"=random_06",'Daily evaluations'!$C$2:$C$36,"=d20261002"),"")</f>
      </c>
      <c r="L127" s="12">
        <f>IF((0=1),SUMIFS('Daily evaluations'!$H$2:$H$36,'Daily evaluations'!$B$2:$B$36,"=random_06",'Daily evaluations'!$C$2:$C$36,"=d20261005"),"")</f>
      </c>
      <c r="M127" s="12">
        <f>IF((0=1),SUMIFS('Daily evaluations'!$H$2:$H$36,'Daily evaluations'!$B$2:$B$36,"=random_06",'Daily evaluations'!$C$2:$C$36,"=d20261006"),"")</f>
      </c>
      <c r="N127" s="12">
        <f>IF((0=1),SUMIFS('Daily evaluations'!$H$2:$H$36,'Daily evaluations'!$B$2:$B$36,"=random_06",'Daily evaluations'!$C$2:$C$36,"=d20261007"),"")</f>
      </c>
      <c r="O127" s="12">
        <f>IF((0=1),SUMIFS('Daily evaluations'!$H$2:$H$36,'Daily evaluations'!$B$2:$B$36,"=random_06",'Daily evaluations'!$C$2:$C$36,"=d20261008"),"")</f>
      </c>
      <c r="P127" s="12">
        <f>IF((0=1),SUMIFS('Daily evaluations'!$H$2:$H$36,'Daily evaluations'!$B$2:$B$36,"=random_06",'Daily evaluations'!$C$2:$C$36,"=d20261009"),"")</f>
      </c>
      <c r="Q127" s="12">
        <f>IF((0=1),SUMIFS('Daily evaluations'!$H$2:$H$36,'Daily evaluations'!$B$2:$B$36,"=random_06",'Daily evaluations'!$C$2:$C$36,"=d20261012"),"")</f>
      </c>
      <c r="R127" s="12">
        <f>IF((0=1),SUMIFS('Daily evaluations'!$H$2:$H$36,'Daily evaluations'!$B$2:$B$36,"=random_06",'Daily evaluations'!$C$2:$C$36,"=d20261013"),"")</f>
      </c>
      <c r="S127" s="12">
        <f>IF((0=1),SUMIFS('Daily evaluations'!$H$2:$H$36,'Daily evaluations'!$B$2:$B$36,"=random_06",'Daily evaluations'!$C$2:$C$36,"=d20261014"),"")</f>
      </c>
      <c r="T127" s="12">
        <f>IF((0=1),SUMIFS('Daily evaluations'!$H$2:$H$36,'Daily evaluations'!$B$2:$B$36,"=random_06",'Daily evaluations'!$C$2:$C$36,"=d20261015"),"")</f>
      </c>
      <c r="U127" s="12">
        <f>IF((0=1),SUMIFS('Daily evaluations'!$H$2:$H$36,'Daily evaluations'!$B$2:$B$36,"=random_06",'Daily evaluations'!$C$2:$C$36,"=d20261016"),"")</f>
      </c>
      <c r="V127" s="12">
        <f>IF((0=1),SUMIFS('Daily evaluations'!$H$2:$H$36,'Daily evaluations'!$B$2:$B$36,"=random_06",'Daily evaluations'!$C$2:$C$36,"=d20261019"),"")</f>
      </c>
      <c r="W127" s="12">
        <f>IF((0=1),SUMIFS('Daily evaluations'!$H$2:$H$36,'Daily evaluations'!$B$2:$B$36,"=random_06",'Daily evaluations'!$C$2:$C$36,"=d20261020"),"")</f>
      </c>
      <c r="X127" s="12">
        <f>IF((0=1),SUMIFS('Daily evaluations'!$H$2:$H$36,'Daily evaluations'!$B$2:$B$36,"=random_06",'Daily evaluations'!$C$2:$C$36,"=d20261021"),"")</f>
      </c>
      <c r="Y127" s="12">
        <f>IF((0=1),SUMIFS('Daily evaluations'!$H$2:$H$36,'Daily evaluations'!$B$2:$B$36,"=random_06",'Daily evaluations'!$C$2:$C$36,"=d20261022"),"")</f>
      </c>
      <c r="Z127" s="12">
        <f>IF((0=1),SUMIFS('Daily evaluations'!$H$2:$H$36,'Daily evaluations'!$B$2:$B$36,"=random_06",'Daily evaluations'!$C$2:$C$36,"=d20261023"),"")</f>
      </c>
      <c r="AA127" s="12">
        <f>IF((0=1),SUMIFS('Daily evaluations'!$H$2:$H$36,'Daily evaluations'!$B$2:$B$36,"=random_06",'Daily evaluations'!$C$2:$C$36,"=d20261026"),"")</f>
      </c>
      <c r="AB127" s="12">
        <f>IF((0=1),SUMIFS('Daily evaluations'!$H$2:$H$36,'Daily evaluations'!$B$2:$B$36,"=random_06",'Daily evaluations'!$C$2:$C$36,"=d20261027"),"")</f>
      </c>
      <c r="AC127" s="12">
        <f>IF((0=1),SUMIFS('Daily evaluations'!$H$2:$H$36,'Daily evaluations'!$B$2:$B$36,"=random_06",'Daily evaluations'!$C$2:$C$36,"=d20261028"),"")</f>
      </c>
      <c r="AD127" s="12">
        <f>IF((0=1),SUMIFS('Daily evaluations'!$H$2:$H$36,'Daily evaluations'!$B$2:$B$36,"=random_06",'Daily evaluations'!$C$2:$C$36,"=d20261029"),"")</f>
      </c>
      <c r="AE127" s="12">
        <f>IF((0=1),SUMIFS('Daily evaluations'!$H$2:$H$36,'Daily evaluations'!$B$2:$B$36,"=random_06",'Daily evaluations'!$C$2:$C$36,"=d20261030"),"")</f>
      </c>
      <c r="AF127" s="12">
        <f>IF((0=1),SUMIFS('Daily evaluations'!$H$2:$H$36,'Daily evaluations'!$B$2:$B$36,"=random_06",'Daily evaluations'!$C$2:$C$36,"=d20261102"),"")</f>
      </c>
      <c r="AG127" s="12">
        <f>IF((0=1),SUMIFS('Daily evaluations'!$H$2:$H$36,'Daily evaluations'!$B$2:$B$36,"=random_06",'Daily evaluations'!$C$2:$C$36,"=d20261103"),"")</f>
      </c>
      <c r="AH127" s="12">
        <f>IF((0=1),SUMIFS('Daily evaluations'!$H$2:$H$36,'Daily evaluations'!$B$2:$B$36,"=random_06",'Daily evaluations'!$C$2:$C$36,"=d20261104"),"")</f>
      </c>
      <c r="AI127" s="12">
        <f>IF((0=1),SUMIFS('Daily evaluations'!$H$2:$H$36,'Daily evaluations'!$B$2:$B$36,"=random_06",'Daily evaluations'!$C$2:$C$36,"=d20261105"),"")</f>
      </c>
      <c r="AJ127" s="12">
        <f>IF((0=1),SUMIFS('Daily evaluations'!$H$2:$H$36,'Daily evaluations'!$B$2:$B$36,"=random_06",'Daily evaluations'!$C$2:$C$36,"=d20261106"),"")</f>
      </c>
      <c r="AK127" s="12">
        <f>IF((0=1),SUMIFS('Daily evaluations'!$H$2:$H$36,'Daily evaluations'!$B$2:$B$36,"=random_06",'Daily evaluations'!$C$2:$C$36,"=d20261109"),"")</f>
      </c>
      <c r="AL127" s="12">
        <f>IF((0=1),SUMIFS('Daily evaluations'!$H$2:$H$36,'Daily evaluations'!$B$2:$B$36,"=random_06",'Daily evaluations'!$C$2:$C$36,"=d20261110"),"")</f>
      </c>
      <c r="AM127" s="12">
        <f>IF((0=1),SUMIFS('Daily evaluations'!$H$2:$H$36,'Daily evaluations'!$B$2:$B$36,"=random_06",'Daily evaluations'!$C$2:$C$36,"=d20261111"),"")</f>
      </c>
      <c r="AN127" s="12">
        <f>IF((0=1),SUMIFS('Daily evaluations'!$H$2:$H$36,'Daily evaluations'!$B$2:$B$36,"=random_06",'Daily evaluations'!$C$2:$C$36,"=d20261112"),"")</f>
      </c>
      <c r="AO127" s="12">
        <f>IF((0=1),SUMIFS('Daily evaluations'!$H$2:$H$36,'Daily evaluations'!$B$2:$B$36,"=random_06",'Daily evaluations'!$C$2:$C$36,"=d20261113"),"")</f>
      </c>
      <c r="AP127" s="12">
        <f>IF((0=1),SUMIFS('Daily evaluations'!$H$2:$H$36,'Daily evaluations'!$B$2:$B$36,"=random_06",'Daily evaluations'!$C$2:$C$36,"=d20261116"),"")</f>
      </c>
      <c r="AQ127" s="12">
        <f>IF((0=1),SUMIFS('Daily evaluations'!$H$2:$H$36,'Daily evaluations'!$B$2:$B$36,"=random_06",'Daily evaluations'!$C$2:$C$36,"=d20261117"),"")</f>
      </c>
      <c r="AR127" s="12">
        <f>IF((0=1),SUMIFS('Daily evaluations'!$H$2:$H$36,'Daily evaluations'!$B$2:$B$36,"=random_06",'Daily evaluations'!$C$2:$C$36,"=d20261118"),"")</f>
      </c>
      <c r="AS127" s="12">
        <f>IF((0=1),SUMIFS('Daily evaluations'!$H$2:$H$36,'Daily evaluations'!$B$2:$B$36,"=random_06",'Daily evaluations'!$C$2:$C$36,"=d20261119"),"")</f>
      </c>
      <c r="AT127" s="12">
        <f>IF((0=1),SUMIFS('Daily evaluations'!$H$2:$H$36,'Daily evaluations'!$B$2:$B$36,"=random_06",'Daily evaluations'!$C$2:$C$36,"=d20261120"),"")</f>
      </c>
      <c r="AU127" s="12">
        <f>IF((0=1),SUMIFS('Daily evaluations'!$H$2:$H$36,'Daily evaluations'!$B$2:$B$36,"=random_06",'Daily evaluations'!$C$2:$C$36,"=d20261123"),"")</f>
      </c>
      <c r="AV127" s="12">
        <f>IF((0=1),SUMIFS('Daily evaluations'!$H$2:$H$36,'Daily evaluations'!$B$2:$B$36,"=random_06",'Daily evaluations'!$C$2:$C$36,"=d20261124"),"")</f>
      </c>
      <c r="AW127" s="12">
        <f>IF((0=1),SUMIFS('Daily evaluations'!$H$2:$H$36,'Daily evaluations'!$B$2:$B$36,"=random_06",'Daily evaluations'!$C$2:$C$36,"=d20261125"),"")</f>
      </c>
      <c r="AX127" s="12">
        <f>IF((0=1),SUMIFS('Daily evaluations'!$H$2:$H$36,'Daily evaluations'!$B$2:$B$36,"=random_06",'Daily evaluations'!$C$2:$C$36,"=d20261127"),"")</f>
      </c>
      <c r="AY127" s="12">
        <f>IF((0=1),SUMIFS('Daily evaluations'!$H$2:$H$36,'Daily evaluations'!$B$2:$B$36,"=random_06",'Daily evaluations'!$C$2:$C$36,"=d20261130"),"")</f>
      </c>
      <c r="AZ127" s="12">
        <f>IF((0=1),SUMIFS('Daily evaluations'!$H$2:$H$36,'Daily evaluations'!$B$2:$B$36,"=random_06",'Daily evaluations'!$C$2:$C$36,"=d20261201"),"")</f>
      </c>
      <c r="BA127" s="12">
        <f>IF((0=1),SUMIFS('Daily evaluations'!$H$2:$H$36,'Daily evaluations'!$B$2:$B$36,"=random_06",'Daily evaluations'!$C$2:$C$36,"=d20261202"),"")</f>
      </c>
      <c r="BB127" s="12">
        <f>IF((0=1),SUMIFS('Daily evaluations'!$H$2:$H$36,'Daily evaluations'!$B$2:$B$36,"=random_06",'Daily evaluations'!$C$2:$C$36,"=d20261203"),"")</f>
      </c>
      <c r="BC127" s="12">
        <f>IF((0=1),SUMIFS('Daily evaluations'!$H$2:$H$36,'Daily evaluations'!$B$2:$B$36,"=random_06",'Daily evaluations'!$C$2:$C$36,"=d20261204"),"")</f>
      </c>
      <c r="BD127" s="12">
        <f>IF((0=1),SUMIFS('Daily evaluations'!$H$2:$H$36,'Daily evaluations'!$B$2:$B$36,"=random_06",'Daily evaluations'!$C$2:$C$36,"=d20261207"),"")</f>
      </c>
      <c r="BE127" s="12">
        <f>IF((0=1),SUMIFS('Daily evaluations'!$H$2:$H$36,'Daily evaluations'!$B$2:$B$36,"=random_06",'Daily evaluations'!$C$2:$C$36,"=d20261208"),"")</f>
      </c>
      <c r="BF127" s="12">
        <f>IF((0=1),SUMIFS('Daily evaluations'!$H$2:$H$36,'Daily evaluations'!$B$2:$B$36,"=random_06",'Daily evaluations'!$C$2:$C$36,"=d20261209"),"")</f>
      </c>
      <c r="BG127" s="12">
        <f>IF((0=1),SUMIFS('Daily evaluations'!$H$2:$H$36,'Daily evaluations'!$B$2:$B$36,"=random_06",'Daily evaluations'!$C$2:$C$36,"=d20261210"),"")</f>
      </c>
      <c r="BH127" s="12">
        <f>IF((0=1),SUMIFS('Daily evaluations'!$H$2:$H$36,'Daily evaluations'!$B$2:$B$36,"=random_06",'Daily evaluations'!$C$2:$C$36,"=d20261211"),"")</f>
      </c>
      <c r="BI127" s="12">
        <f>IF((0=1),SUMIFS('Daily evaluations'!$H$2:$H$36,'Daily evaluations'!$B$2:$B$36,"=random_06",'Daily evaluations'!$C$2:$C$36,"=d20261214"),"")</f>
      </c>
      <c r="BJ127" s="12">
        <f>IF((0=1),SUMIFS('Daily evaluations'!$H$2:$H$36,'Daily evaluations'!$B$2:$B$36,"=random_06",'Daily evaluations'!$C$2:$C$36,"=d20261215"),"")</f>
      </c>
      <c r="BK127" s="12">
        <f>IF((0=1),SUMIFS('Daily evaluations'!$H$2:$H$36,'Daily evaluations'!$B$2:$B$36,"=random_06",'Daily evaluations'!$C$2:$C$36,"=d20261216"),"")</f>
      </c>
      <c r="BL127" s="12">
        <f>IF((0=1),SUMIFS('Daily evaluations'!$H$2:$H$36,'Daily evaluations'!$B$2:$B$36,"=random_06",'Daily evaluations'!$C$2:$C$36,"=d20261217"),"")</f>
      </c>
      <c r="BM127" s="12">
        <f>IF((0=1),SUMIFS('Daily evaluations'!$H$2:$H$36,'Daily evaluations'!$B$2:$B$36,"=random_06",'Daily evaluations'!$C$2:$C$36,"=d20261218"),"")</f>
      </c>
      <c r="BN127" s="12">
        <f>IF((0=1),SUMIFS('Daily evaluations'!$H$2:$H$36,'Daily evaluations'!$B$2:$B$36,"=random_06",'Daily evaluations'!$C$2:$C$36,"=d20261221"),"")</f>
      </c>
      <c r="BO127" s="12">
        <f>IF((0=1),SUMIFS('Daily evaluations'!$H$2:$H$36,'Daily evaluations'!$B$2:$B$36,"=random_06",'Daily evaluations'!$C$2:$C$36,"=d20261222"),"")</f>
      </c>
      <c r="BP127" s="12">
        <f>IF((0=1),SUMIFS('Daily evaluations'!$H$2:$H$36,'Daily evaluations'!$B$2:$B$36,"=random_06",'Daily evaluations'!$C$2:$C$36,"=d20261223"),"")</f>
      </c>
      <c r="BQ127" s="12">
        <f>IF((0=1),SUMIFS('Daily evaluations'!$H$2:$H$36,'Daily evaluations'!$B$2:$B$36,"=random_06",'Daily evaluations'!$C$2:$C$36,"=d20261224"),"")</f>
      </c>
      <c r="BR127" s="12">
        <f>IF((0=1),SUMIFS('Daily evaluations'!$H$2:$H$36,'Daily evaluations'!$B$2:$B$36,"=random_06",'Daily evaluations'!$C$2:$C$36,"=d20261228"),"")</f>
      </c>
      <c r="BS127" s="12">
        <f>IF((0=1),SUMIFS('Daily evaluations'!$H$2:$H$36,'Daily evaluations'!$B$2:$B$36,"=random_06",'Daily evaluations'!$C$2:$C$36,"=d20261229"),"")</f>
      </c>
      <c r="BT127" s="12">
        <f>IF((0=1),SUMIFS('Daily evaluations'!$H$2:$H$36,'Daily evaluations'!$B$2:$B$36,"=random_06",'Daily evaluations'!$C$2:$C$36,"=d20261230"),"")</f>
      </c>
      <c r="BU127" s="12">
        <f>IF((0=1),SUMIFS('Daily evaluations'!$H$2:$H$36,'Daily evaluations'!$B$2:$B$36,"=random_06",'Daily evaluations'!$C$2:$C$36,"=d20261231"),"")</f>
      </c>
      <c r="BV127" s="12">
        <f>IF((0=1),SUMIFS('Daily evaluations'!$H$2:$H$36,'Daily evaluations'!$B$2:$B$36,"=random_06",'Daily evaluations'!$C$2:$C$36,"=d20270104"),"")</f>
      </c>
      <c r="BW127" s="12">
        <f>IF((0=1),SUMIFS('Daily evaluations'!$H$2:$H$36,'Daily evaluations'!$B$2:$B$36,"=random_06",'Daily evaluations'!$C$2:$C$36,"=d20270105"),"")</f>
      </c>
      <c r="BX127" s="12">
        <f>IF((0=1),SUMIFS('Daily evaluations'!$H$2:$H$36,'Daily evaluations'!$B$2:$B$36,"=random_06",'Daily evaluations'!$C$2:$C$36,"=d20270106"),"")</f>
      </c>
      <c r="BY127" s="12">
        <f>IF((0=1),SUMIFS('Daily evaluations'!$H$2:$H$36,'Daily evaluations'!$B$2:$B$36,"=random_06",'Daily evaluations'!$C$2:$C$36,"=d20270107"),"")</f>
      </c>
      <c r="BZ127" s="12">
        <f>IF((0=1),SUMIFS('Daily evaluations'!$H$2:$H$36,'Daily evaluations'!$B$2:$B$36,"=random_06",'Daily evaluations'!$C$2:$C$36,"=d20270108"),"")</f>
      </c>
      <c r="CA127" s="12">
        <f>IF((0=1),SUMIFS('Daily evaluations'!$H$2:$H$36,'Daily evaluations'!$B$2:$B$36,"=random_06",'Daily evaluations'!$C$2:$C$36,"=d20270111"),"")</f>
      </c>
      <c r="CB127" s="12">
        <f>IF((0=1),SUMIFS('Daily evaluations'!$H$2:$H$36,'Daily evaluations'!$B$2:$B$36,"=random_06",'Daily evaluations'!$C$2:$C$36,"=d20270112"),"")</f>
      </c>
      <c r="CC127" s="12">
        <f>IF((0=1),SUMIFS('Daily evaluations'!$H$2:$H$36,'Daily evaluations'!$B$2:$B$36,"=random_06",'Daily evaluations'!$C$2:$C$36,"=d20270113"),"")</f>
      </c>
      <c r="CD127" s="12">
        <f>IF((0=1),SUMIFS('Daily evaluations'!$H$2:$H$36,'Daily evaluations'!$B$2:$B$36,"=random_06",'Daily evaluations'!$C$2:$C$36,"=d20270114"),"")</f>
      </c>
      <c r="CE127" s="12">
        <f>IF((0=1),SUMIFS('Daily evaluations'!$H$2:$H$36,'Daily evaluations'!$B$2:$B$36,"=random_06",'Daily evaluations'!$C$2:$C$36,"=d20270115"),"")</f>
      </c>
      <c r="CF127" s="12">
        <f>IF((0=1),SUMIFS('Daily evaluations'!$H$2:$H$36,'Daily evaluations'!$B$2:$B$36,"=random_06",'Daily evaluations'!$C$2:$C$36,"=d20270119"),"")</f>
      </c>
      <c r="CG127" s="12">
        <f>IF((0=1),SUMIFS('Daily evaluations'!$H$2:$H$36,'Daily evaluations'!$B$2:$B$36,"=random_06",'Daily evaluations'!$C$2:$C$36,"=d20270120"),"")</f>
      </c>
      <c r="CH127" s="12">
        <f>IF((0=1),SUMIFS('Daily evaluations'!$H$2:$H$36,'Daily evaluations'!$B$2:$B$36,"=random_06",'Daily evaluations'!$C$2:$C$36,"=d20270121"),"")</f>
      </c>
      <c r="CI127" s="12">
        <f>IF((0=1),SUMIFS('Daily evaluations'!$H$2:$H$36,'Daily evaluations'!$B$2:$B$36,"=random_06",'Daily evaluations'!$C$2:$C$36,"=d20270122"),"")</f>
      </c>
      <c r="CJ127" s="12">
        <f>IF((0=1),SUMIFS('Daily evaluations'!$H$2:$H$36,'Daily evaluations'!$B$2:$B$36,"=random_06",'Daily evaluations'!$C$2:$C$36,"=d20270125"),"")</f>
      </c>
      <c r="CK127" s="12">
        <f>IF((0=1),SUMIFS('Daily evaluations'!$H$2:$H$36,'Daily evaluations'!$B$2:$B$36,"=random_06",'Daily evaluations'!$C$2:$C$36,"=d20270126"),"")</f>
      </c>
      <c r="CL127" s="12">
        <f>IF((0=1),SUMIFS('Daily evaluations'!$H$2:$H$36,'Daily evaluations'!$B$2:$B$36,"=random_06",'Daily evaluations'!$C$2:$C$36,"=d20270127"),"")</f>
      </c>
      <c r="CM127" s="12">
        <f>IF((0=1),SUMIFS('Daily evaluations'!$H$2:$H$36,'Daily evaluations'!$B$2:$B$36,"=random_06",'Daily evaluations'!$C$2:$C$36,"=d20270128"),"")</f>
      </c>
      <c r="CN127" s="12">
        <f>IF((0=1),SUMIFS('Daily evaluations'!$H$2:$H$36,'Daily evaluations'!$B$2:$B$36,"=random_06",'Daily evaluations'!$C$2:$C$36,"=d20270129"),"")</f>
      </c>
      <c r="CO127" s="12">
        <f>IF((0=1),SUMIFS('Daily evaluations'!$H$2:$H$36,'Daily evaluations'!$B$2:$B$36,"=random_06",'Daily evaluations'!$C$2:$C$36,"=d20270201"),"")</f>
      </c>
      <c r="CP127" s="12">
        <f>IF((0=1),SUMIFS('Daily evaluations'!$H$2:$H$36,'Daily evaluations'!$B$2:$B$36,"=random_06",'Daily evaluations'!$C$2:$C$36,"=d20270202"),"")</f>
      </c>
      <c r="CQ127" s="12">
        <f>IF((0=1),SUMIFS('Daily evaluations'!$H$2:$H$36,'Daily evaluations'!$B$2:$B$36,"=random_06",'Daily evaluations'!$C$2:$C$36,"=d20270203"),"")</f>
      </c>
      <c r="CR127" s="12">
        <f>IF((0=1),SUMIFS('Daily evaluations'!$H$2:$H$36,'Daily evaluations'!$B$2:$B$36,"=random_06",'Daily evaluations'!$C$2:$C$36,"=d20270204"),"")</f>
      </c>
      <c r="CS127" s="12">
        <f>IF((0=1),SUMIFS('Daily evaluations'!$H$2:$H$36,'Daily evaluations'!$B$2:$B$36,"=random_06",'Daily evaluations'!$C$2:$C$36,"=d20270205"),"")</f>
      </c>
      <c r="CT127" s="12">
        <f>IF((0=1),SUMIFS('Daily evaluations'!$H$2:$H$36,'Daily evaluations'!$B$2:$B$36,"=random_06",'Daily evaluations'!$C$2:$C$36,"=d20270208"),"")</f>
      </c>
      <c r="CU127" s="12">
        <f>IF((0=1),SUMIFS('Daily evaluations'!$H$2:$H$36,'Daily evaluations'!$B$2:$B$36,"=random_06",'Daily evaluations'!$C$2:$C$36,"=d20270209"),"")</f>
      </c>
      <c r="CV127" s="12">
        <f>IF((0=1),SUMIFS('Daily evaluations'!$H$2:$H$36,'Daily evaluations'!$B$2:$B$36,"=random_06",'Daily evaluations'!$C$2:$C$36,"=d20270210"),"")</f>
      </c>
      <c r="CW127" s="12">
        <f>IF((0=1),SUMIFS('Daily evaluations'!$H$2:$H$36,'Daily evaluations'!$B$2:$B$36,"=random_06",'Daily evaluations'!$C$2:$C$36,"=d20270211"),"")</f>
      </c>
      <c r="CX127" s="12">
        <f>IF((0=1),SUMIFS('Daily evaluations'!$H$2:$H$36,'Daily evaluations'!$B$2:$B$36,"=random_06",'Daily evaluations'!$C$2:$C$36,"=d20270212"),"")</f>
      </c>
    </row>
    <row r="128">
      <c r="A128" s="0" t="inlineStr">
        <is>
          <t xml:space="preserve">Hit rate vs universe median</t>
        </is>
      </c>
      <c r="B128" s="0" t="inlineStr">
        <is>
          <t xml:space="preserve">Random 7</t>
        </is>
      </c>
      <c r="C128" s="12">
        <f>IF((1=1),SUMIFS('Daily evaluations'!$H$2:$H$36,'Daily evaluations'!$B$2:$B$36,"=random_07",'Daily evaluations'!$C$2:$C$36,"=d20260922"),"")</f>
        <v>0.52</v>
      </c>
      <c r="D128" s="12">
        <f>IF((0=1),SUMIFS('Daily evaluations'!$H$2:$H$36,'Daily evaluations'!$B$2:$B$36,"=random_07",'Daily evaluations'!$C$2:$C$36,"=d20260923"),"")</f>
      </c>
      <c r="E128" s="12">
        <f>IF((0=1),SUMIFS('Daily evaluations'!$H$2:$H$36,'Daily evaluations'!$B$2:$B$36,"=random_07",'Daily evaluations'!$C$2:$C$36,"=d20260924"),"")</f>
      </c>
      <c r="F128" s="12">
        <f>IF((0=1),SUMIFS('Daily evaluations'!$H$2:$H$36,'Daily evaluations'!$B$2:$B$36,"=random_07",'Daily evaluations'!$C$2:$C$36,"=d20260925"),"")</f>
      </c>
      <c r="G128" s="12">
        <f>IF((0=1),SUMIFS('Daily evaluations'!$H$2:$H$36,'Daily evaluations'!$B$2:$B$36,"=random_07",'Daily evaluations'!$C$2:$C$36,"=d20260928"),"")</f>
      </c>
      <c r="H128" s="12">
        <f>IF((0=1),SUMIFS('Daily evaluations'!$H$2:$H$36,'Daily evaluations'!$B$2:$B$36,"=random_07",'Daily evaluations'!$C$2:$C$36,"=d20260929"),"")</f>
      </c>
      <c r="I128" s="12">
        <f>IF((0=1),SUMIFS('Daily evaluations'!$H$2:$H$36,'Daily evaluations'!$B$2:$B$36,"=random_07",'Daily evaluations'!$C$2:$C$36,"=d20260930"),"")</f>
      </c>
      <c r="J128" s="12">
        <f>IF((0=1),SUMIFS('Daily evaluations'!$H$2:$H$36,'Daily evaluations'!$B$2:$B$36,"=random_07",'Daily evaluations'!$C$2:$C$36,"=d20261001"),"")</f>
      </c>
      <c r="K128" s="12">
        <f>IF((0=1),SUMIFS('Daily evaluations'!$H$2:$H$36,'Daily evaluations'!$B$2:$B$36,"=random_07",'Daily evaluations'!$C$2:$C$36,"=d20261002"),"")</f>
      </c>
      <c r="L128" s="12">
        <f>IF((0=1),SUMIFS('Daily evaluations'!$H$2:$H$36,'Daily evaluations'!$B$2:$B$36,"=random_07",'Daily evaluations'!$C$2:$C$36,"=d20261005"),"")</f>
      </c>
      <c r="M128" s="12">
        <f>IF((0=1),SUMIFS('Daily evaluations'!$H$2:$H$36,'Daily evaluations'!$B$2:$B$36,"=random_07",'Daily evaluations'!$C$2:$C$36,"=d20261006"),"")</f>
      </c>
      <c r="N128" s="12">
        <f>IF((0=1),SUMIFS('Daily evaluations'!$H$2:$H$36,'Daily evaluations'!$B$2:$B$36,"=random_07",'Daily evaluations'!$C$2:$C$36,"=d20261007"),"")</f>
      </c>
      <c r="O128" s="12">
        <f>IF((0=1),SUMIFS('Daily evaluations'!$H$2:$H$36,'Daily evaluations'!$B$2:$B$36,"=random_07",'Daily evaluations'!$C$2:$C$36,"=d20261008"),"")</f>
      </c>
      <c r="P128" s="12">
        <f>IF((0=1),SUMIFS('Daily evaluations'!$H$2:$H$36,'Daily evaluations'!$B$2:$B$36,"=random_07",'Daily evaluations'!$C$2:$C$36,"=d20261009"),"")</f>
      </c>
      <c r="Q128" s="12">
        <f>IF((0=1),SUMIFS('Daily evaluations'!$H$2:$H$36,'Daily evaluations'!$B$2:$B$36,"=random_07",'Daily evaluations'!$C$2:$C$36,"=d20261012"),"")</f>
      </c>
      <c r="R128" s="12">
        <f>IF((0=1),SUMIFS('Daily evaluations'!$H$2:$H$36,'Daily evaluations'!$B$2:$B$36,"=random_07",'Daily evaluations'!$C$2:$C$36,"=d20261013"),"")</f>
      </c>
      <c r="S128" s="12">
        <f>IF((0=1),SUMIFS('Daily evaluations'!$H$2:$H$36,'Daily evaluations'!$B$2:$B$36,"=random_07",'Daily evaluations'!$C$2:$C$36,"=d20261014"),"")</f>
      </c>
      <c r="T128" s="12">
        <f>IF((0=1),SUMIFS('Daily evaluations'!$H$2:$H$36,'Daily evaluations'!$B$2:$B$36,"=random_07",'Daily evaluations'!$C$2:$C$36,"=d20261015"),"")</f>
      </c>
      <c r="U128" s="12">
        <f>IF((0=1),SUMIFS('Daily evaluations'!$H$2:$H$36,'Daily evaluations'!$B$2:$B$36,"=random_07",'Daily evaluations'!$C$2:$C$36,"=d20261016"),"")</f>
      </c>
      <c r="V128" s="12">
        <f>IF((0=1),SUMIFS('Daily evaluations'!$H$2:$H$36,'Daily evaluations'!$B$2:$B$36,"=random_07",'Daily evaluations'!$C$2:$C$36,"=d20261019"),"")</f>
      </c>
      <c r="W128" s="12">
        <f>IF((0=1),SUMIFS('Daily evaluations'!$H$2:$H$36,'Daily evaluations'!$B$2:$B$36,"=random_07",'Daily evaluations'!$C$2:$C$36,"=d20261020"),"")</f>
      </c>
      <c r="X128" s="12">
        <f>IF((0=1),SUMIFS('Daily evaluations'!$H$2:$H$36,'Daily evaluations'!$B$2:$B$36,"=random_07",'Daily evaluations'!$C$2:$C$36,"=d20261021"),"")</f>
      </c>
      <c r="Y128" s="12">
        <f>IF((0=1),SUMIFS('Daily evaluations'!$H$2:$H$36,'Daily evaluations'!$B$2:$B$36,"=random_07",'Daily evaluations'!$C$2:$C$36,"=d20261022"),"")</f>
      </c>
      <c r="Z128" s="12">
        <f>IF((0=1),SUMIFS('Daily evaluations'!$H$2:$H$36,'Daily evaluations'!$B$2:$B$36,"=random_07",'Daily evaluations'!$C$2:$C$36,"=d20261023"),"")</f>
      </c>
      <c r="AA128" s="12">
        <f>IF((0=1),SUMIFS('Daily evaluations'!$H$2:$H$36,'Daily evaluations'!$B$2:$B$36,"=random_07",'Daily evaluations'!$C$2:$C$36,"=d20261026"),"")</f>
      </c>
      <c r="AB128" s="12">
        <f>IF((0=1),SUMIFS('Daily evaluations'!$H$2:$H$36,'Daily evaluations'!$B$2:$B$36,"=random_07",'Daily evaluations'!$C$2:$C$36,"=d20261027"),"")</f>
      </c>
      <c r="AC128" s="12">
        <f>IF((0=1),SUMIFS('Daily evaluations'!$H$2:$H$36,'Daily evaluations'!$B$2:$B$36,"=random_07",'Daily evaluations'!$C$2:$C$36,"=d20261028"),"")</f>
      </c>
      <c r="AD128" s="12">
        <f>IF((0=1),SUMIFS('Daily evaluations'!$H$2:$H$36,'Daily evaluations'!$B$2:$B$36,"=random_07",'Daily evaluations'!$C$2:$C$36,"=d20261029"),"")</f>
      </c>
      <c r="AE128" s="12">
        <f>IF((0=1),SUMIFS('Daily evaluations'!$H$2:$H$36,'Daily evaluations'!$B$2:$B$36,"=random_07",'Daily evaluations'!$C$2:$C$36,"=d20261030"),"")</f>
      </c>
      <c r="AF128" s="12">
        <f>IF((0=1),SUMIFS('Daily evaluations'!$H$2:$H$36,'Daily evaluations'!$B$2:$B$36,"=random_07",'Daily evaluations'!$C$2:$C$36,"=d20261102"),"")</f>
      </c>
      <c r="AG128" s="12">
        <f>IF((0=1),SUMIFS('Daily evaluations'!$H$2:$H$36,'Daily evaluations'!$B$2:$B$36,"=random_07",'Daily evaluations'!$C$2:$C$36,"=d20261103"),"")</f>
      </c>
      <c r="AH128" s="12">
        <f>IF((0=1),SUMIFS('Daily evaluations'!$H$2:$H$36,'Daily evaluations'!$B$2:$B$36,"=random_07",'Daily evaluations'!$C$2:$C$36,"=d20261104"),"")</f>
      </c>
      <c r="AI128" s="12">
        <f>IF((0=1),SUMIFS('Daily evaluations'!$H$2:$H$36,'Daily evaluations'!$B$2:$B$36,"=random_07",'Daily evaluations'!$C$2:$C$36,"=d20261105"),"")</f>
      </c>
      <c r="AJ128" s="12">
        <f>IF((0=1),SUMIFS('Daily evaluations'!$H$2:$H$36,'Daily evaluations'!$B$2:$B$36,"=random_07",'Daily evaluations'!$C$2:$C$36,"=d20261106"),"")</f>
      </c>
      <c r="AK128" s="12">
        <f>IF((0=1),SUMIFS('Daily evaluations'!$H$2:$H$36,'Daily evaluations'!$B$2:$B$36,"=random_07",'Daily evaluations'!$C$2:$C$36,"=d20261109"),"")</f>
      </c>
      <c r="AL128" s="12">
        <f>IF((0=1),SUMIFS('Daily evaluations'!$H$2:$H$36,'Daily evaluations'!$B$2:$B$36,"=random_07",'Daily evaluations'!$C$2:$C$36,"=d20261110"),"")</f>
      </c>
      <c r="AM128" s="12">
        <f>IF((0=1),SUMIFS('Daily evaluations'!$H$2:$H$36,'Daily evaluations'!$B$2:$B$36,"=random_07",'Daily evaluations'!$C$2:$C$36,"=d20261111"),"")</f>
      </c>
      <c r="AN128" s="12">
        <f>IF((0=1),SUMIFS('Daily evaluations'!$H$2:$H$36,'Daily evaluations'!$B$2:$B$36,"=random_07",'Daily evaluations'!$C$2:$C$36,"=d20261112"),"")</f>
      </c>
      <c r="AO128" s="12">
        <f>IF((0=1),SUMIFS('Daily evaluations'!$H$2:$H$36,'Daily evaluations'!$B$2:$B$36,"=random_07",'Daily evaluations'!$C$2:$C$36,"=d20261113"),"")</f>
      </c>
      <c r="AP128" s="12">
        <f>IF((0=1),SUMIFS('Daily evaluations'!$H$2:$H$36,'Daily evaluations'!$B$2:$B$36,"=random_07",'Daily evaluations'!$C$2:$C$36,"=d20261116"),"")</f>
      </c>
      <c r="AQ128" s="12">
        <f>IF((0=1),SUMIFS('Daily evaluations'!$H$2:$H$36,'Daily evaluations'!$B$2:$B$36,"=random_07",'Daily evaluations'!$C$2:$C$36,"=d20261117"),"")</f>
      </c>
      <c r="AR128" s="12">
        <f>IF((0=1),SUMIFS('Daily evaluations'!$H$2:$H$36,'Daily evaluations'!$B$2:$B$36,"=random_07",'Daily evaluations'!$C$2:$C$36,"=d20261118"),"")</f>
      </c>
      <c r="AS128" s="12">
        <f>IF((0=1),SUMIFS('Daily evaluations'!$H$2:$H$36,'Daily evaluations'!$B$2:$B$36,"=random_07",'Daily evaluations'!$C$2:$C$36,"=d20261119"),"")</f>
      </c>
      <c r="AT128" s="12">
        <f>IF((0=1),SUMIFS('Daily evaluations'!$H$2:$H$36,'Daily evaluations'!$B$2:$B$36,"=random_07",'Daily evaluations'!$C$2:$C$36,"=d20261120"),"")</f>
      </c>
      <c r="AU128" s="12">
        <f>IF((0=1),SUMIFS('Daily evaluations'!$H$2:$H$36,'Daily evaluations'!$B$2:$B$36,"=random_07",'Daily evaluations'!$C$2:$C$36,"=d20261123"),"")</f>
      </c>
      <c r="AV128" s="12">
        <f>IF((0=1),SUMIFS('Daily evaluations'!$H$2:$H$36,'Daily evaluations'!$B$2:$B$36,"=random_07",'Daily evaluations'!$C$2:$C$36,"=d20261124"),"")</f>
      </c>
      <c r="AW128" s="12">
        <f>IF((0=1),SUMIFS('Daily evaluations'!$H$2:$H$36,'Daily evaluations'!$B$2:$B$36,"=random_07",'Daily evaluations'!$C$2:$C$36,"=d20261125"),"")</f>
      </c>
      <c r="AX128" s="12">
        <f>IF((0=1),SUMIFS('Daily evaluations'!$H$2:$H$36,'Daily evaluations'!$B$2:$B$36,"=random_07",'Daily evaluations'!$C$2:$C$36,"=d20261127"),"")</f>
      </c>
      <c r="AY128" s="12">
        <f>IF((0=1),SUMIFS('Daily evaluations'!$H$2:$H$36,'Daily evaluations'!$B$2:$B$36,"=random_07",'Daily evaluations'!$C$2:$C$36,"=d20261130"),"")</f>
      </c>
      <c r="AZ128" s="12">
        <f>IF((0=1),SUMIFS('Daily evaluations'!$H$2:$H$36,'Daily evaluations'!$B$2:$B$36,"=random_07",'Daily evaluations'!$C$2:$C$36,"=d20261201"),"")</f>
      </c>
      <c r="BA128" s="12">
        <f>IF((0=1),SUMIFS('Daily evaluations'!$H$2:$H$36,'Daily evaluations'!$B$2:$B$36,"=random_07",'Daily evaluations'!$C$2:$C$36,"=d20261202"),"")</f>
      </c>
      <c r="BB128" s="12">
        <f>IF((0=1),SUMIFS('Daily evaluations'!$H$2:$H$36,'Daily evaluations'!$B$2:$B$36,"=random_07",'Daily evaluations'!$C$2:$C$36,"=d20261203"),"")</f>
      </c>
      <c r="BC128" s="12">
        <f>IF((0=1),SUMIFS('Daily evaluations'!$H$2:$H$36,'Daily evaluations'!$B$2:$B$36,"=random_07",'Daily evaluations'!$C$2:$C$36,"=d20261204"),"")</f>
      </c>
      <c r="BD128" s="12">
        <f>IF((0=1),SUMIFS('Daily evaluations'!$H$2:$H$36,'Daily evaluations'!$B$2:$B$36,"=random_07",'Daily evaluations'!$C$2:$C$36,"=d20261207"),"")</f>
      </c>
      <c r="BE128" s="12">
        <f>IF((0=1),SUMIFS('Daily evaluations'!$H$2:$H$36,'Daily evaluations'!$B$2:$B$36,"=random_07",'Daily evaluations'!$C$2:$C$36,"=d20261208"),"")</f>
      </c>
      <c r="BF128" s="12">
        <f>IF((0=1),SUMIFS('Daily evaluations'!$H$2:$H$36,'Daily evaluations'!$B$2:$B$36,"=random_07",'Daily evaluations'!$C$2:$C$36,"=d20261209"),"")</f>
      </c>
      <c r="BG128" s="12">
        <f>IF((0=1),SUMIFS('Daily evaluations'!$H$2:$H$36,'Daily evaluations'!$B$2:$B$36,"=random_07",'Daily evaluations'!$C$2:$C$36,"=d20261210"),"")</f>
      </c>
      <c r="BH128" s="12">
        <f>IF((0=1),SUMIFS('Daily evaluations'!$H$2:$H$36,'Daily evaluations'!$B$2:$B$36,"=random_07",'Daily evaluations'!$C$2:$C$36,"=d20261211"),"")</f>
      </c>
      <c r="BI128" s="12">
        <f>IF((0=1),SUMIFS('Daily evaluations'!$H$2:$H$36,'Daily evaluations'!$B$2:$B$36,"=random_07",'Daily evaluations'!$C$2:$C$36,"=d20261214"),"")</f>
      </c>
      <c r="BJ128" s="12">
        <f>IF((0=1),SUMIFS('Daily evaluations'!$H$2:$H$36,'Daily evaluations'!$B$2:$B$36,"=random_07",'Daily evaluations'!$C$2:$C$36,"=d20261215"),"")</f>
      </c>
      <c r="BK128" s="12">
        <f>IF((0=1),SUMIFS('Daily evaluations'!$H$2:$H$36,'Daily evaluations'!$B$2:$B$36,"=random_07",'Daily evaluations'!$C$2:$C$36,"=d20261216"),"")</f>
      </c>
      <c r="BL128" s="12">
        <f>IF((0=1),SUMIFS('Daily evaluations'!$H$2:$H$36,'Daily evaluations'!$B$2:$B$36,"=random_07",'Daily evaluations'!$C$2:$C$36,"=d20261217"),"")</f>
      </c>
      <c r="BM128" s="12">
        <f>IF((0=1),SUMIFS('Daily evaluations'!$H$2:$H$36,'Daily evaluations'!$B$2:$B$36,"=random_07",'Daily evaluations'!$C$2:$C$36,"=d20261218"),"")</f>
      </c>
      <c r="BN128" s="12">
        <f>IF((0=1),SUMIFS('Daily evaluations'!$H$2:$H$36,'Daily evaluations'!$B$2:$B$36,"=random_07",'Daily evaluations'!$C$2:$C$36,"=d20261221"),"")</f>
      </c>
      <c r="BO128" s="12">
        <f>IF((0=1),SUMIFS('Daily evaluations'!$H$2:$H$36,'Daily evaluations'!$B$2:$B$36,"=random_07",'Daily evaluations'!$C$2:$C$36,"=d20261222"),"")</f>
      </c>
      <c r="BP128" s="12">
        <f>IF((0=1),SUMIFS('Daily evaluations'!$H$2:$H$36,'Daily evaluations'!$B$2:$B$36,"=random_07",'Daily evaluations'!$C$2:$C$36,"=d20261223"),"")</f>
      </c>
      <c r="BQ128" s="12">
        <f>IF((0=1),SUMIFS('Daily evaluations'!$H$2:$H$36,'Daily evaluations'!$B$2:$B$36,"=random_07",'Daily evaluations'!$C$2:$C$36,"=d20261224"),"")</f>
      </c>
      <c r="BR128" s="12">
        <f>IF((0=1),SUMIFS('Daily evaluations'!$H$2:$H$36,'Daily evaluations'!$B$2:$B$36,"=random_07",'Daily evaluations'!$C$2:$C$36,"=d20261228"),"")</f>
      </c>
      <c r="BS128" s="12">
        <f>IF((0=1),SUMIFS('Daily evaluations'!$H$2:$H$36,'Daily evaluations'!$B$2:$B$36,"=random_07",'Daily evaluations'!$C$2:$C$36,"=d20261229"),"")</f>
      </c>
      <c r="BT128" s="12">
        <f>IF((0=1),SUMIFS('Daily evaluations'!$H$2:$H$36,'Daily evaluations'!$B$2:$B$36,"=random_07",'Daily evaluations'!$C$2:$C$36,"=d20261230"),"")</f>
      </c>
      <c r="BU128" s="12">
        <f>IF((0=1),SUMIFS('Daily evaluations'!$H$2:$H$36,'Daily evaluations'!$B$2:$B$36,"=random_07",'Daily evaluations'!$C$2:$C$36,"=d20261231"),"")</f>
      </c>
      <c r="BV128" s="12">
        <f>IF((0=1),SUMIFS('Daily evaluations'!$H$2:$H$36,'Daily evaluations'!$B$2:$B$36,"=random_07",'Daily evaluations'!$C$2:$C$36,"=d20270104"),"")</f>
      </c>
      <c r="BW128" s="12">
        <f>IF((0=1),SUMIFS('Daily evaluations'!$H$2:$H$36,'Daily evaluations'!$B$2:$B$36,"=random_07",'Daily evaluations'!$C$2:$C$36,"=d20270105"),"")</f>
      </c>
      <c r="BX128" s="12">
        <f>IF((0=1),SUMIFS('Daily evaluations'!$H$2:$H$36,'Daily evaluations'!$B$2:$B$36,"=random_07",'Daily evaluations'!$C$2:$C$36,"=d20270106"),"")</f>
      </c>
      <c r="BY128" s="12">
        <f>IF((0=1),SUMIFS('Daily evaluations'!$H$2:$H$36,'Daily evaluations'!$B$2:$B$36,"=random_07",'Daily evaluations'!$C$2:$C$36,"=d20270107"),"")</f>
      </c>
      <c r="BZ128" s="12">
        <f>IF((0=1),SUMIFS('Daily evaluations'!$H$2:$H$36,'Daily evaluations'!$B$2:$B$36,"=random_07",'Daily evaluations'!$C$2:$C$36,"=d20270108"),"")</f>
      </c>
      <c r="CA128" s="12">
        <f>IF((0=1),SUMIFS('Daily evaluations'!$H$2:$H$36,'Daily evaluations'!$B$2:$B$36,"=random_07",'Daily evaluations'!$C$2:$C$36,"=d20270111"),"")</f>
      </c>
      <c r="CB128" s="12">
        <f>IF((0=1),SUMIFS('Daily evaluations'!$H$2:$H$36,'Daily evaluations'!$B$2:$B$36,"=random_07",'Daily evaluations'!$C$2:$C$36,"=d20270112"),"")</f>
      </c>
      <c r="CC128" s="12">
        <f>IF((0=1),SUMIFS('Daily evaluations'!$H$2:$H$36,'Daily evaluations'!$B$2:$B$36,"=random_07",'Daily evaluations'!$C$2:$C$36,"=d20270113"),"")</f>
      </c>
      <c r="CD128" s="12">
        <f>IF((0=1),SUMIFS('Daily evaluations'!$H$2:$H$36,'Daily evaluations'!$B$2:$B$36,"=random_07",'Daily evaluations'!$C$2:$C$36,"=d20270114"),"")</f>
      </c>
      <c r="CE128" s="12">
        <f>IF((0=1),SUMIFS('Daily evaluations'!$H$2:$H$36,'Daily evaluations'!$B$2:$B$36,"=random_07",'Daily evaluations'!$C$2:$C$36,"=d20270115"),"")</f>
      </c>
      <c r="CF128" s="12">
        <f>IF((0=1),SUMIFS('Daily evaluations'!$H$2:$H$36,'Daily evaluations'!$B$2:$B$36,"=random_07",'Daily evaluations'!$C$2:$C$36,"=d20270119"),"")</f>
      </c>
      <c r="CG128" s="12">
        <f>IF((0=1),SUMIFS('Daily evaluations'!$H$2:$H$36,'Daily evaluations'!$B$2:$B$36,"=random_07",'Daily evaluations'!$C$2:$C$36,"=d20270120"),"")</f>
      </c>
      <c r="CH128" s="12">
        <f>IF((0=1),SUMIFS('Daily evaluations'!$H$2:$H$36,'Daily evaluations'!$B$2:$B$36,"=random_07",'Daily evaluations'!$C$2:$C$36,"=d20270121"),"")</f>
      </c>
      <c r="CI128" s="12">
        <f>IF((0=1),SUMIFS('Daily evaluations'!$H$2:$H$36,'Daily evaluations'!$B$2:$B$36,"=random_07",'Daily evaluations'!$C$2:$C$36,"=d20270122"),"")</f>
      </c>
      <c r="CJ128" s="12">
        <f>IF((0=1),SUMIFS('Daily evaluations'!$H$2:$H$36,'Daily evaluations'!$B$2:$B$36,"=random_07",'Daily evaluations'!$C$2:$C$36,"=d20270125"),"")</f>
      </c>
      <c r="CK128" s="12">
        <f>IF((0=1),SUMIFS('Daily evaluations'!$H$2:$H$36,'Daily evaluations'!$B$2:$B$36,"=random_07",'Daily evaluations'!$C$2:$C$36,"=d20270126"),"")</f>
      </c>
      <c r="CL128" s="12">
        <f>IF((0=1),SUMIFS('Daily evaluations'!$H$2:$H$36,'Daily evaluations'!$B$2:$B$36,"=random_07",'Daily evaluations'!$C$2:$C$36,"=d20270127"),"")</f>
      </c>
      <c r="CM128" s="12">
        <f>IF((0=1),SUMIFS('Daily evaluations'!$H$2:$H$36,'Daily evaluations'!$B$2:$B$36,"=random_07",'Daily evaluations'!$C$2:$C$36,"=d20270128"),"")</f>
      </c>
      <c r="CN128" s="12">
        <f>IF((0=1),SUMIFS('Daily evaluations'!$H$2:$H$36,'Daily evaluations'!$B$2:$B$36,"=random_07",'Daily evaluations'!$C$2:$C$36,"=d20270129"),"")</f>
      </c>
      <c r="CO128" s="12">
        <f>IF((0=1),SUMIFS('Daily evaluations'!$H$2:$H$36,'Daily evaluations'!$B$2:$B$36,"=random_07",'Daily evaluations'!$C$2:$C$36,"=d20270201"),"")</f>
      </c>
      <c r="CP128" s="12">
        <f>IF((0=1),SUMIFS('Daily evaluations'!$H$2:$H$36,'Daily evaluations'!$B$2:$B$36,"=random_07",'Daily evaluations'!$C$2:$C$36,"=d20270202"),"")</f>
      </c>
      <c r="CQ128" s="12">
        <f>IF((0=1),SUMIFS('Daily evaluations'!$H$2:$H$36,'Daily evaluations'!$B$2:$B$36,"=random_07",'Daily evaluations'!$C$2:$C$36,"=d20270203"),"")</f>
      </c>
      <c r="CR128" s="12">
        <f>IF((0=1),SUMIFS('Daily evaluations'!$H$2:$H$36,'Daily evaluations'!$B$2:$B$36,"=random_07",'Daily evaluations'!$C$2:$C$36,"=d20270204"),"")</f>
      </c>
      <c r="CS128" s="12">
        <f>IF((0=1),SUMIFS('Daily evaluations'!$H$2:$H$36,'Daily evaluations'!$B$2:$B$36,"=random_07",'Daily evaluations'!$C$2:$C$36,"=d20270205"),"")</f>
      </c>
      <c r="CT128" s="12">
        <f>IF((0=1),SUMIFS('Daily evaluations'!$H$2:$H$36,'Daily evaluations'!$B$2:$B$36,"=random_07",'Daily evaluations'!$C$2:$C$36,"=d20270208"),"")</f>
      </c>
      <c r="CU128" s="12">
        <f>IF((0=1),SUMIFS('Daily evaluations'!$H$2:$H$36,'Daily evaluations'!$B$2:$B$36,"=random_07",'Daily evaluations'!$C$2:$C$36,"=d20270209"),"")</f>
      </c>
      <c r="CV128" s="12">
        <f>IF((0=1),SUMIFS('Daily evaluations'!$H$2:$H$36,'Daily evaluations'!$B$2:$B$36,"=random_07",'Daily evaluations'!$C$2:$C$36,"=d20270210"),"")</f>
      </c>
      <c r="CW128" s="12">
        <f>IF((0=1),SUMIFS('Daily evaluations'!$H$2:$H$36,'Daily evaluations'!$B$2:$B$36,"=random_07",'Daily evaluations'!$C$2:$C$36,"=d20270211"),"")</f>
      </c>
      <c r="CX128" s="12">
        <f>IF((0=1),SUMIFS('Daily evaluations'!$H$2:$H$36,'Daily evaluations'!$B$2:$B$36,"=random_07",'Daily evaluations'!$C$2:$C$36,"=d20270212"),"")</f>
      </c>
    </row>
    <row r="129">
      <c r="A129" s="0" t="inlineStr">
        <is>
          <t xml:space="preserve">Hit rate vs universe median</t>
        </is>
      </c>
      <c r="B129" s="0" t="inlineStr">
        <is>
          <t xml:space="preserve">Random 8</t>
        </is>
      </c>
      <c r="C129" s="12">
        <f>IF((1=1),SUMIFS('Daily evaluations'!$H$2:$H$36,'Daily evaluations'!$B$2:$B$36,"=random_08",'Daily evaluations'!$C$2:$C$36,"=d20260922"),"")</f>
        <v>0.5</v>
      </c>
      <c r="D129" s="12">
        <f>IF((0=1),SUMIFS('Daily evaluations'!$H$2:$H$36,'Daily evaluations'!$B$2:$B$36,"=random_08",'Daily evaluations'!$C$2:$C$36,"=d20260923"),"")</f>
      </c>
      <c r="E129" s="12">
        <f>IF((0=1),SUMIFS('Daily evaluations'!$H$2:$H$36,'Daily evaluations'!$B$2:$B$36,"=random_08",'Daily evaluations'!$C$2:$C$36,"=d20260924"),"")</f>
      </c>
      <c r="F129" s="12">
        <f>IF((0=1),SUMIFS('Daily evaluations'!$H$2:$H$36,'Daily evaluations'!$B$2:$B$36,"=random_08",'Daily evaluations'!$C$2:$C$36,"=d20260925"),"")</f>
      </c>
      <c r="G129" s="12">
        <f>IF((0=1),SUMIFS('Daily evaluations'!$H$2:$H$36,'Daily evaluations'!$B$2:$B$36,"=random_08",'Daily evaluations'!$C$2:$C$36,"=d20260928"),"")</f>
      </c>
      <c r="H129" s="12">
        <f>IF((0=1),SUMIFS('Daily evaluations'!$H$2:$H$36,'Daily evaluations'!$B$2:$B$36,"=random_08",'Daily evaluations'!$C$2:$C$36,"=d20260929"),"")</f>
      </c>
      <c r="I129" s="12">
        <f>IF((0=1),SUMIFS('Daily evaluations'!$H$2:$H$36,'Daily evaluations'!$B$2:$B$36,"=random_08",'Daily evaluations'!$C$2:$C$36,"=d20260930"),"")</f>
      </c>
      <c r="J129" s="12">
        <f>IF((0=1),SUMIFS('Daily evaluations'!$H$2:$H$36,'Daily evaluations'!$B$2:$B$36,"=random_08",'Daily evaluations'!$C$2:$C$36,"=d20261001"),"")</f>
      </c>
      <c r="K129" s="12">
        <f>IF((0=1),SUMIFS('Daily evaluations'!$H$2:$H$36,'Daily evaluations'!$B$2:$B$36,"=random_08",'Daily evaluations'!$C$2:$C$36,"=d20261002"),"")</f>
      </c>
      <c r="L129" s="12">
        <f>IF((0=1),SUMIFS('Daily evaluations'!$H$2:$H$36,'Daily evaluations'!$B$2:$B$36,"=random_08",'Daily evaluations'!$C$2:$C$36,"=d20261005"),"")</f>
      </c>
      <c r="M129" s="12">
        <f>IF((0=1),SUMIFS('Daily evaluations'!$H$2:$H$36,'Daily evaluations'!$B$2:$B$36,"=random_08",'Daily evaluations'!$C$2:$C$36,"=d20261006"),"")</f>
      </c>
      <c r="N129" s="12">
        <f>IF((0=1),SUMIFS('Daily evaluations'!$H$2:$H$36,'Daily evaluations'!$B$2:$B$36,"=random_08",'Daily evaluations'!$C$2:$C$36,"=d20261007"),"")</f>
      </c>
      <c r="O129" s="12">
        <f>IF((0=1),SUMIFS('Daily evaluations'!$H$2:$H$36,'Daily evaluations'!$B$2:$B$36,"=random_08",'Daily evaluations'!$C$2:$C$36,"=d20261008"),"")</f>
      </c>
      <c r="P129" s="12">
        <f>IF((0=1),SUMIFS('Daily evaluations'!$H$2:$H$36,'Daily evaluations'!$B$2:$B$36,"=random_08",'Daily evaluations'!$C$2:$C$36,"=d20261009"),"")</f>
      </c>
      <c r="Q129" s="12">
        <f>IF((0=1),SUMIFS('Daily evaluations'!$H$2:$H$36,'Daily evaluations'!$B$2:$B$36,"=random_08",'Daily evaluations'!$C$2:$C$36,"=d20261012"),"")</f>
      </c>
      <c r="R129" s="12">
        <f>IF((0=1),SUMIFS('Daily evaluations'!$H$2:$H$36,'Daily evaluations'!$B$2:$B$36,"=random_08",'Daily evaluations'!$C$2:$C$36,"=d20261013"),"")</f>
      </c>
      <c r="S129" s="12">
        <f>IF((0=1),SUMIFS('Daily evaluations'!$H$2:$H$36,'Daily evaluations'!$B$2:$B$36,"=random_08",'Daily evaluations'!$C$2:$C$36,"=d20261014"),"")</f>
      </c>
      <c r="T129" s="12">
        <f>IF((0=1),SUMIFS('Daily evaluations'!$H$2:$H$36,'Daily evaluations'!$B$2:$B$36,"=random_08",'Daily evaluations'!$C$2:$C$36,"=d20261015"),"")</f>
      </c>
      <c r="U129" s="12">
        <f>IF((0=1),SUMIFS('Daily evaluations'!$H$2:$H$36,'Daily evaluations'!$B$2:$B$36,"=random_08",'Daily evaluations'!$C$2:$C$36,"=d20261016"),"")</f>
      </c>
      <c r="V129" s="12">
        <f>IF((0=1),SUMIFS('Daily evaluations'!$H$2:$H$36,'Daily evaluations'!$B$2:$B$36,"=random_08",'Daily evaluations'!$C$2:$C$36,"=d20261019"),"")</f>
      </c>
      <c r="W129" s="12">
        <f>IF((0=1),SUMIFS('Daily evaluations'!$H$2:$H$36,'Daily evaluations'!$B$2:$B$36,"=random_08",'Daily evaluations'!$C$2:$C$36,"=d20261020"),"")</f>
      </c>
      <c r="X129" s="12">
        <f>IF((0=1),SUMIFS('Daily evaluations'!$H$2:$H$36,'Daily evaluations'!$B$2:$B$36,"=random_08",'Daily evaluations'!$C$2:$C$36,"=d20261021"),"")</f>
      </c>
      <c r="Y129" s="12">
        <f>IF((0=1),SUMIFS('Daily evaluations'!$H$2:$H$36,'Daily evaluations'!$B$2:$B$36,"=random_08",'Daily evaluations'!$C$2:$C$36,"=d20261022"),"")</f>
      </c>
      <c r="Z129" s="12">
        <f>IF((0=1),SUMIFS('Daily evaluations'!$H$2:$H$36,'Daily evaluations'!$B$2:$B$36,"=random_08",'Daily evaluations'!$C$2:$C$36,"=d20261023"),"")</f>
      </c>
      <c r="AA129" s="12">
        <f>IF((0=1),SUMIFS('Daily evaluations'!$H$2:$H$36,'Daily evaluations'!$B$2:$B$36,"=random_08",'Daily evaluations'!$C$2:$C$36,"=d20261026"),"")</f>
      </c>
      <c r="AB129" s="12">
        <f>IF((0=1),SUMIFS('Daily evaluations'!$H$2:$H$36,'Daily evaluations'!$B$2:$B$36,"=random_08",'Daily evaluations'!$C$2:$C$36,"=d20261027"),"")</f>
      </c>
      <c r="AC129" s="12">
        <f>IF((0=1),SUMIFS('Daily evaluations'!$H$2:$H$36,'Daily evaluations'!$B$2:$B$36,"=random_08",'Daily evaluations'!$C$2:$C$36,"=d20261028"),"")</f>
      </c>
      <c r="AD129" s="12">
        <f>IF((0=1),SUMIFS('Daily evaluations'!$H$2:$H$36,'Daily evaluations'!$B$2:$B$36,"=random_08",'Daily evaluations'!$C$2:$C$36,"=d20261029"),"")</f>
      </c>
      <c r="AE129" s="12">
        <f>IF((0=1),SUMIFS('Daily evaluations'!$H$2:$H$36,'Daily evaluations'!$B$2:$B$36,"=random_08",'Daily evaluations'!$C$2:$C$36,"=d20261030"),"")</f>
      </c>
      <c r="AF129" s="12">
        <f>IF((0=1),SUMIFS('Daily evaluations'!$H$2:$H$36,'Daily evaluations'!$B$2:$B$36,"=random_08",'Daily evaluations'!$C$2:$C$36,"=d20261102"),"")</f>
      </c>
      <c r="AG129" s="12">
        <f>IF((0=1),SUMIFS('Daily evaluations'!$H$2:$H$36,'Daily evaluations'!$B$2:$B$36,"=random_08",'Daily evaluations'!$C$2:$C$36,"=d20261103"),"")</f>
      </c>
      <c r="AH129" s="12">
        <f>IF((0=1),SUMIFS('Daily evaluations'!$H$2:$H$36,'Daily evaluations'!$B$2:$B$36,"=random_08",'Daily evaluations'!$C$2:$C$36,"=d20261104"),"")</f>
      </c>
      <c r="AI129" s="12">
        <f>IF((0=1),SUMIFS('Daily evaluations'!$H$2:$H$36,'Daily evaluations'!$B$2:$B$36,"=random_08",'Daily evaluations'!$C$2:$C$36,"=d20261105"),"")</f>
      </c>
      <c r="AJ129" s="12">
        <f>IF((0=1),SUMIFS('Daily evaluations'!$H$2:$H$36,'Daily evaluations'!$B$2:$B$36,"=random_08",'Daily evaluations'!$C$2:$C$36,"=d20261106"),"")</f>
      </c>
      <c r="AK129" s="12">
        <f>IF((0=1),SUMIFS('Daily evaluations'!$H$2:$H$36,'Daily evaluations'!$B$2:$B$36,"=random_08",'Daily evaluations'!$C$2:$C$36,"=d20261109"),"")</f>
      </c>
      <c r="AL129" s="12">
        <f>IF((0=1),SUMIFS('Daily evaluations'!$H$2:$H$36,'Daily evaluations'!$B$2:$B$36,"=random_08",'Daily evaluations'!$C$2:$C$36,"=d20261110"),"")</f>
      </c>
      <c r="AM129" s="12">
        <f>IF((0=1),SUMIFS('Daily evaluations'!$H$2:$H$36,'Daily evaluations'!$B$2:$B$36,"=random_08",'Daily evaluations'!$C$2:$C$36,"=d20261111"),"")</f>
      </c>
      <c r="AN129" s="12">
        <f>IF((0=1),SUMIFS('Daily evaluations'!$H$2:$H$36,'Daily evaluations'!$B$2:$B$36,"=random_08",'Daily evaluations'!$C$2:$C$36,"=d20261112"),"")</f>
      </c>
      <c r="AO129" s="12">
        <f>IF((0=1),SUMIFS('Daily evaluations'!$H$2:$H$36,'Daily evaluations'!$B$2:$B$36,"=random_08",'Daily evaluations'!$C$2:$C$36,"=d20261113"),"")</f>
      </c>
      <c r="AP129" s="12">
        <f>IF((0=1),SUMIFS('Daily evaluations'!$H$2:$H$36,'Daily evaluations'!$B$2:$B$36,"=random_08",'Daily evaluations'!$C$2:$C$36,"=d20261116"),"")</f>
      </c>
      <c r="AQ129" s="12">
        <f>IF((0=1),SUMIFS('Daily evaluations'!$H$2:$H$36,'Daily evaluations'!$B$2:$B$36,"=random_08",'Daily evaluations'!$C$2:$C$36,"=d20261117"),"")</f>
      </c>
      <c r="AR129" s="12">
        <f>IF((0=1),SUMIFS('Daily evaluations'!$H$2:$H$36,'Daily evaluations'!$B$2:$B$36,"=random_08",'Daily evaluations'!$C$2:$C$36,"=d20261118"),"")</f>
      </c>
      <c r="AS129" s="12">
        <f>IF((0=1),SUMIFS('Daily evaluations'!$H$2:$H$36,'Daily evaluations'!$B$2:$B$36,"=random_08",'Daily evaluations'!$C$2:$C$36,"=d20261119"),"")</f>
      </c>
      <c r="AT129" s="12">
        <f>IF((0=1),SUMIFS('Daily evaluations'!$H$2:$H$36,'Daily evaluations'!$B$2:$B$36,"=random_08",'Daily evaluations'!$C$2:$C$36,"=d20261120"),"")</f>
      </c>
      <c r="AU129" s="12">
        <f>IF((0=1),SUMIFS('Daily evaluations'!$H$2:$H$36,'Daily evaluations'!$B$2:$B$36,"=random_08",'Daily evaluations'!$C$2:$C$36,"=d20261123"),"")</f>
      </c>
      <c r="AV129" s="12">
        <f>IF((0=1),SUMIFS('Daily evaluations'!$H$2:$H$36,'Daily evaluations'!$B$2:$B$36,"=random_08",'Daily evaluations'!$C$2:$C$36,"=d20261124"),"")</f>
      </c>
      <c r="AW129" s="12">
        <f>IF((0=1),SUMIFS('Daily evaluations'!$H$2:$H$36,'Daily evaluations'!$B$2:$B$36,"=random_08",'Daily evaluations'!$C$2:$C$36,"=d20261125"),"")</f>
      </c>
      <c r="AX129" s="12">
        <f>IF((0=1),SUMIFS('Daily evaluations'!$H$2:$H$36,'Daily evaluations'!$B$2:$B$36,"=random_08",'Daily evaluations'!$C$2:$C$36,"=d20261127"),"")</f>
      </c>
      <c r="AY129" s="12">
        <f>IF((0=1),SUMIFS('Daily evaluations'!$H$2:$H$36,'Daily evaluations'!$B$2:$B$36,"=random_08",'Daily evaluations'!$C$2:$C$36,"=d20261130"),"")</f>
      </c>
      <c r="AZ129" s="12">
        <f>IF((0=1),SUMIFS('Daily evaluations'!$H$2:$H$36,'Daily evaluations'!$B$2:$B$36,"=random_08",'Daily evaluations'!$C$2:$C$36,"=d20261201"),"")</f>
      </c>
      <c r="BA129" s="12">
        <f>IF((0=1),SUMIFS('Daily evaluations'!$H$2:$H$36,'Daily evaluations'!$B$2:$B$36,"=random_08",'Daily evaluations'!$C$2:$C$36,"=d20261202"),"")</f>
      </c>
      <c r="BB129" s="12">
        <f>IF((0=1),SUMIFS('Daily evaluations'!$H$2:$H$36,'Daily evaluations'!$B$2:$B$36,"=random_08",'Daily evaluations'!$C$2:$C$36,"=d20261203"),"")</f>
      </c>
      <c r="BC129" s="12">
        <f>IF((0=1),SUMIFS('Daily evaluations'!$H$2:$H$36,'Daily evaluations'!$B$2:$B$36,"=random_08",'Daily evaluations'!$C$2:$C$36,"=d20261204"),"")</f>
      </c>
      <c r="BD129" s="12">
        <f>IF((0=1),SUMIFS('Daily evaluations'!$H$2:$H$36,'Daily evaluations'!$B$2:$B$36,"=random_08",'Daily evaluations'!$C$2:$C$36,"=d20261207"),"")</f>
      </c>
      <c r="BE129" s="12">
        <f>IF((0=1),SUMIFS('Daily evaluations'!$H$2:$H$36,'Daily evaluations'!$B$2:$B$36,"=random_08",'Daily evaluations'!$C$2:$C$36,"=d20261208"),"")</f>
      </c>
      <c r="BF129" s="12">
        <f>IF((0=1),SUMIFS('Daily evaluations'!$H$2:$H$36,'Daily evaluations'!$B$2:$B$36,"=random_08",'Daily evaluations'!$C$2:$C$36,"=d20261209"),"")</f>
      </c>
      <c r="BG129" s="12">
        <f>IF((0=1),SUMIFS('Daily evaluations'!$H$2:$H$36,'Daily evaluations'!$B$2:$B$36,"=random_08",'Daily evaluations'!$C$2:$C$36,"=d20261210"),"")</f>
      </c>
      <c r="BH129" s="12">
        <f>IF((0=1),SUMIFS('Daily evaluations'!$H$2:$H$36,'Daily evaluations'!$B$2:$B$36,"=random_08",'Daily evaluations'!$C$2:$C$36,"=d20261211"),"")</f>
      </c>
      <c r="BI129" s="12">
        <f>IF((0=1),SUMIFS('Daily evaluations'!$H$2:$H$36,'Daily evaluations'!$B$2:$B$36,"=random_08",'Daily evaluations'!$C$2:$C$36,"=d20261214"),"")</f>
      </c>
      <c r="BJ129" s="12">
        <f>IF((0=1),SUMIFS('Daily evaluations'!$H$2:$H$36,'Daily evaluations'!$B$2:$B$36,"=random_08",'Daily evaluations'!$C$2:$C$36,"=d20261215"),"")</f>
      </c>
      <c r="BK129" s="12">
        <f>IF((0=1),SUMIFS('Daily evaluations'!$H$2:$H$36,'Daily evaluations'!$B$2:$B$36,"=random_08",'Daily evaluations'!$C$2:$C$36,"=d20261216"),"")</f>
      </c>
      <c r="BL129" s="12">
        <f>IF((0=1),SUMIFS('Daily evaluations'!$H$2:$H$36,'Daily evaluations'!$B$2:$B$36,"=random_08",'Daily evaluations'!$C$2:$C$36,"=d20261217"),"")</f>
      </c>
      <c r="BM129" s="12">
        <f>IF((0=1),SUMIFS('Daily evaluations'!$H$2:$H$36,'Daily evaluations'!$B$2:$B$36,"=random_08",'Daily evaluations'!$C$2:$C$36,"=d20261218"),"")</f>
      </c>
      <c r="BN129" s="12">
        <f>IF((0=1),SUMIFS('Daily evaluations'!$H$2:$H$36,'Daily evaluations'!$B$2:$B$36,"=random_08",'Daily evaluations'!$C$2:$C$36,"=d20261221"),"")</f>
      </c>
      <c r="BO129" s="12">
        <f>IF((0=1),SUMIFS('Daily evaluations'!$H$2:$H$36,'Daily evaluations'!$B$2:$B$36,"=random_08",'Daily evaluations'!$C$2:$C$36,"=d20261222"),"")</f>
      </c>
      <c r="BP129" s="12">
        <f>IF((0=1),SUMIFS('Daily evaluations'!$H$2:$H$36,'Daily evaluations'!$B$2:$B$36,"=random_08",'Daily evaluations'!$C$2:$C$36,"=d20261223"),"")</f>
      </c>
      <c r="BQ129" s="12">
        <f>IF((0=1),SUMIFS('Daily evaluations'!$H$2:$H$36,'Daily evaluations'!$B$2:$B$36,"=random_08",'Daily evaluations'!$C$2:$C$36,"=d20261224"),"")</f>
      </c>
      <c r="BR129" s="12">
        <f>IF((0=1),SUMIFS('Daily evaluations'!$H$2:$H$36,'Daily evaluations'!$B$2:$B$36,"=random_08",'Daily evaluations'!$C$2:$C$36,"=d20261228"),"")</f>
      </c>
      <c r="BS129" s="12">
        <f>IF((0=1),SUMIFS('Daily evaluations'!$H$2:$H$36,'Daily evaluations'!$B$2:$B$36,"=random_08",'Daily evaluations'!$C$2:$C$36,"=d20261229"),"")</f>
      </c>
      <c r="BT129" s="12">
        <f>IF((0=1),SUMIFS('Daily evaluations'!$H$2:$H$36,'Daily evaluations'!$B$2:$B$36,"=random_08",'Daily evaluations'!$C$2:$C$36,"=d20261230"),"")</f>
      </c>
      <c r="BU129" s="12">
        <f>IF((0=1),SUMIFS('Daily evaluations'!$H$2:$H$36,'Daily evaluations'!$B$2:$B$36,"=random_08",'Daily evaluations'!$C$2:$C$36,"=d20261231"),"")</f>
      </c>
      <c r="BV129" s="12">
        <f>IF((0=1),SUMIFS('Daily evaluations'!$H$2:$H$36,'Daily evaluations'!$B$2:$B$36,"=random_08",'Daily evaluations'!$C$2:$C$36,"=d20270104"),"")</f>
      </c>
      <c r="BW129" s="12">
        <f>IF((0=1),SUMIFS('Daily evaluations'!$H$2:$H$36,'Daily evaluations'!$B$2:$B$36,"=random_08",'Daily evaluations'!$C$2:$C$36,"=d20270105"),"")</f>
      </c>
      <c r="BX129" s="12">
        <f>IF((0=1),SUMIFS('Daily evaluations'!$H$2:$H$36,'Daily evaluations'!$B$2:$B$36,"=random_08",'Daily evaluations'!$C$2:$C$36,"=d20270106"),"")</f>
      </c>
      <c r="BY129" s="12">
        <f>IF((0=1),SUMIFS('Daily evaluations'!$H$2:$H$36,'Daily evaluations'!$B$2:$B$36,"=random_08",'Daily evaluations'!$C$2:$C$36,"=d20270107"),"")</f>
      </c>
      <c r="BZ129" s="12">
        <f>IF((0=1),SUMIFS('Daily evaluations'!$H$2:$H$36,'Daily evaluations'!$B$2:$B$36,"=random_08",'Daily evaluations'!$C$2:$C$36,"=d20270108"),"")</f>
      </c>
      <c r="CA129" s="12">
        <f>IF((0=1),SUMIFS('Daily evaluations'!$H$2:$H$36,'Daily evaluations'!$B$2:$B$36,"=random_08",'Daily evaluations'!$C$2:$C$36,"=d20270111"),"")</f>
      </c>
      <c r="CB129" s="12">
        <f>IF((0=1),SUMIFS('Daily evaluations'!$H$2:$H$36,'Daily evaluations'!$B$2:$B$36,"=random_08",'Daily evaluations'!$C$2:$C$36,"=d20270112"),"")</f>
      </c>
      <c r="CC129" s="12">
        <f>IF((0=1),SUMIFS('Daily evaluations'!$H$2:$H$36,'Daily evaluations'!$B$2:$B$36,"=random_08",'Daily evaluations'!$C$2:$C$36,"=d20270113"),"")</f>
      </c>
      <c r="CD129" s="12">
        <f>IF((0=1),SUMIFS('Daily evaluations'!$H$2:$H$36,'Daily evaluations'!$B$2:$B$36,"=random_08",'Daily evaluations'!$C$2:$C$36,"=d20270114"),"")</f>
      </c>
      <c r="CE129" s="12">
        <f>IF((0=1),SUMIFS('Daily evaluations'!$H$2:$H$36,'Daily evaluations'!$B$2:$B$36,"=random_08",'Daily evaluations'!$C$2:$C$36,"=d20270115"),"")</f>
      </c>
      <c r="CF129" s="12">
        <f>IF((0=1),SUMIFS('Daily evaluations'!$H$2:$H$36,'Daily evaluations'!$B$2:$B$36,"=random_08",'Daily evaluations'!$C$2:$C$36,"=d20270119"),"")</f>
      </c>
      <c r="CG129" s="12">
        <f>IF((0=1),SUMIFS('Daily evaluations'!$H$2:$H$36,'Daily evaluations'!$B$2:$B$36,"=random_08",'Daily evaluations'!$C$2:$C$36,"=d20270120"),"")</f>
      </c>
      <c r="CH129" s="12">
        <f>IF((0=1),SUMIFS('Daily evaluations'!$H$2:$H$36,'Daily evaluations'!$B$2:$B$36,"=random_08",'Daily evaluations'!$C$2:$C$36,"=d20270121"),"")</f>
      </c>
      <c r="CI129" s="12">
        <f>IF((0=1),SUMIFS('Daily evaluations'!$H$2:$H$36,'Daily evaluations'!$B$2:$B$36,"=random_08",'Daily evaluations'!$C$2:$C$36,"=d20270122"),"")</f>
      </c>
      <c r="CJ129" s="12">
        <f>IF((0=1),SUMIFS('Daily evaluations'!$H$2:$H$36,'Daily evaluations'!$B$2:$B$36,"=random_08",'Daily evaluations'!$C$2:$C$36,"=d20270125"),"")</f>
      </c>
      <c r="CK129" s="12">
        <f>IF((0=1),SUMIFS('Daily evaluations'!$H$2:$H$36,'Daily evaluations'!$B$2:$B$36,"=random_08",'Daily evaluations'!$C$2:$C$36,"=d20270126"),"")</f>
      </c>
      <c r="CL129" s="12">
        <f>IF((0=1),SUMIFS('Daily evaluations'!$H$2:$H$36,'Daily evaluations'!$B$2:$B$36,"=random_08",'Daily evaluations'!$C$2:$C$36,"=d20270127"),"")</f>
      </c>
      <c r="CM129" s="12">
        <f>IF((0=1),SUMIFS('Daily evaluations'!$H$2:$H$36,'Daily evaluations'!$B$2:$B$36,"=random_08",'Daily evaluations'!$C$2:$C$36,"=d20270128"),"")</f>
      </c>
      <c r="CN129" s="12">
        <f>IF((0=1),SUMIFS('Daily evaluations'!$H$2:$H$36,'Daily evaluations'!$B$2:$B$36,"=random_08",'Daily evaluations'!$C$2:$C$36,"=d20270129"),"")</f>
      </c>
      <c r="CO129" s="12">
        <f>IF((0=1),SUMIFS('Daily evaluations'!$H$2:$H$36,'Daily evaluations'!$B$2:$B$36,"=random_08",'Daily evaluations'!$C$2:$C$36,"=d20270201"),"")</f>
      </c>
      <c r="CP129" s="12">
        <f>IF((0=1),SUMIFS('Daily evaluations'!$H$2:$H$36,'Daily evaluations'!$B$2:$B$36,"=random_08",'Daily evaluations'!$C$2:$C$36,"=d20270202"),"")</f>
      </c>
      <c r="CQ129" s="12">
        <f>IF((0=1),SUMIFS('Daily evaluations'!$H$2:$H$36,'Daily evaluations'!$B$2:$B$36,"=random_08",'Daily evaluations'!$C$2:$C$36,"=d20270203"),"")</f>
      </c>
      <c r="CR129" s="12">
        <f>IF((0=1),SUMIFS('Daily evaluations'!$H$2:$H$36,'Daily evaluations'!$B$2:$B$36,"=random_08",'Daily evaluations'!$C$2:$C$36,"=d20270204"),"")</f>
      </c>
      <c r="CS129" s="12">
        <f>IF((0=1),SUMIFS('Daily evaluations'!$H$2:$H$36,'Daily evaluations'!$B$2:$B$36,"=random_08",'Daily evaluations'!$C$2:$C$36,"=d20270205"),"")</f>
      </c>
      <c r="CT129" s="12">
        <f>IF((0=1),SUMIFS('Daily evaluations'!$H$2:$H$36,'Daily evaluations'!$B$2:$B$36,"=random_08",'Daily evaluations'!$C$2:$C$36,"=d20270208"),"")</f>
      </c>
      <c r="CU129" s="12">
        <f>IF((0=1),SUMIFS('Daily evaluations'!$H$2:$H$36,'Daily evaluations'!$B$2:$B$36,"=random_08",'Daily evaluations'!$C$2:$C$36,"=d20270209"),"")</f>
      </c>
      <c r="CV129" s="12">
        <f>IF((0=1),SUMIFS('Daily evaluations'!$H$2:$H$36,'Daily evaluations'!$B$2:$B$36,"=random_08",'Daily evaluations'!$C$2:$C$36,"=d20270210"),"")</f>
      </c>
      <c r="CW129" s="12">
        <f>IF((0=1),SUMIFS('Daily evaluations'!$H$2:$H$36,'Daily evaluations'!$B$2:$B$36,"=random_08",'Daily evaluations'!$C$2:$C$36,"=d20270211"),"")</f>
      </c>
      <c r="CX129" s="12">
        <f>IF((0=1),SUMIFS('Daily evaluations'!$H$2:$H$36,'Daily evaluations'!$B$2:$B$36,"=random_08",'Daily evaluations'!$C$2:$C$36,"=d20270212"),"")</f>
      </c>
    </row>
    <row r="130">
      <c r="A130" s="0" t="inlineStr">
        <is>
          <t xml:space="preserve">Hit rate vs universe median</t>
        </is>
      </c>
      <c r="B130" s="0" t="inlineStr">
        <is>
          <t xml:space="preserve">Random 9</t>
        </is>
      </c>
      <c r="C130" s="12">
        <f>IF((1=1),SUMIFS('Daily evaluations'!$H$2:$H$36,'Daily evaluations'!$B$2:$B$36,"=random_09",'Daily evaluations'!$C$2:$C$36,"=d20260922"),"")</f>
        <v>0.44</v>
      </c>
      <c r="D130" s="12">
        <f>IF((0=1),SUMIFS('Daily evaluations'!$H$2:$H$36,'Daily evaluations'!$B$2:$B$36,"=random_09",'Daily evaluations'!$C$2:$C$36,"=d20260923"),"")</f>
      </c>
      <c r="E130" s="12">
        <f>IF((0=1),SUMIFS('Daily evaluations'!$H$2:$H$36,'Daily evaluations'!$B$2:$B$36,"=random_09",'Daily evaluations'!$C$2:$C$36,"=d20260924"),"")</f>
      </c>
      <c r="F130" s="12">
        <f>IF((0=1),SUMIFS('Daily evaluations'!$H$2:$H$36,'Daily evaluations'!$B$2:$B$36,"=random_09",'Daily evaluations'!$C$2:$C$36,"=d20260925"),"")</f>
      </c>
      <c r="G130" s="12">
        <f>IF((0=1),SUMIFS('Daily evaluations'!$H$2:$H$36,'Daily evaluations'!$B$2:$B$36,"=random_09",'Daily evaluations'!$C$2:$C$36,"=d20260928"),"")</f>
      </c>
      <c r="H130" s="12">
        <f>IF((0=1),SUMIFS('Daily evaluations'!$H$2:$H$36,'Daily evaluations'!$B$2:$B$36,"=random_09",'Daily evaluations'!$C$2:$C$36,"=d20260929"),"")</f>
      </c>
      <c r="I130" s="12">
        <f>IF((0=1),SUMIFS('Daily evaluations'!$H$2:$H$36,'Daily evaluations'!$B$2:$B$36,"=random_09",'Daily evaluations'!$C$2:$C$36,"=d20260930"),"")</f>
      </c>
      <c r="J130" s="12">
        <f>IF((0=1),SUMIFS('Daily evaluations'!$H$2:$H$36,'Daily evaluations'!$B$2:$B$36,"=random_09",'Daily evaluations'!$C$2:$C$36,"=d20261001"),"")</f>
      </c>
      <c r="K130" s="12">
        <f>IF((0=1),SUMIFS('Daily evaluations'!$H$2:$H$36,'Daily evaluations'!$B$2:$B$36,"=random_09",'Daily evaluations'!$C$2:$C$36,"=d20261002"),"")</f>
      </c>
      <c r="L130" s="12">
        <f>IF((0=1),SUMIFS('Daily evaluations'!$H$2:$H$36,'Daily evaluations'!$B$2:$B$36,"=random_09",'Daily evaluations'!$C$2:$C$36,"=d20261005"),"")</f>
      </c>
      <c r="M130" s="12">
        <f>IF((0=1),SUMIFS('Daily evaluations'!$H$2:$H$36,'Daily evaluations'!$B$2:$B$36,"=random_09",'Daily evaluations'!$C$2:$C$36,"=d20261006"),"")</f>
      </c>
      <c r="N130" s="12">
        <f>IF((0=1),SUMIFS('Daily evaluations'!$H$2:$H$36,'Daily evaluations'!$B$2:$B$36,"=random_09",'Daily evaluations'!$C$2:$C$36,"=d20261007"),"")</f>
      </c>
      <c r="O130" s="12">
        <f>IF((0=1),SUMIFS('Daily evaluations'!$H$2:$H$36,'Daily evaluations'!$B$2:$B$36,"=random_09",'Daily evaluations'!$C$2:$C$36,"=d20261008"),"")</f>
      </c>
      <c r="P130" s="12">
        <f>IF((0=1),SUMIFS('Daily evaluations'!$H$2:$H$36,'Daily evaluations'!$B$2:$B$36,"=random_09",'Daily evaluations'!$C$2:$C$36,"=d20261009"),"")</f>
      </c>
      <c r="Q130" s="12">
        <f>IF((0=1),SUMIFS('Daily evaluations'!$H$2:$H$36,'Daily evaluations'!$B$2:$B$36,"=random_09",'Daily evaluations'!$C$2:$C$36,"=d20261012"),"")</f>
      </c>
      <c r="R130" s="12">
        <f>IF((0=1),SUMIFS('Daily evaluations'!$H$2:$H$36,'Daily evaluations'!$B$2:$B$36,"=random_09",'Daily evaluations'!$C$2:$C$36,"=d20261013"),"")</f>
      </c>
      <c r="S130" s="12">
        <f>IF((0=1),SUMIFS('Daily evaluations'!$H$2:$H$36,'Daily evaluations'!$B$2:$B$36,"=random_09",'Daily evaluations'!$C$2:$C$36,"=d20261014"),"")</f>
      </c>
      <c r="T130" s="12">
        <f>IF((0=1),SUMIFS('Daily evaluations'!$H$2:$H$36,'Daily evaluations'!$B$2:$B$36,"=random_09",'Daily evaluations'!$C$2:$C$36,"=d20261015"),"")</f>
      </c>
      <c r="U130" s="12">
        <f>IF((0=1),SUMIFS('Daily evaluations'!$H$2:$H$36,'Daily evaluations'!$B$2:$B$36,"=random_09",'Daily evaluations'!$C$2:$C$36,"=d20261016"),"")</f>
      </c>
      <c r="V130" s="12">
        <f>IF((0=1),SUMIFS('Daily evaluations'!$H$2:$H$36,'Daily evaluations'!$B$2:$B$36,"=random_09",'Daily evaluations'!$C$2:$C$36,"=d20261019"),"")</f>
      </c>
      <c r="W130" s="12">
        <f>IF((0=1),SUMIFS('Daily evaluations'!$H$2:$H$36,'Daily evaluations'!$B$2:$B$36,"=random_09",'Daily evaluations'!$C$2:$C$36,"=d20261020"),"")</f>
      </c>
      <c r="X130" s="12">
        <f>IF((0=1),SUMIFS('Daily evaluations'!$H$2:$H$36,'Daily evaluations'!$B$2:$B$36,"=random_09",'Daily evaluations'!$C$2:$C$36,"=d20261021"),"")</f>
      </c>
      <c r="Y130" s="12">
        <f>IF((0=1),SUMIFS('Daily evaluations'!$H$2:$H$36,'Daily evaluations'!$B$2:$B$36,"=random_09",'Daily evaluations'!$C$2:$C$36,"=d20261022"),"")</f>
      </c>
      <c r="Z130" s="12">
        <f>IF((0=1),SUMIFS('Daily evaluations'!$H$2:$H$36,'Daily evaluations'!$B$2:$B$36,"=random_09",'Daily evaluations'!$C$2:$C$36,"=d20261023"),"")</f>
      </c>
      <c r="AA130" s="12">
        <f>IF((0=1),SUMIFS('Daily evaluations'!$H$2:$H$36,'Daily evaluations'!$B$2:$B$36,"=random_09",'Daily evaluations'!$C$2:$C$36,"=d20261026"),"")</f>
      </c>
      <c r="AB130" s="12">
        <f>IF((0=1),SUMIFS('Daily evaluations'!$H$2:$H$36,'Daily evaluations'!$B$2:$B$36,"=random_09",'Daily evaluations'!$C$2:$C$36,"=d20261027"),"")</f>
      </c>
      <c r="AC130" s="12">
        <f>IF((0=1),SUMIFS('Daily evaluations'!$H$2:$H$36,'Daily evaluations'!$B$2:$B$36,"=random_09",'Daily evaluations'!$C$2:$C$36,"=d20261028"),"")</f>
      </c>
      <c r="AD130" s="12">
        <f>IF((0=1),SUMIFS('Daily evaluations'!$H$2:$H$36,'Daily evaluations'!$B$2:$B$36,"=random_09",'Daily evaluations'!$C$2:$C$36,"=d20261029"),"")</f>
      </c>
      <c r="AE130" s="12">
        <f>IF((0=1),SUMIFS('Daily evaluations'!$H$2:$H$36,'Daily evaluations'!$B$2:$B$36,"=random_09",'Daily evaluations'!$C$2:$C$36,"=d20261030"),"")</f>
      </c>
      <c r="AF130" s="12">
        <f>IF((0=1),SUMIFS('Daily evaluations'!$H$2:$H$36,'Daily evaluations'!$B$2:$B$36,"=random_09",'Daily evaluations'!$C$2:$C$36,"=d20261102"),"")</f>
      </c>
      <c r="AG130" s="12">
        <f>IF((0=1),SUMIFS('Daily evaluations'!$H$2:$H$36,'Daily evaluations'!$B$2:$B$36,"=random_09",'Daily evaluations'!$C$2:$C$36,"=d20261103"),"")</f>
      </c>
      <c r="AH130" s="12">
        <f>IF((0=1),SUMIFS('Daily evaluations'!$H$2:$H$36,'Daily evaluations'!$B$2:$B$36,"=random_09",'Daily evaluations'!$C$2:$C$36,"=d20261104"),"")</f>
      </c>
      <c r="AI130" s="12">
        <f>IF((0=1),SUMIFS('Daily evaluations'!$H$2:$H$36,'Daily evaluations'!$B$2:$B$36,"=random_09",'Daily evaluations'!$C$2:$C$36,"=d20261105"),"")</f>
      </c>
      <c r="AJ130" s="12">
        <f>IF((0=1),SUMIFS('Daily evaluations'!$H$2:$H$36,'Daily evaluations'!$B$2:$B$36,"=random_09",'Daily evaluations'!$C$2:$C$36,"=d20261106"),"")</f>
      </c>
      <c r="AK130" s="12">
        <f>IF((0=1),SUMIFS('Daily evaluations'!$H$2:$H$36,'Daily evaluations'!$B$2:$B$36,"=random_09",'Daily evaluations'!$C$2:$C$36,"=d20261109"),"")</f>
      </c>
      <c r="AL130" s="12">
        <f>IF((0=1),SUMIFS('Daily evaluations'!$H$2:$H$36,'Daily evaluations'!$B$2:$B$36,"=random_09",'Daily evaluations'!$C$2:$C$36,"=d20261110"),"")</f>
      </c>
      <c r="AM130" s="12">
        <f>IF((0=1),SUMIFS('Daily evaluations'!$H$2:$H$36,'Daily evaluations'!$B$2:$B$36,"=random_09",'Daily evaluations'!$C$2:$C$36,"=d20261111"),"")</f>
      </c>
      <c r="AN130" s="12">
        <f>IF((0=1),SUMIFS('Daily evaluations'!$H$2:$H$36,'Daily evaluations'!$B$2:$B$36,"=random_09",'Daily evaluations'!$C$2:$C$36,"=d20261112"),"")</f>
      </c>
      <c r="AO130" s="12">
        <f>IF((0=1),SUMIFS('Daily evaluations'!$H$2:$H$36,'Daily evaluations'!$B$2:$B$36,"=random_09",'Daily evaluations'!$C$2:$C$36,"=d20261113"),"")</f>
      </c>
      <c r="AP130" s="12">
        <f>IF((0=1),SUMIFS('Daily evaluations'!$H$2:$H$36,'Daily evaluations'!$B$2:$B$36,"=random_09",'Daily evaluations'!$C$2:$C$36,"=d20261116"),"")</f>
      </c>
      <c r="AQ130" s="12">
        <f>IF((0=1),SUMIFS('Daily evaluations'!$H$2:$H$36,'Daily evaluations'!$B$2:$B$36,"=random_09",'Daily evaluations'!$C$2:$C$36,"=d20261117"),"")</f>
      </c>
      <c r="AR130" s="12">
        <f>IF((0=1),SUMIFS('Daily evaluations'!$H$2:$H$36,'Daily evaluations'!$B$2:$B$36,"=random_09",'Daily evaluations'!$C$2:$C$36,"=d20261118"),"")</f>
      </c>
      <c r="AS130" s="12">
        <f>IF((0=1),SUMIFS('Daily evaluations'!$H$2:$H$36,'Daily evaluations'!$B$2:$B$36,"=random_09",'Daily evaluations'!$C$2:$C$36,"=d20261119"),"")</f>
      </c>
      <c r="AT130" s="12">
        <f>IF((0=1),SUMIFS('Daily evaluations'!$H$2:$H$36,'Daily evaluations'!$B$2:$B$36,"=random_09",'Daily evaluations'!$C$2:$C$36,"=d20261120"),"")</f>
      </c>
      <c r="AU130" s="12">
        <f>IF((0=1),SUMIFS('Daily evaluations'!$H$2:$H$36,'Daily evaluations'!$B$2:$B$36,"=random_09",'Daily evaluations'!$C$2:$C$36,"=d20261123"),"")</f>
      </c>
      <c r="AV130" s="12">
        <f>IF((0=1),SUMIFS('Daily evaluations'!$H$2:$H$36,'Daily evaluations'!$B$2:$B$36,"=random_09",'Daily evaluations'!$C$2:$C$36,"=d20261124"),"")</f>
      </c>
      <c r="AW130" s="12">
        <f>IF((0=1),SUMIFS('Daily evaluations'!$H$2:$H$36,'Daily evaluations'!$B$2:$B$36,"=random_09",'Daily evaluations'!$C$2:$C$36,"=d20261125"),"")</f>
      </c>
      <c r="AX130" s="12">
        <f>IF((0=1),SUMIFS('Daily evaluations'!$H$2:$H$36,'Daily evaluations'!$B$2:$B$36,"=random_09",'Daily evaluations'!$C$2:$C$36,"=d20261127"),"")</f>
      </c>
      <c r="AY130" s="12">
        <f>IF((0=1),SUMIFS('Daily evaluations'!$H$2:$H$36,'Daily evaluations'!$B$2:$B$36,"=random_09",'Daily evaluations'!$C$2:$C$36,"=d20261130"),"")</f>
      </c>
      <c r="AZ130" s="12">
        <f>IF((0=1),SUMIFS('Daily evaluations'!$H$2:$H$36,'Daily evaluations'!$B$2:$B$36,"=random_09",'Daily evaluations'!$C$2:$C$36,"=d20261201"),"")</f>
      </c>
      <c r="BA130" s="12">
        <f>IF((0=1),SUMIFS('Daily evaluations'!$H$2:$H$36,'Daily evaluations'!$B$2:$B$36,"=random_09",'Daily evaluations'!$C$2:$C$36,"=d20261202"),"")</f>
      </c>
      <c r="BB130" s="12">
        <f>IF((0=1),SUMIFS('Daily evaluations'!$H$2:$H$36,'Daily evaluations'!$B$2:$B$36,"=random_09",'Daily evaluations'!$C$2:$C$36,"=d20261203"),"")</f>
      </c>
      <c r="BC130" s="12">
        <f>IF((0=1),SUMIFS('Daily evaluations'!$H$2:$H$36,'Daily evaluations'!$B$2:$B$36,"=random_09",'Daily evaluations'!$C$2:$C$36,"=d20261204"),"")</f>
      </c>
      <c r="BD130" s="12">
        <f>IF((0=1),SUMIFS('Daily evaluations'!$H$2:$H$36,'Daily evaluations'!$B$2:$B$36,"=random_09",'Daily evaluations'!$C$2:$C$36,"=d20261207"),"")</f>
      </c>
      <c r="BE130" s="12">
        <f>IF((0=1),SUMIFS('Daily evaluations'!$H$2:$H$36,'Daily evaluations'!$B$2:$B$36,"=random_09",'Daily evaluations'!$C$2:$C$36,"=d20261208"),"")</f>
      </c>
      <c r="BF130" s="12">
        <f>IF((0=1),SUMIFS('Daily evaluations'!$H$2:$H$36,'Daily evaluations'!$B$2:$B$36,"=random_09",'Daily evaluations'!$C$2:$C$36,"=d20261209"),"")</f>
      </c>
      <c r="BG130" s="12">
        <f>IF((0=1),SUMIFS('Daily evaluations'!$H$2:$H$36,'Daily evaluations'!$B$2:$B$36,"=random_09",'Daily evaluations'!$C$2:$C$36,"=d20261210"),"")</f>
      </c>
      <c r="BH130" s="12">
        <f>IF((0=1),SUMIFS('Daily evaluations'!$H$2:$H$36,'Daily evaluations'!$B$2:$B$36,"=random_09",'Daily evaluations'!$C$2:$C$36,"=d20261211"),"")</f>
      </c>
      <c r="BI130" s="12">
        <f>IF((0=1),SUMIFS('Daily evaluations'!$H$2:$H$36,'Daily evaluations'!$B$2:$B$36,"=random_09",'Daily evaluations'!$C$2:$C$36,"=d20261214"),"")</f>
      </c>
      <c r="BJ130" s="12">
        <f>IF((0=1),SUMIFS('Daily evaluations'!$H$2:$H$36,'Daily evaluations'!$B$2:$B$36,"=random_09",'Daily evaluations'!$C$2:$C$36,"=d20261215"),"")</f>
      </c>
      <c r="BK130" s="12">
        <f>IF((0=1),SUMIFS('Daily evaluations'!$H$2:$H$36,'Daily evaluations'!$B$2:$B$36,"=random_09",'Daily evaluations'!$C$2:$C$36,"=d20261216"),"")</f>
      </c>
      <c r="BL130" s="12">
        <f>IF((0=1),SUMIFS('Daily evaluations'!$H$2:$H$36,'Daily evaluations'!$B$2:$B$36,"=random_09",'Daily evaluations'!$C$2:$C$36,"=d20261217"),"")</f>
      </c>
      <c r="BM130" s="12">
        <f>IF((0=1),SUMIFS('Daily evaluations'!$H$2:$H$36,'Daily evaluations'!$B$2:$B$36,"=random_09",'Daily evaluations'!$C$2:$C$36,"=d20261218"),"")</f>
      </c>
      <c r="BN130" s="12">
        <f>IF((0=1),SUMIFS('Daily evaluations'!$H$2:$H$36,'Daily evaluations'!$B$2:$B$36,"=random_09",'Daily evaluations'!$C$2:$C$36,"=d20261221"),"")</f>
      </c>
      <c r="BO130" s="12">
        <f>IF((0=1),SUMIFS('Daily evaluations'!$H$2:$H$36,'Daily evaluations'!$B$2:$B$36,"=random_09",'Daily evaluations'!$C$2:$C$36,"=d20261222"),"")</f>
      </c>
      <c r="BP130" s="12">
        <f>IF((0=1),SUMIFS('Daily evaluations'!$H$2:$H$36,'Daily evaluations'!$B$2:$B$36,"=random_09",'Daily evaluations'!$C$2:$C$36,"=d20261223"),"")</f>
      </c>
      <c r="BQ130" s="12">
        <f>IF((0=1),SUMIFS('Daily evaluations'!$H$2:$H$36,'Daily evaluations'!$B$2:$B$36,"=random_09",'Daily evaluations'!$C$2:$C$36,"=d20261224"),"")</f>
      </c>
      <c r="BR130" s="12">
        <f>IF((0=1),SUMIFS('Daily evaluations'!$H$2:$H$36,'Daily evaluations'!$B$2:$B$36,"=random_09",'Daily evaluations'!$C$2:$C$36,"=d20261228"),"")</f>
      </c>
      <c r="BS130" s="12">
        <f>IF((0=1),SUMIFS('Daily evaluations'!$H$2:$H$36,'Daily evaluations'!$B$2:$B$36,"=random_09",'Daily evaluations'!$C$2:$C$36,"=d20261229"),"")</f>
      </c>
      <c r="BT130" s="12">
        <f>IF((0=1),SUMIFS('Daily evaluations'!$H$2:$H$36,'Daily evaluations'!$B$2:$B$36,"=random_09",'Daily evaluations'!$C$2:$C$36,"=d20261230"),"")</f>
      </c>
      <c r="BU130" s="12">
        <f>IF((0=1),SUMIFS('Daily evaluations'!$H$2:$H$36,'Daily evaluations'!$B$2:$B$36,"=random_09",'Daily evaluations'!$C$2:$C$36,"=d20261231"),"")</f>
      </c>
      <c r="BV130" s="12">
        <f>IF((0=1),SUMIFS('Daily evaluations'!$H$2:$H$36,'Daily evaluations'!$B$2:$B$36,"=random_09",'Daily evaluations'!$C$2:$C$36,"=d20270104"),"")</f>
      </c>
      <c r="BW130" s="12">
        <f>IF((0=1),SUMIFS('Daily evaluations'!$H$2:$H$36,'Daily evaluations'!$B$2:$B$36,"=random_09",'Daily evaluations'!$C$2:$C$36,"=d20270105"),"")</f>
      </c>
      <c r="BX130" s="12">
        <f>IF((0=1),SUMIFS('Daily evaluations'!$H$2:$H$36,'Daily evaluations'!$B$2:$B$36,"=random_09",'Daily evaluations'!$C$2:$C$36,"=d20270106"),"")</f>
      </c>
      <c r="BY130" s="12">
        <f>IF((0=1),SUMIFS('Daily evaluations'!$H$2:$H$36,'Daily evaluations'!$B$2:$B$36,"=random_09",'Daily evaluations'!$C$2:$C$36,"=d20270107"),"")</f>
      </c>
      <c r="BZ130" s="12">
        <f>IF((0=1),SUMIFS('Daily evaluations'!$H$2:$H$36,'Daily evaluations'!$B$2:$B$36,"=random_09",'Daily evaluations'!$C$2:$C$36,"=d20270108"),"")</f>
      </c>
      <c r="CA130" s="12">
        <f>IF((0=1),SUMIFS('Daily evaluations'!$H$2:$H$36,'Daily evaluations'!$B$2:$B$36,"=random_09",'Daily evaluations'!$C$2:$C$36,"=d20270111"),"")</f>
      </c>
      <c r="CB130" s="12">
        <f>IF((0=1),SUMIFS('Daily evaluations'!$H$2:$H$36,'Daily evaluations'!$B$2:$B$36,"=random_09",'Daily evaluations'!$C$2:$C$36,"=d20270112"),"")</f>
      </c>
      <c r="CC130" s="12">
        <f>IF((0=1),SUMIFS('Daily evaluations'!$H$2:$H$36,'Daily evaluations'!$B$2:$B$36,"=random_09",'Daily evaluations'!$C$2:$C$36,"=d20270113"),"")</f>
      </c>
      <c r="CD130" s="12">
        <f>IF((0=1),SUMIFS('Daily evaluations'!$H$2:$H$36,'Daily evaluations'!$B$2:$B$36,"=random_09",'Daily evaluations'!$C$2:$C$36,"=d20270114"),"")</f>
      </c>
      <c r="CE130" s="12">
        <f>IF((0=1),SUMIFS('Daily evaluations'!$H$2:$H$36,'Daily evaluations'!$B$2:$B$36,"=random_09",'Daily evaluations'!$C$2:$C$36,"=d20270115"),"")</f>
      </c>
      <c r="CF130" s="12">
        <f>IF((0=1),SUMIFS('Daily evaluations'!$H$2:$H$36,'Daily evaluations'!$B$2:$B$36,"=random_09",'Daily evaluations'!$C$2:$C$36,"=d20270119"),"")</f>
      </c>
      <c r="CG130" s="12">
        <f>IF((0=1),SUMIFS('Daily evaluations'!$H$2:$H$36,'Daily evaluations'!$B$2:$B$36,"=random_09",'Daily evaluations'!$C$2:$C$36,"=d20270120"),"")</f>
      </c>
      <c r="CH130" s="12">
        <f>IF((0=1),SUMIFS('Daily evaluations'!$H$2:$H$36,'Daily evaluations'!$B$2:$B$36,"=random_09",'Daily evaluations'!$C$2:$C$36,"=d20270121"),"")</f>
      </c>
      <c r="CI130" s="12">
        <f>IF((0=1),SUMIFS('Daily evaluations'!$H$2:$H$36,'Daily evaluations'!$B$2:$B$36,"=random_09",'Daily evaluations'!$C$2:$C$36,"=d20270122"),"")</f>
      </c>
      <c r="CJ130" s="12">
        <f>IF((0=1),SUMIFS('Daily evaluations'!$H$2:$H$36,'Daily evaluations'!$B$2:$B$36,"=random_09",'Daily evaluations'!$C$2:$C$36,"=d20270125"),"")</f>
      </c>
      <c r="CK130" s="12">
        <f>IF((0=1),SUMIFS('Daily evaluations'!$H$2:$H$36,'Daily evaluations'!$B$2:$B$36,"=random_09",'Daily evaluations'!$C$2:$C$36,"=d20270126"),"")</f>
      </c>
      <c r="CL130" s="12">
        <f>IF((0=1),SUMIFS('Daily evaluations'!$H$2:$H$36,'Daily evaluations'!$B$2:$B$36,"=random_09",'Daily evaluations'!$C$2:$C$36,"=d20270127"),"")</f>
      </c>
      <c r="CM130" s="12">
        <f>IF((0=1),SUMIFS('Daily evaluations'!$H$2:$H$36,'Daily evaluations'!$B$2:$B$36,"=random_09",'Daily evaluations'!$C$2:$C$36,"=d20270128"),"")</f>
      </c>
      <c r="CN130" s="12">
        <f>IF((0=1),SUMIFS('Daily evaluations'!$H$2:$H$36,'Daily evaluations'!$B$2:$B$36,"=random_09",'Daily evaluations'!$C$2:$C$36,"=d20270129"),"")</f>
      </c>
      <c r="CO130" s="12">
        <f>IF((0=1),SUMIFS('Daily evaluations'!$H$2:$H$36,'Daily evaluations'!$B$2:$B$36,"=random_09",'Daily evaluations'!$C$2:$C$36,"=d20270201"),"")</f>
      </c>
      <c r="CP130" s="12">
        <f>IF((0=1),SUMIFS('Daily evaluations'!$H$2:$H$36,'Daily evaluations'!$B$2:$B$36,"=random_09",'Daily evaluations'!$C$2:$C$36,"=d20270202"),"")</f>
      </c>
      <c r="CQ130" s="12">
        <f>IF((0=1),SUMIFS('Daily evaluations'!$H$2:$H$36,'Daily evaluations'!$B$2:$B$36,"=random_09",'Daily evaluations'!$C$2:$C$36,"=d20270203"),"")</f>
      </c>
      <c r="CR130" s="12">
        <f>IF((0=1),SUMIFS('Daily evaluations'!$H$2:$H$36,'Daily evaluations'!$B$2:$B$36,"=random_09",'Daily evaluations'!$C$2:$C$36,"=d20270204"),"")</f>
      </c>
      <c r="CS130" s="12">
        <f>IF((0=1),SUMIFS('Daily evaluations'!$H$2:$H$36,'Daily evaluations'!$B$2:$B$36,"=random_09",'Daily evaluations'!$C$2:$C$36,"=d20270205"),"")</f>
      </c>
      <c r="CT130" s="12">
        <f>IF((0=1),SUMIFS('Daily evaluations'!$H$2:$H$36,'Daily evaluations'!$B$2:$B$36,"=random_09",'Daily evaluations'!$C$2:$C$36,"=d20270208"),"")</f>
      </c>
      <c r="CU130" s="12">
        <f>IF((0=1),SUMIFS('Daily evaluations'!$H$2:$H$36,'Daily evaluations'!$B$2:$B$36,"=random_09",'Daily evaluations'!$C$2:$C$36,"=d20270209"),"")</f>
      </c>
      <c r="CV130" s="12">
        <f>IF((0=1),SUMIFS('Daily evaluations'!$H$2:$H$36,'Daily evaluations'!$B$2:$B$36,"=random_09",'Daily evaluations'!$C$2:$C$36,"=d20270210"),"")</f>
      </c>
      <c r="CW130" s="12">
        <f>IF((0=1),SUMIFS('Daily evaluations'!$H$2:$H$36,'Daily evaluations'!$B$2:$B$36,"=random_09",'Daily evaluations'!$C$2:$C$36,"=d20270211"),"")</f>
      </c>
      <c r="CX130" s="12">
        <f>IF((0=1),SUMIFS('Daily evaluations'!$H$2:$H$36,'Daily evaluations'!$B$2:$B$36,"=random_09",'Daily evaluations'!$C$2:$C$36,"=d20270212"),"")</f>
      </c>
    </row>
    <row r="131">
      <c r="A131" s="0" t="inlineStr">
        <is>
          <t xml:space="preserve">Hit rate vs universe median</t>
        </is>
      </c>
      <c r="B131" s="0" t="inlineStr">
        <is>
          <t xml:space="preserve">Random 10</t>
        </is>
      </c>
      <c r="C131" s="12">
        <f>IF((1=1),SUMIFS('Daily evaluations'!$H$2:$H$36,'Daily evaluations'!$B$2:$B$36,"=random_10",'Daily evaluations'!$C$2:$C$36,"=d20260922"),"")</f>
        <v>0.47</v>
      </c>
      <c r="D131" s="12">
        <f>IF((0=1),SUMIFS('Daily evaluations'!$H$2:$H$36,'Daily evaluations'!$B$2:$B$36,"=random_10",'Daily evaluations'!$C$2:$C$36,"=d20260923"),"")</f>
      </c>
      <c r="E131" s="12">
        <f>IF((0=1),SUMIFS('Daily evaluations'!$H$2:$H$36,'Daily evaluations'!$B$2:$B$36,"=random_10",'Daily evaluations'!$C$2:$C$36,"=d20260924"),"")</f>
      </c>
      <c r="F131" s="12">
        <f>IF((0=1),SUMIFS('Daily evaluations'!$H$2:$H$36,'Daily evaluations'!$B$2:$B$36,"=random_10",'Daily evaluations'!$C$2:$C$36,"=d20260925"),"")</f>
      </c>
      <c r="G131" s="12">
        <f>IF((0=1),SUMIFS('Daily evaluations'!$H$2:$H$36,'Daily evaluations'!$B$2:$B$36,"=random_10",'Daily evaluations'!$C$2:$C$36,"=d20260928"),"")</f>
      </c>
      <c r="H131" s="12">
        <f>IF((0=1),SUMIFS('Daily evaluations'!$H$2:$H$36,'Daily evaluations'!$B$2:$B$36,"=random_10",'Daily evaluations'!$C$2:$C$36,"=d20260929"),"")</f>
      </c>
      <c r="I131" s="12">
        <f>IF((0=1),SUMIFS('Daily evaluations'!$H$2:$H$36,'Daily evaluations'!$B$2:$B$36,"=random_10",'Daily evaluations'!$C$2:$C$36,"=d20260930"),"")</f>
      </c>
      <c r="J131" s="12">
        <f>IF((0=1),SUMIFS('Daily evaluations'!$H$2:$H$36,'Daily evaluations'!$B$2:$B$36,"=random_10",'Daily evaluations'!$C$2:$C$36,"=d20261001"),"")</f>
      </c>
      <c r="K131" s="12">
        <f>IF((0=1),SUMIFS('Daily evaluations'!$H$2:$H$36,'Daily evaluations'!$B$2:$B$36,"=random_10",'Daily evaluations'!$C$2:$C$36,"=d20261002"),"")</f>
      </c>
      <c r="L131" s="12">
        <f>IF((0=1),SUMIFS('Daily evaluations'!$H$2:$H$36,'Daily evaluations'!$B$2:$B$36,"=random_10",'Daily evaluations'!$C$2:$C$36,"=d20261005"),"")</f>
      </c>
      <c r="M131" s="12">
        <f>IF((0=1),SUMIFS('Daily evaluations'!$H$2:$H$36,'Daily evaluations'!$B$2:$B$36,"=random_10",'Daily evaluations'!$C$2:$C$36,"=d20261006"),"")</f>
      </c>
      <c r="N131" s="12">
        <f>IF((0=1),SUMIFS('Daily evaluations'!$H$2:$H$36,'Daily evaluations'!$B$2:$B$36,"=random_10",'Daily evaluations'!$C$2:$C$36,"=d20261007"),"")</f>
      </c>
      <c r="O131" s="12">
        <f>IF((0=1),SUMIFS('Daily evaluations'!$H$2:$H$36,'Daily evaluations'!$B$2:$B$36,"=random_10",'Daily evaluations'!$C$2:$C$36,"=d20261008"),"")</f>
      </c>
      <c r="P131" s="12">
        <f>IF((0=1),SUMIFS('Daily evaluations'!$H$2:$H$36,'Daily evaluations'!$B$2:$B$36,"=random_10",'Daily evaluations'!$C$2:$C$36,"=d20261009"),"")</f>
      </c>
      <c r="Q131" s="12">
        <f>IF((0=1),SUMIFS('Daily evaluations'!$H$2:$H$36,'Daily evaluations'!$B$2:$B$36,"=random_10",'Daily evaluations'!$C$2:$C$36,"=d20261012"),"")</f>
      </c>
      <c r="R131" s="12">
        <f>IF((0=1),SUMIFS('Daily evaluations'!$H$2:$H$36,'Daily evaluations'!$B$2:$B$36,"=random_10",'Daily evaluations'!$C$2:$C$36,"=d20261013"),"")</f>
      </c>
      <c r="S131" s="12">
        <f>IF((0=1),SUMIFS('Daily evaluations'!$H$2:$H$36,'Daily evaluations'!$B$2:$B$36,"=random_10",'Daily evaluations'!$C$2:$C$36,"=d20261014"),"")</f>
      </c>
      <c r="T131" s="12">
        <f>IF((0=1),SUMIFS('Daily evaluations'!$H$2:$H$36,'Daily evaluations'!$B$2:$B$36,"=random_10",'Daily evaluations'!$C$2:$C$36,"=d20261015"),"")</f>
      </c>
      <c r="U131" s="12">
        <f>IF((0=1),SUMIFS('Daily evaluations'!$H$2:$H$36,'Daily evaluations'!$B$2:$B$36,"=random_10",'Daily evaluations'!$C$2:$C$36,"=d20261016"),"")</f>
      </c>
      <c r="V131" s="12">
        <f>IF((0=1),SUMIFS('Daily evaluations'!$H$2:$H$36,'Daily evaluations'!$B$2:$B$36,"=random_10",'Daily evaluations'!$C$2:$C$36,"=d20261019"),"")</f>
      </c>
      <c r="W131" s="12">
        <f>IF((0=1),SUMIFS('Daily evaluations'!$H$2:$H$36,'Daily evaluations'!$B$2:$B$36,"=random_10",'Daily evaluations'!$C$2:$C$36,"=d20261020"),"")</f>
      </c>
      <c r="X131" s="12">
        <f>IF((0=1),SUMIFS('Daily evaluations'!$H$2:$H$36,'Daily evaluations'!$B$2:$B$36,"=random_10",'Daily evaluations'!$C$2:$C$36,"=d20261021"),"")</f>
      </c>
      <c r="Y131" s="12">
        <f>IF((0=1),SUMIFS('Daily evaluations'!$H$2:$H$36,'Daily evaluations'!$B$2:$B$36,"=random_10",'Daily evaluations'!$C$2:$C$36,"=d20261022"),"")</f>
      </c>
      <c r="Z131" s="12">
        <f>IF((0=1),SUMIFS('Daily evaluations'!$H$2:$H$36,'Daily evaluations'!$B$2:$B$36,"=random_10",'Daily evaluations'!$C$2:$C$36,"=d20261023"),"")</f>
      </c>
      <c r="AA131" s="12">
        <f>IF((0=1),SUMIFS('Daily evaluations'!$H$2:$H$36,'Daily evaluations'!$B$2:$B$36,"=random_10",'Daily evaluations'!$C$2:$C$36,"=d20261026"),"")</f>
      </c>
      <c r="AB131" s="12">
        <f>IF((0=1),SUMIFS('Daily evaluations'!$H$2:$H$36,'Daily evaluations'!$B$2:$B$36,"=random_10",'Daily evaluations'!$C$2:$C$36,"=d20261027"),"")</f>
      </c>
      <c r="AC131" s="12">
        <f>IF((0=1),SUMIFS('Daily evaluations'!$H$2:$H$36,'Daily evaluations'!$B$2:$B$36,"=random_10",'Daily evaluations'!$C$2:$C$36,"=d20261028"),"")</f>
      </c>
      <c r="AD131" s="12">
        <f>IF((0=1),SUMIFS('Daily evaluations'!$H$2:$H$36,'Daily evaluations'!$B$2:$B$36,"=random_10",'Daily evaluations'!$C$2:$C$36,"=d20261029"),"")</f>
      </c>
      <c r="AE131" s="12">
        <f>IF((0=1),SUMIFS('Daily evaluations'!$H$2:$H$36,'Daily evaluations'!$B$2:$B$36,"=random_10",'Daily evaluations'!$C$2:$C$36,"=d20261030"),"")</f>
      </c>
      <c r="AF131" s="12">
        <f>IF((0=1),SUMIFS('Daily evaluations'!$H$2:$H$36,'Daily evaluations'!$B$2:$B$36,"=random_10",'Daily evaluations'!$C$2:$C$36,"=d20261102"),"")</f>
      </c>
      <c r="AG131" s="12">
        <f>IF((0=1),SUMIFS('Daily evaluations'!$H$2:$H$36,'Daily evaluations'!$B$2:$B$36,"=random_10",'Daily evaluations'!$C$2:$C$36,"=d20261103"),"")</f>
      </c>
      <c r="AH131" s="12">
        <f>IF((0=1),SUMIFS('Daily evaluations'!$H$2:$H$36,'Daily evaluations'!$B$2:$B$36,"=random_10",'Daily evaluations'!$C$2:$C$36,"=d20261104"),"")</f>
      </c>
      <c r="AI131" s="12">
        <f>IF((0=1),SUMIFS('Daily evaluations'!$H$2:$H$36,'Daily evaluations'!$B$2:$B$36,"=random_10",'Daily evaluations'!$C$2:$C$36,"=d20261105"),"")</f>
      </c>
      <c r="AJ131" s="12">
        <f>IF((0=1),SUMIFS('Daily evaluations'!$H$2:$H$36,'Daily evaluations'!$B$2:$B$36,"=random_10",'Daily evaluations'!$C$2:$C$36,"=d20261106"),"")</f>
      </c>
      <c r="AK131" s="12">
        <f>IF((0=1),SUMIFS('Daily evaluations'!$H$2:$H$36,'Daily evaluations'!$B$2:$B$36,"=random_10",'Daily evaluations'!$C$2:$C$36,"=d20261109"),"")</f>
      </c>
      <c r="AL131" s="12">
        <f>IF((0=1),SUMIFS('Daily evaluations'!$H$2:$H$36,'Daily evaluations'!$B$2:$B$36,"=random_10",'Daily evaluations'!$C$2:$C$36,"=d20261110"),"")</f>
      </c>
      <c r="AM131" s="12">
        <f>IF((0=1),SUMIFS('Daily evaluations'!$H$2:$H$36,'Daily evaluations'!$B$2:$B$36,"=random_10",'Daily evaluations'!$C$2:$C$36,"=d20261111"),"")</f>
      </c>
      <c r="AN131" s="12">
        <f>IF((0=1),SUMIFS('Daily evaluations'!$H$2:$H$36,'Daily evaluations'!$B$2:$B$36,"=random_10",'Daily evaluations'!$C$2:$C$36,"=d20261112"),"")</f>
      </c>
      <c r="AO131" s="12">
        <f>IF((0=1),SUMIFS('Daily evaluations'!$H$2:$H$36,'Daily evaluations'!$B$2:$B$36,"=random_10",'Daily evaluations'!$C$2:$C$36,"=d20261113"),"")</f>
      </c>
      <c r="AP131" s="12">
        <f>IF((0=1),SUMIFS('Daily evaluations'!$H$2:$H$36,'Daily evaluations'!$B$2:$B$36,"=random_10",'Daily evaluations'!$C$2:$C$36,"=d20261116"),"")</f>
      </c>
      <c r="AQ131" s="12">
        <f>IF((0=1),SUMIFS('Daily evaluations'!$H$2:$H$36,'Daily evaluations'!$B$2:$B$36,"=random_10",'Daily evaluations'!$C$2:$C$36,"=d20261117"),"")</f>
      </c>
      <c r="AR131" s="12">
        <f>IF((0=1),SUMIFS('Daily evaluations'!$H$2:$H$36,'Daily evaluations'!$B$2:$B$36,"=random_10",'Daily evaluations'!$C$2:$C$36,"=d20261118"),"")</f>
      </c>
      <c r="AS131" s="12">
        <f>IF((0=1),SUMIFS('Daily evaluations'!$H$2:$H$36,'Daily evaluations'!$B$2:$B$36,"=random_10",'Daily evaluations'!$C$2:$C$36,"=d20261119"),"")</f>
      </c>
      <c r="AT131" s="12">
        <f>IF((0=1),SUMIFS('Daily evaluations'!$H$2:$H$36,'Daily evaluations'!$B$2:$B$36,"=random_10",'Daily evaluations'!$C$2:$C$36,"=d20261120"),"")</f>
      </c>
      <c r="AU131" s="12">
        <f>IF((0=1),SUMIFS('Daily evaluations'!$H$2:$H$36,'Daily evaluations'!$B$2:$B$36,"=random_10",'Daily evaluations'!$C$2:$C$36,"=d20261123"),"")</f>
      </c>
      <c r="AV131" s="12">
        <f>IF((0=1),SUMIFS('Daily evaluations'!$H$2:$H$36,'Daily evaluations'!$B$2:$B$36,"=random_10",'Daily evaluations'!$C$2:$C$36,"=d20261124"),"")</f>
      </c>
      <c r="AW131" s="12">
        <f>IF((0=1),SUMIFS('Daily evaluations'!$H$2:$H$36,'Daily evaluations'!$B$2:$B$36,"=random_10",'Daily evaluations'!$C$2:$C$36,"=d20261125"),"")</f>
      </c>
      <c r="AX131" s="12">
        <f>IF((0=1),SUMIFS('Daily evaluations'!$H$2:$H$36,'Daily evaluations'!$B$2:$B$36,"=random_10",'Daily evaluations'!$C$2:$C$36,"=d20261127"),"")</f>
      </c>
      <c r="AY131" s="12">
        <f>IF((0=1),SUMIFS('Daily evaluations'!$H$2:$H$36,'Daily evaluations'!$B$2:$B$36,"=random_10",'Daily evaluations'!$C$2:$C$36,"=d20261130"),"")</f>
      </c>
      <c r="AZ131" s="12">
        <f>IF((0=1),SUMIFS('Daily evaluations'!$H$2:$H$36,'Daily evaluations'!$B$2:$B$36,"=random_10",'Daily evaluations'!$C$2:$C$36,"=d20261201"),"")</f>
      </c>
      <c r="BA131" s="12">
        <f>IF((0=1),SUMIFS('Daily evaluations'!$H$2:$H$36,'Daily evaluations'!$B$2:$B$36,"=random_10",'Daily evaluations'!$C$2:$C$36,"=d20261202"),"")</f>
      </c>
      <c r="BB131" s="12">
        <f>IF((0=1),SUMIFS('Daily evaluations'!$H$2:$H$36,'Daily evaluations'!$B$2:$B$36,"=random_10",'Daily evaluations'!$C$2:$C$36,"=d20261203"),"")</f>
      </c>
      <c r="BC131" s="12">
        <f>IF((0=1),SUMIFS('Daily evaluations'!$H$2:$H$36,'Daily evaluations'!$B$2:$B$36,"=random_10",'Daily evaluations'!$C$2:$C$36,"=d20261204"),"")</f>
      </c>
      <c r="BD131" s="12">
        <f>IF((0=1),SUMIFS('Daily evaluations'!$H$2:$H$36,'Daily evaluations'!$B$2:$B$36,"=random_10",'Daily evaluations'!$C$2:$C$36,"=d20261207"),"")</f>
      </c>
      <c r="BE131" s="12">
        <f>IF((0=1),SUMIFS('Daily evaluations'!$H$2:$H$36,'Daily evaluations'!$B$2:$B$36,"=random_10",'Daily evaluations'!$C$2:$C$36,"=d20261208"),"")</f>
      </c>
      <c r="BF131" s="12">
        <f>IF((0=1),SUMIFS('Daily evaluations'!$H$2:$H$36,'Daily evaluations'!$B$2:$B$36,"=random_10",'Daily evaluations'!$C$2:$C$36,"=d20261209"),"")</f>
      </c>
      <c r="BG131" s="12">
        <f>IF((0=1),SUMIFS('Daily evaluations'!$H$2:$H$36,'Daily evaluations'!$B$2:$B$36,"=random_10",'Daily evaluations'!$C$2:$C$36,"=d20261210"),"")</f>
      </c>
      <c r="BH131" s="12">
        <f>IF((0=1),SUMIFS('Daily evaluations'!$H$2:$H$36,'Daily evaluations'!$B$2:$B$36,"=random_10",'Daily evaluations'!$C$2:$C$36,"=d20261211"),"")</f>
      </c>
      <c r="BI131" s="12">
        <f>IF((0=1),SUMIFS('Daily evaluations'!$H$2:$H$36,'Daily evaluations'!$B$2:$B$36,"=random_10",'Daily evaluations'!$C$2:$C$36,"=d20261214"),"")</f>
      </c>
      <c r="BJ131" s="12">
        <f>IF((0=1),SUMIFS('Daily evaluations'!$H$2:$H$36,'Daily evaluations'!$B$2:$B$36,"=random_10",'Daily evaluations'!$C$2:$C$36,"=d20261215"),"")</f>
      </c>
      <c r="BK131" s="12">
        <f>IF((0=1),SUMIFS('Daily evaluations'!$H$2:$H$36,'Daily evaluations'!$B$2:$B$36,"=random_10",'Daily evaluations'!$C$2:$C$36,"=d20261216"),"")</f>
      </c>
      <c r="BL131" s="12">
        <f>IF((0=1),SUMIFS('Daily evaluations'!$H$2:$H$36,'Daily evaluations'!$B$2:$B$36,"=random_10",'Daily evaluations'!$C$2:$C$36,"=d20261217"),"")</f>
      </c>
      <c r="BM131" s="12">
        <f>IF((0=1),SUMIFS('Daily evaluations'!$H$2:$H$36,'Daily evaluations'!$B$2:$B$36,"=random_10",'Daily evaluations'!$C$2:$C$36,"=d20261218"),"")</f>
      </c>
      <c r="BN131" s="12">
        <f>IF((0=1),SUMIFS('Daily evaluations'!$H$2:$H$36,'Daily evaluations'!$B$2:$B$36,"=random_10",'Daily evaluations'!$C$2:$C$36,"=d20261221"),"")</f>
      </c>
      <c r="BO131" s="12">
        <f>IF((0=1),SUMIFS('Daily evaluations'!$H$2:$H$36,'Daily evaluations'!$B$2:$B$36,"=random_10",'Daily evaluations'!$C$2:$C$36,"=d20261222"),"")</f>
      </c>
      <c r="BP131" s="12">
        <f>IF((0=1),SUMIFS('Daily evaluations'!$H$2:$H$36,'Daily evaluations'!$B$2:$B$36,"=random_10",'Daily evaluations'!$C$2:$C$36,"=d20261223"),"")</f>
      </c>
      <c r="BQ131" s="12">
        <f>IF((0=1),SUMIFS('Daily evaluations'!$H$2:$H$36,'Daily evaluations'!$B$2:$B$36,"=random_10",'Daily evaluations'!$C$2:$C$36,"=d20261224"),"")</f>
      </c>
      <c r="BR131" s="12">
        <f>IF((0=1),SUMIFS('Daily evaluations'!$H$2:$H$36,'Daily evaluations'!$B$2:$B$36,"=random_10",'Daily evaluations'!$C$2:$C$36,"=d20261228"),"")</f>
      </c>
      <c r="BS131" s="12">
        <f>IF((0=1),SUMIFS('Daily evaluations'!$H$2:$H$36,'Daily evaluations'!$B$2:$B$36,"=random_10",'Daily evaluations'!$C$2:$C$36,"=d20261229"),"")</f>
      </c>
      <c r="BT131" s="12">
        <f>IF((0=1),SUMIFS('Daily evaluations'!$H$2:$H$36,'Daily evaluations'!$B$2:$B$36,"=random_10",'Daily evaluations'!$C$2:$C$36,"=d20261230"),"")</f>
      </c>
      <c r="BU131" s="12">
        <f>IF((0=1),SUMIFS('Daily evaluations'!$H$2:$H$36,'Daily evaluations'!$B$2:$B$36,"=random_10",'Daily evaluations'!$C$2:$C$36,"=d20261231"),"")</f>
      </c>
      <c r="BV131" s="12">
        <f>IF((0=1),SUMIFS('Daily evaluations'!$H$2:$H$36,'Daily evaluations'!$B$2:$B$36,"=random_10",'Daily evaluations'!$C$2:$C$36,"=d20270104"),"")</f>
      </c>
      <c r="BW131" s="12">
        <f>IF((0=1),SUMIFS('Daily evaluations'!$H$2:$H$36,'Daily evaluations'!$B$2:$B$36,"=random_10",'Daily evaluations'!$C$2:$C$36,"=d20270105"),"")</f>
      </c>
      <c r="BX131" s="12">
        <f>IF((0=1),SUMIFS('Daily evaluations'!$H$2:$H$36,'Daily evaluations'!$B$2:$B$36,"=random_10",'Daily evaluations'!$C$2:$C$36,"=d20270106"),"")</f>
      </c>
      <c r="BY131" s="12">
        <f>IF((0=1),SUMIFS('Daily evaluations'!$H$2:$H$36,'Daily evaluations'!$B$2:$B$36,"=random_10",'Daily evaluations'!$C$2:$C$36,"=d20270107"),"")</f>
      </c>
      <c r="BZ131" s="12">
        <f>IF((0=1),SUMIFS('Daily evaluations'!$H$2:$H$36,'Daily evaluations'!$B$2:$B$36,"=random_10",'Daily evaluations'!$C$2:$C$36,"=d20270108"),"")</f>
      </c>
      <c r="CA131" s="12">
        <f>IF((0=1),SUMIFS('Daily evaluations'!$H$2:$H$36,'Daily evaluations'!$B$2:$B$36,"=random_10",'Daily evaluations'!$C$2:$C$36,"=d20270111"),"")</f>
      </c>
      <c r="CB131" s="12">
        <f>IF((0=1),SUMIFS('Daily evaluations'!$H$2:$H$36,'Daily evaluations'!$B$2:$B$36,"=random_10",'Daily evaluations'!$C$2:$C$36,"=d20270112"),"")</f>
      </c>
      <c r="CC131" s="12">
        <f>IF((0=1),SUMIFS('Daily evaluations'!$H$2:$H$36,'Daily evaluations'!$B$2:$B$36,"=random_10",'Daily evaluations'!$C$2:$C$36,"=d20270113"),"")</f>
      </c>
      <c r="CD131" s="12">
        <f>IF((0=1),SUMIFS('Daily evaluations'!$H$2:$H$36,'Daily evaluations'!$B$2:$B$36,"=random_10",'Daily evaluations'!$C$2:$C$36,"=d20270114"),"")</f>
      </c>
      <c r="CE131" s="12">
        <f>IF((0=1),SUMIFS('Daily evaluations'!$H$2:$H$36,'Daily evaluations'!$B$2:$B$36,"=random_10",'Daily evaluations'!$C$2:$C$36,"=d20270115"),"")</f>
      </c>
      <c r="CF131" s="12">
        <f>IF((0=1),SUMIFS('Daily evaluations'!$H$2:$H$36,'Daily evaluations'!$B$2:$B$36,"=random_10",'Daily evaluations'!$C$2:$C$36,"=d20270119"),"")</f>
      </c>
      <c r="CG131" s="12">
        <f>IF((0=1),SUMIFS('Daily evaluations'!$H$2:$H$36,'Daily evaluations'!$B$2:$B$36,"=random_10",'Daily evaluations'!$C$2:$C$36,"=d20270120"),"")</f>
      </c>
      <c r="CH131" s="12">
        <f>IF((0=1),SUMIFS('Daily evaluations'!$H$2:$H$36,'Daily evaluations'!$B$2:$B$36,"=random_10",'Daily evaluations'!$C$2:$C$36,"=d20270121"),"")</f>
      </c>
      <c r="CI131" s="12">
        <f>IF((0=1),SUMIFS('Daily evaluations'!$H$2:$H$36,'Daily evaluations'!$B$2:$B$36,"=random_10",'Daily evaluations'!$C$2:$C$36,"=d20270122"),"")</f>
      </c>
      <c r="CJ131" s="12">
        <f>IF((0=1),SUMIFS('Daily evaluations'!$H$2:$H$36,'Daily evaluations'!$B$2:$B$36,"=random_10",'Daily evaluations'!$C$2:$C$36,"=d20270125"),"")</f>
      </c>
      <c r="CK131" s="12">
        <f>IF((0=1),SUMIFS('Daily evaluations'!$H$2:$H$36,'Daily evaluations'!$B$2:$B$36,"=random_10",'Daily evaluations'!$C$2:$C$36,"=d20270126"),"")</f>
      </c>
      <c r="CL131" s="12">
        <f>IF((0=1),SUMIFS('Daily evaluations'!$H$2:$H$36,'Daily evaluations'!$B$2:$B$36,"=random_10",'Daily evaluations'!$C$2:$C$36,"=d20270127"),"")</f>
      </c>
      <c r="CM131" s="12">
        <f>IF((0=1),SUMIFS('Daily evaluations'!$H$2:$H$36,'Daily evaluations'!$B$2:$B$36,"=random_10",'Daily evaluations'!$C$2:$C$36,"=d20270128"),"")</f>
      </c>
      <c r="CN131" s="12">
        <f>IF((0=1),SUMIFS('Daily evaluations'!$H$2:$H$36,'Daily evaluations'!$B$2:$B$36,"=random_10",'Daily evaluations'!$C$2:$C$36,"=d20270129"),"")</f>
      </c>
      <c r="CO131" s="12">
        <f>IF((0=1),SUMIFS('Daily evaluations'!$H$2:$H$36,'Daily evaluations'!$B$2:$B$36,"=random_10",'Daily evaluations'!$C$2:$C$36,"=d20270201"),"")</f>
      </c>
      <c r="CP131" s="12">
        <f>IF((0=1),SUMIFS('Daily evaluations'!$H$2:$H$36,'Daily evaluations'!$B$2:$B$36,"=random_10",'Daily evaluations'!$C$2:$C$36,"=d20270202"),"")</f>
      </c>
      <c r="CQ131" s="12">
        <f>IF((0=1),SUMIFS('Daily evaluations'!$H$2:$H$36,'Daily evaluations'!$B$2:$B$36,"=random_10",'Daily evaluations'!$C$2:$C$36,"=d20270203"),"")</f>
      </c>
      <c r="CR131" s="12">
        <f>IF((0=1),SUMIFS('Daily evaluations'!$H$2:$H$36,'Daily evaluations'!$B$2:$B$36,"=random_10",'Daily evaluations'!$C$2:$C$36,"=d20270204"),"")</f>
      </c>
      <c r="CS131" s="12">
        <f>IF((0=1),SUMIFS('Daily evaluations'!$H$2:$H$36,'Daily evaluations'!$B$2:$B$36,"=random_10",'Daily evaluations'!$C$2:$C$36,"=d20270205"),"")</f>
      </c>
      <c r="CT131" s="12">
        <f>IF((0=1),SUMIFS('Daily evaluations'!$H$2:$H$36,'Daily evaluations'!$B$2:$B$36,"=random_10",'Daily evaluations'!$C$2:$C$36,"=d20270208"),"")</f>
      </c>
      <c r="CU131" s="12">
        <f>IF((0=1),SUMIFS('Daily evaluations'!$H$2:$H$36,'Daily evaluations'!$B$2:$B$36,"=random_10",'Daily evaluations'!$C$2:$C$36,"=d20270209"),"")</f>
      </c>
      <c r="CV131" s="12">
        <f>IF((0=1),SUMIFS('Daily evaluations'!$H$2:$H$36,'Daily evaluations'!$B$2:$B$36,"=random_10",'Daily evaluations'!$C$2:$C$36,"=d20270210"),"")</f>
      </c>
      <c r="CW131" s="12">
        <f>IF((0=1),SUMIFS('Daily evaluations'!$H$2:$H$36,'Daily evaluations'!$B$2:$B$36,"=random_10",'Daily evaluations'!$C$2:$C$36,"=d20270211"),"")</f>
      </c>
      <c r="CX131" s="12">
        <f>IF((0=1),SUMIFS('Daily evaluations'!$H$2:$H$36,'Daily evaluations'!$B$2:$B$36,"=random_10",'Daily evaluations'!$C$2:$C$36,"=d20270212"),"")</f>
      </c>
    </row>
    <row r="132">
      <c r="A132" s="0" t="inlineStr">
        <is>
          <t xml:space="preserve">Hit rate vs universe median</t>
        </is>
      </c>
      <c r="B132" s="0" t="inlineStr">
        <is>
          <t xml:space="preserve">Random 11</t>
        </is>
      </c>
      <c r="C132" s="12">
        <f>IF((1=1),SUMIFS('Daily evaluations'!$H$2:$H$36,'Daily evaluations'!$B$2:$B$36,"=random_11",'Daily evaluations'!$C$2:$C$36,"=d20260922"),"")</f>
        <v>0.56</v>
      </c>
      <c r="D132" s="12">
        <f>IF((0=1),SUMIFS('Daily evaluations'!$H$2:$H$36,'Daily evaluations'!$B$2:$B$36,"=random_11",'Daily evaluations'!$C$2:$C$36,"=d20260923"),"")</f>
      </c>
      <c r="E132" s="12">
        <f>IF((0=1),SUMIFS('Daily evaluations'!$H$2:$H$36,'Daily evaluations'!$B$2:$B$36,"=random_11",'Daily evaluations'!$C$2:$C$36,"=d20260924"),"")</f>
      </c>
      <c r="F132" s="12">
        <f>IF((0=1),SUMIFS('Daily evaluations'!$H$2:$H$36,'Daily evaluations'!$B$2:$B$36,"=random_11",'Daily evaluations'!$C$2:$C$36,"=d20260925"),"")</f>
      </c>
      <c r="G132" s="12">
        <f>IF((0=1),SUMIFS('Daily evaluations'!$H$2:$H$36,'Daily evaluations'!$B$2:$B$36,"=random_11",'Daily evaluations'!$C$2:$C$36,"=d20260928"),"")</f>
      </c>
      <c r="H132" s="12">
        <f>IF((0=1),SUMIFS('Daily evaluations'!$H$2:$H$36,'Daily evaluations'!$B$2:$B$36,"=random_11",'Daily evaluations'!$C$2:$C$36,"=d20260929"),"")</f>
      </c>
      <c r="I132" s="12">
        <f>IF((0=1),SUMIFS('Daily evaluations'!$H$2:$H$36,'Daily evaluations'!$B$2:$B$36,"=random_11",'Daily evaluations'!$C$2:$C$36,"=d20260930"),"")</f>
      </c>
      <c r="J132" s="12">
        <f>IF((0=1),SUMIFS('Daily evaluations'!$H$2:$H$36,'Daily evaluations'!$B$2:$B$36,"=random_11",'Daily evaluations'!$C$2:$C$36,"=d20261001"),"")</f>
      </c>
      <c r="K132" s="12">
        <f>IF((0=1),SUMIFS('Daily evaluations'!$H$2:$H$36,'Daily evaluations'!$B$2:$B$36,"=random_11",'Daily evaluations'!$C$2:$C$36,"=d20261002"),"")</f>
      </c>
      <c r="L132" s="12">
        <f>IF((0=1),SUMIFS('Daily evaluations'!$H$2:$H$36,'Daily evaluations'!$B$2:$B$36,"=random_11",'Daily evaluations'!$C$2:$C$36,"=d20261005"),"")</f>
      </c>
      <c r="M132" s="12">
        <f>IF((0=1),SUMIFS('Daily evaluations'!$H$2:$H$36,'Daily evaluations'!$B$2:$B$36,"=random_11",'Daily evaluations'!$C$2:$C$36,"=d20261006"),"")</f>
      </c>
      <c r="N132" s="12">
        <f>IF((0=1),SUMIFS('Daily evaluations'!$H$2:$H$36,'Daily evaluations'!$B$2:$B$36,"=random_11",'Daily evaluations'!$C$2:$C$36,"=d20261007"),"")</f>
      </c>
      <c r="O132" s="12">
        <f>IF((0=1),SUMIFS('Daily evaluations'!$H$2:$H$36,'Daily evaluations'!$B$2:$B$36,"=random_11",'Daily evaluations'!$C$2:$C$36,"=d20261008"),"")</f>
      </c>
      <c r="P132" s="12">
        <f>IF((0=1),SUMIFS('Daily evaluations'!$H$2:$H$36,'Daily evaluations'!$B$2:$B$36,"=random_11",'Daily evaluations'!$C$2:$C$36,"=d20261009"),"")</f>
      </c>
      <c r="Q132" s="12">
        <f>IF((0=1),SUMIFS('Daily evaluations'!$H$2:$H$36,'Daily evaluations'!$B$2:$B$36,"=random_11",'Daily evaluations'!$C$2:$C$36,"=d20261012"),"")</f>
      </c>
      <c r="R132" s="12">
        <f>IF((0=1),SUMIFS('Daily evaluations'!$H$2:$H$36,'Daily evaluations'!$B$2:$B$36,"=random_11",'Daily evaluations'!$C$2:$C$36,"=d20261013"),"")</f>
      </c>
      <c r="S132" s="12">
        <f>IF((0=1),SUMIFS('Daily evaluations'!$H$2:$H$36,'Daily evaluations'!$B$2:$B$36,"=random_11",'Daily evaluations'!$C$2:$C$36,"=d20261014"),"")</f>
      </c>
      <c r="T132" s="12">
        <f>IF((0=1),SUMIFS('Daily evaluations'!$H$2:$H$36,'Daily evaluations'!$B$2:$B$36,"=random_11",'Daily evaluations'!$C$2:$C$36,"=d20261015"),"")</f>
      </c>
      <c r="U132" s="12">
        <f>IF((0=1),SUMIFS('Daily evaluations'!$H$2:$H$36,'Daily evaluations'!$B$2:$B$36,"=random_11",'Daily evaluations'!$C$2:$C$36,"=d20261016"),"")</f>
      </c>
      <c r="V132" s="12">
        <f>IF((0=1),SUMIFS('Daily evaluations'!$H$2:$H$36,'Daily evaluations'!$B$2:$B$36,"=random_11",'Daily evaluations'!$C$2:$C$36,"=d20261019"),"")</f>
      </c>
      <c r="W132" s="12">
        <f>IF((0=1),SUMIFS('Daily evaluations'!$H$2:$H$36,'Daily evaluations'!$B$2:$B$36,"=random_11",'Daily evaluations'!$C$2:$C$36,"=d20261020"),"")</f>
      </c>
      <c r="X132" s="12">
        <f>IF((0=1),SUMIFS('Daily evaluations'!$H$2:$H$36,'Daily evaluations'!$B$2:$B$36,"=random_11",'Daily evaluations'!$C$2:$C$36,"=d20261021"),"")</f>
      </c>
      <c r="Y132" s="12">
        <f>IF((0=1),SUMIFS('Daily evaluations'!$H$2:$H$36,'Daily evaluations'!$B$2:$B$36,"=random_11",'Daily evaluations'!$C$2:$C$36,"=d20261022"),"")</f>
      </c>
      <c r="Z132" s="12">
        <f>IF((0=1),SUMIFS('Daily evaluations'!$H$2:$H$36,'Daily evaluations'!$B$2:$B$36,"=random_11",'Daily evaluations'!$C$2:$C$36,"=d20261023"),"")</f>
      </c>
      <c r="AA132" s="12">
        <f>IF((0=1),SUMIFS('Daily evaluations'!$H$2:$H$36,'Daily evaluations'!$B$2:$B$36,"=random_11",'Daily evaluations'!$C$2:$C$36,"=d20261026"),"")</f>
      </c>
      <c r="AB132" s="12">
        <f>IF((0=1),SUMIFS('Daily evaluations'!$H$2:$H$36,'Daily evaluations'!$B$2:$B$36,"=random_11",'Daily evaluations'!$C$2:$C$36,"=d20261027"),"")</f>
      </c>
      <c r="AC132" s="12">
        <f>IF((0=1),SUMIFS('Daily evaluations'!$H$2:$H$36,'Daily evaluations'!$B$2:$B$36,"=random_11",'Daily evaluations'!$C$2:$C$36,"=d20261028"),"")</f>
      </c>
      <c r="AD132" s="12">
        <f>IF((0=1),SUMIFS('Daily evaluations'!$H$2:$H$36,'Daily evaluations'!$B$2:$B$36,"=random_11",'Daily evaluations'!$C$2:$C$36,"=d20261029"),"")</f>
      </c>
      <c r="AE132" s="12">
        <f>IF((0=1),SUMIFS('Daily evaluations'!$H$2:$H$36,'Daily evaluations'!$B$2:$B$36,"=random_11",'Daily evaluations'!$C$2:$C$36,"=d20261030"),"")</f>
      </c>
      <c r="AF132" s="12">
        <f>IF((0=1),SUMIFS('Daily evaluations'!$H$2:$H$36,'Daily evaluations'!$B$2:$B$36,"=random_11",'Daily evaluations'!$C$2:$C$36,"=d20261102"),"")</f>
      </c>
      <c r="AG132" s="12">
        <f>IF((0=1),SUMIFS('Daily evaluations'!$H$2:$H$36,'Daily evaluations'!$B$2:$B$36,"=random_11",'Daily evaluations'!$C$2:$C$36,"=d20261103"),"")</f>
      </c>
      <c r="AH132" s="12">
        <f>IF((0=1),SUMIFS('Daily evaluations'!$H$2:$H$36,'Daily evaluations'!$B$2:$B$36,"=random_11",'Daily evaluations'!$C$2:$C$36,"=d20261104"),"")</f>
      </c>
      <c r="AI132" s="12">
        <f>IF((0=1),SUMIFS('Daily evaluations'!$H$2:$H$36,'Daily evaluations'!$B$2:$B$36,"=random_11",'Daily evaluations'!$C$2:$C$36,"=d20261105"),"")</f>
      </c>
      <c r="AJ132" s="12">
        <f>IF((0=1),SUMIFS('Daily evaluations'!$H$2:$H$36,'Daily evaluations'!$B$2:$B$36,"=random_11",'Daily evaluations'!$C$2:$C$36,"=d20261106"),"")</f>
      </c>
      <c r="AK132" s="12">
        <f>IF((0=1),SUMIFS('Daily evaluations'!$H$2:$H$36,'Daily evaluations'!$B$2:$B$36,"=random_11",'Daily evaluations'!$C$2:$C$36,"=d20261109"),"")</f>
      </c>
      <c r="AL132" s="12">
        <f>IF((0=1),SUMIFS('Daily evaluations'!$H$2:$H$36,'Daily evaluations'!$B$2:$B$36,"=random_11",'Daily evaluations'!$C$2:$C$36,"=d20261110"),"")</f>
      </c>
      <c r="AM132" s="12">
        <f>IF((0=1),SUMIFS('Daily evaluations'!$H$2:$H$36,'Daily evaluations'!$B$2:$B$36,"=random_11",'Daily evaluations'!$C$2:$C$36,"=d20261111"),"")</f>
      </c>
      <c r="AN132" s="12">
        <f>IF((0=1),SUMIFS('Daily evaluations'!$H$2:$H$36,'Daily evaluations'!$B$2:$B$36,"=random_11",'Daily evaluations'!$C$2:$C$36,"=d20261112"),"")</f>
      </c>
      <c r="AO132" s="12">
        <f>IF((0=1),SUMIFS('Daily evaluations'!$H$2:$H$36,'Daily evaluations'!$B$2:$B$36,"=random_11",'Daily evaluations'!$C$2:$C$36,"=d20261113"),"")</f>
      </c>
      <c r="AP132" s="12">
        <f>IF((0=1),SUMIFS('Daily evaluations'!$H$2:$H$36,'Daily evaluations'!$B$2:$B$36,"=random_11",'Daily evaluations'!$C$2:$C$36,"=d20261116"),"")</f>
      </c>
      <c r="AQ132" s="12">
        <f>IF((0=1),SUMIFS('Daily evaluations'!$H$2:$H$36,'Daily evaluations'!$B$2:$B$36,"=random_11",'Daily evaluations'!$C$2:$C$36,"=d20261117"),"")</f>
      </c>
      <c r="AR132" s="12">
        <f>IF((0=1),SUMIFS('Daily evaluations'!$H$2:$H$36,'Daily evaluations'!$B$2:$B$36,"=random_11",'Daily evaluations'!$C$2:$C$36,"=d20261118"),"")</f>
      </c>
      <c r="AS132" s="12">
        <f>IF((0=1),SUMIFS('Daily evaluations'!$H$2:$H$36,'Daily evaluations'!$B$2:$B$36,"=random_11",'Daily evaluations'!$C$2:$C$36,"=d20261119"),"")</f>
      </c>
      <c r="AT132" s="12">
        <f>IF((0=1),SUMIFS('Daily evaluations'!$H$2:$H$36,'Daily evaluations'!$B$2:$B$36,"=random_11",'Daily evaluations'!$C$2:$C$36,"=d20261120"),"")</f>
      </c>
      <c r="AU132" s="12">
        <f>IF((0=1),SUMIFS('Daily evaluations'!$H$2:$H$36,'Daily evaluations'!$B$2:$B$36,"=random_11",'Daily evaluations'!$C$2:$C$36,"=d20261123"),"")</f>
      </c>
      <c r="AV132" s="12">
        <f>IF((0=1),SUMIFS('Daily evaluations'!$H$2:$H$36,'Daily evaluations'!$B$2:$B$36,"=random_11",'Daily evaluations'!$C$2:$C$36,"=d20261124"),"")</f>
      </c>
      <c r="AW132" s="12">
        <f>IF((0=1),SUMIFS('Daily evaluations'!$H$2:$H$36,'Daily evaluations'!$B$2:$B$36,"=random_11",'Daily evaluations'!$C$2:$C$36,"=d20261125"),"")</f>
      </c>
      <c r="AX132" s="12">
        <f>IF((0=1),SUMIFS('Daily evaluations'!$H$2:$H$36,'Daily evaluations'!$B$2:$B$36,"=random_11",'Daily evaluations'!$C$2:$C$36,"=d20261127"),"")</f>
      </c>
      <c r="AY132" s="12">
        <f>IF((0=1),SUMIFS('Daily evaluations'!$H$2:$H$36,'Daily evaluations'!$B$2:$B$36,"=random_11",'Daily evaluations'!$C$2:$C$36,"=d20261130"),"")</f>
      </c>
      <c r="AZ132" s="12">
        <f>IF((0=1),SUMIFS('Daily evaluations'!$H$2:$H$36,'Daily evaluations'!$B$2:$B$36,"=random_11",'Daily evaluations'!$C$2:$C$36,"=d20261201"),"")</f>
      </c>
      <c r="BA132" s="12">
        <f>IF((0=1),SUMIFS('Daily evaluations'!$H$2:$H$36,'Daily evaluations'!$B$2:$B$36,"=random_11",'Daily evaluations'!$C$2:$C$36,"=d20261202"),"")</f>
      </c>
      <c r="BB132" s="12">
        <f>IF((0=1),SUMIFS('Daily evaluations'!$H$2:$H$36,'Daily evaluations'!$B$2:$B$36,"=random_11",'Daily evaluations'!$C$2:$C$36,"=d20261203"),"")</f>
      </c>
      <c r="BC132" s="12">
        <f>IF((0=1),SUMIFS('Daily evaluations'!$H$2:$H$36,'Daily evaluations'!$B$2:$B$36,"=random_11",'Daily evaluations'!$C$2:$C$36,"=d20261204"),"")</f>
      </c>
      <c r="BD132" s="12">
        <f>IF((0=1),SUMIFS('Daily evaluations'!$H$2:$H$36,'Daily evaluations'!$B$2:$B$36,"=random_11",'Daily evaluations'!$C$2:$C$36,"=d20261207"),"")</f>
      </c>
      <c r="BE132" s="12">
        <f>IF((0=1),SUMIFS('Daily evaluations'!$H$2:$H$36,'Daily evaluations'!$B$2:$B$36,"=random_11",'Daily evaluations'!$C$2:$C$36,"=d20261208"),"")</f>
      </c>
      <c r="BF132" s="12">
        <f>IF((0=1),SUMIFS('Daily evaluations'!$H$2:$H$36,'Daily evaluations'!$B$2:$B$36,"=random_11",'Daily evaluations'!$C$2:$C$36,"=d20261209"),"")</f>
      </c>
      <c r="BG132" s="12">
        <f>IF((0=1),SUMIFS('Daily evaluations'!$H$2:$H$36,'Daily evaluations'!$B$2:$B$36,"=random_11",'Daily evaluations'!$C$2:$C$36,"=d20261210"),"")</f>
      </c>
      <c r="BH132" s="12">
        <f>IF((0=1),SUMIFS('Daily evaluations'!$H$2:$H$36,'Daily evaluations'!$B$2:$B$36,"=random_11",'Daily evaluations'!$C$2:$C$36,"=d20261211"),"")</f>
      </c>
      <c r="BI132" s="12">
        <f>IF((0=1),SUMIFS('Daily evaluations'!$H$2:$H$36,'Daily evaluations'!$B$2:$B$36,"=random_11",'Daily evaluations'!$C$2:$C$36,"=d20261214"),"")</f>
      </c>
      <c r="BJ132" s="12">
        <f>IF((0=1),SUMIFS('Daily evaluations'!$H$2:$H$36,'Daily evaluations'!$B$2:$B$36,"=random_11",'Daily evaluations'!$C$2:$C$36,"=d20261215"),"")</f>
      </c>
      <c r="BK132" s="12">
        <f>IF((0=1),SUMIFS('Daily evaluations'!$H$2:$H$36,'Daily evaluations'!$B$2:$B$36,"=random_11",'Daily evaluations'!$C$2:$C$36,"=d20261216"),"")</f>
      </c>
      <c r="BL132" s="12">
        <f>IF((0=1),SUMIFS('Daily evaluations'!$H$2:$H$36,'Daily evaluations'!$B$2:$B$36,"=random_11",'Daily evaluations'!$C$2:$C$36,"=d20261217"),"")</f>
      </c>
      <c r="BM132" s="12">
        <f>IF((0=1),SUMIFS('Daily evaluations'!$H$2:$H$36,'Daily evaluations'!$B$2:$B$36,"=random_11",'Daily evaluations'!$C$2:$C$36,"=d20261218"),"")</f>
      </c>
      <c r="BN132" s="12">
        <f>IF((0=1),SUMIFS('Daily evaluations'!$H$2:$H$36,'Daily evaluations'!$B$2:$B$36,"=random_11",'Daily evaluations'!$C$2:$C$36,"=d20261221"),"")</f>
      </c>
      <c r="BO132" s="12">
        <f>IF((0=1),SUMIFS('Daily evaluations'!$H$2:$H$36,'Daily evaluations'!$B$2:$B$36,"=random_11",'Daily evaluations'!$C$2:$C$36,"=d20261222"),"")</f>
      </c>
      <c r="BP132" s="12">
        <f>IF((0=1),SUMIFS('Daily evaluations'!$H$2:$H$36,'Daily evaluations'!$B$2:$B$36,"=random_11",'Daily evaluations'!$C$2:$C$36,"=d20261223"),"")</f>
      </c>
      <c r="BQ132" s="12">
        <f>IF((0=1),SUMIFS('Daily evaluations'!$H$2:$H$36,'Daily evaluations'!$B$2:$B$36,"=random_11",'Daily evaluations'!$C$2:$C$36,"=d20261224"),"")</f>
      </c>
      <c r="BR132" s="12">
        <f>IF((0=1),SUMIFS('Daily evaluations'!$H$2:$H$36,'Daily evaluations'!$B$2:$B$36,"=random_11",'Daily evaluations'!$C$2:$C$36,"=d20261228"),"")</f>
      </c>
      <c r="BS132" s="12">
        <f>IF((0=1),SUMIFS('Daily evaluations'!$H$2:$H$36,'Daily evaluations'!$B$2:$B$36,"=random_11",'Daily evaluations'!$C$2:$C$36,"=d20261229"),"")</f>
      </c>
      <c r="BT132" s="12">
        <f>IF((0=1),SUMIFS('Daily evaluations'!$H$2:$H$36,'Daily evaluations'!$B$2:$B$36,"=random_11",'Daily evaluations'!$C$2:$C$36,"=d20261230"),"")</f>
      </c>
      <c r="BU132" s="12">
        <f>IF((0=1),SUMIFS('Daily evaluations'!$H$2:$H$36,'Daily evaluations'!$B$2:$B$36,"=random_11",'Daily evaluations'!$C$2:$C$36,"=d20261231"),"")</f>
      </c>
      <c r="BV132" s="12">
        <f>IF((0=1),SUMIFS('Daily evaluations'!$H$2:$H$36,'Daily evaluations'!$B$2:$B$36,"=random_11",'Daily evaluations'!$C$2:$C$36,"=d20270104"),"")</f>
      </c>
      <c r="BW132" s="12">
        <f>IF((0=1),SUMIFS('Daily evaluations'!$H$2:$H$36,'Daily evaluations'!$B$2:$B$36,"=random_11",'Daily evaluations'!$C$2:$C$36,"=d20270105"),"")</f>
      </c>
      <c r="BX132" s="12">
        <f>IF((0=1),SUMIFS('Daily evaluations'!$H$2:$H$36,'Daily evaluations'!$B$2:$B$36,"=random_11",'Daily evaluations'!$C$2:$C$36,"=d20270106"),"")</f>
      </c>
      <c r="BY132" s="12">
        <f>IF((0=1),SUMIFS('Daily evaluations'!$H$2:$H$36,'Daily evaluations'!$B$2:$B$36,"=random_11",'Daily evaluations'!$C$2:$C$36,"=d20270107"),"")</f>
      </c>
      <c r="BZ132" s="12">
        <f>IF((0=1),SUMIFS('Daily evaluations'!$H$2:$H$36,'Daily evaluations'!$B$2:$B$36,"=random_11",'Daily evaluations'!$C$2:$C$36,"=d20270108"),"")</f>
      </c>
      <c r="CA132" s="12">
        <f>IF((0=1),SUMIFS('Daily evaluations'!$H$2:$H$36,'Daily evaluations'!$B$2:$B$36,"=random_11",'Daily evaluations'!$C$2:$C$36,"=d20270111"),"")</f>
      </c>
      <c r="CB132" s="12">
        <f>IF((0=1),SUMIFS('Daily evaluations'!$H$2:$H$36,'Daily evaluations'!$B$2:$B$36,"=random_11",'Daily evaluations'!$C$2:$C$36,"=d20270112"),"")</f>
      </c>
      <c r="CC132" s="12">
        <f>IF((0=1),SUMIFS('Daily evaluations'!$H$2:$H$36,'Daily evaluations'!$B$2:$B$36,"=random_11",'Daily evaluations'!$C$2:$C$36,"=d20270113"),"")</f>
      </c>
      <c r="CD132" s="12">
        <f>IF((0=1),SUMIFS('Daily evaluations'!$H$2:$H$36,'Daily evaluations'!$B$2:$B$36,"=random_11",'Daily evaluations'!$C$2:$C$36,"=d20270114"),"")</f>
      </c>
      <c r="CE132" s="12">
        <f>IF((0=1),SUMIFS('Daily evaluations'!$H$2:$H$36,'Daily evaluations'!$B$2:$B$36,"=random_11",'Daily evaluations'!$C$2:$C$36,"=d20270115"),"")</f>
      </c>
      <c r="CF132" s="12">
        <f>IF((0=1),SUMIFS('Daily evaluations'!$H$2:$H$36,'Daily evaluations'!$B$2:$B$36,"=random_11",'Daily evaluations'!$C$2:$C$36,"=d20270119"),"")</f>
      </c>
      <c r="CG132" s="12">
        <f>IF((0=1),SUMIFS('Daily evaluations'!$H$2:$H$36,'Daily evaluations'!$B$2:$B$36,"=random_11",'Daily evaluations'!$C$2:$C$36,"=d20270120"),"")</f>
      </c>
      <c r="CH132" s="12">
        <f>IF((0=1),SUMIFS('Daily evaluations'!$H$2:$H$36,'Daily evaluations'!$B$2:$B$36,"=random_11",'Daily evaluations'!$C$2:$C$36,"=d20270121"),"")</f>
      </c>
      <c r="CI132" s="12">
        <f>IF((0=1),SUMIFS('Daily evaluations'!$H$2:$H$36,'Daily evaluations'!$B$2:$B$36,"=random_11",'Daily evaluations'!$C$2:$C$36,"=d20270122"),"")</f>
      </c>
      <c r="CJ132" s="12">
        <f>IF((0=1),SUMIFS('Daily evaluations'!$H$2:$H$36,'Daily evaluations'!$B$2:$B$36,"=random_11",'Daily evaluations'!$C$2:$C$36,"=d20270125"),"")</f>
      </c>
      <c r="CK132" s="12">
        <f>IF((0=1),SUMIFS('Daily evaluations'!$H$2:$H$36,'Daily evaluations'!$B$2:$B$36,"=random_11",'Daily evaluations'!$C$2:$C$36,"=d20270126"),"")</f>
      </c>
      <c r="CL132" s="12">
        <f>IF((0=1),SUMIFS('Daily evaluations'!$H$2:$H$36,'Daily evaluations'!$B$2:$B$36,"=random_11",'Daily evaluations'!$C$2:$C$36,"=d20270127"),"")</f>
      </c>
      <c r="CM132" s="12">
        <f>IF((0=1),SUMIFS('Daily evaluations'!$H$2:$H$36,'Daily evaluations'!$B$2:$B$36,"=random_11",'Daily evaluations'!$C$2:$C$36,"=d20270128"),"")</f>
      </c>
      <c r="CN132" s="12">
        <f>IF((0=1),SUMIFS('Daily evaluations'!$H$2:$H$36,'Daily evaluations'!$B$2:$B$36,"=random_11",'Daily evaluations'!$C$2:$C$36,"=d20270129"),"")</f>
      </c>
      <c r="CO132" s="12">
        <f>IF((0=1),SUMIFS('Daily evaluations'!$H$2:$H$36,'Daily evaluations'!$B$2:$B$36,"=random_11",'Daily evaluations'!$C$2:$C$36,"=d20270201"),"")</f>
      </c>
      <c r="CP132" s="12">
        <f>IF((0=1),SUMIFS('Daily evaluations'!$H$2:$H$36,'Daily evaluations'!$B$2:$B$36,"=random_11",'Daily evaluations'!$C$2:$C$36,"=d20270202"),"")</f>
      </c>
      <c r="CQ132" s="12">
        <f>IF((0=1),SUMIFS('Daily evaluations'!$H$2:$H$36,'Daily evaluations'!$B$2:$B$36,"=random_11",'Daily evaluations'!$C$2:$C$36,"=d20270203"),"")</f>
      </c>
      <c r="CR132" s="12">
        <f>IF((0=1),SUMIFS('Daily evaluations'!$H$2:$H$36,'Daily evaluations'!$B$2:$B$36,"=random_11",'Daily evaluations'!$C$2:$C$36,"=d20270204"),"")</f>
      </c>
      <c r="CS132" s="12">
        <f>IF((0=1),SUMIFS('Daily evaluations'!$H$2:$H$36,'Daily evaluations'!$B$2:$B$36,"=random_11",'Daily evaluations'!$C$2:$C$36,"=d20270205"),"")</f>
      </c>
      <c r="CT132" s="12">
        <f>IF((0=1),SUMIFS('Daily evaluations'!$H$2:$H$36,'Daily evaluations'!$B$2:$B$36,"=random_11",'Daily evaluations'!$C$2:$C$36,"=d20270208"),"")</f>
      </c>
      <c r="CU132" s="12">
        <f>IF((0=1),SUMIFS('Daily evaluations'!$H$2:$H$36,'Daily evaluations'!$B$2:$B$36,"=random_11",'Daily evaluations'!$C$2:$C$36,"=d20270209"),"")</f>
      </c>
      <c r="CV132" s="12">
        <f>IF((0=1),SUMIFS('Daily evaluations'!$H$2:$H$36,'Daily evaluations'!$B$2:$B$36,"=random_11",'Daily evaluations'!$C$2:$C$36,"=d20270210"),"")</f>
      </c>
      <c r="CW132" s="12">
        <f>IF((0=1),SUMIFS('Daily evaluations'!$H$2:$H$36,'Daily evaluations'!$B$2:$B$36,"=random_11",'Daily evaluations'!$C$2:$C$36,"=d20270211"),"")</f>
      </c>
      <c r="CX132" s="12">
        <f>IF((0=1),SUMIFS('Daily evaluations'!$H$2:$H$36,'Daily evaluations'!$B$2:$B$36,"=random_11",'Daily evaluations'!$C$2:$C$36,"=d20270212"),"")</f>
      </c>
    </row>
    <row r="133">
      <c r="A133" s="0" t="inlineStr">
        <is>
          <t xml:space="preserve">Hit rate vs universe median</t>
        </is>
      </c>
      <c r="B133" s="0" t="inlineStr">
        <is>
          <t xml:space="preserve">Random 12</t>
        </is>
      </c>
      <c r="C133" s="12">
        <f>IF((1=1),SUMIFS('Daily evaluations'!$H$2:$H$36,'Daily evaluations'!$B$2:$B$36,"=random_12",'Daily evaluations'!$C$2:$C$36,"=d20260922"),"")</f>
        <v>0.52</v>
      </c>
      <c r="D133" s="12">
        <f>IF((0=1),SUMIFS('Daily evaluations'!$H$2:$H$36,'Daily evaluations'!$B$2:$B$36,"=random_12",'Daily evaluations'!$C$2:$C$36,"=d20260923"),"")</f>
      </c>
      <c r="E133" s="12">
        <f>IF((0=1),SUMIFS('Daily evaluations'!$H$2:$H$36,'Daily evaluations'!$B$2:$B$36,"=random_12",'Daily evaluations'!$C$2:$C$36,"=d20260924"),"")</f>
      </c>
      <c r="F133" s="12">
        <f>IF((0=1),SUMIFS('Daily evaluations'!$H$2:$H$36,'Daily evaluations'!$B$2:$B$36,"=random_12",'Daily evaluations'!$C$2:$C$36,"=d20260925"),"")</f>
      </c>
      <c r="G133" s="12">
        <f>IF((0=1),SUMIFS('Daily evaluations'!$H$2:$H$36,'Daily evaluations'!$B$2:$B$36,"=random_12",'Daily evaluations'!$C$2:$C$36,"=d20260928"),"")</f>
      </c>
      <c r="H133" s="12">
        <f>IF((0=1),SUMIFS('Daily evaluations'!$H$2:$H$36,'Daily evaluations'!$B$2:$B$36,"=random_12",'Daily evaluations'!$C$2:$C$36,"=d20260929"),"")</f>
      </c>
      <c r="I133" s="12">
        <f>IF((0=1),SUMIFS('Daily evaluations'!$H$2:$H$36,'Daily evaluations'!$B$2:$B$36,"=random_12",'Daily evaluations'!$C$2:$C$36,"=d20260930"),"")</f>
      </c>
      <c r="J133" s="12">
        <f>IF((0=1),SUMIFS('Daily evaluations'!$H$2:$H$36,'Daily evaluations'!$B$2:$B$36,"=random_12",'Daily evaluations'!$C$2:$C$36,"=d20261001"),"")</f>
      </c>
      <c r="K133" s="12">
        <f>IF((0=1),SUMIFS('Daily evaluations'!$H$2:$H$36,'Daily evaluations'!$B$2:$B$36,"=random_12",'Daily evaluations'!$C$2:$C$36,"=d20261002"),"")</f>
      </c>
      <c r="L133" s="12">
        <f>IF((0=1),SUMIFS('Daily evaluations'!$H$2:$H$36,'Daily evaluations'!$B$2:$B$36,"=random_12",'Daily evaluations'!$C$2:$C$36,"=d20261005"),"")</f>
      </c>
      <c r="M133" s="12">
        <f>IF((0=1),SUMIFS('Daily evaluations'!$H$2:$H$36,'Daily evaluations'!$B$2:$B$36,"=random_12",'Daily evaluations'!$C$2:$C$36,"=d20261006"),"")</f>
      </c>
      <c r="N133" s="12">
        <f>IF((0=1),SUMIFS('Daily evaluations'!$H$2:$H$36,'Daily evaluations'!$B$2:$B$36,"=random_12",'Daily evaluations'!$C$2:$C$36,"=d20261007"),"")</f>
      </c>
      <c r="O133" s="12">
        <f>IF((0=1),SUMIFS('Daily evaluations'!$H$2:$H$36,'Daily evaluations'!$B$2:$B$36,"=random_12",'Daily evaluations'!$C$2:$C$36,"=d20261008"),"")</f>
      </c>
      <c r="P133" s="12">
        <f>IF((0=1),SUMIFS('Daily evaluations'!$H$2:$H$36,'Daily evaluations'!$B$2:$B$36,"=random_12",'Daily evaluations'!$C$2:$C$36,"=d20261009"),"")</f>
      </c>
      <c r="Q133" s="12">
        <f>IF((0=1),SUMIFS('Daily evaluations'!$H$2:$H$36,'Daily evaluations'!$B$2:$B$36,"=random_12",'Daily evaluations'!$C$2:$C$36,"=d20261012"),"")</f>
      </c>
      <c r="R133" s="12">
        <f>IF((0=1),SUMIFS('Daily evaluations'!$H$2:$H$36,'Daily evaluations'!$B$2:$B$36,"=random_12",'Daily evaluations'!$C$2:$C$36,"=d20261013"),"")</f>
      </c>
      <c r="S133" s="12">
        <f>IF((0=1),SUMIFS('Daily evaluations'!$H$2:$H$36,'Daily evaluations'!$B$2:$B$36,"=random_12",'Daily evaluations'!$C$2:$C$36,"=d20261014"),"")</f>
      </c>
      <c r="T133" s="12">
        <f>IF((0=1),SUMIFS('Daily evaluations'!$H$2:$H$36,'Daily evaluations'!$B$2:$B$36,"=random_12",'Daily evaluations'!$C$2:$C$36,"=d20261015"),"")</f>
      </c>
      <c r="U133" s="12">
        <f>IF((0=1),SUMIFS('Daily evaluations'!$H$2:$H$36,'Daily evaluations'!$B$2:$B$36,"=random_12",'Daily evaluations'!$C$2:$C$36,"=d20261016"),"")</f>
      </c>
      <c r="V133" s="12">
        <f>IF((0=1),SUMIFS('Daily evaluations'!$H$2:$H$36,'Daily evaluations'!$B$2:$B$36,"=random_12",'Daily evaluations'!$C$2:$C$36,"=d20261019"),"")</f>
      </c>
      <c r="W133" s="12">
        <f>IF((0=1),SUMIFS('Daily evaluations'!$H$2:$H$36,'Daily evaluations'!$B$2:$B$36,"=random_12",'Daily evaluations'!$C$2:$C$36,"=d20261020"),"")</f>
      </c>
      <c r="X133" s="12">
        <f>IF((0=1),SUMIFS('Daily evaluations'!$H$2:$H$36,'Daily evaluations'!$B$2:$B$36,"=random_12",'Daily evaluations'!$C$2:$C$36,"=d20261021"),"")</f>
      </c>
      <c r="Y133" s="12">
        <f>IF((0=1),SUMIFS('Daily evaluations'!$H$2:$H$36,'Daily evaluations'!$B$2:$B$36,"=random_12",'Daily evaluations'!$C$2:$C$36,"=d20261022"),"")</f>
      </c>
      <c r="Z133" s="12">
        <f>IF((0=1),SUMIFS('Daily evaluations'!$H$2:$H$36,'Daily evaluations'!$B$2:$B$36,"=random_12",'Daily evaluations'!$C$2:$C$36,"=d20261023"),"")</f>
      </c>
      <c r="AA133" s="12">
        <f>IF((0=1),SUMIFS('Daily evaluations'!$H$2:$H$36,'Daily evaluations'!$B$2:$B$36,"=random_12",'Daily evaluations'!$C$2:$C$36,"=d20261026"),"")</f>
      </c>
      <c r="AB133" s="12">
        <f>IF((0=1),SUMIFS('Daily evaluations'!$H$2:$H$36,'Daily evaluations'!$B$2:$B$36,"=random_12",'Daily evaluations'!$C$2:$C$36,"=d20261027"),"")</f>
      </c>
      <c r="AC133" s="12">
        <f>IF((0=1),SUMIFS('Daily evaluations'!$H$2:$H$36,'Daily evaluations'!$B$2:$B$36,"=random_12",'Daily evaluations'!$C$2:$C$36,"=d20261028"),"")</f>
      </c>
      <c r="AD133" s="12">
        <f>IF((0=1),SUMIFS('Daily evaluations'!$H$2:$H$36,'Daily evaluations'!$B$2:$B$36,"=random_12",'Daily evaluations'!$C$2:$C$36,"=d20261029"),"")</f>
      </c>
      <c r="AE133" s="12">
        <f>IF((0=1),SUMIFS('Daily evaluations'!$H$2:$H$36,'Daily evaluations'!$B$2:$B$36,"=random_12",'Daily evaluations'!$C$2:$C$36,"=d20261030"),"")</f>
      </c>
      <c r="AF133" s="12">
        <f>IF((0=1),SUMIFS('Daily evaluations'!$H$2:$H$36,'Daily evaluations'!$B$2:$B$36,"=random_12",'Daily evaluations'!$C$2:$C$36,"=d20261102"),"")</f>
      </c>
      <c r="AG133" s="12">
        <f>IF((0=1),SUMIFS('Daily evaluations'!$H$2:$H$36,'Daily evaluations'!$B$2:$B$36,"=random_12",'Daily evaluations'!$C$2:$C$36,"=d20261103"),"")</f>
      </c>
      <c r="AH133" s="12">
        <f>IF((0=1),SUMIFS('Daily evaluations'!$H$2:$H$36,'Daily evaluations'!$B$2:$B$36,"=random_12",'Daily evaluations'!$C$2:$C$36,"=d20261104"),"")</f>
      </c>
      <c r="AI133" s="12">
        <f>IF((0=1),SUMIFS('Daily evaluations'!$H$2:$H$36,'Daily evaluations'!$B$2:$B$36,"=random_12",'Daily evaluations'!$C$2:$C$36,"=d20261105"),"")</f>
      </c>
      <c r="AJ133" s="12">
        <f>IF((0=1),SUMIFS('Daily evaluations'!$H$2:$H$36,'Daily evaluations'!$B$2:$B$36,"=random_12",'Daily evaluations'!$C$2:$C$36,"=d20261106"),"")</f>
      </c>
      <c r="AK133" s="12">
        <f>IF((0=1),SUMIFS('Daily evaluations'!$H$2:$H$36,'Daily evaluations'!$B$2:$B$36,"=random_12",'Daily evaluations'!$C$2:$C$36,"=d20261109"),"")</f>
      </c>
      <c r="AL133" s="12">
        <f>IF((0=1),SUMIFS('Daily evaluations'!$H$2:$H$36,'Daily evaluations'!$B$2:$B$36,"=random_12",'Daily evaluations'!$C$2:$C$36,"=d20261110"),"")</f>
      </c>
      <c r="AM133" s="12">
        <f>IF((0=1),SUMIFS('Daily evaluations'!$H$2:$H$36,'Daily evaluations'!$B$2:$B$36,"=random_12",'Daily evaluations'!$C$2:$C$36,"=d20261111"),"")</f>
      </c>
      <c r="AN133" s="12">
        <f>IF((0=1),SUMIFS('Daily evaluations'!$H$2:$H$36,'Daily evaluations'!$B$2:$B$36,"=random_12",'Daily evaluations'!$C$2:$C$36,"=d20261112"),"")</f>
      </c>
      <c r="AO133" s="12">
        <f>IF((0=1),SUMIFS('Daily evaluations'!$H$2:$H$36,'Daily evaluations'!$B$2:$B$36,"=random_12",'Daily evaluations'!$C$2:$C$36,"=d20261113"),"")</f>
      </c>
      <c r="AP133" s="12">
        <f>IF((0=1),SUMIFS('Daily evaluations'!$H$2:$H$36,'Daily evaluations'!$B$2:$B$36,"=random_12",'Daily evaluations'!$C$2:$C$36,"=d20261116"),"")</f>
      </c>
      <c r="AQ133" s="12">
        <f>IF((0=1),SUMIFS('Daily evaluations'!$H$2:$H$36,'Daily evaluations'!$B$2:$B$36,"=random_12",'Daily evaluations'!$C$2:$C$36,"=d20261117"),"")</f>
      </c>
      <c r="AR133" s="12">
        <f>IF((0=1),SUMIFS('Daily evaluations'!$H$2:$H$36,'Daily evaluations'!$B$2:$B$36,"=random_12",'Daily evaluations'!$C$2:$C$36,"=d20261118"),"")</f>
      </c>
      <c r="AS133" s="12">
        <f>IF((0=1),SUMIFS('Daily evaluations'!$H$2:$H$36,'Daily evaluations'!$B$2:$B$36,"=random_12",'Daily evaluations'!$C$2:$C$36,"=d20261119"),"")</f>
      </c>
      <c r="AT133" s="12">
        <f>IF((0=1),SUMIFS('Daily evaluations'!$H$2:$H$36,'Daily evaluations'!$B$2:$B$36,"=random_12",'Daily evaluations'!$C$2:$C$36,"=d20261120"),"")</f>
      </c>
      <c r="AU133" s="12">
        <f>IF((0=1),SUMIFS('Daily evaluations'!$H$2:$H$36,'Daily evaluations'!$B$2:$B$36,"=random_12",'Daily evaluations'!$C$2:$C$36,"=d20261123"),"")</f>
      </c>
      <c r="AV133" s="12">
        <f>IF((0=1),SUMIFS('Daily evaluations'!$H$2:$H$36,'Daily evaluations'!$B$2:$B$36,"=random_12",'Daily evaluations'!$C$2:$C$36,"=d20261124"),"")</f>
      </c>
      <c r="AW133" s="12">
        <f>IF((0=1),SUMIFS('Daily evaluations'!$H$2:$H$36,'Daily evaluations'!$B$2:$B$36,"=random_12",'Daily evaluations'!$C$2:$C$36,"=d20261125"),"")</f>
      </c>
      <c r="AX133" s="12">
        <f>IF((0=1),SUMIFS('Daily evaluations'!$H$2:$H$36,'Daily evaluations'!$B$2:$B$36,"=random_12",'Daily evaluations'!$C$2:$C$36,"=d20261127"),"")</f>
      </c>
      <c r="AY133" s="12">
        <f>IF((0=1),SUMIFS('Daily evaluations'!$H$2:$H$36,'Daily evaluations'!$B$2:$B$36,"=random_12",'Daily evaluations'!$C$2:$C$36,"=d20261130"),"")</f>
      </c>
      <c r="AZ133" s="12">
        <f>IF((0=1),SUMIFS('Daily evaluations'!$H$2:$H$36,'Daily evaluations'!$B$2:$B$36,"=random_12",'Daily evaluations'!$C$2:$C$36,"=d20261201"),"")</f>
      </c>
      <c r="BA133" s="12">
        <f>IF((0=1),SUMIFS('Daily evaluations'!$H$2:$H$36,'Daily evaluations'!$B$2:$B$36,"=random_12",'Daily evaluations'!$C$2:$C$36,"=d20261202"),"")</f>
      </c>
      <c r="BB133" s="12">
        <f>IF((0=1),SUMIFS('Daily evaluations'!$H$2:$H$36,'Daily evaluations'!$B$2:$B$36,"=random_12",'Daily evaluations'!$C$2:$C$36,"=d20261203"),"")</f>
      </c>
      <c r="BC133" s="12">
        <f>IF((0=1),SUMIFS('Daily evaluations'!$H$2:$H$36,'Daily evaluations'!$B$2:$B$36,"=random_12",'Daily evaluations'!$C$2:$C$36,"=d20261204"),"")</f>
      </c>
      <c r="BD133" s="12">
        <f>IF((0=1),SUMIFS('Daily evaluations'!$H$2:$H$36,'Daily evaluations'!$B$2:$B$36,"=random_12",'Daily evaluations'!$C$2:$C$36,"=d20261207"),"")</f>
      </c>
      <c r="BE133" s="12">
        <f>IF((0=1),SUMIFS('Daily evaluations'!$H$2:$H$36,'Daily evaluations'!$B$2:$B$36,"=random_12",'Daily evaluations'!$C$2:$C$36,"=d20261208"),"")</f>
      </c>
      <c r="BF133" s="12">
        <f>IF((0=1),SUMIFS('Daily evaluations'!$H$2:$H$36,'Daily evaluations'!$B$2:$B$36,"=random_12",'Daily evaluations'!$C$2:$C$36,"=d20261209"),"")</f>
      </c>
      <c r="BG133" s="12">
        <f>IF((0=1),SUMIFS('Daily evaluations'!$H$2:$H$36,'Daily evaluations'!$B$2:$B$36,"=random_12",'Daily evaluations'!$C$2:$C$36,"=d20261210"),"")</f>
      </c>
      <c r="BH133" s="12">
        <f>IF((0=1),SUMIFS('Daily evaluations'!$H$2:$H$36,'Daily evaluations'!$B$2:$B$36,"=random_12",'Daily evaluations'!$C$2:$C$36,"=d20261211"),"")</f>
      </c>
      <c r="BI133" s="12">
        <f>IF((0=1),SUMIFS('Daily evaluations'!$H$2:$H$36,'Daily evaluations'!$B$2:$B$36,"=random_12",'Daily evaluations'!$C$2:$C$36,"=d20261214"),"")</f>
      </c>
      <c r="BJ133" s="12">
        <f>IF((0=1),SUMIFS('Daily evaluations'!$H$2:$H$36,'Daily evaluations'!$B$2:$B$36,"=random_12",'Daily evaluations'!$C$2:$C$36,"=d20261215"),"")</f>
      </c>
      <c r="BK133" s="12">
        <f>IF((0=1),SUMIFS('Daily evaluations'!$H$2:$H$36,'Daily evaluations'!$B$2:$B$36,"=random_12",'Daily evaluations'!$C$2:$C$36,"=d20261216"),"")</f>
      </c>
      <c r="BL133" s="12">
        <f>IF((0=1),SUMIFS('Daily evaluations'!$H$2:$H$36,'Daily evaluations'!$B$2:$B$36,"=random_12",'Daily evaluations'!$C$2:$C$36,"=d20261217"),"")</f>
      </c>
      <c r="BM133" s="12">
        <f>IF((0=1),SUMIFS('Daily evaluations'!$H$2:$H$36,'Daily evaluations'!$B$2:$B$36,"=random_12",'Daily evaluations'!$C$2:$C$36,"=d20261218"),"")</f>
      </c>
      <c r="BN133" s="12">
        <f>IF((0=1),SUMIFS('Daily evaluations'!$H$2:$H$36,'Daily evaluations'!$B$2:$B$36,"=random_12",'Daily evaluations'!$C$2:$C$36,"=d20261221"),"")</f>
      </c>
      <c r="BO133" s="12">
        <f>IF((0=1),SUMIFS('Daily evaluations'!$H$2:$H$36,'Daily evaluations'!$B$2:$B$36,"=random_12",'Daily evaluations'!$C$2:$C$36,"=d20261222"),"")</f>
      </c>
      <c r="BP133" s="12">
        <f>IF((0=1),SUMIFS('Daily evaluations'!$H$2:$H$36,'Daily evaluations'!$B$2:$B$36,"=random_12",'Daily evaluations'!$C$2:$C$36,"=d20261223"),"")</f>
      </c>
      <c r="BQ133" s="12">
        <f>IF((0=1),SUMIFS('Daily evaluations'!$H$2:$H$36,'Daily evaluations'!$B$2:$B$36,"=random_12",'Daily evaluations'!$C$2:$C$36,"=d20261224"),"")</f>
      </c>
      <c r="BR133" s="12">
        <f>IF((0=1),SUMIFS('Daily evaluations'!$H$2:$H$36,'Daily evaluations'!$B$2:$B$36,"=random_12",'Daily evaluations'!$C$2:$C$36,"=d20261228"),"")</f>
      </c>
      <c r="BS133" s="12">
        <f>IF((0=1),SUMIFS('Daily evaluations'!$H$2:$H$36,'Daily evaluations'!$B$2:$B$36,"=random_12",'Daily evaluations'!$C$2:$C$36,"=d20261229"),"")</f>
      </c>
      <c r="BT133" s="12">
        <f>IF((0=1),SUMIFS('Daily evaluations'!$H$2:$H$36,'Daily evaluations'!$B$2:$B$36,"=random_12",'Daily evaluations'!$C$2:$C$36,"=d20261230"),"")</f>
      </c>
      <c r="BU133" s="12">
        <f>IF((0=1),SUMIFS('Daily evaluations'!$H$2:$H$36,'Daily evaluations'!$B$2:$B$36,"=random_12",'Daily evaluations'!$C$2:$C$36,"=d20261231"),"")</f>
      </c>
      <c r="BV133" s="12">
        <f>IF((0=1),SUMIFS('Daily evaluations'!$H$2:$H$36,'Daily evaluations'!$B$2:$B$36,"=random_12",'Daily evaluations'!$C$2:$C$36,"=d20270104"),"")</f>
      </c>
      <c r="BW133" s="12">
        <f>IF((0=1),SUMIFS('Daily evaluations'!$H$2:$H$36,'Daily evaluations'!$B$2:$B$36,"=random_12",'Daily evaluations'!$C$2:$C$36,"=d20270105"),"")</f>
      </c>
      <c r="BX133" s="12">
        <f>IF((0=1),SUMIFS('Daily evaluations'!$H$2:$H$36,'Daily evaluations'!$B$2:$B$36,"=random_12",'Daily evaluations'!$C$2:$C$36,"=d20270106"),"")</f>
      </c>
      <c r="BY133" s="12">
        <f>IF((0=1),SUMIFS('Daily evaluations'!$H$2:$H$36,'Daily evaluations'!$B$2:$B$36,"=random_12",'Daily evaluations'!$C$2:$C$36,"=d20270107"),"")</f>
      </c>
      <c r="BZ133" s="12">
        <f>IF((0=1),SUMIFS('Daily evaluations'!$H$2:$H$36,'Daily evaluations'!$B$2:$B$36,"=random_12",'Daily evaluations'!$C$2:$C$36,"=d20270108"),"")</f>
      </c>
      <c r="CA133" s="12">
        <f>IF((0=1),SUMIFS('Daily evaluations'!$H$2:$H$36,'Daily evaluations'!$B$2:$B$36,"=random_12",'Daily evaluations'!$C$2:$C$36,"=d20270111"),"")</f>
      </c>
      <c r="CB133" s="12">
        <f>IF((0=1),SUMIFS('Daily evaluations'!$H$2:$H$36,'Daily evaluations'!$B$2:$B$36,"=random_12",'Daily evaluations'!$C$2:$C$36,"=d20270112"),"")</f>
      </c>
      <c r="CC133" s="12">
        <f>IF((0=1),SUMIFS('Daily evaluations'!$H$2:$H$36,'Daily evaluations'!$B$2:$B$36,"=random_12",'Daily evaluations'!$C$2:$C$36,"=d20270113"),"")</f>
      </c>
      <c r="CD133" s="12">
        <f>IF((0=1),SUMIFS('Daily evaluations'!$H$2:$H$36,'Daily evaluations'!$B$2:$B$36,"=random_12",'Daily evaluations'!$C$2:$C$36,"=d20270114"),"")</f>
      </c>
      <c r="CE133" s="12">
        <f>IF((0=1),SUMIFS('Daily evaluations'!$H$2:$H$36,'Daily evaluations'!$B$2:$B$36,"=random_12",'Daily evaluations'!$C$2:$C$36,"=d20270115"),"")</f>
      </c>
      <c r="CF133" s="12">
        <f>IF((0=1),SUMIFS('Daily evaluations'!$H$2:$H$36,'Daily evaluations'!$B$2:$B$36,"=random_12",'Daily evaluations'!$C$2:$C$36,"=d20270119"),"")</f>
      </c>
      <c r="CG133" s="12">
        <f>IF((0=1),SUMIFS('Daily evaluations'!$H$2:$H$36,'Daily evaluations'!$B$2:$B$36,"=random_12",'Daily evaluations'!$C$2:$C$36,"=d20270120"),"")</f>
      </c>
      <c r="CH133" s="12">
        <f>IF((0=1),SUMIFS('Daily evaluations'!$H$2:$H$36,'Daily evaluations'!$B$2:$B$36,"=random_12",'Daily evaluations'!$C$2:$C$36,"=d20270121"),"")</f>
      </c>
      <c r="CI133" s="12">
        <f>IF((0=1),SUMIFS('Daily evaluations'!$H$2:$H$36,'Daily evaluations'!$B$2:$B$36,"=random_12",'Daily evaluations'!$C$2:$C$36,"=d20270122"),"")</f>
      </c>
      <c r="CJ133" s="12">
        <f>IF((0=1),SUMIFS('Daily evaluations'!$H$2:$H$36,'Daily evaluations'!$B$2:$B$36,"=random_12",'Daily evaluations'!$C$2:$C$36,"=d20270125"),"")</f>
      </c>
      <c r="CK133" s="12">
        <f>IF((0=1),SUMIFS('Daily evaluations'!$H$2:$H$36,'Daily evaluations'!$B$2:$B$36,"=random_12",'Daily evaluations'!$C$2:$C$36,"=d20270126"),"")</f>
      </c>
      <c r="CL133" s="12">
        <f>IF((0=1),SUMIFS('Daily evaluations'!$H$2:$H$36,'Daily evaluations'!$B$2:$B$36,"=random_12",'Daily evaluations'!$C$2:$C$36,"=d20270127"),"")</f>
      </c>
      <c r="CM133" s="12">
        <f>IF((0=1),SUMIFS('Daily evaluations'!$H$2:$H$36,'Daily evaluations'!$B$2:$B$36,"=random_12",'Daily evaluations'!$C$2:$C$36,"=d20270128"),"")</f>
      </c>
      <c r="CN133" s="12">
        <f>IF((0=1),SUMIFS('Daily evaluations'!$H$2:$H$36,'Daily evaluations'!$B$2:$B$36,"=random_12",'Daily evaluations'!$C$2:$C$36,"=d20270129"),"")</f>
      </c>
      <c r="CO133" s="12">
        <f>IF((0=1),SUMIFS('Daily evaluations'!$H$2:$H$36,'Daily evaluations'!$B$2:$B$36,"=random_12",'Daily evaluations'!$C$2:$C$36,"=d20270201"),"")</f>
      </c>
      <c r="CP133" s="12">
        <f>IF((0=1),SUMIFS('Daily evaluations'!$H$2:$H$36,'Daily evaluations'!$B$2:$B$36,"=random_12",'Daily evaluations'!$C$2:$C$36,"=d20270202"),"")</f>
      </c>
      <c r="CQ133" s="12">
        <f>IF((0=1),SUMIFS('Daily evaluations'!$H$2:$H$36,'Daily evaluations'!$B$2:$B$36,"=random_12",'Daily evaluations'!$C$2:$C$36,"=d20270203"),"")</f>
      </c>
      <c r="CR133" s="12">
        <f>IF((0=1),SUMIFS('Daily evaluations'!$H$2:$H$36,'Daily evaluations'!$B$2:$B$36,"=random_12",'Daily evaluations'!$C$2:$C$36,"=d20270204"),"")</f>
      </c>
      <c r="CS133" s="12">
        <f>IF((0=1),SUMIFS('Daily evaluations'!$H$2:$H$36,'Daily evaluations'!$B$2:$B$36,"=random_12",'Daily evaluations'!$C$2:$C$36,"=d20270205"),"")</f>
      </c>
      <c r="CT133" s="12">
        <f>IF((0=1),SUMIFS('Daily evaluations'!$H$2:$H$36,'Daily evaluations'!$B$2:$B$36,"=random_12",'Daily evaluations'!$C$2:$C$36,"=d20270208"),"")</f>
      </c>
      <c r="CU133" s="12">
        <f>IF((0=1),SUMIFS('Daily evaluations'!$H$2:$H$36,'Daily evaluations'!$B$2:$B$36,"=random_12",'Daily evaluations'!$C$2:$C$36,"=d20270209"),"")</f>
      </c>
      <c r="CV133" s="12">
        <f>IF((0=1),SUMIFS('Daily evaluations'!$H$2:$H$36,'Daily evaluations'!$B$2:$B$36,"=random_12",'Daily evaluations'!$C$2:$C$36,"=d20270210"),"")</f>
      </c>
      <c r="CW133" s="12">
        <f>IF((0=1),SUMIFS('Daily evaluations'!$H$2:$H$36,'Daily evaluations'!$B$2:$B$36,"=random_12",'Daily evaluations'!$C$2:$C$36,"=d20270211"),"")</f>
      </c>
      <c r="CX133" s="12">
        <f>IF((0=1),SUMIFS('Daily evaluations'!$H$2:$H$36,'Daily evaluations'!$B$2:$B$36,"=random_12",'Daily evaluations'!$C$2:$C$36,"=d20270212"),"")</f>
      </c>
    </row>
    <row r="134">
      <c r="A134" s="0" t="inlineStr">
        <is>
          <t xml:space="preserve">Hit rate vs universe median</t>
        </is>
      </c>
      <c r="B134" s="0" t="inlineStr">
        <is>
          <t xml:space="preserve">Random 13</t>
        </is>
      </c>
      <c r="C134" s="12">
        <f>IF((1=1),SUMIFS('Daily evaluations'!$H$2:$H$36,'Daily evaluations'!$B$2:$B$36,"=random_13",'Daily evaluations'!$C$2:$C$36,"=d20260922"),"")</f>
        <v>0.56</v>
      </c>
      <c r="D134" s="12">
        <f>IF((0=1),SUMIFS('Daily evaluations'!$H$2:$H$36,'Daily evaluations'!$B$2:$B$36,"=random_13",'Daily evaluations'!$C$2:$C$36,"=d20260923"),"")</f>
      </c>
      <c r="E134" s="12">
        <f>IF((0=1),SUMIFS('Daily evaluations'!$H$2:$H$36,'Daily evaluations'!$B$2:$B$36,"=random_13",'Daily evaluations'!$C$2:$C$36,"=d20260924"),"")</f>
      </c>
      <c r="F134" s="12">
        <f>IF((0=1),SUMIFS('Daily evaluations'!$H$2:$H$36,'Daily evaluations'!$B$2:$B$36,"=random_13",'Daily evaluations'!$C$2:$C$36,"=d20260925"),"")</f>
      </c>
      <c r="G134" s="12">
        <f>IF((0=1),SUMIFS('Daily evaluations'!$H$2:$H$36,'Daily evaluations'!$B$2:$B$36,"=random_13",'Daily evaluations'!$C$2:$C$36,"=d20260928"),"")</f>
      </c>
      <c r="H134" s="12">
        <f>IF((0=1),SUMIFS('Daily evaluations'!$H$2:$H$36,'Daily evaluations'!$B$2:$B$36,"=random_13",'Daily evaluations'!$C$2:$C$36,"=d20260929"),"")</f>
      </c>
      <c r="I134" s="12">
        <f>IF((0=1),SUMIFS('Daily evaluations'!$H$2:$H$36,'Daily evaluations'!$B$2:$B$36,"=random_13",'Daily evaluations'!$C$2:$C$36,"=d20260930"),"")</f>
      </c>
      <c r="J134" s="12">
        <f>IF((0=1),SUMIFS('Daily evaluations'!$H$2:$H$36,'Daily evaluations'!$B$2:$B$36,"=random_13",'Daily evaluations'!$C$2:$C$36,"=d20261001"),"")</f>
      </c>
      <c r="K134" s="12">
        <f>IF((0=1),SUMIFS('Daily evaluations'!$H$2:$H$36,'Daily evaluations'!$B$2:$B$36,"=random_13",'Daily evaluations'!$C$2:$C$36,"=d20261002"),"")</f>
      </c>
      <c r="L134" s="12">
        <f>IF((0=1),SUMIFS('Daily evaluations'!$H$2:$H$36,'Daily evaluations'!$B$2:$B$36,"=random_13",'Daily evaluations'!$C$2:$C$36,"=d20261005"),"")</f>
      </c>
      <c r="M134" s="12">
        <f>IF((0=1),SUMIFS('Daily evaluations'!$H$2:$H$36,'Daily evaluations'!$B$2:$B$36,"=random_13",'Daily evaluations'!$C$2:$C$36,"=d20261006"),"")</f>
      </c>
      <c r="N134" s="12">
        <f>IF((0=1),SUMIFS('Daily evaluations'!$H$2:$H$36,'Daily evaluations'!$B$2:$B$36,"=random_13",'Daily evaluations'!$C$2:$C$36,"=d20261007"),"")</f>
      </c>
      <c r="O134" s="12">
        <f>IF((0=1),SUMIFS('Daily evaluations'!$H$2:$H$36,'Daily evaluations'!$B$2:$B$36,"=random_13",'Daily evaluations'!$C$2:$C$36,"=d20261008"),"")</f>
      </c>
      <c r="P134" s="12">
        <f>IF((0=1),SUMIFS('Daily evaluations'!$H$2:$H$36,'Daily evaluations'!$B$2:$B$36,"=random_13",'Daily evaluations'!$C$2:$C$36,"=d20261009"),"")</f>
      </c>
      <c r="Q134" s="12">
        <f>IF((0=1),SUMIFS('Daily evaluations'!$H$2:$H$36,'Daily evaluations'!$B$2:$B$36,"=random_13",'Daily evaluations'!$C$2:$C$36,"=d20261012"),"")</f>
      </c>
      <c r="R134" s="12">
        <f>IF((0=1),SUMIFS('Daily evaluations'!$H$2:$H$36,'Daily evaluations'!$B$2:$B$36,"=random_13",'Daily evaluations'!$C$2:$C$36,"=d20261013"),"")</f>
      </c>
      <c r="S134" s="12">
        <f>IF((0=1),SUMIFS('Daily evaluations'!$H$2:$H$36,'Daily evaluations'!$B$2:$B$36,"=random_13",'Daily evaluations'!$C$2:$C$36,"=d20261014"),"")</f>
      </c>
      <c r="T134" s="12">
        <f>IF((0=1),SUMIFS('Daily evaluations'!$H$2:$H$36,'Daily evaluations'!$B$2:$B$36,"=random_13",'Daily evaluations'!$C$2:$C$36,"=d20261015"),"")</f>
      </c>
      <c r="U134" s="12">
        <f>IF((0=1),SUMIFS('Daily evaluations'!$H$2:$H$36,'Daily evaluations'!$B$2:$B$36,"=random_13",'Daily evaluations'!$C$2:$C$36,"=d20261016"),"")</f>
      </c>
      <c r="V134" s="12">
        <f>IF((0=1),SUMIFS('Daily evaluations'!$H$2:$H$36,'Daily evaluations'!$B$2:$B$36,"=random_13",'Daily evaluations'!$C$2:$C$36,"=d20261019"),"")</f>
      </c>
      <c r="W134" s="12">
        <f>IF((0=1),SUMIFS('Daily evaluations'!$H$2:$H$36,'Daily evaluations'!$B$2:$B$36,"=random_13",'Daily evaluations'!$C$2:$C$36,"=d20261020"),"")</f>
      </c>
      <c r="X134" s="12">
        <f>IF((0=1),SUMIFS('Daily evaluations'!$H$2:$H$36,'Daily evaluations'!$B$2:$B$36,"=random_13",'Daily evaluations'!$C$2:$C$36,"=d20261021"),"")</f>
      </c>
      <c r="Y134" s="12">
        <f>IF((0=1),SUMIFS('Daily evaluations'!$H$2:$H$36,'Daily evaluations'!$B$2:$B$36,"=random_13",'Daily evaluations'!$C$2:$C$36,"=d20261022"),"")</f>
      </c>
      <c r="Z134" s="12">
        <f>IF((0=1),SUMIFS('Daily evaluations'!$H$2:$H$36,'Daily evaluations'!$B$2:$B$36,"=random_13",'Daily evaluations'!$C$2:$C$36,"=d20261023"),"")</f>
      </c>
      <c r="AA134" s="12">
        <f>IF((0=1),SUMIFS('Daily evaluations'!$H$2:$H$36,'Daily evaluations'!$B$2:$B$36,"=random_13",'Daily evaluations'!$C$2:$C$36,"=d20261026"),"")</f>
      </c>
      <c r="AB134" s="12">
        <f>IF((0=1),SUMIFS('Daily evaluations'!$H$2:$H$36,'Daily evaluations'!$B$2:$B$36,"=random_13",'Daily evaluations'!$C$2:$C$36,"=d20261027"),"")</f>
      </c>
      <c r="AC134" s="12">
        <f>IF((0=1),SUMIFS('Daily evaluations'!$H$2:$H$36,'Daily evaluations'!$B$2:$B$36,"=random_13",'Daily evaluations'!$C$2:$C$36,"=d20261028"),"")</f>
      </c>
      <c r="AD134" s="12">
        <f>IF((0=1),SUMIFS('Daily evaluations'!$H$2:$H$36,'Daily evaluations'!$B$2:$B$36,"=random_13",'Daily evaluations'!$C$2:$C$36,"=d20261029"),"")</f>
      </c>
      <c r="AE134" s="12">
        <f>IF((0=1),SUMIFS('Daily evaluations'!$H$2:$H$36,'Daily evaluations'!$B$2:$B$36,"=random_13",'Daily evaluations'!$C$2:$C$36,"=d20261030"),"")</f>
      </c>
      <c r="AF134" s="12">
        <f>IF((0=1),SUMIFS('Daily evaluations'!$H$2:$H$36,'Daily evaluations'!$B$2:$B$36,"=random_13",'Daily evaluations'!$C$2:$C$36,"=d20261102"),"")</f>
      </c>
      <c r="AG134" s="12">
        <f>IF((0=1),SUMIFS('Daily evaluations'!$H$2:$H$36,'Daily evaluations'!$B$2:$B$36,"=random_13",'Daily evaluations'!$C$2:$C$36,"=d20261103"),"")</f>
      </c>
      <c r="AH134" s="12">
        <f>IF((0=1),SUMIFS('Daily evaluations'!$H$2:$H$36,'Daily evaluations'!$B$2:$B$36,"=random_13",'Daily evaluations'!$C$2:$C$36,"=d20261104"),"")</f>
      </c>
      <c r="AI134" s="12">
        <f>IF((0=1),SUMIFS('Daily evaluations'!$H$2:$H$36,'Daily evaluations'!$B$2:$B$36,"=random_13",'Daily evaluations'!$C$2:$C$36,"=d20261105"),"")</f>
      </c>
      <c r="AJ134" s="12">
        <f>IF((0=1),SUMIFS('Daily evaluations'!$H$2:$H$36,'Daily evaluations'!$B$2:$B$36,"=random_13",'Daily evaluations'!$C$2:$C$36,"=d20261106"),"")</f>
      </c>
      <c r="AK134" s="12">
        <f>IF((0=1),SUMIFS('Daily evaluations'!$H$2:$H$36,'Daily evaluations'!$B$2:$B$36,"=random_13",'Daily evaluations'!$C$2:$C$36,"=d20261109"),"")</f>
      </c>
      <c r="AL134" s="12">
        <f>IF((0=1),SUMIFS('Daily evaluations'!$H$2:$H$36,'Daily evaluations'!$B$2:$B$36,"=random_13",'Daily evaluations'!$C$2:$C$36,"=d20261110"),"")</f>
      </c>
      <c r="AM134" s="12">
        <f>IF((0=1),SUMIFS('Daily evaluations'!$H$2:$H$36,'Daily evaluations'!$B$2:$B$36,"=random_13",'Daily evaluations'!$C$2:$C$36,"=d20261111"),"")</f>
      </c>
      <c r="AN134" s="12">
        <f>IF((0=1),SUMIFS('Daily evaluations'!$H$2:$H$36,'Daily evaluations'!$B$2:$B$36,"=random_13",'Daily evaluations'!$C$2:$C$36,"=d20261112"),"")</f>
      </c>
      <c r="AO134" s="12">
        <f>IF((0=1),SUMIFS('Daily evaluations'!$H$2:$H$36,'Daily evaluations'!$B$2:$B$36,"=random_13",'Daily evaluations'!$C$2:$C$36,"=d20261113"),"")</f>
      </c>
      <c r="AP134" s="12">
        <f>IF((0=1),SUMIFS('Daily evaluations'!$H$2:$H$36,'Daily evaluations'!$B$2:$B$36,"=random_13",'Daily evaluations'!$C$2:$C$36,"=d20261116"),"")</f>
      </c>
      <c r="AQ134" s="12">
        <f>IF((0=1),SUMIFS('Daily evaluations'!$H$2:$H$36,'Daily evaluations'!$B$2:$B$36,"=random_13",'Daily evaluations'!$C$2:$C$36,"=d20261117"),"")</f>
      </c>
      <c r="AR134" s="12">
        <f>IF((0=1),SUMIFS('Daily evaluations'!$H$2:$H$36,'Daily evaluations'!$B$2:$B$36,"=random_13",'Daily evaluations'!$C$2:$C$36,"=d20261118"),"")</f>
      </c>
      <c r="AS134" s="12">
        <f>IF((0=1),SUMIFS('Daily evaluations'!$H$2:$H$36,'Daily evaluations'!$B$2:$B$36,"=random_13",'Daily evaluations'!$C$2:$C$36,"=d20261119"),"")</f>
      </c>
      <c r="AT134" s="12">
        <f>IF((0=1),SUMIFS('Daily evaluations'!$H$2:$H$36,'Daily evaluations'!$B$2:$B$36,"=random_13",'Daily evaluations'!$C$2:$C$36,"=d20261120"),"")</f>
      </c>
      <c r="AU134" s="12">
        <f>IF((0=1),SUMIFS('Daily evaluations'!$H$2:$H$36,'Daily evaluations'!$B$2:$B$36,"=random_13",'Daily evaluations'!$C$2:$C$36,"=d20261123"),"")</f>
      </c>
      <c r="AV134" s="12">
        <f>IF((0=1),SUMIFS('Daily evaluations'!$H$2:$H$36,'Daily evaluations'!$B$2:$B$36,"=random_13",'Daily evaluations'!$C$2:$C$36,"=d20261124"),"")</f>
      </c>
      <c r="AW134" s="12">
        <f>IF((0=1),SUMIFS('Daily evaluations'!$H$2:$H$36,'Daily evaluations'!$B$2:$B$36,"=random_13",'Daily evaluations'!$C$2:$C$36,"=d20261125"),"")</f>
      </c>
      <c r="AX134" s="12">
        <f>IF((0=1),SUMIFS('Daily evaluations'!$H$2:$H$36,'Daily evaluations'!$B$2:$B$36,"=random_13",'Daily evaluations'!$C$2:$C$36,"=d20261127"),"")</f>
      </c>
      <c r="AY134" s="12">
        <f>IF((0=1),SUMIFS('Daily evaluations'!$H$2:$H$36,'Daily evaluations'!$B$2:$B$36,"=random_13",'Daily evaluations'!$C$2:$C$36,"=d20261130"),"")</f>
      </c>
      <c r="AZ134" s="12">
        <f>IF((0=1),SUMIFS('Daily evaluations'!$H$2:$H$36,'Daily evaluations'!$B$2:$B$36,"=random_13",'Daily evaluations'!$C$2:$C$36,"=d20261201"),"")</f>
      </c>
      <c r="BA134" s="12">
        <f>IF((0=1),SUMIFS('Daily evaluations'!$H$2:$H$36,'Daily evaluations'!$B$2:$B$36,"=random_13",'Daily evaluations'!$C$2:$C$36,"=d20261202"),"")</f>
      </c>
      <c r="BB134" s="12">
        <f>IF((0=1),SUMIFS('Daily evaluations'!$H$2:$H$36,'Daily evaluations'!$B$2:$B$36,"=random_13",'Daily evaluations'!$C$2:$C$36,"=d20261203"),"")</f>
      </c>
      <c r="BC134" s="12">
        <f>IF((0=1),SUMIFS('Daily evaluations'!$H$2:$H$36,'Daily evaluations'!$B$2:$B$36,"=random_13",'Daily evaluations'!$C$2:$C$36,"=d20261204"),"")</f>
      </c>
      <c r="BD134" s="12">
        <f>IF((0=1),SUMIFS('Daily evaluations'!$H$2:$H$36,'Daily evaluations'!$B$2:$B$36,"=random_13",'Daily evaluations'!$C$2:$C$36,"=d20261207"),"")</f>
      </c>
      <c r="BE134" s="12">
        <f>IF((0=1),SUMIFS('Daily evaluations'!$H$2:$H$36,'Daily evaluations'!$B$2:$B$36,"=random_13",'Daily evaluations'!$C$2:$C$36,"=d20261208"),"")</f>
      </c>
      <c r="BF134" s="12">
        <f>IF((0=1),SUMIFS('Daily evaluations'!$H$2:$H$36,'Daily evaluations'!$B$2:$B$36,"=random_13",'Daily evaluations'!$C$2:$C$36,"=d20261209"),"")</f>
      </c>
      <c r="BG134" s="12">
        <f>IF((0=1),SUMIFS('Daily evaluations'!$H$2:$H$36,'Daily evaluations'!$B$2:$B$36,"=random_13",'Daily evaluations'!$C$2:$C$36,"=d20261210"),"")</f>
      </c>
      <c r="BH134" s="12">
        <f>IF((0=1),SUMIFS('Daily evaluations'!$H$2:$H$36,'Daily evaluations'!$B$2:$B$36,"=random_13",'Daily evaluations'!$C$2:$C$36,"=d20261211"),"")</f>
      </c>
      <c r="BI134" s="12">
        <f>IF((0=1),SUMIFS('Daily evaluations'!$H$2:$H$36,'Daily evaluations'!$B$2:$B$36,"=random_13",'Daily evaluations'!$C$2:$C$36,"=d20261214"),"")</f>
      </c>
      <c r="BJ134" s="12">
        <f>IF((0=1),SUMIFS('Daily evaluations'!$H$2:$H$36,'Daily evaluations'!$B$2:$B$36,"=random_13",'Daily evaluations'!$C$2:$C$36,"=d20261215"),"")</f>
      </c>
      <c r="BK134" s="12">
        <f>IF((0=1),SUMIFS('Daily evaluations'!$H$2:$H$36,'Daily evaluations'!$B$2:$B$36,"=random_13",'Daily evaluations'!$C$2:$C$36,"=d20261216"),"")</f>
      </c>
      <c r="BL134" s="12">
        <f>IF((0=1),SUMIFS('Daily evaluations'!$H$2:$H$36,'Daily evaluations'!$B$2:$B$36,"=random_13",'Daily evaluations'!$C$2:$C$36,"=d20261217"),"")</f>
      </c>
      <c r="BM134" s="12">
        <f>IF((0=1),SUMIFS('Daily evaluations'!$H$2:$H$36,'Daily evaluations'!$B$2:$B$36,"=random_13",'Daily evaluations'!$C$2:$C$36,"=d20261218"),"")</f>
      </c>
      <c r="BN134" s="12">
        <f>IF((0=1),SUMIFS('Daily evaluations'!$H$2:$H$36,'Daily evaluations'!$B$2:$B$36,"=random_13",'Daily evaluations'!$C$2:$C$36,"=d20261221"),"")</f>
      </c>
      <c r="BO134" s="12">
        <f>IF((0=1),SUMIFS('Daily evaluations'!$H$2:$H$36,'Daily evaluations'!$B$2:$B$36,"=random_13",'Daily evaluations'!$C$2:$C$36,"=d20261222"),"")</f>
      </c>
      <c r="BP134" s="12">
        <f>IF((0=1),SUMIFS('Daily evaluations'!$H$2:$H$36,'Daily evaluations'!$B$2:$B$36,"=random_13",'Daily evaluations'!$C$2:$C$36,"=d20261223"),"")</f>
      </c>
      <c r="BQ134" s="12">
        <f>IF((0=1),SUMIFS('Daily evaluations'!$H$2:$H$36,'Daily evaluations'!$B$2:$B$36,"=random_13",'Daily evaluations'!$C$2:$C$36,"=d20261224"),"")</f>
      </c>
      <c r="BR134" s="12">
        <f>IF((0=1),SUMIFS('Daily evaluations'!$H$2:$H$36,'Daily evaluations'!$B$2:$B$36,"=random_13",'Daily evaluations'!$C$2:$C$36,"=d20261228"),"")</f>
      </c>
      <c r="BS134" s="12">
        <f>IF((0=1),SUMIFS('Daily evaluations'!$H$2:$H$36,'Daily evaluations'!$B$2:$B$36,"=random_13",'Daily evaluations'!$C$2:$C$36,"=d20261229"),"")</f>
      </c>
      <c r="BT134" s="12">
        <f>IF((0=1),SUMIFS('Daily evaluations'!$H$2:$H$36,'Daily evaluations'!$B$2:$B$36,"=random_13",'Daily evaluations'!$C$2:$C$36,"=d20261230"),"")</f>
      </c>
      <c r="BU134" s="12">
        <f>IF((0=1),SUMIFS('Daily evaluations'!$H$2:$H$36,'Daily evaluations'!$B$2:$B$36,"=random_13",'Daily evaluations'!$C$2:$C$36,"=d20261231"),"")</f>
      </c>
      <c r="BV134" s="12">
        <f>IF((0=1),SUMIFS('Daily evaluations'!$H$2:$H$36,'Daily evaluations'!$B$2:$B$36,"=random_13",'Daily evaluations'!$C$2:$C$36,"=d20270104"),"")</f>
      </c>
      <c r="BW134" s="12">
        <f>IF((0=1),SUMIFS('Daily evaluations'!$H$2:$H$36,'Daily evaluations'!$B$2:$B$36,"=random_13",'Daily evaluations'!$C$2:$C$36,"=d20270105"),"")</f>
      </c>
      <c r="BX134" s="12">
        <f>IF((0=1),SUMIFS('Daily evaluations'!$H$2:$H$36,'Daily evaluations'!$B$2:$B$36,"=random_13",'Daily evaluations'!$C$2:$C$36,"=d20270106"),"")</f>
      </c>
      <c r="BY134" s="12">
        <f>IF((0=1),SUMIFS('Daily evaluations'!$H$2:$H$36,'Daily evaluations'!$B$2:$B$36,"=random_13",'Daily evaluations'!$C$2:$C$36,"=d20270107"),"")</f>
      </c>
      <c r="BZ134" s="12">
        <f>IF((0=1),SUMIFS('Daily evaluations'!$H$2:$H$36,'Daily evaluations'!$B$2:$B$36,"=random_13",'Daily evaluations'!$C$2:$C$36,"=d20270108"),"")</f>
      </c>
      <c r="CA134" s="12">
        <f>IF((0=1),SUMIFS('Daily evaluations'!$H$2:$H$36,'Daily evaluations'!$B$2:$B$36,"=random_13",'Daily evaluations'!$C$2:$C$36,"=d20270111"),"")</f>
      </c>
      <c r="CB134" s="12">
        <f>IF((0=1),SUMIFS('Daily evaluations'!$H$2:$H$36,'Daily evaluations'!$B$2:$B$36,"=random_13",'Daily evaluations'!$C$2:$C$36,"=d20270112"),"")</f>
      </c>
      <c r="CC134" s="12">
        <f>IF((0=1),SUMIFS('Daily evaluations'!$H$2:$H$36,'Daily evaluations'!$B$2:$B$36,"=random_13",'Daily evaluations'!$C$2:$C$36,"=d20270113"),"")</f>
      </c>
      <c r="CD134" s="12">
        <f>IF((0=1),SUMIFS('Daily evaluations'!$H$2:$H$36,'Daily evaluations'!$B$2:$B$36,"=random_13",'Daily evaluations'!$C$2:$C$36,"=d20270114"),"")</f>
      </c>
      <c r="CE134" s="12">
        <f>IF((0=1),SUMIFS('Daily evaluations'!$H$2:$H$36,'Daily evaluations'!$B$2:$B$36,"=random_13",'Daily evaluations'!$C$2:$C$36,"=d20270115"),"")</f>
      </c>
      <c r="CF134" s="12">
        <f>IF((0=1),SUMIFS('Daily evaluations'!$H$2:$H$36,'Daily evaluations'!$B$2:$B$36,"=random_13",'Daily evaluations'!$C$2:$C$36,"=d20270119"),"")</f>
      </c>
      <c r="CG134" s="12">
        <f>IF((0=1),SUMIFS('Daily evaluations'!$H$2:$H$36,'Daily evaluations'!$B$2:$B$36,"=random_13",'Daily evaluations'!$C$2:$C$36,"=d20270120"),"")</f>
      </c>
      <c r="CH134" s="12">
        <f>IF((0=1),SUMIFS('Daily evaluations'!$H$2:$H$36,'Daily evaluations'!$B$2:$B$36,"=random_13",'Daily evaluations'!$C$2:$C$36,"=d20270121"),"")</f>
      </c>
      <c r="CI134" s="12">
        <f>IF((0=1),SUMIFS('Daily evaluations'!$H$2:$H$36,'Daily evaluations'!$B$2:$B$36,"=random_13",'Daily evaluations'!$C$2:$C$36,"=d20270122"),"")</f>
      </c>
      <c r="CJ134" s="12">
        <f>IF((0=1),SUMIFS('Daily evaluations'!$H$2:$H$36,'Daily evaluations'!$B$2:$B$36,"=random_13",'Daily evaluations'!$C$2:$C$36,"=d20270125"),"")</f>
      </c>
      <c r="CK134" s="12">
        <f>IF((0=1),SUMIFS('Daily evaluations'!$H$2:$H$36,'Daily evaluations'!$B$2:$B$36,"=random_13",'Daily evaluations'!$C$2:$C$36,"=d20270126"),"")</f>
      </c>
      <c r="CL134" s="12">
        <f>IF((0=1),SUMIFS('Daily evaluations'!$H$2:$H$36,'Daily evaluations'!$B$2:$B$36,"=random_13",'Daily evaluations'!$C$2:$C$36,"=d20270127"),"")</f>
      </c>
      <c r="CM134" s="12">
        <f>IF((0=1),SUMIFS('Daily evaluations'!$H$2:$H$36,'Daily evaluations'!$B$2:$B$36,"=random_13",'Daily evaluations'!$C$2:$C$36,"=d20270128"),"")</f>
      </c>
      <c r="CN134" s="12">
        <f>IF((0=1),SUMIFS('Daily evaluations'!$H$2:$H$36,'Daily evaluations'!$B$2:$B$36,"=random_13",'Daily evaluations'!$C$2:$C$36,"=d20270129"),"")</f>
      </c>
      <c r="CO134" s="12">
        <f>IF((0=1),SUMIFS('Daily evaluations'!$H$2:$H$36,'Daily evaluations'!$B$2:$B$36,"=random_13",'Daily evaluations'!$C$2:$C$36,"=d20270201"),"")</f>
      </c>
      <c r="CP134" s="12">
        <f>IF((0=1),SUMIFS('Daily evaluations'!$H$2:$H$36,'Daily evaluations'!$B$2:$B$36,"=random_13",'Daily evaluations'!$C$2:$C$36,"=d20270202"),"")</f>
      </c>
      <c r="CQ134" s="12">
        <f>IF((0=1),SUMIFS('Daily evaluations'!$H$2:$H$36,'Daily evaluations'!$B$2:$B$36,"=random_13",'Daily evaluations'!$C$2:$C$36,"=d20270203"),"")</f>
      </c>
      <c r="CR134" s="12">
        <f>IF((0=1),SUMIFS('Daily evaluations'!$H$2:$H$36,'Daily evaluations'!$B$2:$B$36,"=random_13",'Daily evaluations'!$C$2:$C$36,"=d20270204"),"")</f>
      </c>
      <c r="CS134" s="12">
        <f>IF((0=1),SUMIFS('Daily evaluations'!$H$2:$H$36,'Daily evaluations'!$B$2:$B$36,"=random_13",'Daily evaluations'!$C$2:$C$36,"=d20270205"),"")</f>
      </c>
      <c r="CT134" s="12">
        <f>IF((0=1),SUMIFS('Daily evaluations'!$H$2:$H$36,'Daily evaluations'!$B$2:$B$36,"=random_13",'Daily evaluations'!$C$2:$C$36,"=d20270208"),"")</f>
      </c>
      <c r="CU134" s="12">
        <f>IF((0=1),SUMIFS('Daily evaluations'!$H$2:$H$36,'Daily evaluations'!$B$2:$B$36,"=random_13",'Daily evaluations'!$C$2:$C$36,"=d20270209"),"")</f>
      </c>
      <c r="CV134" s="12">
        <f>IF((0=1),SUMIFS('Daily evaluations'!$H$2:$H$36,'Daily evaluations'!$B$2:$B$36,"=random_13",'Daily evaluations'!$C$2:$C$36,"=d20270210"),"")</f>
      </c>
      <c r="CW134" s="12">
        <f>IF((0=1),SUMIFS('Daily evaluations'!$H$2:$H$36,'Daily evaluations'!$B$2:$B$36,"=random_13",'Daily evaluations'!$C$2:$C$36,"=d20270211"),"")</f>
      </c>
      <c r="CX134" s="12">
        <f>IF((0=1),SUMIFS('Daily evaluations'!$H$2:$H$36,'Daily evaluations'!$B$2:$B$36,"=random_13",'Daily evaluations'!$C$2:$C$36,"=d20270212"),"")</f>
      </c>
    </row>
    <row r="135">
      <c r="A135" s="0" t="inlineStr">
        <is>
          <t xml:space="preserve">Hit rate vs universe median</t>
        </is>
      </c>
      <c r="B135" s="0" t="inlineStr">
        <is>
          <t xml:space="preserve">Random 14</t>
        </is>
      </c>
      <c r="C135" s="12">
        <f>IF((1=1),SUMIFS('Daily evaluations'!$H$2:$H$36,'Daily evaluations'!$B$2:$B$36,"=random_14",'Daily evaluations'!$C$2:$C$36,"=d20260922"),"")</f>
        <v>0.6263</v>
      </c>
      <c r="D135" s="12">
        <f>IF((0=1),SUMIFS('Daily evaluations'!$H$2:$H$36,'Daily evaluations'!$B$2:$B$36,"=random_14",'Daily evaluations'!$C$2:$C$36,"=d20260923"),"")</f>
      </c>
      <c r="E135" s="12">
        <f>IF((0=1),SUMIFS('Daily evaluations'!$H$2:$H$36,'Daily evaluations'!$B$2:$B$36,"=random_14",'Daily evaluations'!$C$2:$C$36,"=d20260924"),"")</f>
      </c>
      <c r="F135" s="12">
        <f>IF((0=1),SUMIFS('Daily evaluations'!$H$2:$H$36,'Daily evaluations'!$B$2:$B$36,"=random_14",'Daily evaluations'!$C$2:$C$36,"=d20260925"),"")</f>
      </c>
      <c r="G135" s="12">
        <f>IF((0=1),SUMIFS('Daily evaluations'!$H$2:$H$36,'Daily evaluations'!$B$2:$B$36,"=random_14",'Daily evaluations'!$C$2:$C$36,"=d20260928"),"")</f>
      </c>
      <c r="H135" s="12">
        <f>IF((0=1),SUMIFS('Daily evaluations'!$H$2:$H$36,'Daily evaluations'!$B$2:$B$36,"=random_14",'Daily evaluations'!$C$2:$C$36,"=d20260929"),"")</f>
      </c>
      <c r="I135" s="12">
        <f>IF((0=1),SUMIFS('Daily evaluations'!$H$2:$H$36,'Daily evaluations'!$B$2:$B$36,"=random_14",'Daily evaluations'!$C$2:$C$36,"=d20260930"),"")</f>
      </c>
      <c r="J135" s="12">
        <f>IF((0=1),SUMIFS('Daily evaluations'!$H$2:$H$36,'Daily evaluations'!$B$2:$B$36,"=random_14",'Daily evaluations'!$C$2:$C$36,"=d20261001"),"")</f>
      </c>
      <c r="K135" s="12">
        <f>IF((0=1),SUMIFS('Daily evaluations'!$H$2:$H$36,'Daily evaluations'!$B$2:$B$36,"=random_14",'Daily evaluations'!$C$2:$C$36,"=d20261002"),"")</f>
      </c>
      <c r="L135" s="12">
        <f>IF((0=1),SUMIFS('Daily evaluations'!$H$2:$H$36,'Daily evaluations'!$B$2:$B$36,"=random_14",'Daily evaluations'!$C$2:$C$36,"=d20261005"),"")</f>
      </c>
      <c r="M135" s="12">
        <f>IF((0=1),SUMIFS('Daily evaluations'!$H$2:$H$36,'Daily evaluations'!$B$2:$B$36,"=random_14",'Daily evaluations'!$C$2:$C$36,"=d20261006"),"")</f>
      </c>
      <c r="N135" s="12">
        <f>IF((0=1),SUMIFS('Daily evaluations'!$H$2:$H$36,'Daily evaluations'!$B$2:$B$36,"=random_14",'Daily evaluations'!$C$2:$C$36,"=d20261007"),"")</f>
      </c>
      <c r="O135" s="12">
        <f>IF((0=1),SUMIFS('Daily evaluations'!$H$2:$H$36,'Daily evaluations'!$B$2:$B$36,"=random_14",'Daily evaluations'!$C$2:$C$36,"=d20261008"),"")</f>
      </c>
      <c r="P135" s="12">
        <f>IF((0=1),SUMIFS('Daily evaluations'!$H$2:$H$36,'Daily evaluations'!$B$2:$B$36,"=random_14",'Daily evaluations'!$C$2:$C$36,"=d20261009"),"")</f>
      </c>
      <c r="Q135" s="12">
        <f>IF((0=1),SUMIFS('Daily evaluations'!$H$2:$H$36,'Daily evaluations'!$B$2:$B$36,"=random_14",'Daily evaluations'!$C$2:$C$36,"=d20261012"),"")</f>
      </c>
      <c r="R135" s="12">
        <f>IF((0=1),SUMIFS('Daily evaluations'!$H$2:$H$36,'Daily evaluations'!$B$2:$B$36,"=random_14",'Daily evaluations'!$C$2:$C$36,"=d20261013"),"")</f>
      </c>
      <c r="S135" s="12">
        <f>IF((0=1),SUMIFS('Daily evaluations'!$H$2:$H$36,'Daily evaluations'!$B$2:$B$36,"=random_14",'Daily evaluations'!$C$2:$C$36,"=d20261014"),"")</f>
      </c>
      <c r="T135" s="12">
        <f>IF((0=1),SUMIFS('Daily evaluations'!$H$2:$H$36,'Daily evaluations'!$B$2:$B$36,"=random_14",'Daily evaluations'!$C$2:$C$36,"=d20261015"),"")</f>
      </c>
      <c r="U135" s="12">
        <f>IF((0=1),SUMIFS('Daily evaluations'!$H$2:$H$36,'Daily evaluations'!$B$2:$B$36,"=random_14",'Daily evaluations'!$C$2:$C$36,"=d20261016"),"")</f>
      </c>
      <c r="V135" s="12">
        <f>IF((0=1),SUMIFS('Daily evaluations'!$H$2:$H$36,'Daily evaluations'!$B$2:$B$36,"=random_14",'Daily evaluations'!$C$2:$C$36,"=d20261019"),"")</f>
      </c>
      <c r="W135" s="12">
        <f>IF((0=1),SUMIFS('Daily evaluations'!$H$2:$H$36,'Daily evaluations'!$B$2:$B$36,"=random_14",'Daily evaluations'!$C$2:$C$36,"=d20261020"),"")</f>
      </c>
      <c r="X135" s="12">
        <f>IF((0=1),SUMIFS('Daily evaluations'!$H$2:$H$36,'Daily evaluations'!$B$2:$B$36,"=random_14",'Daily evaluations'!$C$2:$C$36,"=d20261021"),"")</f>
      </c>
      <c r="Y135" s="12">
        <f>IF((0=1),SUMIFS('Daily evaluations'!$H$2:$H$36,'Daily evaluations'!$B$2:$B$36,"=random_14",'Daily evaluations'!$C$2:$C$36,"=d20261022"),"")</f>
      </c>
      <c r="Z135" s="12">
        <f>IF((0=1),SUMIFS('Daily evaluations'!$H$2:$H$36,'Daily evaluations'!$B$2:$B$36,"=random_14",'Daily evaluations'!$C$2:$C$36,"=d20261023"),"")</f>
      </c>
      <c r="AA135" s="12">
        <f>IF((0=1),SUMIFS('Daily evaluations'!$H$2:$H$36,'Daily evaluations'!$B$2:$B$36,"=random_14",'Daily evaluations'!$C$2:$C$36,"=d20261026"),"")</f>
      </c>
      <c r="AB135" s="12">
        <f>IF((0=1),SUMIFS('Daily evaluations'!$H$2:$H$36,'Daily evaluations'!$B$2:$B$36,"=random_14",'Daily evaluations'!$C$2:$C$36,"=d20261027"),"")</f>
      </c>
      <c r="AC135" s="12">
        <f>IF((0=1),SUMIFS('Daily evaluations'!$H$2:$H$36,'Daily evaluations'!$B$2:$B$36,"=random_14",'Daily evaluations'!$C$2:$C$36,"=d20261028"),"")</f>
      </c>
      <c r="AD135" s="12">
        <f>IF((0=1),SUMIFS('Daily evaluations'!$H$2:$H$36,'Daily evaluations'!$B$2:$B$36,"=random_14",'Daily evaluations'!$C$2:$C$36,"=d20261029"),"")</f>
      </c>
      <c r="AE135" s="12">
        <f>IF((0=1),SUMIFS('Daily evaluations'!$H$2:$H$36,'Daily evaluations'!$B$2:$B$36,"=random_14",'Daily evaluations'!$C$2:$C$36,"=d20261030"),"")</f>
      </c>
      <c r="AF135" s="12">
        <f>IF((0=1),SUMIFS('Daily evaluations'!$H$2:$H$36,'Daily evaluations'!$B$2:$B$36,"=random_14",'Daily evaluations'!$C$2:$C$36,"=d20261102"),"")</f>
      </c>
      <c r="AG135" s="12">
        <f>IF((0=1),SUMIFS('Daily evaluations'!$H$2:$H$36,'Daily evaluations'!$B$2:$B$36,"=random_14",'Daily evaluations'!$C$2:$C$36,"=d20261103"),"")</f>
      </c>
      <c r="AH135" s="12">
        <f>IF((0=1),SUMIFS('Daily evaluations'!$H$2:$H$36,'Daily evaluations'!$B$2:$B$36,"=random_14",'Daily evaluations'!$C$2:$C$36,"=d20261104"),"")</f>
      </c>
      <c r="AI135" s="12">
        <f>IF((0=1),SUMIFS('Daily evaluations'!$H$2:$H$36,'Daily evaluations'!$B$2:$B$36,"=random_14",'Daily evaluations'!$C$2:$C$36,"=d20261105"),"")</f>
      </c>
      <c r="AJ135" s="12">
        <f>IF((0=1),SUMIFS('Daily evaluations'!$H$2:$H$36,'Daily evaluations'!$B$2:$B$36,"=random_14",'Daily evaluations'!$C$2:$C$36,"=d20261106"),"")</f>
      </c>
      <c r="AK135" s="12">
        <f>IF((0=1),SUMIFS('Daily evaluations'!$H$2:$H$36,'Daily evaluations'!$B$2:$B$36,"=random_14",'Daily evaluations'!$C$2:$C$36,"=d20261109"),"")</f>
      </c>
      <c r="AL135" s="12">
        <f>IF((0=1),SUMIFS('Daily evaluations'!$H$2:$H$36,'Daily evaluations'!$B$2:$B$36,"=random_14",'Daily evaluations'!$C$2:$C$36,"=d20261110"),"")</f>
      </c>
      <c r="AM135" s="12">
        <f>IF((0=1),SUMIFS('Daily evaluations'!$H$2:$H$36,'Daily evaluations'!$B$2:$B$36,"=random_14",'Daily evaluations'!$C$2:$C$36,"=d20261111"),"")</f>
      </c>
      <c r="AN135" s="12">
        <f>IF((0=1),SUMIFS('Daily evaluations'!$H$2:$H$36,'Daily evaluations'!$B$2:$B$36,"=random_14",'Daily evaluations'!$C$2:$C$36,"=d20261112"),"")</f>
      </c>
      <c r="AO135" s="12">
        <f>IF((0=1),SUMIFS('Daily evaluations'!$H$2:$H$36,'Daily evaluations'!$B$2:$B$36,"=random_14",'Daily evaluations'!$C$2:$C$36,"=d20261113"),"")</f>
      </c>
      <c r="AP135" s="12">
        <f>IF((0=1),SUMIFS('Daily evaluations'!$H$2:$H$36,'Daily evaluations'!$B$2:$B$36,"=random_14",'Daily evaluations'!$C$2:$C$36,"=d20261116"),"")</f>
      </c>
      <c r="AQ135" s="12">
        <f>IF((0=1),SUMIFS('Daily evaluations'!$H$2:$H$36,'Daily evaluations'!$B$2:$B$36,"=random_14",'Daily evaluations'!$C$2:$C$36,"=d20261117"),"")</f>
      </c>
      <c r="AR135" s="12">
        <f>IF((0=1),SUMIFS('Daily evaluations'!$H$2:$H$36,'Daily evaluations'!$B$2:$B$36,"=random_14",'Daily evaluations'!$C$2:$C$36,"=d20261118"),"")</f>
      </c>
      <c r="AS135" s="12">
        <f>IF((0=1),SUMIFS('Daily evaluations'!$H$2:$H$36,'Daily evaluations'!$B$2:$B$36,"=random_14",'Daily evaluations'!$C$2:$C$36,"=d20261119"),"")</f>
      </c>
      <c r="AT135" s="12">
        <f>IF((0=1),SUMIFS('Daily evaluations'!$H$2:$H$36,'Daily evaluations'!$B$2:$B$36,"=random_14",'Daily evaluations'!$C$2:$C$36,"=d20261120"),"")</f>
      </c>
      <c r="AU135" s="12">
        <f>IF((0=1),SUMIFS('Daily evaluations'!$H$2:$H$36,'Daily evaluations'!$B$2:$B$36,"=random_14",'Daily evaluations'!$C$2:$C$36,"=d20261123"),"")</f>
      </c>
      <c r="AV135" s="12">
        <f>IF((0=1),SUMIFS('Daily evaluations'!$H$2:$H$36,'Daily evaluations'!$B$2:$B$36,"=random_14",'Daily evaluations'!$C$2:$C$36,"=d20261124"),"")</f>
      </c>
      <c r="AW135" s="12">
        <f>IF((0=1),SUMIFS('Daily evaluations'!$H$2:$H$36,'Daily evaluations'!$B$2:$B$36,"=random_14",'Daily evaluations'!$C$2:$C$36,"=d20261125"),"")</f>
      </c>
      <c r="AX135" s="12">
        <f>IF((0=1),SUMIFS('Daily evaluations'!$H$2:$H$36,'Daily evaluations'!$B$2:$B$36,"=random_14",'Daily evaluations'!$C$2:$C$36,"=d20261127"),"")</f>
      </c>
      <c r="AY135" s="12">
        <f>IF((0=1),SUMIFS('Daily evaluations'!$H$2:$H$36,'Daily evaluations'!$B$2:$B$36,"=random_14",'Daily evaluations'!$C$2:$C$36,"=d20261130"),"")</f>
      </c>
      <c r="AZ135" s="12">
        <f>IF((0=1),SUMIFS('Daily evaluations'!$H$2:$H$36,'Daily evaluations'!$B$2:$B$36,"=random_14",'Daily evaluations'!$C$2:$C$36,"=d20261201"),"")</f>
      </c>
      <c r="BA135" s="12">
        <f>IF((0=1),SUMIFS('Daily evaluations'!$H$2:$H$36,'Daily evaluations'!$B$2:$B$36,"=random_14",'Daily evaluations'!$C$2:$C$36,"=d20261202"),"")</f>
      </c>
      <c r="BB135" s="12">
        <f>IF((0=1),SUMIFS('Daily evaluations'!$H$2:$H$36,'Daily evaluations'!$B$2:$B$36,"=random_14",'Daily evaluations'!$C$2:$C$36,"=d20261203"),"")</f>
      </c>
      <c r="BC135" s="12">
        <f>IF((0=1),SUMIFS('Daily evaluations'!$H$2:$H$36,'Daily evaluations'!$B$2:$B$36,"=random_14",'Daily evaluations'!$C$2:$C$36,"=d20261204"),"")</f>
      </c>
      <c r="BD135" s="12">
        <f>IF((0=1),SUMIFS('Daily evaluations'!$H$2:$H$36,'Daily evaluations'!$B$2:$B$36,"=random_14",'Daily evaluations'!$C$2:$C$36,"=d20261207"),"")</f>
      </c>
      <c r="BE135" s="12">
        <f>IF((0=1),SUMIFS('Daily evaluations'!$H$2:$H$36,'Daily evaluations'!$B$2:$B$36,"=random_14",'Daily evaluations'!$C$2:$C$36,"=d20261208"),"")</f>
      </c>
      <c r="BF135" s="12">
        <f>IF((0=1),SUMIFS('Daily evaluations'!$H$2:$H$36,'Daily evaluations'!$B$2:$B$36,"=random_14",'Daily evaluations'!$C$2:$C$36,"=d20261209"),"")</f>
      </c>
      <c r="BG135" s="12">
        <f>IF((0=1),SUMIFS('Daily evaluations'!$H$2:$H$36,'Daily evaluations'!$B$2:$B$36,"=random_14",'Daily evaluations'!$C$2:$C$36,"=d20261210"),"")</f>
      </c>
      <c r="BH135" s="12">
        <f>IF((0=1),SUMIFS('Daily evaluations'!$H$2:$H$36,'Daily evaluations'!$B$2:$B$36,"=random_14",'Daily evaluations'!$C$2:$C$36,"=d20261211"),"")</f>
      </c>
      <c r="BI135" s="12">
        <f>IF((0=1),SUMIFS('Daily evaluations'!$H$2:$H$36,'Daily evaluations'!$B$2:$B$36,"=random_14",'Daily evaluations'!$C$2:$C$36,"=d20261214"),"")</f>
      </c>
      <c r="BJ135" s="12">
        <f>IF((0=1),SUMIFS('Daily evaluations'!$H$2:$H$36,'Daily evaluations'!$B$2:$B$36,"=random_14",'Daily evaluations'!$C$2:$C$36,"=d20261215"),"")</f>
      </c>
      <c r="BK135" s="12">
        <f>IF((0=1),SUMIFS('Daily evaluations'!$H$2:$H$36,'Daily evaluations'!$B$2:$B$36,"=random_14",'Daily evaluations'!$C$2:$C$36,"=d20261216"),"")</f>
      </c>
      <c r="BL135" s="12">
        <f>IF((0=1),SUMIFS('Daily evaluations'!$H$2:$H$36,'Daily evaluations'!$B$2:$B$36,"=random_14",'Daily evaluations'!$C$2:$C$36,"=d20261217"),"")</f>
      </c>
      <c r="BM135" s="12">
        <f>IF((0=1),SUMIFS('Daily evaluations'!$H$2:$H$36,'Daily evaluations'!$B$2:$B$36,"=random_14",'Daily evaluations'!$C$2:$C$36,"=d20261218"),"")</f>
      </c>
      <c r="BN135" s="12">
        <f>IF((0=1),SUMIFS('Daily evaluations'!$H$2:$H$36,'Daily evaluations'!$B$2:$B$36,"=random_14",'Daily evaluations'!$C$2:$C$36,"=d20261221"),"")</f>
      </c>
      <c r="BO135" s="12">
        <f>IF((0=1),SUMIFS('Daily evaluations'!$H$2:$H$36,'Daily evaluations'!$B$2:$B$36,"=random_14",'Daily evaluations'!$C$2:$C$36,"=d20261222"),"")</f>
      </c>
      <c r="BP135" s="12">
        <f>IF((0=1),SUMIFS('Daily evaluations'!$H$2:$H$36,'Daily evaluations'!$B$2:$B$36,"=random_14",'Daily evaluations'!$C$2:$C$36,"=d20261223"),"")</f>
      </c>
      <c r="BQ135" s="12">
        <f>IF((0=1),SUMIFS('Daily evaluations'!$H$2:$H$36,'Daily evaluations'!$B$2:$B$36,"=random_14",'Daily evaluations'!$C$2:$C$36,"=d20261224"),"")</f>
      </c>
      <c r="BR135" s="12">
        <f>IF((0=1),SUMIFS('Daily evaluations'!$H$2:$H$36,'Daily evaluations'!$B$2:$B$36,"=random_14",'Daily evaluations'!$C$2:$C$36,"=d20261228"),"")</f>
      </c>
      <c r="BS135" s="12">
        <f>IF((0=1),SUMIFS('Daily evaluations'!$H$2:$H$36,'Daily evaluations'!$B$2:$B$36,"=random_14",'Daily evaluations'!$C$2:$C$36,"=d20261229"),"")</f>
      </c>
      <c r="BT135" s="12">
        <f>IF((0=1),SUMIFS('Daily evaluations'!$H$2:$H$36,'Daily evaluations'!$B$2:$B$36,"=random_14",'Daily evaluations'!$C$2:$C$36,"=d20261230"),"")</f>
      </c>
      <c r="BU135" s="12">
        <f>IF((0=1),SUMIFS('Daily evaluations'!$H$2:$H$36,'Daily evaluations'!$B$2:$B$36,"=random_14",'Daily evaluations'!$C$2:$C$36,"=d20261231"),"")</f>
      </c>
      <c r="BV135" s="12">
        <f>IF((0=1),SUMIFS('Daily evaluations'!$H$2:$H$36,'Daily evaluations'!$B$2:$B$36,"=random_14",'Daily evaluations'!$C$2:$C$36,"=d20270104"),"")</f>
      </c>
      <c r="BW135" s="12">
        <f>IF((0=1),SUMIFS('Daily evaluations'!$H$2:$H$36,'Daily evaluations'!$B$2:$B$36,"=random_14",'Daily evaluations'!$C$2:$C$36,"=d20270105"),"")</f>
      </c>
      <c r="BX135" s="12">
        <f>IF((0=1),SUMIFS('Daily evaluations'!$H$2:$H$36,'Daily evaluations'!$B$2:$B$36,"=random_14",'Daily evaluations'!$C$2:$C$36,"=d20270106"),"")</f>
      </c>
      <c r="BY135" s="12">
        <f>IF((0=1),SUMIFS('Daily evaluations'!$H$2:$H$36,'Daily evaluations'!$B$2:$B$36,"=random_14",'Daily evaluations'!$C$2:$C$36,"=d20270107"),"")</f>
      </c>
      <c r="BZ135" s="12">
        <f>IF((0=1),SUMIFS('Daily evaluations'!$H$2:$H$36,'Daily evaluations'!$B$2:$B$36,"=random_14",'Daily evaluations'!$C$2:$C$36,"=d20270108"),"")</f>
      </c>
      <c r="CA135" s="12">
        <f>IF((0=1),SUMIFS('Daily evaluations'!$H$2:$H$36,'Daily evaluations'!$B$2:$B$36,"=random_14",'Daily evaluations'!$C$2:$C$36,"=d20270111"),"")</f>
      </c>
      <c r="CB135" s="12">
        <f>IF((0=1),SUMIFS('Daily evaluations'!$H$2:$H$36,'Daily evaluations'!$B$2:$B$36,"=random_14",'Daily evaluations'!$C$2:$C$36,"=d20270112"),"")</f>
      </c>
      <c r="CC135" s="12">
        <f>IF((0=1),SUMIFS('Daily evaluations'!$H$2:$H$36,'Daily evaluations'!$B$2:$B$36,"=random_14",'Daily evaluations'!$C$2:$C$36,"=d20270113"),"")</f>
      </c>
      <c r="CD135" s="12">
        <f>IF((0=1),SUMIFS('Daily evaluations'!$H$2:$H$36,'Daily evaluations'!$B$2:$B$36,"=random_14",'Daily evaluations'!$C$2:$C$36,"=d20270114"),"")</f>
      </c>
      <c r="CE135" s="12">
        <f>IF((0=1),SUMIFS('Daily evaluations'!$H$2:$H$36,'Daily evaluations'!$B$2:$B$36,"=random_14",'Daily evaluations'!$C$2:$C$36,"=d20270115"),"")</f>
      </c>
      <c r="CF135" s="12">
        <f>IF((0=1),SUMIFS('Daily evaluations'!$H$2:$H$36,'Daily evaluations'!$B$2:$B$36,"=random_14",'Daily evaluations'!$C$2:$C$36,"=d20270119"),"")</f>
      </c>
      <c r="CG135" s="12">
        <f>IF((0=1),SUMIFS('Daily evaluations'!$H$2:$H$36,'Daily evaluations'!$B$2:$B$36,"=random_14",'Daily evaluations'!$C$2:$C$36,"=d20270120"),"")</f>
      </c>
      <c r="CH135" s="12">
        <f>IF((0=1),SUMIFS('Daily evaluations'!$H$2:$H$36,'Daily evaluations'!$B$2:$B$36,"=random_14",'Daily evaluations'!$C$2:$C$36,"=d20270121"),"")</f>
      </c>
      <c r="CI135" s="12">
        <f>IF((0=1),SUMIFS('Daily evaluations'!$H$2:$H$36,'Daily evaluations'!$B$2:$B$36,"=random_14",'Daily evaluations'!$C$2:$C$36,"=d20270122"),"")</f>
      </c>
      <c r="CJ135" s="12">
        <f>IF((0=1),SUMIFS('Daily evaluations'!$H$2:$H$36,'Daily evaluations'!$B$2:$B$36,"=random_14",'Daily evaluations'!$C$2:$C$36,"=d20270125"),"")</f>
      </c>
      <c r="CK135" s="12">
        <f>IF((0=1),SUMIFS('Daily evaluations'!$H$2:$H$36,'Daily evaluations'!$B$2:$B$36,"=random_14",'Daily evaluations'!$C$2:$C$36,"=d20270126"),"")</f>
      </c>
      <c r="CL135" s="12">
        <f>IF((0=1),SUMIFS('Daily evaluations'!$H$2:$H$36,'Daily evaluations'!$B$2:$B$36,"=random_14",'Daily evaluations'!$C$2:$C$36,"=d20270127"),"")</f>
      </c>
      <c r="CM135" s="12">
        <f>IF((0=1),SUMIFS('Daily evaluations'!$H$2:$H$36,'Daily evaluations'!$B$2:$B$36,"=random_14",'Daily evaluations'!$C$2:$C$36,"=d20270128"),"")</f>
      </c>
      <c r="CN135" s="12">
        <f>IF((0=1),SUMIFS('Daily evaluations'!$H$2:$H$36,'Daily evaluations'!$B$2:$B$36,"=random_14",'Daily evaluations'!$C$2:$C$36,"=d20270129"),"")</f>
      </c>
      <c r="CO135" s="12">
        <f>IF((0=1),SUMIFS('Daily evaluations'!$H$2:$H$36,'Daily evaluations'!$B$2:$B$36,"=random_14",'Daily evaluations'!$C$2:$C$36,"=d20270201"),"")</f>
      </c>
      <c r="CP135" s="12">
        <f>IF((0=1),SUMIFS('Daily evaluations'!$H$2:$H$36,'Daily evaluations'!$B$2:$B$36,"=random_14",'Daily evaluations'!$C$2:$C$36,"=d20270202"),"")</f>
      </c>
      <c r="CQ135" s="12">
        <f>IF((0=1),SUMIFS('Daily evaluations'!$H$2:$H$36,'Daily evaluations'!$B$2:$B$36,"=random_14",'Daily evaluations'!$C$2:$C$36,"=d20270203"),"")</f>
      </c>
      <c r="CR135" s="12">
        <f>IF((0=1),SUMIFS('Daily evaluations'!$H$2:$H$36,'Daily evaluations'!$B$2:$B$36,"=random_14",'Daily evaluations'!$C$2:$C$36,"=d20270204"),"")</f>
      </c>
      <c r="CS135" s="12">
        <f>IF((0=1),SUMIFS('Daily evaluations'!$H$2:$H$36,'Daily evaluations'!$B$2:$B$36,"=random_14",'Daily evaluations'!$C$2:$C$36,"=d20270205"),"")</f>
      </c>
      <c r="CT135" s="12">
        <f>IF((0=1),SUMIFS('Daily evaluations'!$H$2:$H$36,'Daily evaluations'!$B$2:$B$36,"=random_14",'Daily evaluations'!$C$2:$C$36,"=d20270208"),"")</f>
      </c>
      <c r="CU135" s="12">
        <f>IF((0=1),SUMIFS('Daily evaluations'!$H$2:$H$36,'Daily evaluations'!$B$2:$B$36,"=random_14",'Daily evaluations'!$C$2:$C$36,"=d20270209"),"")</f>
      </c>
      <c r="CV135" s="12">
        <f>IF((0=1),SUMIFS('Daily evaluations'!$H$2:$H$36,'Daily evaluations'!$B$2:$B$36,"=random_14",'Daily evaluations'!$C$2:$C$36,"=d20270210"),"")</f>
      </c>
      <c r="CW135" s="12">
        <f>IF((0=1),SUMIFS('Daily evaluations'!$H$2:$H$36,'Daily evaluations'!$B$2:$B$36,"=random_14",'Daily evaluations'!$C$2:$C$36,"=d20270211"),"")</f>
      </c>
      <c r="CX135" s="12">
        <f>IF((0=1),SUMIFS('Daily evaluations'!$H$2:$H$36,'Daily evaluations'!$B$2:$B$36,"=random_14",'Daily evaluations'!$C$2:$C$36,"=d20270212"),"")</f>
      </c>
    </row>
    <row r="136">
      <c r="A136" s="0" t="inlineStr">
        <is>
          <t xml:space="preserve">Hit rate vs universe median</t>
        </is>
      </c>
      <c r="B136" s="0" t="inlineStr">
        <is>
          <t xml:space="preserve">Random 15</t>
        </is>
      </c>
      <c r="C136" s="12">
        <f>IF((1=1),SUMIFS('Daily evaluations'!$H$2:$H$36,'Daily evaluations'!$B$2:$B$36,"=random_15",'Daily evaluations'!$C$2:$C$36,"=d20260922"),"")</f>
        <v>0.4</v>
      </c>
      <c r="D136" s="12">
        <f>IF((0=1),SUMIFS('Daily evaluations'!$H$2:$H$36,'Daily evaluations'!$B$2:$B$36,"=random_15",'Daily evaluations'!$C$2:$C$36,"=d20260923"),"")</f>
      </c>
      <c r="E136" s="12">
        <f>IF((0=1),SUMIFS('Daily evaluations'!$H$2:$H$36,'Daily evaluations'!$B$2:$B$36,"=random_15",'Daily evaluations'!$C$2:$C$36,"=d20260924"),"")</f>
      </c>
      <c r="F136" s="12">
        <f>IF((0=1),SUMIFS('Daily evaluations'!$H$2:$H$36,'Daily evaluations'!$B$2:$B$36,"=random_15",'Daily evaluations'!$C$2:$C$36,"=d20260925"),"")</f>
      </c>
      <c r="G136" s="12">
        <f>IF((0=1),SUMIFS('Daily evaluations'!$H$2:$H$36,'Daily evaluations'!$B$2:$B$36,"=random_15",'Daily evaluations'!$C$2:$C$36,"=d20260928"),"")</f>
      </c>
      <c r="H136" s="12">
        <f>IF((0=1),SUMIFS('Daily evaluations'!$H$2:$H$36,'Daily evaluations'!$B$2:$B$36,"=random_15",'Daily evaluations'!$C$2:$C$36,"=d20260929"),"")</f>
      </c>
      <c r="I136" s="12">
        <f>IF((0=1),SUMIFS('Daily evaluations'!$H$2:$H$36,'Daily evaluations'!$B$2:$B$36,"=random_15",'Daily evaluations'!$C$2:$C$36,"=d20260930"),"")</f>
      </c>
      <c r="J136" s="12">
        <f>IF((0=1),SUMIFS('Daily evaluations'!$H$2:$H$36,'Daily evaluations'!$B$2:$B$36,"=random_15",'Daily evaluations'!$C$2:$C$36,"=d20261001"),"")</f>
      </c>
      <c r="K136" s="12">
        <f>IF((0=1),SUMIFS('Daily evaluations'!$H$2:$H$36,'Daily evaluations'!$B$2:$B$36,"=random_15",'Daily evaluations'!$C$2:$C$36,"=d20261002"),"")</f>
      </c>
      <c r="L136" s="12">
        <f>IF((0=1),SUMIFS('Daily evaluations'!$H$2:$H$36,'Daily evaluations'!$B$2:$B$36,"=random_15",'Daily evaluations'!$C$2:$C$36,"=d20261005"),"")</f>
      </c>
      <c r="M136" s="12">
        <f>IF((0=1),SUMIFS('Daily evaluations'!$H$2:$H$36,'Daily evaluations'!$B$2:$B$36,"=random_15",'Daily evaluations'!$C$2:$C$36,"=d20261006"),"")</f>
      </c>
      <c r="N136" s="12">
        <f>IF((0=1),SUMIFS('Daily evaluations'!$H$2:$H$36,'Daily evaluations'!$B$2:$B$36,"=random_15",'Daily evaluations'!$C$2:$C$36,"=d20261007"),"")</f>
      </c>
      <c r="O136" s="12">
        <f>IF((0=1),SUMIFS('Daily evaluations'!$H$2:$H$36,'Daily evaluations'!$B$2:$B$36,"=random_15",'Daily evaluations'!$C$2:$C$36,"=d20261008"),"")</f>
      </c>
      <c r="P136" s="12">
        <f>IF((0=1),SUMIFS('Daily evaluations'!$H$2:$H$36,'Daily evaluations'!$B$2:$B$36,"=random_15",'Daily evaluations'!$C$2:$C$36,"=d20261009"),"")</f>
      </c>
      <c r="Q136" s="12">
        <f>IF((0=1),SUMIFS('Daily evaluations'!$H$2:$H$36,'Daily evaluations'!$B$2:$B$36,"=random_15",'Daily evaluations'!$C$2:$C$36,"=d20261012"),"")</f>
      </c>
      <c r="R136" s="12">
        <f>IF((0=1),SUMIFS('Daily evaluations'!$H$2:$H$36,'Daily evaluations'!$B$2:$B$36,"=random_15",'Daily evaluations'!$C$2:$C$36,"=d20261013"),"")</f>
      </c>
      <c r="S136" s="12">
        <f>IF((0=1),SUMIFS('Daily evaluations'!$H$2:$H$36,'Daily evaluations'!$B$2:$B$36,"=random_15",'Daily evaluations'!$C$2:$C$36,"=d20261014"),"")</f>
      </c>
      <c r="T136" s="12">
        <f>IF((0=1),SUMIFS('Daily evaluations'!$H$2:$H$36,'Daily evaluations'!$B$2:$B$36,"=random_15",'Daily evaluations'!$C$2:$C$36,"=d20261015"),"")</f>
      </c>
      <c r="U136" s="12">
        <f>IF((0=1),SUMIFS('Daily evaluations'!$H$2:$H$36,'Daily evaluations'!$B$2:$B$36,"=random_15",'Daily evaluations'!$C$2:$C$36,"=d20261016"),"")</f>
      </c>
      <c r="V136" s="12">
        <f>IF((0=1),SUMIFS('Daily evaluations'!$H$2:$H$36,'Daily evaluations'!$B$2:$B$36,"=random_15",'Daily evaluations'!$C$2:$C$36,"=d20261019"),"")</f>
      </c>
      <c r="W136" s="12">
        <f>IF((0=1),SUMIFS('Daily evaluations'!$H$2:$H$36,'Daily evaluations'!$B$2:$B$36,"=random_15",'Daily evaluations'!$C$2:$C$36,"=d20261020"),"")</f>
      </c>
      <c r="X136" s="12">
        <f>IF((0=1),SUMIFS('Daily evaluations'!$H$2:$H$36,'Daily evaluations'!$B$2:$B$36,"=random_15",'Daily evaluations'!$C$2:$C$36,"=d20261021"),"")</f>
      </c>
      <c r="Y136" s="12">
        <f>IF((0=1),SUMIFS('Daily evaluations'!$H$2:$H$36,'Daily evaluations'!$B$2:$B$36,"=random_15",'Daily evaluations'!$C$2:$C$36,"=d20261022"),"")</f>
      </c>
      <c r="Z136" s="12">
        <f>IF((0=1),SUMIFS('Daily evaluations'!$H$2:$H$36,'Daily evaluations'!$B$2:$B$36,"=random_15",'Daily evaluations'!$C$2:$C$36,"=d20261023"),"")</f>
      </c>
      <c r="AA136" s="12">
        <f>IF((0=1),SUMIFS('Daily evaluations'!$H$2:$H$36,'Daily evaluations'!$B$2:$B$36,"=random_15",'Daily evaluations'!$C$2:$C$36,"=d20261026"),"")</f>
      </c>
      <c r="AB136" s="12">
        <f>IF((0=1),SUMIFS('Daily evaluations'!$H$2:$H$36,'Daily evaluations'!$B$2:$B$36,"=random_15",'Daily evaluations'!$C$2:$C$36,"=d20261027"),"")</f>
      </c>
      <c r="AC136" s="12">
        <f>IF((0=1),SUMIFS('Daily evaluations'!$H$2:$H$36,'Daily evaluations'!$B$2:$B$36,"=random_15",'Daily evaluations'!$C$2:$C$36,"=d20261028"),"")</f>
      </c>
      <c r="AD136" s="12">
        <f>IF((0=1),SUMIFS('Daily evaluations'!$H$2:$H$36,'Daily evaluations'!$B$2:$B$36,"=random_15",'Daily evaluations'!$C$2:$C$36,"=d20261029"),"")</f>
      </c>
      <c r="AE136" s="12">
        <f>IF((0=1),SUMIFS('Daily evaluations'!$H$2:$H$36,'Daily evaluations'!$B$2:$B$36,"=random_15",'Daily evaluations'!$C$2:$C$36,"=d20261030"),"")</f>
      </c>
      <c r="AF136" s="12">
        <f>IF((0=1),SUMIFS('Daily evaluations'!$H$2:$H$36,'Daily evaluations'!$B$2:$B$36,"=random_15",'Daily evaluations'!$C$2:$C$36,"=d20261102"),"")</f>
      </c>
      <c r="AG136" s="12">
        <f>IF((0=1),SUMIFS('Daily evaluations'!$H$2:$H$36,'Daily evaluations'!$B$2:$B$36,"=random_15",'Daily evaluations'!$C$2:$C$36,"=d20261103"),"")</f>
      </c>
      <c r="AH136" s="12">
        <f>IF((0=1),SUMIFS('Daily evaluations'!$H$2:$H$36,'Daily evaluations'!$B$2:$B$36,"=random_15",'Daily evaluations'!$C$2:$C$36,"=d20261104"),"")</f>
      </c>
      <c r="AI136" s="12">
        <f>IF((0=1),SUMIFS('Daily evaluations'!$H$2:$H$36,'Daily evaluations'!$B$2:$B$36,"=random_15",'Daily evaluations'!$C$2:$C$36,"=d20261105"),"")</f>
      </c>
      <c r="AJ136" s="12">
        <f>IF((0=1),SUMIFS('Daily evaluations'!$H$2:$H$36,'Daily evaluations'!$B$2:$B$36,"=random_15",'Daily evaluations'!$C$2:$C$36,"=d20261106"),"")</f>
      </c>
      <c r="AK136" s="12">
        <f>IF((0=1),SUMIFS('Daily evaluations'!$H$2:$H$36,'Daily evaluations'!$B$2:$B$36,"=random_15",'Daily evaluations'!$C$2:$C$36,"=d20261109"),"")</f>
      </c>
      <c r="AL136" s="12">
        <f>IF((0=1),SUMIFS('Daily evaluations'!$H$2:$H$36,'Daily evaluations'!$B$2:$B$36,"=random_15",'Daily evaluations'!$C$2:$C$36,"=d20261110"),"")</f>
      </c>
      <c r="AM136" s="12">
        <f>IF((0=1),SUMIFS('Daily evaluations'!$H$2:$H$36,'Daily evaluations'!$B$2:$B$36,"=random_15",'Daily evaluations'!$C$2:$C$36,"=d20261111"),"")</f>
      </c>
      <c r="AN136" s="12">
        <f>IF((0=1),SUMIFS('Daily evaluations'!$H$2:$H$36,'Daily evaluations'!$B$2:$B$36,"=random_15",'Daily evaluations'!$C$2:$C$36,"=d20261112"),"")</f>
      </c>
      <c r="AO136" s="12">
        <f>IF((0=1),SUMIFS('Daily evaluations'!$H$2:$H$36,'Daily evaluations'!$B$2:$B$36,"=random_15",'Daily evaluations'!$C$2:$C$36,"=d20261113"),"")</f>
      </c>
      <c r="AP136" s="12">
        <f>IF((0=1),SUMIFS('Daily evaluations'!$H$2:$H$36,'Daily evaluations'!$B$2:$B$36,"=random_15",'Daily evaluations'!$C$2:$C$36,"=d20261116"),"")</f>
      </c>
      <c r="AQ136" s="12">
        <f>IF((0=1),SUMIFS('Daily evaluations'!$H$2:$H$36,'Daily evaluations'!$B$2:$B$36,"=random_15",'Daily evaluations'!$C$2:$C$36,"=d20261117"),"")</f>
      </c>
      <c r="AR136" s="12">
        <f>IF((0=1),SUMIFS('Daily evaluations'!$H$2:$H$36,'Daily evaluations'!$B$2:$B$36,"=random_15",'Daily evaluations'!$C$2:$C$36,"=d20261118"),"")</f>
      </c>
      <c r="AS136" s="12">
        <f>IF((0=1),SUMIFS('Daily evaluations'!$H$2:$H$36,'Daily evaluations'!$B$2:$B$36,"=random_15",'Daily evaluations'!$C$2:$C$36,"=d20261119"),"")</f>
      </c>
      <c r="AT136" s="12">
        <f>IF((0=1),SUMIFS('Daily evaluations'!$H$2:$H$36,'Daily evaluations'!$B$2:$B$36,"=random_15",'Daily evaluations'!$C$2:$C$36,"=d20261120"),"")</f>
      </c>
      <c r="AU136" s="12">
        <f>IF((0=1),SUMIFS('Daily evaluations'!$H$2:$H$36,'Daily evaluations'!$B$2:$B$36,"=random_15",'Daily evaluations'!$C$2:$C$36,"=d20261123"),"")</f>
      </c>
      <c r="AV136" s="12">
        <f>IF((0=1),SUMIFS('Daily evaluations'!$H$2:$H$36,'Daily evaluations'!$B$2:$B$36,"=random_15",'Daily evaluations'!$C$2:$C$36,"=d20261124"),"")</f>
      </c>
      <c r="AW136" s="12">
        <f>IF((0=1),SUMIFS('Daily evaluations'!$H$2:$H$36,'Daily evaluations'!$B$2:$B$36,"=random_15",'Daily evaluations'!$C$2:$C$36,"=d20261125"),"")</f>
      </c>
      <c r="AX136" s="12">
        <f>IF((0=1),SUMIFS('Daily evaluations'!$H$2:$H$36,'Daily evaluations'!$B$2:$B$36,"=random_15",'Daily evaluations'!$C$2:$C$36,"=d20261127"),"")</f>
      </c>
      <c r="AY136" s="12">
        <f>IF((0=1),SUMIFS('Daily evaluations'!$H$2:$H$36,'Daily evaluations'!$B$2:$B$36,"=random_15",'Daily evaluations'!$C$2:$C$36,"=d20261130"),"")</f>
      </c>
      <c r="AZ136" s="12">
        <f>IF((0=1),SUMIFS('Daily evaluations'!$H$2:$H$36,'Daily evaluations'!$B$2:$B$36,"=random_15",'Daily evaluations'!$C$2:$C$36,"=d20261201"),"")</f>
      </c>
      <c r="BA136" s="12">
        <f>IF((0=1),SUMIFS('Daily evaluations'!$H$2:$H$36,'Daily evaluations'!$B$2:$B$36,"=random_15",'Daily evaluations'!$C$2:$C$36,"=d20261202"),"")</f>
      </c>
      <c r="BB136" s="12">
        <f>IF((0=1),SUMIFS('Daily evaluations'!$H$2:$H$36,'Daily evaluations'!$B$2:$B$36,"=random_15",'Daily evaluations'!$C$2:$C$36,"=d20261203"),"")</f>
      </c>
      <c r="BC136" s="12">
        <f>IF((0=1),SUMIFS('Daily evaluations'!$H$2:$H$36,'Daily evaluations'!$B$2:$B$36,"=random_15",'Daily evaluations'!$C$2:$C$36,"=d20261204"),"")</f>
      </c>
      <c r="BD136" s="12">
        <f>IF((0=1),SUMIFS('Daily evaluations'!$H$2:$H$36,'Daily evaluations'!$B$2:$B$36,"=random_15",'Daily evaluations'!$C$2:$C$36,"=d20261207"),"")</f>
      </c>
      <c r="BE136" s="12">
        <f>IF((0=1),SUMIFS('Daily evaluations'!$H$2:$H$36,'Daily evaluations'!$B$2:$B$36,"=random_15",'Daily evaluations'!$C$2:$C$36,"=d20261208"),"")</f>
      </c>
      <c r="BF136" s="12">
        <f>IF((0=1),SUMIFS('Daily evaluations'!$H$2:$H$36,'Daily evaluations'!$B$2:$B$36,"=random_15",'Daily evaluations'!$C$2:$C$36,"=d20261209"),"")</f>
      </c>
      <c r="BG136" s="12">
        <f>IF((0=1),SUMIFS('Daily evaluations'!$H$2:$H$36,'Daily evaluations'!$B$2:$B$36,"=random_15",'Daily evaluations'!$C$2:$C$36,"=d20261210"),"")</f>
      </c>
      <c r="BH136" s="12">
        <f>IF((0=1),SUMIFS('Daily evaluations'!$H$2:$H$36,'Daily evaluations'!$B$2:$B$36,"=random_15",'Daily evaluations'!$C$2:$C$36,"=d20261211"),"")</f>
      </c>
      <c r="BI136" s="12">
        <f>IF((0=1),SUMIFS('Daily evaluations'!$H$2:$H$36,'Daily evaluations'!$B$2:$B$36,"=random_15",'Daily evaluations'!$C$2:$C$36,"=d20261214"),"")</f>
      </c>
      <c r="BJ136" s="12">
        <f>IF((0=1),SUMIFS('Daily evaluations'!$H$2:$H$36,'Daily evaluations'!$B$2:$B$36,"=random_15",'Daily evaluations'!$C$2:$C$36,"=d20261215"),"")</f>
      </c>
      <c r="BK136" s="12">
        <f>IF((0=1),SUMIFS('Daily evaluations'!$H$2:$H$36,'Daily evaluations'!$B$2:$B$36,"=random_15",'Daily evaluations'!$C$2:$C$36,"=d20261216"),"")</f>
      </c>
      <c r="BL136" s="12">
        <f>IF((0=1),SUMIFS('Daily evaluations'!$H$2:$H$36,'Daily evaluations'!$B$2:$B$36,"=random_15",'Daily evaluations'!$C$2:$C$36,"=d20261217"),"")</f>
      </c>
      <c r="BM136" s="12">
        <f>IF((0=1),SUMIFS('Daily evaluations'!$H$2:$H$36,'Daily evaluations'!$B$2:$B$36,"=random_15",'Daily evaluations'!$C$2:$C$36,"=d20261218"),"")</f>
      </c>
      <c r="BN136" s="12">
        <f>IF((0=1),SUMIFS('Daily evaluations'!$H$2:$H$36,'Daily evaluations'!$B$2:$B$36,"=random_15",'Daily evaluations'!$C$2:$C$36,"=d20261221"),"")</f>
      </c>
      <c r="BO136" s="12">
        <f>IF((0=1),SUMIFS('Daily evaluations'!$H$2:$H$36,'Daily evaluations'!$B$2:$B$36,"=random_15",'Daily evaluations'!$C$2:$C$36,"=d20261222"),"")</f>
      </c>
      <c r="BP136" s="12">
        <f>IF((0=1),SUMIFS('Daily evaluations'!$H$2:$H$36,'Daily evaluations'!$B$2:$B$36,"=random_15",'Daily evaluations'!$C$2:$C$36,"=d20261223"),"")</f>
      </c>
      <c r="BQ136" s="12">
        <f>IF((0=1),SUMIFS('Daily evaluations'!$H$2:$H$36,'Daily evaluations'!$B$2:$B$36,"=random_15",'Daily evaluations'!$C$2:$C$36,"=d20261224"),"")</f>
      </c>
      <c r="BR136" s="12">
        <f>IF((0=1),SUMIFS('Daily evaluations'!$H$2:$H$36,'Daily evaluations'!$B$2:$B$36,"=random_15",'Daily evaluations'!$C$2:$C$36,"=d20261228"),"")</f>
      </c>
      <c r="BS136" s="12">
        <f>IF((0=1),SUMIFS('Daily evaluations'!$H$2:$H$36,'Daily evaluations'!$B$2:$B$36,"=random_15",'Daily evaluations'!$C$2:$C$36,"=d20261229"),"")</f>
      </c>
      <c r="BT136" s="12">
        <f>IF((0=1),SUMIFS('Daily evaluations'!$H$2:$H$36,'Daily evaluations'!$B$2:$B$36,"=random_15",'Daily evaluations'!$C$2:$C$36,"=d20261230"),"")</f>
      </c>
      <c r="BU136" s="12">
        <f>IF((0=1),SUMIFS('Daily evaluations'!$H$2:$H$36,'Daily evaluations'!$B$2:$B$36,"=random_15",'Daily evaluations'!$C$2:$C$36,"=d20261231"),"")</f>
      </c>
      <c r="BV136" s="12">
        <f>IF((0=1),SUMIFS('Daily evaluations'!$H$2:$H$36,'Daily evaluations'!$B$2:$B$36,"=random_15",'Daily evaluations'!$C$2:$C$36,"=d20270104"),"")</f>
      </c>
      <c r="BW136" s="12">
        <f>IF((0=1),SUMIFS('Daily evaluations'!$H$2:$H$36,'Daily evaluations'!$B$2:$B$36,"=random_15",'Daily evaluations'!$C$2:$C$36,"=d20270105"),"")</f>
      </c>
      <c r="BX136" s="12">
        <f>IF((0=1),SUMIFS('Daily evaluations'!$H$2:$H$36,'Daily evaluations'!$B$2:$B$36,"=random_15",'Daily evaluations'!$C$2:$C$36,"=d20270106"),"")</f>
      </c>
      <c r="BY136" s="12">
        <f>IF((0=1),SUMIFS('Daily evaluations'!$H$2:$H$36,'Daily evaluations'!$B$2:$B$36,"=random_15",'Daily evaluations'!$C$2:$C$36,"=d20270107"),"")</f>
      </c>
      <c r="BZ136" s="12">
        <f>IF((0=1),SUMIFS('Daily evaluations'!$H$2:$H$36,'Daily evaluations'!$B$2:$B$36,"=random_15",'Daily evaluations'!$C$2:$C$36,"=d20270108"),"")</f>
      </c>
      <c r="CA136" s="12">
        <f>IF((0=1),SUMIFS('Daily evaluations'!$H$2:$H$36,'Daily evaluations'!$B$2:$B$36,"=random_15",'Daily evaluations'!$C$2:$C$36,"=d20270111"),"")</f>
      </c>
      <c r="CB136" s="12">
        <f>IF((0=1),SUMIFS('Daily evaluations'!$H$2:$H$36,'Daily evaluations'!$B$2:$B$36,"=random_15",'Daily evaluations'!$C$2:$C$36,"=d20270112"),"")</f>
      </c>
      <c r="CC136" s="12">
        <f>IF((0=1),SUMIFS('Daily evaluations'!$H$2:$H$36,'Daily evaluations'!$B$2:$B$36,"=random_15",'Daily evaluations'!$C$2:$C$36,"=d20270113"),"")</f>
      </c>
      <c r="CD136" s="12">
        <f>IF((0=1),SUMIFS('Daily evaluations'!$H$2:$H$36,'Daily evaluations'!$B$2:$B$36,"=random_15",'Daily evaluations'!$C$2:$C$36,"=d20270114"),"")</f>
      </c>
      <c r="CE136" s="12">
        <f>IF((0=1),SUMIFS('Daily evaluations'!$H$2:$H$36,'Daily evaluations'!$B$2:$B$36,"=random_15",'Daily evaluations'!$C$2:$C$36,"=d20270115"),"")</f>
      </c>
      <c r="CF136" s="12">
        <f>IF((0=1),SUMIFS('Daily evaluations'!$H$2:$H$36,'Daily evaluations'!$B$2:$B$36,"=random_15",'Daily evaluations'!$C$2:$C$36,"=d20270119"),"")</f>
      </c>
      <c r="CG136" s="12">
        <f>IF((0=1),SUMIFS('Daily evaluations'!$H$2:$H$36,'Daily evaluations'!$B$2:$B$36,"=random_15",'Daily evaluations'!$C$2:$C$36,"=d20270120"),"")</f>
      </c>
      <c r="CH136" s="12">
        <f>IF((0=1),SUMIFS('Daily evaluations'!$H$2:$H$36,'Daily evaluations'!$B$2:$B$36,"=random_15",'Daily evaluations'!$C$2:$C$36,"=d20270121"),"")</f>
      </c>
      <c r="CI136" s="12">
        <f>IF((0=1),SUMIFS('Daily evaluations'!$H$2:$H$36,'Daily evaluations'!$B$2:$B$36,"=random_15",'Daily evaluations'!$C$2:$C$36,"=d20270122"),"")</f>
      </c>
      <c r="CJ136" s="12">
        <f>IF((0=1),SUMIFS('Daily evaluations'!$H$2:$H$36,'Daily evaluations'!$B$2:$B$36,"=random_15",'Daily evaluations'!$C$2:$C$36,"=d20270125"),"")</f>
      </c>
      <c r="CK136" s="12">
        <f>IF((0=1),SUMIFS('Daily evaluations'!$H$2:$H$36,'Daily evaluations'!$B$2:$B$36,"=random_15",'Daily evaluations'!$C$2:$C$36,"=d20270126"),"")</f>
      </c>
      <c r="CL136" s="12">
        <f>IF((0=1),SUMIFS('Daily evaluations'!$H$2:$H$36,'Daily evaluations'!$B$2:$B$36,"=random_15",'Daily evaluations'!$C$2:$C$36,"=d20270127"),"")</f>
      </c>
      <c r="CM136" s="12">
        <f>IF((0=1),SUMIFS('Daily evaluations'!$H$2:$H$36,'Daily evaluations'!$B$2:$B$36,"=random_15",'Daily evaluations'!$C$2:$C$36,"=d20270128"),"")</f>
      </c>
      <c r="CN136" s="12">
        <f>IF((0=1),SUMIFS('Daily evaluations'!$H$2:$H$36,'Daily evaluations'!$B$2:$B$36,"=random_15",'Daily evaluations'!$C$2:$C$36,"=d20270129"),"")</f>
      </c>
      <c r="CO136" s="12">
        <f>IF((0=1),SUMIFS('Daily evaluations'!$H$2:$H$36,'Daily evaluations'!$B$2:$B$36,"=random_15",'Daily evaluations'!$C$2:$C$36,"=d20270201"),"")</f>
      </c>
      <c r="CP136" s="12">
        <f>IF((0=1),SUMIFS('Daily evaluations'!$H$2:$H$36,'Daily evaluations'!$B$2:$B$36,"=random_15",'Daily evaluations'!$C$2:$C$36,"=d20270202"),"")</f>
      </c>
      <c r="CQ136" s="12">
        <f>IF((0=1),SUMIFS('Daily evaluations'!$H$2:$H$36,'Daily evaluations'!$B$2:$B$36,"=random_15",'Daily evaluations'!$C$2:$C$36,"=d20270203"),"")</f>
      </c>
      <c r="CR136" s="12">
        <f>IF((0=1),SUMIFS('Daily evaluations'!$H$2:$H$36,'Daily evaluations'!$B$2:$B$36,"=random_15",'Daily evaluations'!$C$2:$C$36,"=d20270204"),"")</f>
      </c>
      <c r="CS136" s="12">
        <f>IF((0=1),SUMIFS('Daily evaluations'!$H$2:$H$36,'Daily evaluations'!$B$2:$B$36,"=random_15",'Daily evaluations'!$C$2:$C$36,"=d20270205"),"")</f>
      </c>
      <c r="CT136" s="12">
        <f>IF((0=1),SUMIFS('Daily evaluations'!$H$2:$H$36,'Daily evaluations'!$B$2:$B$36,"=random_15",'Daily evaluations'!$C$2:$C$36,"=d20270208"),"")</f>
      </c>
      <c r="CU136" s="12">
        <f>IF((0=1),SUMIFS('Daily evaluations'!$H$2:$H$36,'Daily evaluations'!$B$2:$B$36,"=random_15",'Daily evaluations'!$C$2:$C$36,"=d20270209"),"")</f>
      </c>
      <c r="CV136" s="12">
        <f>IF((0=1),SUMIFS('Daily evaluations'!$H$2:$H$36,'Daily evaluations'!$B$2:$B$36,"=random_15",'Daily evaluations'!$C$2:$C$36,"=d20270210"),"")</f>
      </c>
      <c r="CW136" s="12">
        <f>IF((0=1),SUMIFS('Daily evaluations'!$H$2:$H$36,'Daily evaluations'!$B$2:$B$36,"=random_15",'Daily evaluations'!$C$2:$C$36,"=d20270211"),"")</f>
      </c>
      <c r="CX136" s="12">
        <f>IF((0=1),SUMIFS('Daily evaluations'!$H$2:$H$36,'Daily evaluations'!$B$2:$B$36,"=random_15",'Daily evaluations'!$C$2:$C$36,"=d20270212"),"")</f>
      </c>
    </row>
    <row r="137">
      <c r="A137" s="0" t="inlineStr">
        <is>
          <t xml:space="preserve">Hit rate vs universe median</t>
        </is>
      </c>
      <c r="B137" s="0" t="inlineStr">
        <is>
          <t xml:space="preserve">Random 16</t>
        </is>
      </c>
      <c r="C137" s="12">
        <f>IF((1=1),SUMIFS('Daily evaluations'!$H$2:$H$36,'Daily evaluations'!$B$2:$B$36,"=random_16",'Daily evaluations'!$C$2:$C$36,"=d20260922"),"")</f>
        <v>0.52</v>
      </c>
      <c r="D137" s="12">
        <f>IF((0=1),SUMIFS('Daily evaluations'!$H$2:$H$36,'Daily evaluations'!$B$2:$B$36,"=random_16",'Daily evaluations'!$C$2:$C$36,"=d20260923"),"")</f>
      </c>
      <c r="E137" s="12">
        <f>IF((0=1),SUMIFS('Daily evaluations'!$H$2:$H$36,'Daily evaluations'!$B$2:$B$36,"=random_16",'Daily evaluations'!$C$2:$C$36,"=d20260924"),"")</f>
      </c>
      <c r="F137" s="12">
        <f>IF((0=1),SUMIFS('Daily evaluations'!$H$2:$H$36,'Daily evaluations'!$B$2:$B$36,"=random_16",'Daily evaluations'!$C$2:$C$36,"=d20260925"),"")</f>
      </c>
      <c r="G137" s="12">
        <f>IF((0=1),SUMIFS('Daily evaluations'!$H$2:$H$36,'Daily evaluations'!$B$2:$B$36,"=random_16",'Daily evaluations'!$C$2:$C$36,"=d20260928"),"")</f>
      </c>
      <c r="H137" s="12">
        <f>IF((0=1),SUMIFS('Daily evaluations'!$H$2:$H$36,'Daily evaluations'!$B$2:$B$36,"=random_16",'Daily evaluations'!$C$2:$C$36,"=d20260929"),"")</f>
      </c>
      <c r="I137" s="12">
        <f>IF((0=1),SUMIFS('Daily evaluations'!$H$2:$H$36,'Daily evaluations'!$B$2:$B$36,"=random_16",'Daily evaluations'!$C$2:$C$36,"=d20260930"),"")</f>
      </c>
      <c r="J137" s="12">
        <f>IF((0=1),SUMIFS('Daily evaluations'!$H$2:$H$36,'Daily evaluations'!$B$2:$B$36,"=random_16",'Daily evaluations'!$C$2:$C$36,"=d20261001"),"")</f>
      </c>
      <c r="K137" s="12">
        <f>IF((0=1),SUMIFS('Daily evaluations'!$H$2:$H$36,'Daily evaluations'!$B$2:$B$36,"=random_16",'Daily evaluations'!$C$2:$C$36,"=d20261002"),"")</f>
      </c>
      <c r="L137" s="12">
        <f>IF((0=1),SUMIFS('Daily evaluations'!$H$2:$H$36,'Daily evaluations'!$B$2:$B$36,"=random_16",'Daily evaluations'!$C$2:$C$36,"=d20261005"),"")</f>
      </c>
      <c r="M137" s="12">
        <f>IF((0=1),SUMIFS('Daily evaluations'!$H$2:$H$36,'Daily evaluations'!$B$2:$B$36,"=random_16",'Daily evaluations'!$C$2:$C$36,"=d20261006"),"")</f>
      </c>
      <c r="N137" s="12">
        <f>IF((0=1),SUMIFS('Daily evaluations'!$H$2:$H$36,'Daily evaluations'!$B$2:$B$36,"=random_16",'Daily evaluations'!$C$2:$C$36,"=d20261007"),"")</f>
      </c>
      <c r="O137" s="12">
        <f>IF((0=1),SUMIFS('Daily evaluations'!$H$2:$H$36,'Daily evaluations'!$B$2:$B$36,"=random_16",'Daily evaluations'!$C$2:$C$36,"=d20261008"),"")</f>
      </c>
      <c r="P137" s="12">
        <f>IF((0=1),SUMIFS('Daily evaluations'!$H$2:$H$36,'Daily evaluations'!$B$2:$B$36,"=random_16",'Daily evaluations'!$C$2:$C$36,"=d20261009"),"")</f>
      </c>
      <c r="Q137" s="12">
        <f>IF((0=1),SUMIFS('Daily evaluations'!$H$2:$H$36,'Daily evaluations'!$B$2:$B$36,"=random_16",'Daily evaluations'!$C$2:$C$36,"=d20261012"),"")</f>
      </c>
      <c r="R137" s="12">
        <f>IF((0=1),SUMIFS('Daily evaluations'!$H$2:$H$36,'Daily evaluations'!$B$2:$B$36,"=random_16",'Daily evaluations'!$C$2:$C$36,"=d20261013"),"")</f>
      </c>
      <c r="S137" s="12">
        <f>IF((0=1),SUMIFS('Daily evaluations'!$H$2:$H$36,'Daily evaluations'!$B$2:$B$36,"=random_16",'Daily evaluations'!$C$2:$C$36,"=d20261014"),"")</f>
      </c>
      <c r="T137" s="12">
        <f>IF((0=1),SUMIFS('Daily evaluations'!$H$2:$H$36,'Daily evaluations'!$B$2:$B$36,"=random_16",'Daily evaluations'!$C$2:$C$36,"=d20261015"),"")</f>
      </c>
      <c r="U137" s="12">
        <f>IF((0=1),SUMIFS('Daily evaluations'!$H$2:$H$36,'Daily evaluations'!$B$2:$B$36,"=random_16",'Daily evaluations'!$C$2:$C$36,"=d20261016"),"")</f>
      </c>
      <c r="V137" s="12">
        <f>IF((0=1),SUMIFS('Daily evaluations'!$H$2:$H$36,'Daily evaluations'!$B$2:$B$36,"=random_16",'Daily evaluations'!$C$2:$C$36,"=d20261019"),"")</f>
      </c>
      <c r="W137" s="12">
        <f>IF((0=1),SUMIFS('Daily evaluations'!$H$2:$H$36,'Daily evaluations'!$B$2:$B$36,"=random_16",'Daily evaluations'!$C$2:$C$36,"=d20261020"),"")</f>
      </c>
      <c r="X137" s="12">
        <f>IF((0=1),SUMIFS('Daily evaluations'!$H$2:$H$36,'Daily evaluations'!$B$2:$B$36,"=random_16",'Daily evaluations'!$C$2:$C$36,"=d20261021"),"")</f>
      </c>
      <c r="Y137" s="12">
        <f>IF((0=1),SUMIFS('Daily evaluations'!$H$2:$H$36,'Daily evaluations'!$B$2:$B$36,"=random_16",'Daily evaluations'!$C$2:$C$36,"=d20261022"),"")</f>
      </c>
      <c r="Z137" s="12">
        <f>IF((0=1),SUMIFS('Daily evaluations'!$H$2:$H$36,'Daily evaluations'!$B$2:$B$36,"=random_16",'Daily evaluations'!$C$2:$C$36,"=d20261023"),"")</f>
      </c>
      <c r="AA137" s="12">
        <f>IF((0=1),SUMIFS('Daily evaluations'!$H$2:$H$36,'Daily evaluations'!$B$2:$B$36,"=random_16",'Daily evaluations'!$C$2:$C$36,"=d20261026"),"")</f>
      </c>
      <c r="AB137" s="12">
        <f>IF((0=1),SUMIFS('Daily evaluations'!$H$2:$H$36,'Daily evaluations'!$B$2:$B$36,"=random_16",'Daily evaluations'!$C$2:$C$36,"=d20261027"),"")</f>
      </c>
      <c r="AC137" s="12">
        <f>IF((0=1),SUMIFS('Daily evaluations'!$H$2:$H$36,'Daily evaluations'!$B$2:$B$36,"=random_16",'Daily evaluations'!$C$2:$C$36,"=d20261028"),"")</f>
      </c>
      <c r="AD137" s="12">
        <f>IF((0=1),SUMIFS('Daily evaluations'!$H$2:$H$36,'Daily evaluations'!$B$2:$B$36,"=random_16",'Daily evaluations'!$C$2:$C$36,"=d20261029"),"")</f>
      </c>
      <c r="AE137" s="12">
        <f>IF((0=1),SUMIFS('Daily evaluations'!$H$2:$H$36,'Daily evaluations'!$B$2:$B$36,"=random_16",'Daily evaluations'!$C$2:$C$36,"=d20261030"),"")</f>
      </c>
      <c r="AF137" s="12">
        <f>IF((0=1),SUMIFS('Daily evaluations'!$H$2:$H$36,'Daily evaluations'!$B$2:$B$36,"=random_16",'Daily evaluations'!$C$2:$C$36,"=d20261102"),"")</f>
      </c>
      <c r="AG137" s="12">
        <f>IF((0=1),SUMIFS('Daily evaluations'!$H$2:$H$36,'Daily evaluations'!$B$2:$B$36,"=random_16",'Daily evaluations'!$C$2:$C$36,"=d20261103"),"")</f>
      </c>
      <c r="AH137" s="12">
        <f>IF((0=1),SUMIFS('Daily evaluations'!$H$2:$H$36,'Daily evaluations'!$B$2:$B$36,"=random_16",'Daily evaluations'!$C$2:$C$36,"=d20261104"),"")</f>
      </c>
      <c r="AI137" s="12">
        <f>IF((0=1),SUMIFS('Daily evaluations'!$H$2:$H$36,'Daily evaluations'!$B$2:$B$36,"=random_16",'Daily evaluations'!$C$2:$C$36,"=d20261105"),"")</f>
      </c>
      <c r="AJ137" s="12">
        <f>IF((0=1),SUMIFS('Daily evaluations'!$H$2:$H$36,'Daily evaluations'!$B$2:$B$36,"=random_16",'Daily evaluations'!$C$2:$C$36,"=d20261106"),"")</f>
      </c>
      <c r="AK137" s="12">
        <f>IF((0=1),SUMIFS('Daily evaluations'!$H$2:$H$36,'Daily evaluations'!$B$2:$B$36,"=random_16",'Daily evaluations'!$C$2:$C$36,"=d20261109"),"")</f>
      </c>
      <c r="AL137" s="12">
        <f>IF((0=1),SUMIFS('Daily evaluations'!$H$2:$H$36,'Daily evaluations'!$B$2:$B$36,"=random_16",'Daily evaluations'!$C$2:$C$36,"=d20261110"),"")</f>
      </c>
      <c r="AM137" s="12">
        <f>IF((0=1),SUMIFS('Daily evaluations'!$H$2:$H$36,'Daily evaluations'!$B$2:$B$36,"=random_16",'Daily evaluations'!$C$2:$C$36,"=d20261111"),"")</f>
      </c>
      <c r="AN137" s="12">
        <f>IF((0=1),SUMIFS('Daily evaluations'!$H$2:$H$36,'Daily evaluations'!$B$2:$B$36,"=random_16",'Daily evaluations'!$C$2:$C$36,"=d20261112"),"")</f>
      </c>
      <c r="AO137" s="12">
        <f>IF((0=1),SUMIFS('Daily evaluations'!$H$2:$H$36,'Daily evaluations'!$B$2:$B$36,"=random_16",'Daily evaluations'!$C$2:$C$36,"=d20261113"),"")</f>
      </c>
      <c r="AP137" s="12">
        <f>IF((0=1),SUMIFS('Daily evaluations'!$H$2:$H$36,'Daily evaluations'!$B$2:$B$36,"=random_16",'Daily evaluations'!$C$2:$C$36,"=d20261116"),"")</f>
      </c>
      <c r="AQ137" s="12">
        <f>IF((0=1),SUMIFS('Daily evaluations'!$H$2:$H$36,'Daily evaluations'!$B$2:$B$36,"=random_16",'Daily evaluations'!$C$2:$C$36,"=d20261117"),"")</f>
      </c>
      <c r="AR137" s="12">
        <f>IF((0=1),SUMIFS('Daily evaluations'!$H$2:$H$36,'Daily evaluations'!$B$2:$B$36,"=random_16",'Daily evaluations'!$C$2:$C$36,"=d20261118"),"")</f>
      </c>
      <c r="AS137" s="12">
        <f>IF((0=1),SUMIFS('Daily evaluations'!$H$2:$H$36,'Daily evaluations'!$B$2:$B$36,"=random_16",'Daily evaluations'!$C$2:$C$36,"=d20261119"),"")</f>
      </c>
      <c r="AT137" s="12">
        <f>IF((0=1),SUMIFS('Daily evaluations'!$H$2:$H$36,'Daily evaluations'!$B$2:$B$36,"=random_16",'Daily evaluations'!$C$2:$C$36,"=d20261120"),"")</f>
      </c>
      <c r="AU137" s="12">
        <f>IF((0=1),SUMIFS('Daily evaluations'!$H$2:$H$36,'Daily evaluations'!$B$2:$B$36,"=random_16",'Daily evaluations'!$C$2:$C$36,"=d20261123"),"")</f>
      </c>
      <c r="AV137" s="12">
        <f>IF((0=1),SUMIFS('Daily evaluations'!$H$2:$H$36,'Daily evaluations'!$B$2:$B$36,"=random_16",'Daily evaluations'!$C$2:$C$36,"=d20261124"),"")</f>
      </c>
      <c r="AW137" s="12">
        <f>IF((0=1),SUMIFS('Daily evaluations'!$H$2:$H$36,'Daily evaluations'!$B$2:$B$36,"=random_16",'Daily evaluations'!$C$2:$C$36,"=d20261125"),"")</f>
      </c>
      <c r="AX137" s="12">
        <f>IF((0=1),SUMIFS('Daily evaluations'!$H$2:$H$36,'Daily evaluations'!$B$2:$B$36,"=random_16",'Daily evaluations'!$C$2:$C$36,"=d20261127"),"")</f>
      </c>
      <c r="AY137" s="12">
        <f>IF((0=1),SUMIFS('Daily evaluations'!$H$2:$H$36,'Daily evaluations'!$B$2:$B$36,"=random_16",'Daily evaluations'!$C$2:$C$36,"=d20261130"),"")</f>
      </c>
      <c r="AZ137" s="12">
        <f>IF((0=1),SUMIFS('Daily evaluations'!$H$2:$H$36,'Daily evaluations'!$B$2:$B$36,"=random_16",'Daily evaluations'!$C$2:$C$36,"=d20261201"),"")</f>
      </c>
      <c r="BA137" s="12">
        <f>IF((0=1),SUMIFS('Daily evaluations'!$H$2:$H$36,'Daily evaluations'!$B$2:$B$36,"=random_16",'Daily evaluations'!$C$2:$C$36,"=d20261202"),"")</f>
      </c>
      <c r="BB137" s="12">
        <f>IF((0=1),SUMIFS('Daily evaluations'!$H$2:$H$36,'Daily evaluations'!$B$2:$B$36,"=random_16",'Daily evaluations'!$C$2:$C$36,"=d20261203"),"")</f>
      </c>
      <c r="BC137" s="12">
        <f>IF((0=1),SUMIFS('Daily evaluations'!$H$2:$H$36,'Daily evaluations'!$B$2:$B$36,"=random_16",'Daily evaluations'!$C$2:$C$36,"=d20261204"),"")</f>
      </c>
      <c r="BD137" s="12">
        <f>IF((0=1),SUMIFS('Daily evaluations'!$H$2:$H$36,'Daily evaluations'!$B$2:$B$36,"=random_16",'Daily evaluations'!$C$2:$C$36,"=d20261207"),"")</f>
      </c>
      <c r="BE137" s="12">
        <f>IF((0=1),SUMIFS('Daily evaluations'!$H$2:$H$36,'Daily evaluations'!$B$2:$B$36,"=random_16",'Daily evaluations'!$C$2:$C$36,"=d20261208"),"")</f>
      </c>
      <c r="BF137" s="12">
        <f>IF((0=1),SUMIFS('Daily evaluations'!$H$2:$H$36,'Daily evaluations'!$B$2:$B$36,"=random_16",'Daily evaluations'!$C$2:$C$36,"=d20261209"),"")</f>
      </c>
      <c r="BG137" s="12">
        <f>IF((0=1),SUMIFS('Daily evaluations'!$H$2:$H$36,'Daily evaluations'!$B$2:$B$36,"=random_16",'Daily evaluations'!$C$2:$C$36,"=d20261210"),"")</f>
      </c>
      <c r="BH137" s="12">
        <f>IF((0=1),SUMIFS('Daily evaluations'!$H$2:$H$36,'Daily evaluations'!$B$2:$B$36,"=random_16",'Daily evaluations'!$C$2:$C$36,"=d20261211"),"")</f>
      </c>
      <c r="BI137" s="12">
        <f>IF((0=1),SUMIFS('Daily evaluations'!$H$2:$H$36,'Daily evaluations'!$B$2:$B$36,"=random_16",'Daily evaluations'!$C$2:$C$36,"=d20261214"),"")</f>
      </c>
      <c r="BJ137" s="12">
        <f>IF((0=1),SUMIFS('Daily evaluations'!$H$2:$H$36,'Daily evaluations'!$B$2:$B$36,"=random_16",'Daily evaluations'!$C$2:$C$36,"=d20261215"),"")</f>
      </c>
      <c r="BK137" s="12">
        <f>IF((0=1),SUMIFS('Daily evaluations'!$H$2:$H$36,'Daily evaluations'!$B$2:$B$36,"=random_16",'Daily evaluations'!$C$2:$C$36,"=d20261216"),"")</f>
      </c>
      <c r="BL137" s="12">
        <f>IF((0=1),SUMIFS('Daily evaluations'!$H$2:$H$36,'Daily evaluations'!$B$2:$B$36,"=random_16",'Daily evaluations'!$C$2:$C$36,"=d20261217"),"")</f>
      </c>
      <c r="BM137" s="12">
        <f>IF((0=1),SUMIFS('Daily evaluations'!$H$2:$H$36,'Daily evaluations'!$B$2:$B$36,"=random_16",'Daily evaluations'!$C$2:$C$36,"=d20261218"),"")</f>
      </c>
      <c r="BN137" s="12">
        <f>IF((0=1),SUMIFS('Daily evaluations'!$H$2:$H$36,'Daily evaluations'!$B$2:$B$36,"=random_16",'Daily evaluations'!$C$2:$C$36,"=d20261221"),"")</f>
      </c>
      <c r="BO137" s="12">
        <f>IF((0=1),SUMIFS('Daily evaluations'!$H$2:$H$36,'Daily evaluations'!$B$2:$B$36,"=random_16",'Daily evaluations'!$C$2:$C$36,"=d20261222"),"")</f>
      </c>
      <c r="BP137" s="12">
        <f>IF((0=1),SUMIFS('Daily evaluations'!$H$2:$H$36,'Daily evaluations'!$B$2:$B$36,"=random_16",'Daily evaluations'!$C$2:$C$36,"=d20261223"),"")</f>
      </c>
      <c r="BQ137" s="12">
        <f>IF((0=1),SUMIFS('Daily evaluations'!$H$2:$H$36,'Daily evaluations'!$B$2:$B$36,"=random_16",'Daily evaluations'!$C$2:$C$36,"=d20261224"),"")</f>
      </c>
      <c r="BR137" s="12">
        <f>IF((0=1),SUMIFS('Daily evaluations'!$H$2:$H$36,'Daily evaluations'!$B$2:$B$36,"=random_16",'Daily evaluations'!$C$2:$C$36,"=d20261228"),"")</f>
      </c>
      <c r="BS137" s="12">
        <f>IF((0=1),SUMIFS('Daily evaluations'!$H$2:$H$36,'Daily evaluations'!$B$2:$B$36,"=random_16",'Daily evaluations'!$C$2:$C$36,"=d20261229"),"")</f>
      </c>
      <c r="BT137" s="12">
        <f>IF((0=1),SUMIFS('Daily evaluations'!$H$2:$H$36,'Daily evaluations'!$B$2:$B$36,"=random_16",'Daily evaluations'!$C$2:$C$36,"=d20261230"),"")</f>
      </c>
      <c r="BU137" s="12">
        <f>IF((0=1),SUMIFS('Daily evaluations'!$H$2:$H$36,'Daily evaluations'!$B$2:$B$36,"=random_16",'Daily evaluations'!$C$2:$C$36,"=d20261231"),"")</f>
      </c>
      <c r="BV137" s="12">
        <f>IF((0=1),SUMIFS('Daily evaluations'!$H$2:$H$36,'Daily evaluations'!$B$2:$B$36,"=random_16",'Daily evaluations'!$C$2:$C$36,"=d20270104"),"")</f>
      </c>
      <c r="BW137" s="12">
        <f>IF((0=1),SUMIFS('Daily evaluations'!$H$2:$H$36,'Daily evaluations'!$B$2:$B$36,"=random_16",'Daily evaluations'!$C$2:$C$36,"=d20270105"),"")</f>
      </c>
      <c r="BX137" s="12">
        <f>IF((0=1),SUMIFS('Daily evaluations'!$H$2:$H$36,'Daily evaluations'!$B$2:$B$36,"=random_16",'Daily evaluations'!$C$2:$C$36,"=d20270106"),"")</f>
      </c>
      <c r="BY137" s="12">
        <f>IF((0=1),SUMIFS('Daily evaluations'!$H$2:$H$36,'Daily evaluations'!$B$2:$B$36,"=random_16",'Daily evaluations'!$C$2:$C$36,"=d20270107"),"")</f>
      </c>
      <c r="BZ137" s="12">
        <f>IF((0=1),SUMIFS('Daily evaluations'!$H$2:$H$36,'Daily evaluations'!$B$2:$B$36,"=random_16",'Daily evaluations'!$C$2:$C$36,"=d20270108"),"")</f>
      </c>
      <c r="CA137" s="12">
        <f>IF((0=1),SUMIFS('Daily evaluations'!$H$2:$H$36,'Daily evaluations'!$B$2:$B$36,"=random_16",'Daily evaluations'!$C$2:$C$36,"=d20270111"),"")</f>
      </c>
      <c r="CB137" s="12">
        <f>IF((0=1),SUMIFS('Daily evaluations'!$H$2:$H$36,'Daily evaluations'!$B$2:$B$36,"=random_16",'Daily evaluations'!$C$2:$C$36,"=d20270112"),"")</f>
      </c>
      <c r="CC137" s="12">
        <f>IF((0=1),SUMIFS('Daily evaluations'!$H$2:$H$36,'Daily evaluations'!$B$2:$B$36,"=random_16",'Daily evaluations'!$C$2:$C$36,"=d20270113"),"")</f>
      </c>
      <c r="CD137" s="12">
        <f>IF((0=1),SUMIFS('Daily evaluations'!$H$2:$H$36,'Daily evaluations'!$B$2:$B$36,"=random_16",'Daily evaluations'!$C$2:$C$36,"=d20270114"),"")</f>
      </c>
      <c r="CE137" s="12">
        <f>IF((0=1),SUMIFS('Daily evaluations'!$H$2:$H$36,'Daily evaluations'!$B$2:$B$36,"=random_16",'Daily evaluations'!$C$2:$C$36,"=d20270115"),"")</f>
      </c>
      <c r="CF137" s="12">
        <f>IF((0=1),SUMIFS('Daily evaluations'!$H$2:$H$36,'Daily evaluations'!$B$2:$B$36,"=random_16",'Daily evaluations'!$C$2:$C$36,"=d20270119"),"")</f>
      </c>
      <c r="CG137" s="12">
        <f>IF((0=1),SUMIFS('Daily evaluations'!$H$2:$H$36,'Daily evaluations'!$B$2:$B$36,"=random_16",'Daily evaluations'!$C$2:$C$36,"=d20270120"),"")</f>
      </c>
      <c r="CH137" s="12">
        <f>IF((0=1),SUMIFS('Daily evaluations'!$H$2:$H$36,'Daily evaluations'!$B$2:$B$36,"=random_16",'Daily evaluations'!$C$2:$C$36,"=d20270121"),"")</f>
      </c>
      <c r="CI137" s="12">
        <f>IF((0=1),SUMIFS('Daily evaluations'!$H$2:$H$36,'Daily evaluations'!$B$2:$B$36,"=random_16",'Daily evaluations'!$C$2:$C$36,"=d20270122"),"")</f>
      </c>
      <c r="CJ137" s="12">
        <f>IF((0=1),SUMIFS('Daily evaluations'!$H$2:$H$36,'Daily evaluations'!$B$2:$B$36,"=random_16",'Daily evaluations'!$C$2:$C$36,"=d20270125"),"")</f>
      </c>
      <c r="CK137" s="12">
        <f>IF((0=1),SUMIFS('Daily evaluations'!$H$2:$H$36,'Daily evaluations'!$B$2:$B$36,"=random_16",'Daily evaluations'!$C$2:$C$36,"=d20270126"),"")</f>
      </c>
      <c r="CL137" s="12">
        <f>IF((0=1),SUMIFS('Daily evaluations'!$H$2:$H$36,'Daily evaluations'!$B$2:$B$36,"=random_16",'Daily evaluations'!$C$2:$C$36,"=d20270127"),"")</f>
      </c>
      <c r="CM137" s="12">
        <f>IF((0=1),SUMIFS('Daily evaluations'!$H$2:$H$36,'Daily evaluations'!$B$2:$B$36,"=random_16",'Daily evaluations'!$C$2:$C$36,"=d20270128"),"")</f>
      </c>
      <c r="CN137" s="12">
        <f>IF((0=1),SUMIFS('Daily evaluations'!$H$2:$H$36,'Daily evaluations'!$B$2:$B$36,"=random_16",'Daily evaluations'!$C$2:$C$36,"=d20270129"),"")</f>
      </c>
      <c r="CO137" s="12">
        <f>IF((0=1),SUMIFS('Daily evaluations'!$H$2:$H$36,'Daily evaluations'!$B$2:$B$36,"=random_16",'Daily evaluations'!$C$2:$C$36,"=d20270201"),"")</f>
      </c>
      <c r="CP137" s="12">
        <f>IF((0=1),SUMIFS('Daily evaluations'!$H$2:$H$36,'Daily evaluations'!$B$2:$B$36,"=random_16",'Daily evaluations'!$C$2:$C$36,"=d20270202"),"")</f>
      </c>
      <c r="CQ137" s="12">
        <f>IF((0=1),SUMIFS('Daily evaluations'!$H$2:$H$36,'Daily evaluations'!$B$2:$B$36,"=random_16",'Daily evaluations'!$C$2:$C$36,"=d20270203"),"")</f>
      </c>
      <c r="CR137" s="12">
        <f>IF((0=1),SUMIFS('Daily evaluations'!$H$2:$H$36,'Daily evaluations'!$B$2:$B$36,"=random_16",'Daily evaluations'!$C$2:$C$36,"=d20270204"),"")</f>
      </c>
      <c r="CS137" s="12">
        <f>IF((0=1),SUMIFS('Daily evaluations'!$H$2:$H$36,'Daily evaluations'!$B$2:$B$36,"=random_16",'Daily evaluations'!$C$2:$C$36,"=d20270205"),"")</f>
      </c>
      <c r="CT137" s="12">
        <f>IF((0=1),SUMIFS('Daily evaluations'!$H$2:$H$36,'Daily evaluations'!$B$2:$B$36,"=random_16",'Daily evaluations'!$C$2:$C$36,"=d20270208"),"")</f>
      </c>
      <c r="CU137" s="12">
        <f>IF((0=1),SUMIFS('Daily evaluations'!$H$2:$H$36,'Daily evaluations'!$B$2:$B$36,"=random_16",'Daily evaluations'!$C$2:$C$36,"=d20270209"),"")</f>
      </c>
      <c r="CV137" s="12">
        <f>IF((0=1),SUMIFS('Daily evaluations'!$H$2:$H$36,'Daily evaluations'!$B$2:$B$36,"=random_16",'Daily evaluations'!$C$2:$C$36,"=d20270210"),"")</f>
      </c>
      <c r="CW137" s="12">
        <f>IF((0=1),SUMIFS('Daily evaluations'!$H$2:$H$36,'Daily evaluations'!$B$2:$B$36,"=random_16",'Daily evaluations'!$C$2:$C$36,"=d20270211"),"")</f>
      </c>
      <c r="CX137" s="12">
        <f>IF((0=1),SUMIFS('Daily evaluations'!$H$2:$H$36,'Daily evaluations'!$B$2:$B$36,"=random_16",'Daily evaluations'!$C$2:$C$36,"=d20270212"),"")</f>
      </c>
    </row>
    <row r="138">
      <c r="A138" s="0" t="inlineStr">
        <is>
          <t xml:space="preserve">Hit rate vs universe median</t>
        </is>
      </c>
      <c r="B138" s="0" t="inlineStr">
        <is>
          <t xml:space="preserve">Random 17</t>
        </is>
      </c>
      <c r="C138" s="12">
        <f>IF((1=1),SUMIFS('Daily evaluations'!$H$2:$H$36,'Daily evaluations'!$B$2:$B$36,"=random_17",'Daily evaluations'!$C$2:$C$36,"=d20260922"),"")</f>
        <v>0.45</v>
      </c>
      <c r="D138" s="12">
        <f>IF((0=1),SUMIFS('Daily evaluations'!$H$2:$H$36,'Daily evaluations'!$B$2:$B$36,"=random_17",'Daily evaluations'!$C$2:$C$36,"=d20260923"),"")</f>
      </c>
      <c r="E138" s="12">
        <f>IF((0=1),SUMIFS('Daily evaluations'!$H$2:$H$36,'Daily evaluations'!$B$2:$B$36,"=random_17",'Daily evaluations'!$C$2:$C$36,"=d20260924"),"")</f>
      </c>
      <c r="F138" s="12">
        <f>IF((0=1),SUMIFS('Daily evaluations'!$H$2:$H$36,'Daily evaluations'!$B$2:$B$36,"=random_17",'Daily evaluations'!$C$2:$C$36,"=d20260925"),"")</f>
      </c>
      <c r="G138" s="12">
        <f>IF((0=1),SUMIFS('Daily evaluations'!$H$2:$H$36,'Daily evaluations'!$B$2:$B$36,"=random_17",'Daily evaluations'!$C$2:$C$36,"=d20260928"),"")</f>
      </c>
      <c r="H138" s="12">
        <f>IF((0=1),SUMIFS('Daily evaluations'!$H$2:$H$36,'Daily evaluations'!$B$2:$B$36,"=random_17",'Daily evaluations'!$C$2:$C$36,"=d20260929"),"")</f>
      </c>
      <c r="I138" s="12">
        <f>IF((0=1),SUMIFS('Daily evaluations'!$H$2:$H$36,'Daily evaluations'!$B$2:$B$36,"=random_17",'Daily evaluations'!$C$2:$C$36,"=d20260930"),"")</f>
      </c>
      <c r="J138" s="12">
        <f>IF((0=1),SUMIFS('Daily evaluations'!$H$2:$H$36,'Daily evaluations'!$B$2:$B$36,"=random_17",'Daily evaluations'!$C$2:$C$36,"=d20261001"),"")</f>
      </c>
      <c r="K138" s="12">
        <f>IF((0=1),SUMIFS('Daily evaluations'!$H$2:$H$36,'Daily evaluations'!$B$2:$B$36,"=random_17",'Daily evaluations'!$C$2:$C$36,"=d20261002"),"")</f>
      </c>
      <c r="L138" s="12">
        <f>IF((0=1),SUMIFS('Daily evaluations'!$H$2:$H$36,'Daily evaluations'!$B$2:$B$36,"=random_17",'Daily evaluations'!$C$2:$C$36,"=d20261005"),"")</f>
      </c>
      <c r="M138" s="12">
        <f>IF((0=1),SUMIFS('Daily evaluations'!$H$2:$H$36,'Daily evaluations'!$B$2:$B$36,"=random_17",'Daily evaluations'!$C$2:$C$36,"=d20261006"),"")</f>
      </c>
      <c r="N138" s="12">
        <f>IF((0=1),SUMIFS('Daily evaluations'!$H$2:$H$36,'Daily evaluations'!$B$2:$B$36,"=random_17",'Daily evaluations'!$C$2:$C$36,"=d20261007"),"")</f>
      </c>
      <c r="O138" s="12">
        <f>IF((0=1),SUMIFS('Daily evaluations'!$H$2:$H$36,'Daily evaluations'!$B$2:$B$36,"=random_17",'Daily evaluations'!$C$2:$C$36,"=d20261008"),"")</f>
      </c>
      <c r="P138" s="12">
        <f>IF((0=1),SUMIFS('Daily evaluations'!$H$2:$H$36,'Daily evaluations'!$B$2:$B$36,"=random_17",'Daily evaluations'!$C$2:$C$36,"=d20261009"),"")</f>
      </c>
      <c r="Q138" s="12">
        <f>IF((0=1),SUMIFS('Daily evaluations'!$H$2:$H$36,'Daily evaluations'!$B$2:$B$36,"=random_17",'Daily evaluations'!$C$2:$C$36,"=d20261012"),"")</f>
      </c>
      <c r="R138" s="12">
        <f>IF((0=1),SUMIFS('Daily evaluations'!$H$2:$H$36,'Daily evaluations'!$B$2:$B$36,"=random_17",'Daily evaluations'!$C$2:$C$36,"=d20261013"),"")</f>
      </c>
      <c r="S138" s="12">
        <f>IF((0=1),SUMIFS('Daily evaluations'!$H$2:$H$36,'Daily evaluations'!$B$2:$B$36,"=random_17",'Daily evaluations'!$C$2:$C$36,"=d20261014"),"")</f>
      </c>
      <c r="T138" s="12">
        <f>IF((0=1),SUMIFS('Daily evaluations'!$H$2:$H$36,'Daily evaluations'!$B$2:$B$36,"=random_17",'Daily evaluations'!$C$2:$C$36,"=d20261015"),"")</f>
      </c>
      <c r="U138" s="12">
        <f>IF((0=1),SUMIFS('Daily evaluations'!$H$2:$H$36,'Daily evaluations'!$B$2:$B$36,"=random_17",'Daily evaluations'!$C$2:$C$36,"=d20261016"),"")</f>
      </c>
      <c r="V138" s="12">
        <f>IF((0=1),SUMIFS('Daily evaluations'!$H$2:$H$36,'Daily evaluations'!$B$2:$B$36,"=random_17",'Daily evaluations'!$C$2:$C$36,"=d20261019"),"")</f>
      </c>
      <c r="W138" s="12">
        <f>IF((0=1),SUMIFS('Daily evaluations'!$H$2:$H$36,'Daily evaluations'!$B$2:$B$36,"=random_17",'Daily evaluations'!$C$2:$C$36,"=d20261020"),"")</f>
      </c>
      <c r="X138" s="12">
        <f>IF((0=1),SUMIFS('Daily evaluations'!$H$2:$H$36,'Daily evaluations'!$B$2:$B$36,"=random_17",'Daily evaluations'!$C$2:$C$36,"=d20261021"),"")</f>
      </c>
      <c r="Y138" s="12">
        <f>IF((0=1),SUMIFS('Daily evaluations'!$H$2:$H$36,'Daily evaluations'!$B$2:$B$36,"=random_17",'Daily evaluations'!$C$2:$C$36,"=d20261022"),"")</f>
      </c>
      <c r="Z138" s="12">
        <f>IF((0=1),SUMIFS('Daily evaluations'!$H$2:$H$36,'Daily evaluations'!$B$2:$B$36,"=random_17",'Daily evaluations'!$C$2:$C$36,"=d20261023"),"")</f>
      </c>
      <c r="AA138" s="12">
        <f>IF((0=1),SUMIFS('Daily evaluations'!$H$2:$H$36,'Daily evaluations'!$B$2:$B$36,"=random_17",'Daily evaluations'!$C$2:$C$36,"=d20261026"),"")</f>
      </c>
      <c r="AB138" s="12">
        <f>IF((0=1),SUMIFS('Daily evaluations'!$H$2:$H$36,'Daily evaluations'!$B$2:$B$36,"=random_17",'Daily evaluations'!$C$2:$C$36,"=d20261027"),"")</f>
      </c>
      <c r="AC138" s="12">
        <f>IF((0=1),SUMIFS('Daily evaluations'!$H$2:$H$36,'Daily evaluations'!$B$2:$B$36,"=random_17",'Daily evaluations'!$C$2:$C$36,"=d20261028"),"")</f>
      </c>
      <c r="AD138" s="12">
        <f>IF((0=1),SUMIFS('Daily evaluations'!$H$2:$H$36,'Daily evaluations'!$B$2:$B$36,"=random_17",'Daily evaluations'!$C$2:$C$36,"=d20261029"),"")</f>
      </c>
      <c r="AE138" s="12">
        <f>IF((0=1),SUMIFS('Daily evaluations'!$H$2:$H$36,'Daily evaluations'!$B$2:$B$36,"=random_17",'Daily evaluations'!$C$2:$C$36,"=d20261030"),"")</f>
      </c>
      <c r="AF138" s="12">
        <f>IF((0=1),SUMIFS('Daily evaluations'!$H$2:$H$36,'Daily evaluations'!$B$2:$B$36,"=random_17",'Daily evaluations'!$C$2:$C$36,"=d20261102"),"")</f>
      </c>
      <c r="AG138" s="12">
        <f>IF((0=1),SUMIFS('Daily evaluations'!$H$2:$H$36,'Daily evaluations'!$B$2:$B$36,"=random_17",'Daily evaluations'!$C$2:$C$36,"=d20261103"),"")</f>
      </c>
      <c r="AH138" s="12">
        <f>IF((0=1),SUMIFS('Daily evaluations'!$H$2:$H$36,'Daily evaluations'!$B$2:$B$36,"=random_17",'Daily evaluations'!$C$2:$C$36,"=d20261104"),"")</f>
      </c>
      <c r="AI138" s="12">
        <f>IF((0=1),SUMIFS('Daily evaluations'!$H$2:$H$36,'Daily evaluations'!$B$2:$B$36,"=random_17",'Daily evaluations'!$C$2:$C$36,"=d20261105"),"")</f>
      </c>
      <c r="AJ138" s="12">
        <f>IF((0=1),SUMIFS('Daily evaluations'!$H$2:$H$36,'Daily evaluations'!$B$2:$B$36,"=random_17",'Daily evaluations'!$C$2:$C$36,"=d20261106"),"")</f>
      </c>
      <c r="AK138" s="12">
        <f>IF((0=1),SUMIFS('Daily evaluations'!$H$2:$H$36,'Daily evaluations'!$B$2:$B$36,"=random_17",'Daily evaluations'!$C$2:$C$36,"=d20261109"),"")</f>
      </c>
      <c r="AL138" s="12">
        <f>IF((0=1),SUMIFS('Daily evaluations'!$H$2:$H$36,'Daily evaluations'!$B$2:$B$36,"=random_17",'Daily evaluations'!$C$2:$C$36,"=d20261110"),"")</f>
      </c>
      <c r="AM138" s="12">
        <f>IF((0=1),SUMIFS('Daily evaluations'!$H$2:$H$36,'Daily evaluations'!$B$2:$B$36,"=random_17",'Daily evaluations'!$C$2:$C$36,"=d20261111"),"")</f>
      </c>
      <c r="AN138" s="12">
        <f>IF((0=1),SUMIFS('Daily evaluations'!$H$2:$H$36,'Daily evaluations'!$B$2:$B$36,"=random_17",'Daily evaluations'!$C$2:$C$36,"=d20261112"),"")</f>
      </c>
      <c r="AO138" s="12">
        <f>IF((0=1),SUMIFS('Daily evaluations'!$H$2:$H$36,'Daily evaluations'!$B$2:$B$36,"=random_17",'Daily evaluations'!$C$2:$C$36,"=d20261113"),"")</f>
      </c>
      <c r="AP138" s="12">
        <f>IF((0=1),SUMIFS('Daily evaluations'!$H$2:$H$36,'Daily evaluations'!$B$2:$B$36,"=random_17",'Daily evaluations'!$C$2:$C$36,"=d20261116"),"")</f>
      </c>
      <c r="AQ138" s="12">
        <f>IF((0=1),SUMIFS('Daily evaluations'!$H$2:$H$36,'Daily evaluations'!$B$2:$B$36,"=random_17",'Daily evaluations'!$C$2:$C$36,"=d20261117"),"")</f>
      </c>
      <c r="AR138" s="12">
        <f>IF((0=1),SUMIFS('Daily evaluations'!$H$2:$H$36,'Daily evaluations'!$B$2:$B$36,"=random_17",'Daily evaluations'!$C$2:$C$36,"=d20261118"),"")</f>
      </c>
      <c r="AS138" s="12">
        <f>IF((0=1),SUMIFS('Daily evaluations'!$H$2:$H$36,'Daily evaluations'!$B$2:$B$36,"=random_17",'Daily evaluations'!$C$2:$C$36,"=d20261119"),"")</f>
      </c>
      <c r="AT138" s="12">
        <f>IF((0=1),SUMIFS('Daily evaluations'!$H$2:$H$36,'Daily evaluations'!$B$2:$B$36,"=random_17",'Daily evaluations'!$C$2:$C$36,"=d20261120"),"")</f>
      </c>
      <c r="AU138" s="12">
        <f>IF((0=1),SUMIFS('Daily evaluations'!$H$2:$H$36,'Daily evaluations'!$B$2:$B$36,"=random_17",'Daily evaluations'!$C$2:$C$36,"=d20261123"),"")</f>
      </c>
      <c r="AV138" s="12">
        <f>IF((0=1),SUMIFS('Daily evaluations'!$H$2:$H$36,'Daily evaluations'!$B$2:$B$36,"=random_17",'Daily evaluations'!$C$2:$C$36,"=d20261124"),"")</f>
      </c>
      <c r="AW138" s="12">
        <f>IF((0=1),SUMIFS('Daily evaluations'!$H$2:$H$36,'Daily evaluations'!$B$2:$B$36,"=random_17",'Daily evaluations'!$C$2:$C$36,"=d20261125"),"")</f>
      </c>
      <c r="AX138" s="12">
        <f>IF((0=1),SUMIFS('Daily evaluations'!$H$2:$H$36,'Daily evaluations'!$B$2:$B$36,"=random_17",'Daily evaluations'!$C$2:$C$36,"=d20261127"),"")</f>
      </c>
      <c r="AY138" s="12">
        <f>IF((0=1),SUMIFS('Daily evaluations'!$H$2:$H$36,'Daily evaluations'!$B$2:$B$36,"=random_17",'Daily evaluations'!$C$2:$C$36,"=d20261130"),"")</f>
      </c>
      <c r="AZ138" s="12">
        <f>IF((0=1),SUMIFS('Daily evaluations'!$H$2:$H$36,'Daily evaluations'!$B$2:$B$36,"=random_17",'Daily evaluations'!$C$2:$C$36,"=d20261201"),"")</f>
      </c>
      <c r="BA138" s="12">
        <f>IF((0=1),SUMIFS('Daily evaluations'!$H$2:$H$36,'Daily evaluations'!$B$2:$B$36,"=random_17",'Daily evaluations'!$C$2:$C$36,"=d20261202"),"")</f>
      </c>
      <c r="BB138" s="12">
        <f>IF((0=1),SUMIFS('Daily evaluations'!$H$2:$H$36,'Daily evaluations'!$B$2:$B$36,"=random_17",'Daily evaluations'!$C$2:$C$36,"=d20261203"),"")</f>
      </c>
      <c r="BC138" s="12">
        <f>IF((0=1),SUMIFS('Daily evaluations'!$H$2:$H$36,'Daily evaluations'!$B$2:$B$36,"=random_17",'Daily evaluations'!$C$2:$C$36,"=d20261204"),"")</f>
      </c>
      <c r="BD138" s="12">
        <f>IF((0=1),SUMIFS('Daily evaluations'!$H$2:$H$36,'Daily evaluations'!$B$2:$B$36,"=random_17",'Daily evaluations'!$C$2:$C$36,"=d20261207"),"")</f>
      </c>
      <c r="BE138" s="12">
        <f>IF((0=1),SUMIFS('Daily evaluations'!$H$2:$H$36,'Daily evaluations'!$B$2:$B$36,"=random_17",'Daily evaluations'!$C$2:$C$36,"=d20261208"),"")</f>
      </c>
      <c r="BF138" s="12">
        <f>IF((0=1),SUMIFS('Daily evaluations'!$H$2:$H$36,'Daily evaluations'!$B$2:$B$36,"=random_17",'Daily evaluations'!$C$2:$C$36,"=d20261209"),"")</f>
      </c>
      <c r="BG138" s="12">
        <f>IF((0=1),SUMIFS('Daily evaluations'!$H$2:$H$36,'Daily evaluations'!$B$2:$B$36,"=random_17",'Daily evaluations'!$C$2:$C$36,"=d20261210"),"")</f>
      </c>
      <c r="BH138" s="12">
        <f>IF((0=1),SUMIFS('Daily evaluations'!$H$2:$H$36,'Daily evaluations'!$B$2:$B$36,"=random_17",'Daily evaluations'!$C$2:$C$36,"=d20261211"),"")</f>
      </c>
      <c r="BI138" s="12">
        <f>IF((0=1),SUMIFS('Daily evaluations'!$H$2:$H$36,'Daily evaluations'!$B$2:$B$36,"=random_17",'Daily evaluations'!$C$2:$C$36,"=d20261214"),"")</f>
      </c>
      <c r="BJ138" s="12">
        <f>IF((0=1),SUMIFS('Daily evaluations'!$H$2:$H$36,'Daily evaluations'!$B$2:$B$36,"=random_17",'Daily evaluations'!$C$2:$C$36,"=d20261215"),"")</f>
      </c>
      <c r="BK138" s="12">
        <f>IF((0=1),SUMIFS('Daily evaluations'!$H$2:$H$36,'Daily evaluations'!$B$2:$B$36,"=random_17",'Daily evaluations'!$C$2:$C$36,"=d20261216"),"")</f>
      </c>
      <c r="BL138" s="12">
        <f>IF((0=1),SUMIFS('Daily evaluations'!$H$2:$H$36,'Daily evaluations'!$B$2:$B$36,"=random_17",'Daily evaluations'!$C$2:$C$36,"=d20261217"),"")</f>
      </c>
      <c r="BM138" s="12">
        <f>IF((0=1),SUMIFS('Daily evaluations'!$H$2:$H$36,'Daily evaluations'!$B$2:$B$36,"=random_17",'Daily evaluations'!$C$2:$C$36,"=d20261218"),"")</f>
      </c>
      <c r="BN138" s="12">
        <f>IF((0=1),SUMIFS('Daily evaluations'!$H$2:$H$36,'Daily evaluations'!$B$2:$B$36,"=random_17",'Daily evaluations'!$C$2:$C$36,"=d20261221"),"")</f>
      </c>
      <c r="BO138" s="12">
        <f>IF((0=1),SUMIFS('Daily evaluations'!$H$2:$H$36,'Daily evaluations'!$B$2:$B$36,"=random_17",'Daily evaluations'!$C$2:$C$36,"=d20261222"),"")</f>
      </c>
      <c r="BP138" s="12">
        <f>IF((0=1),SUMIFS('Daily evaluations'!$H$2:$H$36,'Daily evaluations'!$B$2:$B$36,"=random_17",'Daily evaluations'!$C$2:$C$36,"=d20261223"),"")</f>
      </c>
      <c r="BQ138" s="12">
        <f>IF((0=1),SUMIFS('Daily evaluations'!$H$2:$H$36,'Daily evaluations'!$B$2:$B$36,"=random_17",'Daily evaluations'!$C$2:$C$36,"=d20261224"),"")</f>
      </c>
      <c r="BR138" s="12">
        <f>IF((0=1),SUMIFS('Daily evaluations'!$H$2:$H$36,'Daily evaluations'!$B$2:$B$36,"=random_17",'Daily evaluations'!$C$2:$C$36,"=d20261228"),"")</f>
      </c>
      <c r="BS138" s="12">
        <f>IF((0=1),SUMIFS('Daily evaluations'!$H$2:$H$36,'Daily evaluations'!$B$2:$B$36,"=random_17",'Daily evaluations'!$C$2:$C$36,"=d20261229"),"")</f>
      </c>
      <c r="BT138" s="12">
        <f>IF((0=1),SUMIFS('Daily evaluations'!$H$2:$H$36,'Daily evaluations'!$B$2:$B$36,"=random_17",'Daily evaluations'!$C$2:$C$36,"=d20261230"),"")</f>
      </c>
      <c r="BU138" s="12">
        <f>IF((0=1),SUMIFS('Daily evaluations'!$H$2:$H$36,'Daily evaluations'!$B$2:$B$36,"=random_17",'Daily evaluations'!$C$2:$C$36,"=d20261231"),"")</f>
      </c>
      <c r="BV138" s="12">
        <f>IF((0=1),SUMIFS('Daily evaluations'!$H$2:$H$36,'Daily evaluations'!$B$2:$B$36,"=random_17",'Daily evaluations'!$C$2:$C$36,"=d20270104"),"")</f>
      </c>
      <c r="BW138" s="12">
        <f>IF((0=1),SUMIFS('Daily evaluations'!$H$2:$H$36,'Daily evaluations'!$B$2:$B$36,"=random_17",'Daily evaluations'!$C$2:$C$36,"=d20270105"),"")</f>
      </c>
      <c r="BX138" s="12">
        <f>IF((0=1),SUMIFS('Daily evaluations'!$H$2:$H$36,'Daily evaluations'!$B$2:$B$36,"=random_17",'Daily evaluations'!$C$2:$C$36,"=d20270106"),"")</f>
      </c>
      <c r="BY138" s="12">
        <f>IF((0=1),SUMIFS('Daily evaluations'!$H$2:$H$36,'Daily evaluations'!$B$2:$B$36,"=random_17",'Daily evaluations'!$C$2:$C$36,"=d20270107"),"")</f>
      </c>
      <c r="BZ138" s="12">
        <f>IF((0=1),SUMIFS('Daily evaluations'!$H$2:$H$36,'Daily evaluations'!$B$2:$B$36,"=random_17",'Daily evaluations'!$C$2:$C$36,"=d20270108"),"")</f>
      </c>
      <c r="CA138" s="12">
        <f>IF((0=1),SUMIFS('Daily evaluations'!$H$2:$H$36,'Daily evaluations'!$B$2:$B$36,"=random_17",'Daily evaluations'!$C$2:$C$36,"=d20270111"),"")</f>
      </c>
      <c r="CB138" s="12">
        <f>IF((0=1),SUMIFS('Daily evaluations'!$H$2:$H$36,'Daily evaluations'!$B$2:$B$36,"=random_17",'Daily evaluations'!$C$2:$C$36,"=d20270112"),"")</f>
      </c>
      <c r="CC138" s="12">
        <f>IF((0=1),SUMIFS('Daily evaluations'!$H$2:$H$36,'Daily evaluations'!$B$2:$B$36,"=random_17",'Daily evaluations'!$C$2:$C$36,"=d20270113"),"")</f>
      </c>
      <c r="CD138" s="12">
        <f>IF((0=1),SUMIFS('Daily evaluations'!$H$2:$H$36,'Daily evaluations'!$B$2:$B$36,"=random_17",'Daily evaluations'!$C$2:$C$36,"=d20270114"),"")</f>
      </c>
      <c r="CE138" s="12">
        <f>IF((0=1),SUMIFS('Daily evaluations'!$H$2:$H$36,'Daily evaluations'!$B$2:$B$36,"=random_17",'Daily evaluations'!$C$2:$C$36,"=d20270115"),"")</f>
      </c>
      <c r="CF138" s="12">
        <f>IF((0=1),SUMIFS('Daily evaluations'!$H$2:$H$36,'Daily evaluations'!$B$2:$B$36,"=random_17",'Daily evaluations'!$C$2:$C$36,"=d20270119"),"")</f>
      </c>
      <c r="CG138" s="12">
        <f>IF((0=1),SUMIFS('Daily evaluations'!$H$2:$H$36,'Daily evaluations'!$B$2:$B$36,"=random_17",'Daily evaluations'!$C$2:$C$36,"=d20270120"),"")</f>
      </c>
      <c r="CH138" s="12">
        <f>IF((0=1),SUMIFS('Daily evaluations'!$H$2:$H$36,'Daily evaluations'!$B$2:$B$36,"=random_17",'Daily evaluations'!$C$2:$C$36,"=d20270121"),"")</f>
      </c>
      <c r="CI138" s="12">
        <f>IF((0=1),SUMIFS('Daily evaluations'!$H$2:$H$36,'Daily evaluations'!$B$2:$B$36,"=random_17",'Daily evaluations'!$C$2:$C$36,"=d20270122"),"")</f>
      </c>
      <c r="CJ138" s="12">
        <f>IF((0=1),SUMIFS('Daily evaluations'!$H$2:$H$36,'Daily evaluations'!$B$2:$B$36,"=random_17",'Daily evaluations'!$C$2:$C$36,"=d20270125"),"")</f>
      </c>
      <c r="CK138" s="12">
        <f>IF((0=1),SUMIFS('Daily evaluations'!$H$2:$H$36,'Daily evaluations'!$B$2:$B$36,"=random_17",'Daily evaluations'!$C$2:$C$36,"=d20270126"),"")</f>
      </c>
      <c r="CL138" s="12">
        <f>IF((0=1),SUMIFS('Daily evaluations'!$H$2:$H$36,'Daily evaluations'!$B$2:$B$36,"=random_17",'Daily evaluations'!$C$2:$C$36,"=d20270127"),"")</f>
      </c>
      <c r="CM138" s="12">
        <f>IF((0=1),SUMIFS('Daily evaluations'!$H$2:$H$36,'Daily evaluations'!$B$2:$B$36,"=random_17",'Daily evaluations'!$C$2:$C$36,"=d20270128"),"")</f>
      </c>
      <c r="CN138" s="12">
        <f>IF((0=1),SUMIFS('Daily evaluations'!$H$2:$H$36,'Daily evaluations'!$B$2:$B$36,"=random_17",'Daily evaluations'!$C$2:$C$36,"=d20270129"),"")</f>
      </c>
      <c r="CO138" s="12">
        <f>IF((0=1),SUMIFS('Daily evaluations'!$H$2:$H$36,'Daily evaluations'!$B$2:$B$36,"=random_17",'Daily evaluations'!$C$2:$C$36,"=d20270201"),"")</f>
      </c>
      <c r="CP138" s="12">
        <f>IF((0=1),SUMIFS('Daily evaluations'!$H$2:$H$36,'Daily evaluations'!$B$2:$B$36,"=random_17",'Daily evaluations'!$C$2:$C$36,"=d20270202"),"")</f>
      </c>
      <c r="CQ138" s="12">
        <f>IF((0=1),SUMIFS('Daily evaluations'!$H$2:$H$36,'Daily evaluations'!$B$2:$B$36,"=random_17",'Daily evaluations'!$C$2:$C$36,"=d20270203"),"")</f>
      </c>
      <c r="CR138" s="12">
        <f>IF((0=1),SUMIFS('Daily evaluations'!$H$2:$H$36,'Daily evaluations'!$B$2:$B$36,"=random_17",'Daily evaluations'!$C$2:$C$36,"=d20270204"),"")</f>
      </c>
      <c r="CS138" s="12">
        <f>IF((0=1),SUMIFS('Daily evaluations'!$H$2:$H$36,'Daily evaluations'!$B$2:$B$36,"=random_17",'Daily evaluations'!$C$2:$C$36,"=d20270205"),"")</f>
      </c>
      <c r="CT138" s="12">
        <f>IF((0=1),SUMIFS('Daily evaluations'!$H$2:$H$36,'Daily evaluations'!$B$2:$B$36,"=random_17",'Daily evaluations'!$C$2:$C$36,"=d20270208"),"")</f>
      </c>
      <c r="CU138" s="12">
        <f>IF((0=1),SUMIFS('Daily evaluations'!$H$2:$H$36,'Daily evaluations'!$B$2:$B$36,"=random_17",'Daily evaluations'!$C$2:$C$36,"=d20270209"),"")</f>
      </c>
      <c r="CV138" s="12">
        <f>IF((0=1),SUMIFS('Daily evaluations'!$H$2:$H$36,'Daily evaluations'!$B$2:$B$36,"=random_17",'Daily evaluations'!$C$2:$C$36,"=d20270210"),"")</f>
      </c>
      <c r="CW138" s="12">
        <f>IF((0=1),SUMIFS('Daily evaluations'!$H$2:$H$36,'Daily evaluations'!$B$2:$B$36,"=random_17",'Daily evaluations'!$C$2:$C$36,"=d20270211"),"")</f>
      </c>
      <c r="CX138" s="12">
        <f>IF((0=1),SUMIFS('Daily evaluations'!$H$2:$H$36,'Daily evaluations'!$B$2:$B$36,"=random_17",'Daily evaluations'!$C$2:$C$36,"=d20270212"),"")</f>
      </c>
    </row>
    <row r="139">
      <c r="A139" s="0" t="inlineStr">
        <is>
          <t xml:space="preserve">Hit rate vs universe median</t>
        </is>
      </c>
      <c r="B139" s="0" t="inlineStr">
        <is>
          <t xml:space="preserve">Random 18</t>
        </is>
      </c>
      <c r="C139" s="12">
        <f>IF((1=1),SUMIFS('Daily evaluations'!$H$2:$H$36,'Daily evaluations'!$B$2:$B$36,"=random_18",'Daily evaluations'!$C$2:$C$36,"=d20260922"),"")</f>
        <v>0.51</v>
      </c>
      <c r="D139" s="12">
        <f>IF((0=1),SUMIFS('Daily evaluations'!$H$2:$H$36,'Daily evaluations'!$B$2:$B$36,"=random_18",'Daily evaluations'!$C$2:$C$36,"=d20260923"),"")</f>
      </c>
      <c r="E139" s="12">
        <f>IF((0=1),SUMIFS('Daily evaluations'!$H$2:$H$36,'Daily evaluations'!$B$2:$B$36,"=random_18",'Daily evaluations'!$C$2:$C$36,"=d20260924"),"")</f>
      </c>
      <c r="F139" s="12">
        <f>IF((0=1),SUMIFS('Daily evaluations'!$H$2:$H$36,'Daily evaluations'!$B$2:$B$36,"=random_18",'Daily evaluations'!$C$2:$C$36,"=d20260925"),"")</f>
      </c>
      <c r="G139" s="12">
        <f>IF((0=1),SUMIFS('Daily evaluations'!$H$2:$H$36,'Daily evaluations'!$B$2:$B$36,"=random_18",'Daily evaluations'!$C$2:$C$36,"=d20260928"),"")</f>
      </c>
      <c r="H139" s="12">
        <f>IF((0=1),SUMIFS('Daily evaluations'!$H$2:$H$36,'Daily evaluations'!$B$2:$B$36,"=random_18",'Daily evaluations'!$C$2:$C$36,"=d20260929"),"")</f>
      </c>
      <c r="I139" s="12">
        <f>IF((0=1),SUMIFS('Daily evaluations'!$H$2:$H$36,'Daily evaluations'!$B$2:$B$36,"=random_18",'Daily evaluations'!$C$2:$C$36,"=d20260930"),"")</f>
      </c>
      <c r="J139" s="12">
        <f>IF((0=1),SUMIFS('Daily evaluations'!$H$2:$H$36,'Daily evaluations'!$B$2:$B$36,"=random_18",'Daily evaluations'!$C$2:$C$36,"=d20261001"),"")</f>
      </c>
      <c r="K139" s="12">
        <f>IF((0=1),SUMIFS('Daily evaluations'!$H$2:$H$36,'Daily evaluations'!$B$2:$B$36,"=random_18",'Daily evaluations'!$C$2:$C$36,"=d20261002"),"")</f>
      </c>
      <c r="L139" s="12">
        <f>IF((0=1),SUMIFS('Daily evaluations'!$H$2:$H$36,'Daily evaluations'!$B$2:$B$36,"=random_18",'Daily evaluations'!$C$2:$C$36,"=d20261005"),"")</f>
      </c>
      <c r="M139" s="12">
        <f>IF((0=1),SUMIFS('Daily evaluations'!$H$2:$H$36,'Daily evaluations'!$B$2:$B$36,"=random_18",'Daily evaluations'!$C$2:$C$36,"=d20261006"),"")</f>
      </c>
      <c r="N139" s="12">
        <f>IF((0=1),SUMIFS('Daily evaluations'!$H$2:$H$36,'Daily evaluations'!$B$2:$B$36,"=random_18",'Daily evaluations'!$C$2:$C$36,"=d20261007"),"")</f>
      </c>
      <c r="O139" s="12">
        <f>IF((0=1),SUMIFS('Daily evaluations'!$H$2:$H$36,'Daily evaluations'!$B$2:$B$36,"=random_18",'Daily evaluations'!$C$2:$C$36,"=d20261008"),"")</f>
      </c>
      <c r="P139" s="12">
        <f>IF((0=1),SUMIFS('Daily evaluations'!$H$2:$H$36,'Daily evaluations'!$B$2:$B$36,"=random_18",'Daily evaluations'!$C$2:$C$36,"=d20261009"),"")</f>
      </c>
      <c r="Q139" s="12">
        <f>IF((0=1),SUMIFS('Daily evaluations'!$H$2:$H$36,'Daily evaluations'!$B$2:$B$36,"=random_18",'Daily evaluations'!$C$2:$C$36,"=d20261012"),"")</f>
      </c>
      <c r="R139" s="12">
        <f>IF((0=1),SUMIFS('Daily evaluations'!$H$2:$H$36,'Daily evaluations'!$B$2:$B$36,"=random_18",'Daily evaluations'!$C$2:$C$36,"=d20261013"),"")</f>
      </c>
      <c r="S139" s="12">
        <f>IF((0=1),SUMIFS('Daily evaluations'!$H$2:$H$36,'Daily evaluations'!$B$2:$B$36,"=random_18",'Daily evaluations'!$C$2:$C$36,"=d20261014"),"")</f>
      </c>
      <c r="T139" s="12">
        <f>IF((0=1),SUMIFS('Daily evaluations'!$H$2:$H$36,'Daily evaluations'!$B$2:$B$36,"=random_18",'Daily evaluations'!$C$2:$C$36,"=d20261015"),"")</f>
      </c>
      <c r="U139" s="12">
        <f>IF((0=1),SUMIFS('Daily evaluations'!$H$2:$H$36,'Daily evaluations'!$B$2:$B$36,"=random_18",'Daily evaluations'!$C$2:$C$36,"=d20261016"),"")</f>
      </c>
      <c r="V139" s="12">
        <f>IF((0=1),SUMIFS('Daily evaluations'!$H$2:$H$36,'Daily evaluations'!$B$2:$B$36,"=random_18",'Daily evaluations'!$C$2:$C$36,"=d20261019"),"")</f>
      </c>
      <c r="W139" s="12">
        <f>IF((0=1),SUMIFS('Daily evaluations'!$H$2:$H$36,'Daily evaluations'!$B$2:$B$36,"=random_18",'Daily evaluations'!$C$2:$C$36,"=d20261020"),"")</f>
      </c>
      <c r="X139" s="12">
        <f>IF((0=1),SUMIFS('Daily evaluations'!$H$2:$H$36,'Daily evaluations'!$B$2:$B$36,"=random_18",'Daily evaluations'!$C$2:$C$36,"=d20261021"),"")</f>
      </c>
      <c r="Y139" s="12">
        <f>IF((0=1),SUMIFS('Daily evaluations'!$H$2:$H$36,'Daily evaluations'!$B$2:$B$36,"=random_18",'Daily evaluations'!$C$2:$C$36,"=d20261022"),"")</f>
      </c>
      <c r="Z139" s="12">
        <f>IF((0=1),SUMIFS('Daily evaluations'!$H$2:$H$36,'Daily evaluations'!$B$2:$B$36,"=random_18",'Daily evaluations'!$C$2:$C$36,"=d20261023"),"")</f>
      </c>
      <c r="AA139" s="12">
        <f>IF((0=1),SUMIFS('Daily evaluations'!$H$2:$H$36,'Daily evaluations'!$B$2:$B$36,"=random_18",'Daily evaluations'!$C$2:$C$36,"=d20261026"),"")</f>
      </c>
      <c r="AB139" s="12">
        <f>IF((0=1),SUMIFS('Daily evaluations'!$H$2:$H$36,'Daily evaluations'!$B$2:$B$36,"=random_18",'Daily evaluations'!$C$2:$C$36,"=d20261027"),"")</f>
      </c>
      <c r="AC139" s="12">
        <f>IF((0=1),SUMIFS('Daily evaluations'!$H$2:$H$36,'Daily evaluations'!$B$2:$B$36,"=random_18",'Daily evaluations'!$C$2:$C$36,"=d20261028"),"")</f>
      </c>
      <c r="AD139" s="12">
        <f>IF((0=1),SUMIFS('Daily evaluations'!$H$2:$H$36,'Daily evaluations'!$B$2:$B$36,"=random_18",'Daily evaluations'!$C$2:$C$36,"=d20261029"),"")</f>
      </c>
      <c r="AE139" s="12">
        <f>IF((0=1),SUMIFS('Daily evaluations'!$H$2:$H$36,'Daily evaluations'!$B$2:$B$36,"=random_18",'Daily evaluations'!$C$2:$C$36,"=d20261030"),"")</f>
      </c>
      <c r="AF139" s="12">
        <f>IF((0=1),SUMIFS('Daily evaluations'!$H$2:$H$36,'Daily evaluations'!$B$2:$B$36,"=random_18",'Daily evaluations'!$C$2:$C$36,"=d20261102"),"")</f>
      </c>
      <c r="AG139" s="12">
        <f>IF((0=1),SUMIFS('Daily evaluations'!$H$2:$H$36,'Daily evaluations'!$B$2:$B$36,"=random_18",'Daily evaluations'!$C$2:$C$36,"=d20261103"),"")</f>
      </c>
      <c r="AH139" s="12">
        <f>IF((0=1),SUMIFS('Daily evaluations'!$H$2:$H$36,'Daily evaluations'!$B$2:$B$36,"=random_18",'Daily evaluations'!$C$2:$C$36,"=d20261104"),"")</f>
      </c>
      <c r="AI139" s="12">
        <f>IF((0=1),SUMIFS('Daily evaluations'!$H$2:$H$36,'Daily evaluations'!$B$2:$B$36,"=random_18",'Daily evaluations'!$C$2:$C$36,"=d20261105"),"")</f>
      </c>
      <c r="AJ139" s="12">
        <f>IF((0=1),SUMIFS('Daily evaluations'!$H$2:$H$36,'Daily evaluations'!$B$2:$B$36,"=random_18",'Daily evaluations'!$C$2:$C$36,"=d20261106"),"")</f>
      </c>
      <c r="AK139" s="12">
        <f>IF((0=1),SUMIFS('Daily evaluations'!$H$2:$H$36,'Daily evaluations'!$B$2:$B$36,"=random_18",'Daily evaluations'!$C$2:$C$36,"=d20261109"),"")</f>
      </c>
      <c r="AL139" s="12">
        <f>IF((0=1),SUMIFS('Daily evaluations'!$H$2:$H$36,'Daily evaluations'!$B$2:$B$36,"=random_18",'Daily evaluations'!$C$2:$C$36,"=d20261110"),"")</f>
      </c>
      <c r="AM139" s="12">
        <f>IF((0=1),SUMIFS('Daily evaluations'!$H$2:$H$36,'Daily evaluations'!$B$2:$B$36,"=random_18",'Daily evaluations'!$C$2:$C$36,"=d20261111"),"")</f>
      </c>
      <c r="AN139" s="12">
        <f>IF((0=1),SUMIFS('Daily evaluations'!$H$2:$H$36,'Daily evaluations'!$B$2:$B$36,"=random_18",'Daily evaluations'!$C$2:$C$36,"=d20261112"),"")</f>
      </c>
      <c r="AO139" s="12">
        <f>IF((0=1),SUMIFS('Daily evaluations'!$H$2:$H$36,'Daily evaluations'!$B$2:$B$36,"=random_18",'Daily evaluations'!$C$2:$C$36,"=d20261113"),"")</f>
      </c>
      <c r="AP139" s="12">
        <f>IF((0=1),SUMIFS('Daily evaluations'!$H$2:$H$36,'Daily evaluations'!$B$2:$B$36,"=random_18",'Daily evaluations'!$C$2:$C$36,"=d20261116"),"")</f>
      </c>
      <c r="AQ139" s="12">
        <f>IF((0=1),SUMIFS('Daily evaluations'!$H$2:$H$36,'Daily evaluations'!$B$2:$B$36,"=random_18",'Daily evaluations'!$C$2:$C$36,"=d20261117"),"")</f>
      </c>
      <c r="AR139" s="12">
        <f>IF((0=1),SUMIFS('Daily evaluations'!$H$2:$H$36,'Daily evaluations'!$B$2:$B$36,"=random_18",'Daily evaluations'!$C$2:$C$36,"=d20261118"),"")</f>
      </c>
      <c r="AS139" s="12">
        <f>IF((0=1),SUMIFS('Daily evaluations'!$H$2:$H$36,'Daily evaluations'!$B$2:$B$36,"=random_18",'Daily evaluations'!$C$2:$C$36,"=d20261119"),"")</f>
      </c>
      <c r="AT139" s="12">
        <f>IF((0=1),SUMIFS('Daily evaluations'!$H$2:$H$36,'Daily evaluations'!$B$2:$B$36,"=random_18",'Daily evaluations'!$C$2:$C$36,"=d20261120"),"")</f>
      </c>
      <c r="AU139" s="12">
        <f>IF((0=1),SUMIFS('Daily evaluations'!$H$2:$H$36,'Daily evaluations'!$B$2:$B$36,"=random_18",'Daily evaluations'!$C$2:$C$36,"=d20261123"),"")</f>
      </c>
      <c r="AV139" s="12">
        <f>IF((0=1),SUMIFS('Daily evaluations'!$H$2:$H$36,'Daily evaluations'!$B$2:$B$36,"=random_18",'Daily evaluations'!$C$2:$C$36,"=d20261124"),"")</f>
      </c>
      <c r="AW139" s="12">
        <f>IF((0=1),SUMIFS('Daily evaluations'!$H$2:$H$36,'Daily evaluations'!$B$2:$B$36,"=random_18",'Daily evaluations'!$C$2:$C$36,"=d20261125"),"")</f>
      </c>
      <c r="AX139" s="12">
        <f>IF((0=1),SUMIFS('Daily evaluations'!$H$2:$H$36,'Daily evaluations'!$B$2:$B$36,"=random_18",'Daily evaluations'!$C$2:$C$36,"=d20261127"),"")</f>
      </c>
      <c r="AY139" s="12">
        <f>IF((0=1),SUMIFS('Daily evaluations'!$H$2:$H$36,'Daily evaluations'!$B$2:$B$36,"=random_18",'Daily evaluations'!$C$2:$C$36,"=d20261130"),"")</f>
      </c>
      <c r="AZ139" s="12">
        <f>IF((0=1),SUMIFS('Daily evaluations'!$H$2:$H$36,'Daily evaluations'!$B$2:$B$36,"=random_18",'Daily evaluations'!$C$2:$C$36,"=d20261201"),"")</f>
      </c>
      <c r="BA139" s="12">
        <f>IF((0=1),SUMIFS('Daily evaluations'!$H$2:$H$36,'Daily evaluations'!$B$2:$B$36,"=random_18",'Daily evaluations'!$C$2:$C$36,"=d20261202"),"")</f>
      </c>
      <c r="BB139" s="12">
        <f>IF((0=1),SUMIFS('Daily evaluations'!$H$2:$H$36,'Daily evaluations'!$B$2:$B$36,"=random_18",'Daily evaluations'!$C$2:$C$36,"=d20261203"),"")</f>
      </c>
      <c r="BC139" s="12">
        <f>IF((0=1),SUMIFS('Daily evaluations'!$H$2:$H$36,'Daily evaluations'!$B$2:$B$36,"=random_18",'Daily evaluations'!$C$2:$C$36,"=d20261204"),"")</f>
      </c>
      <c r="BD139" s="12">
        <f>IF((0=1),SUMIFS('Daily evaluations'!$H$2:$H$36,'Daily evaluations'!$B$2:$B$36,"=random_18",'Daily evaluations'!$C$2:$C$36,"=d20261207"),"")</f>
      </c>
      <c r="BE139" s="12">
        <f>IF((0=1),SUMIFS('Daily evaluations'!$H$2:$H$36,'Daily evaluations'!$B$2:$B$36,"=random_18",'Daily evaluations'!$C$2:$C$36,"=d20261208"),"")</f>
      </c>
      <c r="BF139" s="12">
        <f>IF((0=1),SUMIFS('Daily evaluations'!$H$2:$H$36,'Daily evaluations'!$B$2:$B$36,"=random_18",'Daily evaluations'!$C$2:$C$36,"=d20261209"),"")</f>
      </c>
      <c r="BG139" s="12">
        <f>IF((0=1),SUMIFS('Daily evaluations'!$H$2:$H$36,'Daily evaluations'!$B$2:$B$36,"=random_18",'Daily evaluations'!$C$2:$C$36,"=d20261210"),"")</f>
      </c>
      <c r="BH139" s="12">
        <f>IF((0=1),SUMIFS('Daily evaluations'!$H$2:$H$36,'Daily evaluations'!$B$2:$B$36,"=random_18",'Daily evaluations'!$C$2:$C$36,"=d20261211"),"")</f>
      </c>
      <c r="BI139" s="12">
        <f>IF((0=1),SUMIFS('Daily evaluations'!$H$2:$H$36,'Daily evaluations'!$B$2:$B$36,"=random_18",'Daily evaluations'!$C$2:$C$36,"=d20261214"),"")</f>
      </c>
      <c r="BJ139" s="12">
        <f>IF((0=1),SUMIFS('Daily evaluations'!$H$2:$H$36,'Daily evaluations'!$B$2:$B$36,"=random_18",'Daily evaluations'!$C$2:$C$36,"=d20261215"),"")</f>
      </c>
      <c r="BK139" s="12">
        <f>IF((0=1),SUMIFS('Daily evaluations'!$H$2:$H$36,'Daily evaluations'!$B$2:$B$36,"=random_18",'Daily evaluations'!$C$2:$C$36,"=d20261216"),"")</f>
      </c>
      <c r="BL139" s="12">
        <f>IF((0=1),SUMIFS('Daily evaluations'!$H$2:$H$36,'Daily evaluations'!$B$2:$B$36,"=random_18",'Daily evaluations'!$C$2:$C$36,"=d20261217"),"")</f>
      </c>
      <c r="BM139" s="12">
        <f>IF((0=1),SUMIFS('Daily evaluations'!$H$2:$H$36,'Daily evaluations'!$B$2:$B$36,"=random_18",'Daily evaluations'!$C$2:$C$36,"=d20261218"),"")</f>
      </c>
      <c r="BN139" s="12">
        <f>IF((0=1),SUMIFS('Daily evaluations'!$H$2:$H$36,'Daily evaluations'!$B$2:$B$36,"=random_18",'Daily evaluations'!$C$2:$C$36,"=d20261221"),"")</f>
      </c>
      <c r="BO139" s="12">
        <f>IF((0=1),SUMIFS('Daily evaluations'!$H$2:$H$36,'Daily evaluations'!$B$2:$B$36,"=random_18",'Daily evaluations'!$C$2:$C$36,"=d20261222"),"")</f>
      </c>
      <c r="BP139" s="12">
        <f>IF((0=1),SUMIFS('Daily evaluations'!$H$2:$H$36,'Daily evaluations'!$B$2:$B$36,"=random_18",'Daily evaluations'!$C$2:$C$36,"=d20261223"),"")</f>
      </c>
      <c r="BQ139" s="12">
        <f>IF((0=1),SUMIFS('Daily evaluations'!$H$2:$H$36,'Daily evaluations'!$B$2:$B$36,"=random_18",'Daily evaluations'!$C$2:$C$36,"=d20261224"),"")</f>
      </c>
      <c r="BR139" s="12">
        <f>IF((0=1),SUMIFS('Daily evaluations'!$H$2:$H$36,'Daily evaluations'!$B$2:$B$36,"=random_18",'Daily evaluations'!$C$2:$C$36,"=d20261228"),"")</f>
      </c>
      <c r="BS139" s="12">
        <f>IF((0=1),SUMIFS('Daily evaluations'!$H$2:$H$36,'Daily evaluations'!$B$2:$B$36,"=random_18",'Daily evaluations'!$C$2:$C$36,"=d20261229"),"")</f>
      </c>
      <c r="BT139" s="12">
        <f>IF((0=1),SUMIFS('Daily evaluations'!$H$2:$H$36,'Daily evaluations'!$B$2:$B$36,"=random_18",'Daily evaluations'!$C$2:$C$36,"=d20261230"),"")</f>
      </c>
      <c r="BU139" s="12">
        <f>IF((0=1),SUMIFS('Daily evaluations'!$H$2:$H$36,'Daily evaluations'!$B$2:$B$36,"=random_18",'Daily evaluations'!$C$2:$C$36,"=d20261231"),"")</f>
      </c>
      <c r="BV139" s="12">
        <f>IF((0=1),SUMIFS('Daily evaluations'!$H$2:$H$36,'Daily evaluations'!$B$2:$B$36,"=random_18",'Daily evaluations'!$C$2:$C$36,"=d20270104"),"")</f>
      </c>
      <c r="BW139" s="12">
        <f>IF((0=1),SUMIFS('Daily evaluations'!$H$2:$H$36,'Daily evaluations'!$B$2:$B$36,"=random_18",'Daily evaluations'!$C$2:$C$36,"=d20270105"),"")</f>
      </c>
      <c r="BX139" s="12">
        <f>IF((0=1),SUMIFS('Daily evaluations'!$H$2:$H$36,'Daily evaluations'!$B$2:$B$36,"=random_18",'Daily evaluations'!$C$2:$C$36,"=d20270106"),"")</f>
      </c>
      <c r="BY139" s="12">
        <f>IF((0=1),SUMIFS('Daily evaluations'!$H$2:$H$36,'Daily evaluations'!$B$2:$B$36,"=random_18",'Daily evaluations'!$C$2:$C$36,"=d20270107"),"")</f>
      </c>
      <c r="BZ139" s="12">
        <f>IF((0=1),SUMIFS('Daily evaluations'!$H$2:$H$36,'Daily evaluations'!$B$2:$B$36,"=random_18",'Daily evaluations'!$C$2:$C$36,"=d20270108"),"")</f>
      </c>
      <c r="CA139" s="12">
        <f>IF((0=1),SUMIFS('Daily evaluations'!$H$2:$H$36,'Daily evaluations'!$B$2:$B$36,"=random_18",'Daily evaluations'!$C$2:$C$36,"=d20270111"),"")</f>
      </c>
      <c r="CB139" s="12">
        <f>IF((0=1),SUMIFS('Daily evaluations'!$H$2:$H$36,'Daily evaluations'!$B$2:$B$36,"=random_18",'Daily evaluations'!$C$2:$C$36,"=d20270112"),"")</f>
      </c>
      <c r="CC139" s="12">
        <f>IF((0=1),SUMIFS('Daily evaluations'!$H$2:$H$36,'Daily evaluations'!$B$2:$B$36,"=random_18",'Daily evaluations'!$C$2:$C$36,"=d20270113"),"")</f>
      </c>
      <c r="CD139" s="12">
        <f>IF((0=1),SUMIFS('Daily evaluations'!$H$2:$H$36,'Daily evaluations'!$B$2:$B$36,"=random_18",'Daily evaluations'!$C$2:$C$36,"=d20270114"),"")</f>
      </c>
      <c r="CE139" s="12">
        <f>IF((0=1),SUMIFS('Daily evaluations'!$H$2:$H$36,'Daily evaluations'!$B$2:$B$36,"=random_18",'Daily evaluations'!$C$2:$C$36,"=d20270115"),"")</f>
      </c>
      <c r="CF139" s="12">
        <f>IF((0=1),SUMIFS('Daily evaluations'!$H$2:$H$36,'Daily evaluations'!$B$2:$B$36,"=random_18",'Daily evaluations'!$C$2:$C$36,"=d20270119"),"")</f>
      </c>
      <c r="CG139" s="12">
        <f>IF((0=1),SUMIFS('Daily evaluations'!$H$2:$H$36,'Daily evaluations'!$B$2:$B$36,"=random_18",'Daily evaluations'!$C$2:$C$36,"=d20270120"),"")</f>
      </c>
      <c r="CH139" s="12">
        <f>IF((0=1),SUMIFS('Daily evaluations'!$H$2:$H$36,'Daily evaluations'!$B$2:$B$36,"=random_18",'Daily evaluations'!$C$2:$C$36,"=d20270121"),"")</f>
      </c>
      <c r="CI139" s="12">
        <f>IF((0=1),SUMIFS('Daily evaluations'!$H$2:$H$36,'Daily evaluations'!$B$2:$B$36,"=random_18",'Daily evaluations'!$C$2:$C$36,"=d20270122"),"")</f>
      </c>
      <c r="CJ139" s="12">
        <f>IF((0=1),SUMIFS('Daily evaluations'!$H$2:$H$36,'Daily evaluations'!$B$2:$B$36,"=random_18",'Daily evaluations'!$C$2:$C$36,"=d20270125"),"")</f>
      </c>
      <c r="CK139" s="12">
        <f>IF((0=1),SUMIFS('Daily evaluations'!$H$2:$H$36,'Daily evaluations'!$B$2:$B$36,"=random_18",'Daily evaluations'!$C$2:$C$36,"=d20270126"),"")</f>
      </c>
      <c r="CL139" s="12">
        <f>IF((0=1),SUMIFS('Daily evaluations'!$H$2:$H$36,'Daily evaluations'!$B$2:$B$36,"=random_18",'Daily evaluations'!$C$2:$C$36,"=d20270127"),"")</f>
      </c>
      <c r="CM139" s="12">
        <f>IF((0=1),SUMIFS('Daily evaluations'!$H$2:$H$36,'Daily evaluations'!$B$2:$B$36,"=random_18",'Daily evaluations'!$C$2:$C$36,"=d20270128"),"")</f>
      </c>
      <c r="CN139" s="12">
        <f>IF((0=1),SUMIFS('Daily evaluations'!$H$2:$H$36,'Daily evaluations'!$B$2:$B$36,"=random_18",'Daily evaluations'!$C$2:$C$36,"=d20270129"),"")</f>
      </c>
      <c r="CO139" s="12">
        <f>IF((0=1),SUMIFS('Daily evaluations'!$H$2:$H$36,'Daily evaluations'!$B$2:$B$36,"=random_18",'Daily evaluations'!$C$2:$C$36,"=d20270201"),"")</f>
      </c>
      <c r="CP139" s="12">
        <f>IF((0=1),SUMIFS('Daily evaluations'!$H$2:$H$36,'Daily evaluations'!$B$2:$B$36,"=random_18",'Daily evaluations'!$C$2:$C$36,"=d20270202"),"")</f>
      </c>
      <c r="CQ139" s="12">
        <f>IF((0=1),SUMIFS('Daily evaluations'!$H$2:$H$36,'Daily evaluations'!$B$2:$B$36,"=random_18",'Daily evaluations'!$C$2:$C$36,"=d20270203"),"")</f>
      </c>
      <c r="CR139" s="12">
        <f>IF((0=1),SUMIFS('Daily evaluations'!$H$2:$H$36,'Daily evaluations'!$B$2:$B$36,"=random_18",'Daily evaluations'!$C$2:$C$36,"=d20270204"),"")</f>
      </c>
      <c r="CS139" s="12">
        <f>IF((0=1),SUMIFS('Daily evaluations'!$H$2:$H$36,'Daily evaluations'!$B$2:$B$36,"=random_18",'Daily evaluations'!$C$2:$C$36,"=d20270205"),"")</f>
      </c>
      <c r="CT139" s="12">
        <f>IF((0=1),SUMIFS('Daily evaluations'!$H$2:$H$36,'Daily evaluations'!$B$2:$B$36,"=random_18",'Daily evaluations'!$C$2:$C$36,"=d20270208"),"")</f>
      </c>
      <c r="CU139" s="12">
        <f>IF((0=1),SUMIFS('Daily evaluations'!$H$2:$H$36,'Daily evaluations'!$B$2:$B$36,"=random_18",'Daily evaluations'!$C$2:$C$36,"=d20270209"),"")</f>
      </c>
      <c r="CV139" s="12">
        <f>IF((0=1),SUMIFS('Daily evaluations'!$H$2:$H$36,'Daily evaluations'!$B$2:$B$36,"=random_18",'Daily evaluations'!$C$2:$C$36,"=d20270210"),"")</f>
      </c>
      <c r="CW139" s="12">
        <f>IF((0=1),SUMIFS('Daily evaluations'!$H$2:$H$36,'Daily evaluations'!$B$2:$B$36,"=random_18",'Daily evaluations'!$C$2:$C$36,"=d20270211"),"")</f>
      </c>
      <c r="CX139" s="12">
        <f>IF((0=1),SUMIFS('Daily evaluations'!$H$2:$H$36,'Daily evaluations'!$B$2:$B$36,"=random_18",'Daily evaluations'!$C$2:$C$36,"=d20270212"),"")</f>
      </c>
    </row>
    <row r="140">
      <c r="A140" s="0" t="inlineStr">
        <is>
          <t xml:space="preserve">Hit rate vs universe median</t>
        </is>
      </c>
      <c r="B140" s="0" t="inlineStr">
        <is>
          <t xml:space="preserve">Random 19</t>
        </is>
      </c>
      <c r="C140" s="12">
        <f>IF((1=1),SUMIFS('Daily evaluations'!$H$2:$H$36,'Daily evaluations'!$B$2:$B$36,"=random_19",'Daily evaluations'!$C$2:$C$36,"=d20260922"),"")</f>
        <v>0.51</v>
      </c>
      <c r="D140" s="12">
        <f>IF((0=1),SUMIFS('Daily evaluations'!$H$2:$H$36,'Daily evaluations'!$B$2:$B$36,"=random_19",'Daily evaluations'!$C$2:$C$36,"=d20260923"),"")</f>
      </c>
      <c r="E140" s="12">
        <f>IF((0=1),SUMIFS('Daily evaluations'!$H$2:$H$36,'Daily evaluations'!$B$2:$B$36,"=random_19",'Daily evaluations'!$C$2:$C$36,"=d20260924"),"")</f>
      </c>
      <c r="F140" s="12">
        <f>IF((0=1),SUMIFS('Daily evaluations'!$H$2:$H$36,'Daily evaluations'!$B$2:$B$36,"=random_19",'Daily evaluations'!$C$2:$C$36,"=d20260925"),"")</f>
      </c>
      <c r="G140" s="12">
        <f>IF((0=1),SUMIFS('Daily evaluations'!$H$2:$H$36,'Daily evaluations'!$B$2:$B$36,"=random_19",'Daily evaluations'!$C$2:$C$36,"=d20260928"),"")</f>
      </c>
      <c r="H140" s="12">
        <f>IF((0=1),SUMIFS('Daily evaluations'!$H$2:$H$36,'Daily evaluations'!$B$2:$B$36,"=random_19",'Daily evaluations'!$C$2:$C$36,"=d20260929"),"")</f>
      </c>
      <c r="I140" s="12">
        <f>IF((0=1),SUMIFS('Daily evaluations'!$H$2:$H$36,'Daily evaluations'!$B$2:$B$36,"=random_19",'Daily evaluations'!$C$2:$C$36,"=d20260930"),"")</f>
      </c>
      <c r="J140" s="12">
        <f>IF((0=1),SUMIFS('Daily evaluations'!$H$2:$H$36,'Daily evaluations'!$B$2:$B$36,"=random_19",'Daily evaluations'!$C$2:$C$36,"=d20261001"),"")</f>
      </c>
      <c r="K140" s="12">
        <f>IF((0=1),SUMIFS('Daily evaluations'!$H$2:$H$36,'Daily evaluations'!$B$2:$B$36,"=random_19",'Daily evaluations'!$C$2:$C$36,"=d20261002"),"")</f>
      </c>
      <c r="L140" s="12">
        <f>IF((0=1),SUMIFS('Daily evaluations'!$H$2:$H$36,'Daily evaluations'!$B$2:$B$36,"=random_19",'Daily evaluations'!$C$2:$C$36,"=d20261005"),"")</f>
      </c>
      <c r="M140" s="12">
        <f>IF((0=1),SUMIFS('Daily evaluations'!$H$2:$H$36,'Daily evaluations'!$B$2:$B$36,"=random_19",'Daily evaluations'!$C$2:$C$36,"=d20261006"),"")</f>
      </c>
      <c r="N140" s="12">
        <f>IF((0=1),SUMIFS('Daily evaluations'!$H$2:$H$36,'Daily evaluations'!$B$2:$B$36,"=random_19",'Daily evaluations'!$C$2:$C$36,"=d20261007"),"")</f>
      </c>
      <c r="O140" s="12">
        <f>IF((0=1),SUMIFS('Daily evaluations'!$H$2:$H$36,'Daily evaluations'!$B$2:$B$36,"=random_19",'Daily evaluations'!$C$2:$C$36,"=d20261008"),"")</f>
      </c>
      <c r="P140" s="12">
        <f>IF((0=1),SUMIFS('Daily evaluations'!$H$2:$H$36,'Daily evaluations'!$B$2:$B$36,"=random_19",'Daily evaluations'!$C$2:$C$36,"=d20261009"),"")</f>
      </c>
      <c r="Q140" s="12">
        <f>IF((0=1),SUMIFS('Daily evaluations'!$H$2:$H$36,'Daily evaluations'!$B$2:$B$36,"=random_19",'Daily evaluations'!$C$2:$C$36,"=d20261012"),"")</f>
      </c>
      <c r="R140" s="12">
        <f>IF((0=1),SUMIFS('Daily evaluations'!$H$2:$H$36,'Daily evaluations'!$B$2:$B$36,"=random_19",'Daily evaluations'!$C$2:$C$36,"=d20261013"),"")</f>
      </c>
      <c r="S140" s="12">
        <f>IF((0=1),SUMIFS('Daily evaluations'!$H$2:$H$36,'Daily evaluations'!$B$2:$B$36,"=random_19",'Daily evaluations'!$C$2:$C$36,"=d20261014"),"")</f>
      </c>
      <c r="T140" s="12">
        <f>IF((0=1),SUMIFS('Daily evaluations'!$H$2:$H$36,'Daily evaluations'!$B$2:$B$36,"=random_19",'Daily evaluations'!$C$2:$C$36,"=d20261015"),"")</f>
      </c>
      <c r="U140" s="12">
        <f>IF((0=1),SUMIFS('Daily evaluations'!$H$2:$H$36,'Daily evaluations'!$B$2:$B$36,"=random_19",'Daily evaluations'!$C$2:$C$36,"=d20261016"),"")</f>
      </c>
      <c r="V140" s="12">
        <f>IF((0=1),SUMIFS('Daily evaluations'!$H$2:$H$36,'Daily evaluations'!$B$2:$B$36,"=random_19",'Daily evaluations'!$C$2:$C$36,"=d20261019"),"")</f>
      </c>
      <c r="W140" s="12">
        <f>IF((0=1),SUMIFS('Daily evaluations'!$H$2:$H$36,'Daily evaluations'!$B$2:$B$36,"=random_19",'Daily evaluations'!$C$2:$C$36,"=d20261020"),"")</f>
      </c>
      <c r="X140" s="12">
        <f>IF((0=1),SUMIFS('Daily evaluations'!$H$2:$H$36,'Daily evaluations'!$B$2:$B$36,"=random_19",'Daily evaluations'!$C$2:$C$36,"=d20261021"),"")</f>
      </c>
      <c r="Y140" s="12">
        <f>IF((0=1),SUMIFS('Daily evaluations'!$H$2:$H$36,'Daily evaluations'!$B$2:$B$36,"=random_19",'Daily evaluations'!$C$2:$C$36,"=d20261022"),"")</f>
      </c>
      <c r="Z140" s="12">
        <f>IF((0=1),SUMIFS('Daily evaluations'!$H$2:$H$36,'Daily evaluations'!$B$2:$B$36,"=random_19",'Daily evaluations'!$C$2:$C$36,"=d20261023"),"")</f>
      </c>
      <c r="AA140" s="12">
        <f>IF((0=1),SUMIFS('Daily evaluations'!$H$2:$H$36,'Daily evaluations'!$B$2:$B$36,"=random_19",'Daily evaluations'!$C$2:$C$36,"=d20261026"),"")</f>
      </c>
      <c r="AB140" s="12">
        <f>IF((0=1),SUMIFS('Daily evaluations'!$H$2:$H$36,'Daily evaluations'!$B$2:$B$36,"=random_19",'Daily evaluations'!$C$2:$C$36,"=d20261027"),"")</f>
      </c>
      <c r="AC140" s="12">
        <f>IF((0=1),SUMIFS('Daily evaluations'!$H$2:$H$36,'Daily evaluations'!$B$2:$B$36,"=random_19",'Daily evaluations'!$C$2:$C$36,"=d20261028"),"")</f>
      </c>
      <c r="AD140" s="12">
        <f>IF((0=1),SUMIFS('Daily evaluations'!$H$2:$H$36,'Daily evaluations'!$B$2:$B$36,"=random_19",'Daily evaluations'!$C$2:$C$36,"=d20261029"),"")</f>
      </c>
      <c r="AE140" s="12">
        <f>IF((0=1),SUMIFS('Daily evaluations'!$H$2:$H$36,'Daily evaluations'!$B$2:$B$36,"=random_19",'Daily evaluations'!$C$2:$C$36,"=d20261030"),"")</f>
      </c>
      <c r="AF140" s="12">
        <f>IF((0=1),SUMIFS('Daily evaluations'!$H$2:$H$36,'Daily evaluations'!$B$2:$B$36,"=random_19",'Daily evaluations'!$C$2:$C$36,"=d20261102"),"")</f>
      </c>
      <c r="AG140" s="12">
        <f>IF((0=1),SUMIFS('Daily evaluations'!$H$2:$H$36,'Daily evaluations'!$B$2:$B$36,"=random_19",'Daily evaluations'!$C$2:$C$36,"=d20261103"),"")</f>
      </c>
      <c r="AH140" s="12">
        <f>IF((0=1),SUMIFS('Daily evaluations'!$H$2:$H$36,'Daily evaluations'!$B$2:$B$36,"=random_19",'Daily evaluations'!$C$2:$C$36,"=d20261104"),"")</f>
      </c>
      <c r="AI140" s="12">
        <f>IF((0=1),SUMIFS('Daily evaluations'!$H$2:$H$36,'Daily evaluations'!$B$2:$B$36,"=random_19",'Daily evaluations'!$C$2:$C$36,"=d20261105"),"")</f>
      </c>
      <c r="AJ140" s="12">
        <f>IF((0=1),SUMIFS('Daily evaluations'!$H$2:$H$36,'Daily evaluations'!$B$2:$B$36,"=random_19",'Daily evaluations'!$C$2:$C$36,"=d20261106"),"")</f>
      </c>
      <c r="AK140" s="12">
        <f>IF((0=1),SUMIFS('Daily evaluations'!$H$2:$H$36,'Daily evaluations'!$B$2:$B$36,"=random_19",'Daily evaluations'!$C$2:$C$36,"=d20261109"),"")</f>
      </c>
      <c r="AL140" s="12">
        <f>IF((0=1),SUMIFS('Daily evaluations'!$H$2:$H$36,'Daily evaluations'!$B$2:$B$36,"=random_19",'Daily evaluations'!$C$2:$C$36,"=d20261110"),"")</f>
      </c>
      <c r="AM140" s="12">
        <f>IF((0=1),SUMIFS('Daily evaluations'!$H$2:$H$36,'Daily evaluations'!$B$2:$B$36,"=random_19",'Daily evaluations'!$C$2:$C$36,"=d20261111"),"")</f>
      </c>
      <c r="AN140" s="12">
        <f>IF((0=1),SUMIFS('Daily evaluations'!$H$2:$H$36,'Daily evaluations'!$B$2:$B$36,"=random_19",'Daily evaluations'!$C$2:$C$36,"=d20261112"),"")</f>
      </c>
      <c r="AO140" s="12">
        <f>IF((0=1),SUMIFS('Daily evaluations'!$H$2:$H$36,'Daily evaluations'!$B$2:$B$36,"=random_19",'Daily evaluations'!$C$2:$C$36,"=d20261113"),"")</f>
      </c>
      <c r="AP140" s="12">
        <f>IF((0=1),SUMIFS('Daily evaluations'!$H$2:$H$36,'Daily evaluations'!$B$2:$B$36,"=random_19",'Daily evaluations'!$C$2:$C$36,"=d20261116"),"")</f>
      </c>
      <c r="AQ140" s="12">
        <f>IF((0=1),SUMIFS('Daily evaluations'!$H$2:$H$36,'Daily evaluations'!$B$2:$B$36,"=random_19",'Daily evaluations'!$C$2:$C$36,"=d20261117"),"")</f>
      </c>
      <c r="AR140" s="12">
        <f>IF((0=1),SUMIFS('Daily evaluations'!$H$2:$H$36,'Daily evaluations'!$B$2:$B$36,"=random_19",'Daily evaluations'!$C$2:$C$36,"=d20261118"),"")</f>
      </c>
      <c r="AS140" s="12">
        <f>IF((0=1),SUMIFS('Daily evaluations'!$H$2:$H$36,'Daily evaluations'!$B$2:$B$36,"=random_19",'Daily evaluations'!$C$2:$C$36,"=d20261119"),"")</f>
      </c>
      <c r="AT140" s="12">
        <f>IF((0=1),SUMIFS('Daily evaluations'!$H$2:$H$36,'Daily evaluations'!$B$2:$B$36,"=random_19",'Daily evaluations'!$C$2:$C$36,"=d20261120"),"")</f>
      </c>
      <c r="AU140" s="12">
        <f>IF((0=1),SUMIFS('Daily evaluations'!$H$2:$H$36,'Daily evaluations'!$B$2:$B$36,"=random_19",'Daily evaluations'!$C$2:$C$36,"=d20261123"),"")</f>
      </c>
      <c r="AV140" s="12">
        <f>IF((0=1),SUMIFS('Daily evaluations'!$H$2:$H$36,'Daily evaluations'!$B$2:$B$36,"=random_19",'Daily evaluations'!$C$2:$C$36,"=d20261124"),"")</f>
      </c>
      <c r="AW140" s="12">
        <f>IF((0=1),SUMIFS('Daily evaluations'!$H$2:$H$36,'Daily evaluations'!$B$2:$B$36,"=random_19",'Daily evaluations'!$C$2:$C$36,"=d20261125"),"")</f>
      </c>
      <c r="AX140" s="12">
        <f>IF((0=1),SUMIFS('Daily evaluations'!$H$2:$H$36,'Daily evaluations'!$B$2:$B$36,"=random_19",'Daily evaluations'!$C$2:$C$36,"=d20261127"),"")</f>
      </c>
      <c r="AY140" s="12">
        <f>IF((0=1),SUMIFS('Daily evaluations'!$H$2:$H$36,'Daily evaluations'!$B$2:$B$36,"=random_19",'Daily evaluations'!$C$2:$C$36,"=d20261130"),"")</f>
      </c>
      <c r="AZ140" s="12">
        <f>IF((0=1),SUMIFS('Daily evaluations'!$H$2:$H$36,'Daily evaluations'!$B$2:$B$36,"=random_19",'Daily evaluations'!$C$2:$C$36,"=d20261201"),"")</f>
      </c>
      <c r="BA140" s="12">
        <f>IF((0=1),SUMIFS('Daily evaluations'!$H$2:$H$36,'Daily evaluations'!$B$2:$B$36,"=random_19",'Daily evaluations'!$C$2:$C$36,"=d20261202"),"")</f>
      </c>
      <c r="BB140" s="12">
        <f>IF((0=1),SUMIFS('Daily evaluations'!$H$2:$H$36,'Daily evaluations'!$B$2:$B$36,"=random_19",'Daily evaluations'!$C$2:$C$36,"=d20261203"),"")</f>
      </c>
      <c r="BC140" s="12">
        <f>IF((0=1),SUMIFS('Daily evaluations'!$H$2:$H$36,'Daily evaluations'!$B$2:$B$36,"=random_19",'Daily evaluations'!$C$2:$C$36,"=d20261204"),"")</f>
      </c>
      <c r="BD140" s="12">
        <f>IF((0=1),SUMIFS('Daily evaluations'!$H$2:$H$36,'Daily evaluations'!$B$2:$B$36,"=random_19",'Daily evaluations'!$C$2:$C$36,"=d20261207"),"")</f>
      </c>
      <c r="BE140" s="12">
        <f>IF((0=1),SUMIFS('Daily evaluations'!$H$2:$H$36,'Daily evaluations'!$B$2:$B$36,"=random_19",'Daily evaluations'!$C$2:$C$36,"=d20261208"),"")</f>
      </c>
      <c r="BF140" s="12">
        <f>IF((0=1),SUMIFS('Daily evaluations'!$H$2:$H$36,'Daily evaluations'!$B$2:$B$36,"=random_19",'Daily evaluations'!$C$2:$C$36,"=d20261209"),"")</f>
      </c>
      <c r="BG140" s="12">
        <f>IF((0=1),SUMIFS('Daily evaluations'!$H$2:$H$36,'Daily evaluations'!$B$2:$B$36,"=random_19",'Daily evaluations'!$C$2:$C$36,"=d20261210"),"")</f>
      </c>
      <c r="BH140" s="12">
        <f>IF((0=1),SUMIFS('Daily evaluations'!$H$2:$H$36,'Daily evaluations'!$B$2:$B$36,"=random_19",'Daily evaluations'!$C$2:$C$36,"=d20261211"),"")</f>
      </c>
      <c r="BI140" s="12">
        <f>IF((0=1),SUMIFS('Daily evaluations'!$H$2:$H$36,'Daily evaluations'!$B$2:$B$36,"=random_19",'Daily evaluations'!$C$2:$C$36,"=d20261214"),"")</f>
      </c>
      <c r="BJ140" s="12">
        <f>IF((0=1),SUMIFS('Daily evaluations'!$H$2:$H$36,'Daily evaluations'!$B$2:$B$36,"=random_19",'Daily evaluations'!$C$2:$C$36,"=d20261215"),"")</f>
      </c>
      <c r="BK140" s="12">
        <f>IF((0=1),SUMIFS('Daily evaluations'!$H$2:$H$36,'Daily evaluations'!$B$2:$B$36,"=random_19",'Daily evaluations'!$C$2:$C$36,"=d20261216"),"")</f>
      </c>
      <c r="BL140" s="12">
        <f>IF((0=1),SUMIFS('Daily evaluations'!$H$2:$H$36,'Daily evaluations'!$B$2:$B$36,"=random_19",'Daily evaluations'!$C$2:$C$36,"=d20261217"),"")</f>
      </c>
      <c r="BM140" s="12">
        <f>IF((0=1),SUMIFS('Daily evaluations'!$H$2:$H$36,'Daily evaluations'!$B$2:$B$36,"=random_19",'Daily evaluations'!$C$2:$C$36,"=d20261218"),"")</f>
      </c>
      <c r="BN140" s="12">
        <f>IF((0=1),SUMIFS('Daily evaluations'!$H$2:$H$36,'Daily evaluations'!$B$2:$B$36,"=random_19",'Daily evaluations'!$C$2:$C$36,"=d20261221"),"")</f>
      </c>
      <c r="BO140" s="12">
        <f>IF((0=1),SUMIFS('Daily evaluations'!$H$2:$H$36,'Daily evaluations'!$B$2:$B$36,"=random_19",'Daily evaluations'!$C$2:$C$36,"=d20261222"),"")</f>
      </c>
      <c r="BP140" s="12">
        <f>IF((0=1),SUMIFS('Daily evaluations'!$H$2:$H$36,'Daily evaluations'!$B$2:$B$36,"=random_19",'Daily evaluations'!$C$2:$C$36,"=d20261223"),"")</f>
      </c>
      <c r="BQ140" s="12">
        <f>IF((0=1),SUMIFS('Daily evaluations'!$H$2:$H$36,'Daily evaluations'!$B$2:$B$36,"=random_19",'Daily evaluations'!$C$2:$C$36,"=d20261224"),"")</f>
      </c>
      <c r="BR140" s="12">
        <f>IF((0=1),SUMIFS('Daily evaluations'!$H$2:$H$36,'Daily evaluations'!$B$2:$B$36,"=random_19",'Daily evaluations'!$C$2:$C$36,"=d20261228"),"")</f>
      </c>
      <c r="BS140" s="12">
        <f>IF((0=1),SUMIFS('Daily evaluations'!$H$2:$H$36,'Daily evaluations'!$B$2:$B$36,"=random_19",'Daily evaluations'!$C$2:$C$36,"=d20261229"),"")</f>
      </c>
      <c r="BT140" s="12">
        <f>IF((0=1),SUMIFS('Daily evaluations'!$H$2:$H$36,'Daily evaluations'!$B$2:$B$36,"=random_19",'Daily evaluations'!$C$2:$C$36,"=d20261230"),"")</f>
      </c>
      <c r="BU140" s="12">
        <f>IF((0=1),SUMIFS('Daily evaluations'!$H$2:$H$36,'Daily evaluations'!$B$2:$B$36,"=random_19",'Daily evaluations'!$C$2:$C$36,"=d20261231"),"")</f>
      </c>
      <c r="BV140" s="12">
        <f>IF((0=1),SUMIFS('Daily evaluations'!$H$2:$H$36,'Daily evaluations'!$B$2:$B$36,"=random_19",'Daily evaluations'!$C$2:$C$36,"=d20270104"),"")</f>
      </c>
      <c r="BW140" s="12">
        <f>IF((0=1),SUMIFS('Daily evaluations'!$H$2:$H$36,'Daily evaluations'!$B$2:$B$36,"=random_19",'Daily evaluations'!$C$2:$C$36,"=d20270105"),"")</f>
      </c>
      <c r="BX140" s="12">
        <f>IF((0=1),SUMIFS('Daily evaluations'!$H$2:$H$36,'Daily evaluations'!$B$2:$B$36,"=random_19",'Daily evaluations'!$C$2:$C$36,"=d20270106"),"")</f>
      </c>
      <c r="BY140" s="12">
        <f>IF((0=1),SUMIFS('Daily evaluations'!$H$2:$H$36,'Daily evaluations'!$B$2:$B$36,"=random_19",'Daily evaluations'!$C$2:$C$36,"=d20270107"),"")</f>
      </c>
      <c r="BZ140" s="12">
        <f>IF((0=1),SUMIFS('Daily evaluations'!$H$2:$H$36,'Daily evaluations'!$B$2:$B$36,"=random_19",'Daily evaluations'!$C$2:$C$36,"=d20270108"),"")</f>
      </c>
      <c r="CA140" s="12">
        <f>IF((0=1),SUMIFS('Daily evaluations'!$H$2:$H$36,'Daily evaluations'!$B$2:$B$36,"=random_19",'Daily evaluations'!$C$2:$C$36,"=d20270111"),"")</f>
      </c>
      <c r="CB140" s="12">
        <f>IF((0=1),SUMIFS('Daily evaluations'!$H$2:$H$36,'Daily evaluations'!$B$2:$B$36,"=random_19",'Daily evaluations'!$C$2:$C$36,"=d20270112"),"")</f>
      </c>
      <c r="CC140" s="12">
        <f>IF((0=1),SUMIFS('Daily evaluations'!$H$2:$H$36,'Daily evaluations'!$B$2:$B$36,"=random_19",'Daily evaluations'!$C$2:$C$36,"=d20270113"),"")</f>
      </c>
      <c r="CD140" s="12">
        <f>IF((0=1),SUMIFS('Daily evaluations'!$H$2:$H$36,'Daily evaluations'!$B$2:$B$36,"=random_19",'Daily evaluations'!$C$2:$C$36,"=d20270114"),"")</f>
      </c>
      <c r="CE140" s="12">
        <f>IF((0=1),SUMIFS('Daily evaluations'!$H$2:$H$36,'Daily evaluations'!$B$2:$B$36,"=random_19",'Daily evaluations'!$C$2:$C$36,"=d20270115"),"")</f>
      </c>
      <c r="CF140" s="12">
        <f>IF((0=1),SUMIFS('Daily evaluations'!$H$2:$H$36,'Daily evaluations'!$B$2:$B$36,"=random_19",'Daily evaluations'!$C$2:$C$36,"=d20270119"),"")</f>
      </c>
      <c r="CG140" s="12">
        <f>IF((0=1),SUMIFS('Daily evaluations'!$H$2:$H$36,'Daily evaluations'!$B$2:$B$36,"=random_19",'Daily evaluations'!$C$2:$C$36,"=d20270120"),"")</f>
      </c>
      <c r="CH140" s="12">
        <f>IF((0=1),SUMIFS('Daily evaluations'!$H$2:$H$36,'Daily evaluations'!$B$2:$B$36,"=random_19",'Daily evaluations'!$C$2:$C$36,"=d20270121"),"")</f>
      </c>
      <c r="CI140" s="12">
        <f>IF((0=1),SUMIFS('Daily evaluations'!$H$2:$H$36,'Daily evaluations'!$B$2:$B$36,"=random_19",'Daily evaluations'!$C$2:$C$36,"=d20270122"),"")</f>
      </c>
      <c r="CJ140" s="12">
        <f>IF((0=1),SUMIFS('Daily evaluations'!$H$2:$H$36,'Daily evaluations'!$B$2:$B$36,"=random_19",'Daily evaluations'!$C$2:$C$36,"=d20270125"),"")</f>
      </c>
      <c r="CK140" s="12">
        <f>IF((0=1),SUMIFS('Daily evaluations'!$H$2:$H$36,'Daily evaluations'!$B$2:$B$36,"=random_19",'Daily evaluations'!$C$2:$C$36,"=d20270126"),"")</f>
      </c>
      <c r="CL140" s="12">
        <f>IF((0=1),SUMIFS('Daily evaluations'!$H$2:$H$36,'Daily evaluations'!$B$2:$B$36,"=random_19",'Daily evaluations'!$C$2:$C$36,"=d20270127"),"")</f>
      </c>
      <c r="CM140" s="12">
        <f>IF((0=1),SUMIFS('Daily evaluations'!$H$2:$H$36,'Daily evaluations'!$B$2:$B$36,"=random_19",'Daily evaluations'!$C$2:$C$36,"=d20270128"),"")</f>
      </c>
      <c r="CN140" s="12">
        <f>IF((0=1),SUMIFS('Daily evaluations'!$H$2:$H$36,'Daily evaluations'!$B$2:$B$36,"=random_19",'Daily evaluations'!$C$2:$C$36,"=d20270129"),"")</f>
      </c>
      <c r="CO140" s="12">
        <f>IF((0=1),SUMIFS('Daily evaluations'!$H$2:$H$36,'Daily evaluations'!$B$2:$B$36,"=random_19",'Daily evaluations'!$C$2:$C$36,"=d20270201"),"")</f>
      </c>
      <c r="CP140" s="12">
        <f>IF((0=1),SUMIFS('Daily evaluations'!$H$2:$H$36,'Daily evaluations'!$B$2:$B$36,"=random_19",'Daily evaluations'!$C$2:$C$36,"=d20270202"),"")</f>
      </c>
      <c r="CQ140" s="12">
        <f>IF((0=1),SUMIFS('Daily evaluations'!$H$2:$H$36,'Daily evaluations'!$B$2:$B$36,"=random_19",'Daily evaluations'!$C$2:$C$36,"=d20270203"),"")</f>
      </c>
      <c r="CR140" s="12">
        <f>IF((0=1),SUMIFS('Daily evaluations'!$H$2:$H$36,'Daily evaluations'!$B$2:$B$36,"=random_19",'Daily evaluations'!$C$2:$C$36,"=d20270204"),"")</f>
      </c>
      <c r="CS140" s="12">
        <f>IF((0=1),SUMIFS('Daily evaluations'!$H$2:$H$36,'Daily evaluations'!$B$2:$B$36,"=random_19",'Daily evaluations'!$C$2:$C$36,"=d20270205"),"")</f>
      </c>
      <c r="CT140" s="12">
        <f>IF((0=1),SUMIFS('Daily evaluations'!$H$2:$H$36,'Daily evaluations'!$B$2:$B$36,"=random_19",'Daily evaluations'!$C$2:$C$36,"=d20270208"),"")</f>
      </c>
      <c r="CU140" s="12">
        <f>IF((0=1),SUMIFS('Daily evaluations'!$H$2:$H$36,'Daily evaluations'!$B$2:$B$36,"=random_19",'Daily evaluations'!$C$2:$C$36,"=d20270209"),"")</f>
      </c>
      <c r="CV140" s="12">
        <f>IF((0=1),SUMIFS('Daily evaluations'!$H$2:$H$36,'Daily evaluations'!$B$2:$B$36,"=random_19",'Daily evaluations'!$C$2:$C$36,"=d20270210"),"")</f>
      </c>
      <c r="CW140" s="12">
        <f>IF((0=1),SUMIFS('Daily evaluations'!$H$2:$H$36,'Daily evaluations'!$B$2:$B$36,"=random_19",'Daily evaluations'!$C$2:$C$36,"=d20270211"),"")</f>
      </c>
      <c r="CX140" s="12">
        <f>IF((0=1),SUMIFS('Daily evaluations'!$H$2:$H$36,'Daily evaluations'!$B$2:$B$36,"=random_19",'Daily evaluations'!$C$2:$C$36,"=d20270212"),"")</f>
      </c>
    </row>
    <row r="141">
      <c r="A141" s="0" t="inlineStr">
        <is>
          <t xml:space="preserve">Hit rate vs universe median</t>
        </is>
      </c>
      <c r="B141" s="0" t="inlineStr">
        <is>
          <t xml:space="preserve">Random 20</t>
        </is>
      </c>
      <c r="C141" s="12">
        <f>IF((1=1),SUMIFS('Daily evaluations'!$H$2:$H$36,'Daily evaluations'!$B$2:$B$36,"=random_20",'Daily evaluations'!$C$2:$C$36,"=d20260922"),"")</f>
        <v>0.45</v>
      </c>
      <c r="D141" s="12">
        <f>IF((0=1),SUMIFS('Daily evaluations'!$H$2:$H$36,'Daily evaluations'!$B$2:$B$36,"=random_20",'Daily evaluations'!$C$2:$C$36,"=d20260923"),"")</f>
      </c>
      <c r="E141" s="12">
        <f>IF((0=1),SUMIFS('Daily evaluations'!$H$2:$H$36,'Daily evaluations'!$B$2:$B$36,"=random_20",'Daily evaluations'!$C$2:$C$36,"=d20260924"),"")</f>
      </c>
      <c r="F141" s="12">
        <f>IF((0=1),SUMIFS('Daily evaluations'!$H$2:$H$36,'Daily evaluations'!$B$2:$B$36,"=random_20",'Daily evaluations'!$C$2:$C$36,"=d20260925"),"")</f>
      </c>
      <c r="G141" s="12">
        <f>IF((0=1),SUMIFS('Daily evaluations'!$H$2:$H$36,'Daily evaluations'!$B$2:$B$36,"=random_20",'Daily evaluations'!$C$2:$C$36,"=d20260928"),"")</f>
      </c>
      <c r="H141" s="12">
        <f>IF((0=1),SUMIFS('Daily evaluations'!$H$2:$H$36,'Daily evaluations'!$B$2:$B$36,"=random_20",'Daily evaluations'!$C$2:$C$36,"=d20260929"),"")</f>
      </c>
      <c r="I141" s="12">
        <f>IF((0=1),SUMIFS('Daily evaluations'!$H$2:$H$36,'Daily evaluations'!$B$2:$B$36,"=random_20",'Daily evaluations'!$C$2:$C$36,"=d20260930"),"")</f>
      </c>
      <c r="J141" s="12">
        <f>IF((0=1),SUMIFS('Daily evaluations'!$H$2:$H$36,'Daily evaluations'!$B$2:$B$36,"=random_20",'Daily evaluations'!$C$2:$C$36,"=d20261001"),"")</f>
      </c>
      <c r="K141" s="12">
        <f>IF((0=1),SUMIFS('Daily evaluations'!$H$2:$H$36,'Daily evaluations'!$B$2:$B$36,"=random_20",'Daily evaluations'!$C$2:$C$36,"=d20261002"),"")</f>
      </c>
      <c r="L141" s="12">
        <f>IF((0=1),SUMIFS('Daily evaluations'!$H$2:$H$36,'Daily evaluations'!$B$2:$B$36,"=random_20",'Daily evaluations'!$C$2:$C$36,"=d20261005"),"")</f>
      </c>
      <c r="M141" s="12">
        <f>IF((0=1),SUMIFS('Daily evaluations'!$H$2:$H$36,'Daily evaluations'!$B$2:$B$36,"=random_20",'Daily evaluations'!$C$2:$C$36,"=d20261006"),"")</f>
      </c>
      <c r="N141" s="12">
        <f>IF((0=1),SUMIFS('Daily evaluations'!$H$2:$H$36,'Daily evaluations'!$B$2:$B$36,"=random_20",'Daily evaluations'!$C$2:$C$36,"=d20261007"),"")</f>
      </c>
      <c r="O141" s="12">
        <f>IF((0=1),SUMIFS('Daily evaluations'!$H$2:$H$36,'Daily evaluations'!$B$2:$B$36,"=random_20",'Daily evaluations'!$C$2:$C$36,"=d20261008"),"")</f>
      </c>
      <c r="P141" s="12">
        <f>IF((0=1),SUMIFS('Daily evaluations'!$H$2:$H$36,'Daily evaluations'!$B$2:$B$36,"=random_20",'Daily evaluations'!$C$2:$C$36,"=d20261009"),"")</f>
      </c>
      <c r="Q141" s="12">
        <f>IF((0=1),SUMIFS('Daily evaluations'!$H$2:$H$36,'Daily evaluations'!$B$2:$B$36,"=random_20",'Daily evaluations'!$C$2:$C$36,"=d20261012"),"")</f>
      </c>
      <c r="R141" s="12">
        <f>IF((0=1),SUMIFS('Daily evaluations'!$H$2:$H$36,'Daily evaluations'!$B$2:$B$36,"=random_20",'Daily evaluations'!$C$2:$C$36,"=d20261013"),"")</f>
      </c>
      <c r="S141" s="12">
        <f>IF((0=1),SUMIFS('Daily evaluations'!$H$2:$H$36,'Daily evaluations'!$B$2:$B$36,"=random_20",'Daily evaluations'!$C$2:$C$36,"=d20261014"),"")</f>
      </c>
      <c r="T141" s="12">
        <f>IF((0=1),SUMIFS('Daily evaluations'!$H$2:$H$36,'Daily evaluations'!$B$2:$B$36,"=random_20",'Daily evaluations'!$C$2:$C$36,"=d20261015"),"")</f>
      </c>
      <c r="U141" s="12">
        <f>IF((0=1),SUMIFS('Daily evaluations'!$H$2:$H$36,'Daily evaluations'!$B$2:$B$36,"=random_20",'Daily evaluations'!$C$2:$C$36,"=d20261016"),"")</f>
      </c>
      <c r="V141" s="12">
        <f>IF((0=1),SUMIFS('Daily evaluations'!$H$2:$H$36,'Daily evaluations'!$B$2:$B$36,"=random_20",'Daily evaluations'!$C$2:$C$36,"=d20261019"),"")</f>
      </c>
      <c r="W141" s="12">
        <f>IF((0=1),SUMIFS('Daily evaluations'!$H$2:$H$36,'Daily evaluations'!$B$2:$B$36,"=random_20",'Daily evaluations'!$C$2:$C$36,"=d20261020"),"")</f>
      </c>
      <c r="X141" s="12">
        <f>IF((0=1),SUMIFS('Daily evaluations'!$H$2:$H$36,'Daily evaluations'!$B$2:$B$36,"=random_20",'Daily evaluations'!$C$2:$C$36,"=d20261021"),"")</f>
      </c>
      <c r="Y141" s="12">
        <f>IF((0=1),SUMIFS('Daily evaluations'!$H$2:$H$36,'Daily evaluations'!$B$2:$B$36,"=random_20",'Daily evaluations'!$C$2:$C$36,"=d20261022"),"")</f>
      </c>
      <c r="Z141" s="12">
        <f>IF((0=1),SUMIFS('Daily evaluations'!$H$2:$H$36,'Daily evaluations'!$B$2:$B$36,"=random_20",'Daily evaluations'!$C$2:$C$36,"=d20261023"),"")</f>
      </c>
      <c r="AA141" s="12">
        <f>IF((0=1),SUMIFS('Daily evaluations'!$H$2:$H$36,'Daily evaluations'!$B$2:$B$36,"=random_20",'Daily evaluations'!$C$2:$C$36,"=d20261026"),"")</f>
      </c>
      <c r="AB141" s="12">
        <f>IF((0=1),SUMIFS('Daily evaluations'!$H$2:$H$36,'Daily evaluations'!$B$2:$B$36,"=random_20",'Daily evaluations'!$C$2:$C$36,"=d20261027"),"")</f>
      </c>
      <c r="AC141" s="12">
        <f>IF((0=1),SUMIFS('Daily evaluations'!$H$2:$H$36,'Daily evaluations'!$B$2:$B$36,"=random_20",'Daily evaluations'!$C$2:$C$36,"=d20261028"),"")</f>
      </c>
      <c r="AD141" s="12">
        <f>IF((0=1),SUMIFS('Daily evaluations'!$H$2:$H$36,'Daily evaluations'!$B$2:$B$36,"=random_20",'Daily evaluations'!$C$2:$C$36,"=d20261029"),"")</f>
      </c>
      <c r="AE141" s="12">
        <f>IF((0=1),SUMIFS('Daily evaluations'!$H$2:$H$36,'Daily evaluations'!$B$2:$B$36,"=random_20",'Daily evaluations'!$C$2:$C$36,"=d20261030"),"")</f>
      </c>
      <c r="AF141" s="12">
        <f>IF((0=1),SUMIFS('Daily evaluations'!$H$2:$H$36,'Daily evaluations'!$B$2:$B$36,"=random_20",'Daily evaluations'!$C$2:$C$36,"=d20261102"),"")</f>
      </c>
      <c r="AG141" s="12">
        <f>IF((0=1),SUMIFS('Daily evaluations'!$H$2:$H$36,'Daily evaluations'!$B$2:$B$36,"=random_20",'Daily evaluations'!$C$2:$C$36,"=d20261103"),"")</f>
      </c>
      <c r="AH141" s="12">
        <f>IF((0=1),SUMIFS('Daily evaluations'!$H$2:$H$36,'Daily evaluations'!$B$2:$B$36,"=random_20",'Daily evaluations'!$C$2:$C$36,"=d20261104"),"")</f>
      </c>
      <c r="AI141" s="12">
        <f>IF((0=1),SUMIFS('Daily evaluations'!$H$2:$H$36,'Daily evaluations'!$B$2:$B$36,"=random_20",'Daily evaluations'!$C$2:$C$36,"=d20261105"),"")</f>
      </c>
      <c r="AJ141" s="12">
        <f>IF((0=1),SUMIFS('Daily evaluations'!$H$2:$H$36,'Daily evaluations'!$B$2:$B$36,"=random_20",'Daily evaluations'!$C$2:$C$36,"=d20261106"),"")</f>
      </c>
      <c r="AK141" s="12">
        <f>IF((0=1),SUMIFS('Daily evaluations'!$H$2:$H$36,'Daily evaluations'!$B$2:$B$36,"=random_20",'Daily evaluations'!$C$2:$C$36,"=d20261109"),"")</f>
      </c>
      <c r="AL141" s="12">
        <f>IF((0=1),SUMIFS('Daily evaluations'!$H$2:$H$36,'Daily evaluations'!$B$2:$B$36,"=random_20",'Daily evaluations'!$C$2:$C$36,"=d20261110"),"")</f>
      </c>
      <c r="AM141" s="12">
        <f>IF((0=1),SUMIFS('Daily evaluations'!$H$2:$H$36,'Daily evaluations'!$B$2:$B$36,"=random_20",'Daily evaluations'!$C$2:$C$36,"=d20261111"),"")</f>
      </c>
      <c r="AN141" s="12">
        <f>IF((0=1),SUMIFS('Daily evaluations'!$H$2:$H$36,'Daily evaluations'!$B$2:$B$36,"=random_20",'Daily evaluations'!$C$2:$C$36,"=d20261112"),"")</f>
      </c>
      <c r="AO141" s="12">
        <f>IF((0=1),SUMIFS('Daily evaluations'!$H$2:$H$36,'Daily evaluations'!$B$2:$B$36,"=random_20",'Daily evaluations'!$C$2:$C$36,"=d20261113"),"")</f>
      </c>
      <c r="AP141" s="12">
        <f>IF((0=1),SUMIFS('Daily evaluations'!$H$2:$H$36,'Daily evaluations'!$B$2:$B$36,"=random_20",'Daily evaluations'!$C$2:$C$36,"=d20261116"),"")</f>
      </c>
      <c r="AQ141" s="12">
        <f>IF((0=1),SUMIFS('Daily evaluations'!$H$2:$H$36,'Daily evaluations'!$B$2:$B$36,"=random_20",'Daily evaluations'!$C$2:$C$36,"=d20261117"),"")</f>
      </c>
      <c r="AR141" s="12">
        <f>IF((0=1),SUMIFS('Daily evaluations'!$H$2:$H$36,'Daily evaluations'!$B$2:$B$36,"=random_20",'Daily evaluations'!$C$2:$C$36,"=d20261118"),"")</f>
      </c>
      <c r="AS141" s="12">
        <f>IF((0=1),SUMIFS('Daily evaluations'!$H$2:$H$36,'Daily evaluations'!$B$2:$B$36,"=random_20",'Daily evaluations'!$C$2:$C$36,"=d20261119"),"")</f>
      </c>
      <c r="AT141" s="12">
        <f>IF((0=1),SUMIFS('Daily evaluations'!$H$2:$H$36,'Daily evaluations'!$B$2:$B$36,"=random_20",'Daily evaluations'!$C$2:$C$36,"=d20261120"),"")</f>
      </c>
      <c r="AU141" s="12">
        <f>IF((0=1),SUMIFS('Daily evaluations'!$H$2:$H$36,'Daily evaluations'!$B$2:$B$36,"=random_20",'Daily evaluations'!$C$2:$C$36,"=d20261123"),"")</f>
      </c>
      <c r="AV141" s="12">
        <f>IF((0=1),SUMIFS('Daily evaluations'!$H$2:$H$36,'Daily evaluations'!$B$2:$B$36,"=random_20",'Daily evaluations'!$C$2:$C$36,"=d20261124"),"")</f>
      </c>
      <c r="AW141" s="12">
        <f>IF((0=1),SUMIFS('Daily evaluations'!$H$2:$H$36,'Daily evaluations'!$B$2:$B$36,"=random_20",'Daily evaluations'!$C$2:$C$36,"=d20261125"),"")</f>
      </c>
      <c r="AX141" s="12">
        <f>IF((0=1),SUMIFS('Daily evaluations'!$H$2:$H$36,'Daily evaluations'!$B$2:$B$36,"=random_20",'Daily evaluations'!$C$2:$C$36,"=d20261127"),"")</f>
      </c>
      <c r="AY141" s="12">
        <f>IF((0=1),SUMIFS('Daily evaluations'!$H$2:$H$36,'Daily evaluations'!$B$2:$B$36,"=random_20",'Daily evaluations'!$C$2:$C$36,"=d20261130"),"")</f>
      </c>
      <c r="AZ141" s="12">
        <f>IF((0=1),SUMIFS('Daily evaluations'!$H$2:$H$36,'Daily evaluations'!$B$2:$B$36,"=random_20",'Daily evaluations'!$C$2:$C$36,"=d20261201"),"")</f>
      </c>
      <c r="BA141" s="12">
        <f>IF((0=1),SUMIFS('Daily evaluations'!$H$2:$H$36,'Daily evaluations'!$B$2:$B$36,"=random_20",'Daily evaluations'!$C$2:$C$36,"=d20261202"),"")</f>
      </c>
      <c r="BB141" s="12">
        <f>IF((0=1),SUMIFS('Daily evaluations'!$H$2:$H$36,'Daily evaluations'!$B$2:$B$36,"=random_20",'Daily evaluations'!$C$2:$C$36,"=d20261203"),"")</f>
      </c>
      <c r="BC141" s="12">
        <f>IF((0=1),SUMIFS('Daily evaluations'!$H$2:$H$36,'Daily evaluations'!$B$2:$B$36,"=random_20",'Daily evaluations'!$C$2:$C$36,"=d20261204"),"")</f>
      </c>
      <c r="BD141" s="12">
        <f>IF((0=1),SUMIFS('Daily evaluations'!$H$2:$H$36,'Daily evaluations'!$B$2:$B$36,"=random_20",'Daily evaluations'!$C$2:$C$36,"=d20261207"),"")</f>
      </c>
      <c r="BE141" s="12">
        <f>IF((0=1),SUMIFS('Daily evaluations'!$H$2:$H$36,'Daily evaluations'!$B$2:$B$36,"=random_20",'Daily evaluations'!$C$2:$C$36,"=d20261208"),"")</f>
      </c>
      <c r="BF141" s="12">
        <f>IF((0=1),SUMIFS('Daily evaluations'!$H$2:$H$36,'Daily evaluations'!$B$2:$B$36,"=random_20",'Daily evaluations'!$C$2:$C$36,"=d20261209"),"")</f>
      </c>
      <c r="BG141" s="12">
        <f>IF((0=1),SUMIFS('Daily evaluations'!$H$2:$H$36,'Daily evaluations'!$B$2:$B$36,"=random_20",'Daily evaluations'!$C$2:$C$36,"=d20261210"),"")</f>
      </c>
      <c r="BH141" s="12">
        <f>IF((0=1),SUMIFS('Daily evaluations'!$H$2:$H$36,'Daily evaluations'!$B$2:$B$36,"=random_20",'Daily evaluations'!$C$2:$C$36,"=d20261211"),"")</f>
      </c>
      <c r="BI141" s="12">
        <f>IF((0=1),SUMIFS('Daily evaluations'!$H$2:$H$36,'Daily evaluations'!$B$2:$B$36,"=random_20",'Daily evaluations'!$C$2:$C$36,"=d20261214"),"")</f>
      </c>
      <c r="BJ141" s="12">
        <f>IF((0=1),SUMIFS('Daily evaluations'!$H$2:$H$36,'Daily evaluations'!$B$2:$B$36,"=random_20",'Daily evaluations'!$C$2:$C$36,"=d20261215"),"")</f>
      </c>
      <c r="BK141" s="12">
        <f>IF((0=1),SUMIFS('Daily evaluations'!$H$2:$H$36,'Daily evaluations'!$B$2:$B$36,"=random_20",'Daily evaluations'!$C$2:$C$36,"=d20261216"),"")</f>
      </c>
      <c r="BL141" s="12">
        <f>IF((0=1),SUMIFS('Daily evaluations'!$H$2:$H$36,'Daily evaluations'!$B$2:$B$36,"=random_20",'Daily evaluations'!$C$2:$C$36,"=d20261217"),"")</f>
      </c>
      <c r="BM141" s="12">
        <f>IF((0=1),SUMIFS('Daily evaluations'!$H$2:$H$36,'Daily evaluations'!$B$2:$B$36,"=random_20",'Daily evaluations'!$C$2:$C$36,"=d20261218"),"")</f>
      </c>
      <c r="BN141" s="12">
        <f>IF((0=1),SUMIFS('Daily evaluations'!$H$2:$H$36,'Daily evaluations'!$B$2:$B$36,"=random_20",'Daily evaluations'!$C$2:$C$36,"=d20261221"),"")</f>
      </c>
      <c r="BO141" s="12">
        <f>IF((0=1),SUMIFS('Daily evaluations'!$H$2:$H$36,'Daily evaluations'!$B$2:$B$36,"=random_20",'Daily evaluations'!$C$2:$C$36,"=d20261222"),"")</f>
      </c>
      <c r="BP141" s="12">
        <f>IF((0=1),SUMIFS('Daily evaluations'!$H$2:$H$36,'Daily evaluations'!$B$2:$B$36,"=random_20",'Daily evaluations'!$C$2:$C$36,"=d20261223"),"")</f>
      </c>
      <c r="BQ141" s="12">
        <f>IF((0=1),SUMIFS('Daily evaluations'!$H$2:$H$36,'Daily evaluations'!$B$2:$B$36,"=random_20",'Daily evaluations'!$C$2:$C$36,"=d20261224"),"")</f>
      </c>
      <c r="BR141" s="12">
        <f>IF((0=1),SUMIFS('Daily evaluations'!$H$2:$H$36,'Daily evaluations'!$B$2:$B$36,"=random_20",'Daily evaluations'!$C$2:$C$36,"=d20261228"),"")</f>
      </c>
      <c r="BS141" s="12">
        <f>IF((0=1),SUMIFS('Daily evaluations'!$H$2:$H$36,'Daily evaluations'!$B$2:$B$36,"=random_20",'Daily evaluations'!$C$2:$C$36,"=d20261229"),"")</f>
      </c>
      <c r="BT141" s="12">
        <f>IF((0=1),SUMIFS('Daily evaluations'!$H$2:$H$36,'Daily evaluations'!$B$2:$B$36,"=random_20",'Daily evaluations'!$C$2:$C$36,"=d20261230"),"")</f>
      </c>
      <c r="BU141" s="12">
        <f>IF((0=1),SUMIFS('Daily evaluations'!$H$2:$H$36,'Daily evaluations'!$B$2:$B$36,"=random_20",'Daily evaluations'!$C$2:$C$36,"=d20261231"),"")</f>
      </c>
      <c r="BV141" s="12">
        <f>IF((0=1),SUMIFS('Daily evaluations'!$H$2:$H$36,'Daily evaluations'!$B$2:$B$36,"=random_20",'Daily evaluations'!$C$2:$C$36,"=d20270104"),"")</f>
      </c>
      <c r="BW141" s="12">
        <f>IF((0=1),SUMIFS('Daily evaluations'!$H$2:$H$36,'Daily evaluations'!$B$2:$B$36,"=random_20",'Daily evaluations'!$C$2:$C$36,"=d20270105"),"")</f>
      </c>
      <c r="BX141" s="12">
        <f>IF((0=1),SUMIFS('Daily evaluations'!$H$2:$H$36,'Daily evaluations'!$B$2:$B$36,"=random_20",'Daily evaluations'!$C$2:$C$36,"=d20270106"),"")</f>
      </c>
      <c r="BY141" s="12">
        <f>IF((0=1),SUMIFS('Daily evaluations'!$H$2:$H$36,'Daily evaluations'!$B$2:$B$36,"=random_20",'Daily evaluations'!$C$2:$C$36,"=d20270107"),"")</f>
      </c>
      <c r="BZ141" s="12">
        <f>IF((0=1),SUMIFS('Daily evaluations'!$H$2:$H$36,'Daily evaluations'!$B$2:$B$36,"=random_20",'Daily evaluations'!$C$2:$C$36,"=d20270108"),"")</f>
      </c>
      <c r="CA141" s="12">
        <f>IF((0=1),SUMIFS('Daily evaluations'!$H$2:$H$36,'Daily evaluations'!$B$2:$B$36,"=random_20",'Daily evaluations'!$C$2:$C$36,"=d20270111"),"")</f>
      </c>
      <c r="CB141" s="12">
        <f>IF((0=1),SUMIFS('Daily evaluations'!$H$2:$H$36,'Daily evaluations'!$B$2:$B$36,"=random_20",'Daily evaluations'!$C$2:$C$36,"=d20270112"),"")</f>
      </c>
      <c r="CC141" s="12">
        <f>IF((0=1),SUMIFS('Daily evaluations'!$H$2:$H$36,'Daily evaluations'!$B$2:$B$36,"=random_20",'Daily evaluations'!$C$2:$C$36,"=d20270113"),"")</f>
      </c>
      <c r="CD141" s="12">
        <f>IF((0=1),SUMIFS('Daily evaluations'!$H$2:$H$36,'Daily evaluations'!$B$2:$B$36,"=random_20",'Daily evaluations'!$C$2:$C$36,"=d20270114"),"")</f>
      </c>
      <c r="CE141" s="12">
        <f>IF((0=1),SUMIFS('Daily evaluations'!$H$2:$H$36,'Daily evaluations'!$B$2:$B$36,"=random_20",'Daily evaluations'!$C$2:$C$36,"=d20270115"),"")</f>
      </c>
      <c r="CF141" s="12">
        <f>IF((0=1),SUMIFS('Daily evaluations'!$H$2:$H$36,'Daily evaluations'!$B$2:$B$36,"=random_20",'Daily evaluations'!$C$2:$C$36,"=d20270119"),"")</f>
      </c>
      <c r="CG141" s="12">
        <f>IF((0=1),SUMIFS('Daily evaluations'!$H$2:$H$36,'Daily evaluations'!$B$2:$B$36,"=random_20",'Daily evaluations'!$C$2:$C$36,"=d20270120"),"")</f>
      </c>
      <c r="CH141" s="12">
        <f>IF((0=1),SUMIFS('Daily evaluations'!$H$2:$H$36,'Daily evaluations'!$B$2:$B$36,"=random_20",'Daily evaluations'!$C$2:$C$36,"=d20270121"),"")</f>
      </c>
      <c r="CI141" s="12">
        <f>IF((0=1),SUMIFS('Daily evaluations'!$H$2:$H$36,'Daily evaluations'!$B$2:$B$36,"=random_20",'Daily evaluations'!$C$2:$C$36,"=d20270122"),"")</f>
      </c>
      <c r="CJ141" s="12">
        <f>IF((0=1),SUMIFS('Daily evaluations'!$H$2:$H$36,'Daily evaluations'!$B$2:$B$36,"=random_20",'Daily evaluations'!$C$2:$C$36,"=d20270125"),"")</f>
      </c>
      <c r="CK141" s="12">
        <f>IF((0=1),SUMIFS('Daily evaluations'!$H$2:$H$36,'Daily evaluations'!$B$2:$B$36,"=random_20",'Daily evaluations'!$C$2:$C$36,"=d20270126"),"")</f>
      </c>
      <c r="CL141" s="12">
        <f>IF((0=1),SUMIFS('Daily evaluations'!$H$2:$H$36,'Daily evaluations'!$B$2:$B$36,"=random_20",'Daily evaluations'!$C$2:$C$36,"=d20270127"),"")</f>
      </c>
      <c r="CM141" s="12">
        <f>IF((0=1),SUMIFS('Daily evaluations'!$H$2:$H$36,'Daily evaluations'!$B$2:$B$36,"=random_20",'Daily evaluations'!$C$2:$C$36,"=d20270128"),"")</f>
      </c>
      <c r="CN141" s="12">
        <f>IF((0=1),SUMIFS('Daily evaluations'!$H$2:$H$36,'Daily evaluations'!$B$2:$B$36,"=random_20",'Daily evaluations'!$C$2:$C$36,"=d20270129"),"")</f>
      </c>
      <c r="CO141" s="12">
        <f>IF((0=1),SUMIFS('Daily evaluations'!$H$2:$H$36,'Daily evaluations'!$B$2:$B$36,"=random_20",'Daily evaluations'!$C$2:$C$36,"=d20270201"),"")</f>
      </c>
      <c r="CP141" s="12">
        <f>IF((0=1),SUMIFS('Daily evaluations'!$H$2:$H$36,'Daily evaluations'!$B$2:$B$36,"=random_20",'Daily evaluations'!$C$2:$C$36,"=d20270202"),"")</f>
      </c>
      <c r="CQ141" s="12">
        <f>IF((0=1),SUMIFS('Daily evaluations'!$H$2:$H$36,'Daily evaluations'!$B$2:$B$36,"=random_20",'Daily evaluations'!$C$2:$C$36,"=d20270203"),"")</f>
      </c>
      <c r="CR141" s="12">
        <f>IF((0=1),SUMIFS('Daily evaluations'!$H$2:$H$36,'Daily evaluations'!$B$2:$B$36,"=random_20",'Daily evaluations'!$C$2:$C$36,"=d20270204"),"")</f>
      </c>
      <c r="CS141" s="12">
        <f>IF((0=1),SUMIFS('Daily evaluations'!$H$2:$H$36,'Daily evaluations'!$B$2:$B$36,"=random_20",'Daily evaluations'!$C$2:$C$36,"=d20270205"),"")</f>
      </c>
      <c r="CT141" s="12">
        <f>IF((0=1),SUMIFS('Daily evaluations'!$H$2:$H$36,'Daily evaluations'!$B$2:$B$36,"=random_20",'Daily evaluations'!$C$2:$C$36,"=d20270208"),"")</f>
      </c>
      <c r="CU141" s="12">
        <f>IF((0=1),SUMIFS('Daily evaluations'!$H$2:$H$36,'Daily evaluations'!$B$2:$B$36,"=random_20",'Daily evaluations'!$C$2:$C$36,"=d20270209"),"")</f>
      </c>
      <c r="CV141" s="12">
        <f>IF((0=1),SUMIFS('Daily evaluations'!$H$2:$H$36,'Daily evaluations'!$B$2:$B$36,"=random_20",'Daily evaluations'!$C$2:$C$36,"=d20270210"),"")</f>
      </c>
      <c r="CW141" s="12">
        <f>IF((0=1),SUMIFS('Daily evaluations'!$H$2:$H$36,'Daily evaluations'!$B$2:$B$36,"=random_20",'Daily evaluations'!$C$2:$C$36,"=d20270211"),"")</f>
      </c>
      <c r="CX141" s="12">
        <f>IF((0=1),SUMIFS('Daily evaluations'!$H$2:$H$36,'Daily evaluations'!$B$2:$B$36,"=random_20",'Daily evaluations'!$C$2:$C$36,"=d20270212"),"")</f>
      </c>
    </row>
    <row r="142">
      <c r="A142" s="0" t="inlineStr">
        <is>
          <t xml:space="preserve">Information coefficient</t>
        </is>
      </c>
      <c r="B142" s="0" t="inlineStr">
        <is>
          <t xml:space="preserve">worst 100 by yesterday's close-to-close return</t>
        </is>
      </c>
      <c r="C142" s="8">
        <f>IF((1=1),SUMIFS('Daily evaluations'!$I$2:$I$36,'Daily evaluations'!$B$2:$B$36,"=naive_loser1d",'Daily evaluations'!$C$2:$C$36,"=d20260922"),"")</f>
        <v>0.0962</v>
      </c>
      <c r="D142" s="8">
        <f>IF((0=1),SUMIFS('Daily evaluations'!$I$2:$I$36,'Daily evaluations'!$B$2:$B$36,"=naive_loser1d",'Daily evaluations'!$C$2:$C$36,"=d20260923"),"")</f>
      </c>
      <c r="E142" s="8">
        <f>IF((0=1),SUMIFS('Daily evaluations'!$I$2:$I$36,'Daily evaluations'!$B$2:$B$36,"=naive_loser1d",'Daily evaluations'!$C$2:$C$36,"=d20260924"),"")</f>
      </c>
      <c r="F142" s="8">
        <f>IF((0=1),SUMIFS('Daily evaluations'!$I$2:$I$36,'Daily evaluations'!$B$2:$B$36,"=naive_loser1d",'Daily evaluations'!$C$2:$C$36,"=d20260925"),"")</f>
      </c>
      <c r="G142" s="8">
        <f>IF((0=1),SUMIFS('Daily evaluations'!$I$2:$I$36,'Daily evaluations'!$B$2:$B$36,"=naive_loser1d",'Daily evaluations'!$C$2:$C$36,"=d20260928"),"")</f>
      </c>
      <c r="H142" s="8">
        <f>IF((0=1),SUMIFS('Daily evaluations'!$I$2:$I$36,'Daily evaluations'!$B$2:$B$36,"=naive_loser1d",'Daily evaluations'!$C$2:$C$36,"=d20260929"),"")</f>
      </c>
      <c r="I142" s="8">
        <f>IF((0=1),SUMIFS('Daily evaluations'!$I$2:$I$36,'Daily evaluations'!$B$2:$B$36,"=naive_loser1d",'Daily evaluations'!$C$2:$C$36,"=d20260930"),"")</f>
      </c>
      <c r="J142" s="8">
        <f>IF((0=1),SUMIFS('Daily evaluations'!$I$2:$I$36,'Daily evaluations'!$B$2:$B$36,"=naive_loser1d",'Daily evaluations'!$C$2:$C$36,"=d20261001"),"")</f>
      </c>
      <c r="K142" s="8">
        <f>IF((0=1),SUMIFS('Daily evaluations'!$I$2:$I$36,'Daily evaluations'!$B$2:$B$36,"=naive_loser1d",'Daily evaluations'!$C$2:$C$36,"=d20261002"),"")</f>
      </c>
      <c r="L142" s="8">
        <f>IF((0=1),SUMIFS('Daily evaluations'!$I$2:$I$36,'Daily evaluations'!$B$2:$B$36,"=naive_loser1d",'Daily evaluations'!$C$2:$C$36,"=d20261005"),"")</f>
      </c>
      <c r="M142" s="8">
        <f>IF((0=1),SUMIFS('Daily evaluations'!$I$2:$I$36,'Daily evaluations'!$B$2:$B$36,"=naive_loser1d",'Daily evaluations'!$C$2:$C$36,"=d20261006"),"")</f>
      </c>
      <c r="N142" s="8">
        <f>IF((0=1),SUMIFS('Daily evaluations'!$I$2:$I$36,'Daily evaluations'!$B$2:$B$36,"=naive_loser1d",'Daily evaluations'!$C$2:$C$36,"=d20261007"),"")</f>
      </c>
      <c r="O142" s="8">
        <f>IF((0=1),SUMIFS('Daily evaluations'!$I$2:$I$36,'Daily evaluations'!$B$2:$B$36,"=naive_loser1d",'Daily evaluations'!$C$2:$C$36,"=d20261008"),"")</f>
      </c>
      <c r="P142" s="8">
        <f>IF((0=1),SUMIFS('Daily evaluations'!$I$2:$I$36,'Daily evaluations'!$B$2:$B$36,"=naive_loser1d",'Daily evaluations'!$C$2:$C$36,"=d20261009"),"")</f>
      </c>
      <c r="Q142" s="8">
        <f>IF((0=1),SUMIFS('Daily evaluations'!$I$2:$I$36,'Daily evaluations'!$B$2:$B$36,"=naive_loser1d",'Daily evaluations'!$C$2:$C$36,"=d20261012"),"")</f>
      </c>
      <c r="R142" s="8">
        <f>IF((0=1),SUMIFS('Daily evaluations'!$I$2:$I$36,'Daily evaluations'!$B$2:$B$36,"=naive_loser1d",'Daily evaluations'!$C$2:$C$36,"=d20261013"),"")</f>
      </c>
      <c r="S142" s="8">
        <f>IF((0=1),SUMIFS('Daily evaluations'!$I$2:$I$36,'Daily evaluations'!$B$2:$B$36,"=naive_loser1d",'Daily evaluations'!$C$2:$C$36,"=d20261014"),"")</f>
      </c>
      <c r="T142" s="8">
        <f>IF((0=1),SUMIFS('Daily evaluations'!$I$2:$I$36,'Daily evaluations'!$B$2:$B$36,"=naive_loser1d",'Daily evaluations'!$C$2:$C$36,"=d20261015"),"")</f>
      </c>
      <c r="U142" s="8">
        <f>IF((0=1),SUMIFS('Daily evaluations'!$I$2:$I$36,'Daily evaluations'!$B$2:$B$36,"=naive_loser1d",'Daily evaluations'!$C$2:$C$36,"=d20261016"),"")</f>
      </c>
      <c r="V142" s="8">
        <f>IF((0=1),SUMIFS('Daily evaluations'!$I$2:$I$36,'Daily evaluations'!$B$2:$B$36,"=naive_loser1d",'Daily evaluations'!$C$2:$C$36,"=d20261019"),"")</f>
      </c>
      <c r="W142" s="8">
        <f>IF((0=1),SUMIFS('Daily evaluations'!$I$2:$I$36,'Daily evaluations'!$B$2:$B$36,"=naive_loser1d",'Daily evaluations'!$C$2:$C$36,"=d20261020"),"")</f>
      </c>
      <c r="X142" s="8">
        <f>IF((0=1),SUMIFS('Daily evaluations'!$I$2:$I$36,'Daily evaluations'!$B$2:$B$36,"=naive_loser1d",'Daily evaluations'!$C$2:$C$36,"=d20261021"),"")</f>
      </c>
      <c r="Y142" s="8">
        <f>IF((0=1),SUMIFS('Daily evaluations'!$I$2:$I$36,'Daily evaluations'!$B$2:$B$36,"=naive_loser1d",'Daily evaluations'!$C$2:$C$36,"=d20261022"),"")</f>
      </c>
      <c r="Z142" s="8">
        <f>IF((0=1),SUMIFS('Daily evaluations'!$I$2:$I$36,'Daily evaluations'!$B$2:$B$36,"=naive_loser1d",'Daily evaluations'!$C$2:$C$36,"=d20261023"),"")</f>
      </c>
      <c r="AA142" s="8">
        <f>IF((0=1),SUMIFS('Daily evaluations'!$I$2:$I$36,'Daily evaluations'!$B$2:$B$36,"=naive_loser1d",'Daily evaluations'!$C$2:$C$36,"=d20261026"),"")</f>
      </c>
      <c r="AB142" s="8">
        <f>IF((0=1),SUMIFS('Daily evaluations'!$I$2:$I$36,'Daily evaluations'!$B$2:$B$36,"=naive_loser1d",'Daily evaluations'!$C$2:$C$36,"=d20261027"),"")</f>
      </c>
      <c r="AC142" s="8">
        <f>IF((0=1),SUMIFS('Daily evaluations'!$I$2:$I$36,'Daily evaluations'!$B$2:$B$36,"=naive_loser1d",'Daily evaluations'!$C$2:$C$36,"=d20261028"),"")</f>
      </c>
      <c r="AD142" s="8">
        <f>IF((0=1),SUMIFS('Daily evaluations'!$I$2:$I$36,'Daily evaluations'!$B$2:$B$36,"=naive_loser1d",'Daily evaluations'!$C$2:$C$36,"=d20261029"),"")</f>
      </c>
      <c r="AE142" s="8">
        <f>IF((0=1),SUMIFS('Daily evaluations'!$I$2:$I$36,'Daily evaluations'!$B$2:$B$36,"=naive_loser1d",'Daily evaluations'!$C$2:$C$36,"=d20261030"),"")</f>
      </c>
      <c r="AF142" s="8">
        <f>IF((0=1),SUMIFS('Daily evaluations'!$I$2:$I$36,'Daily evaluations'!$B$2:$B$36,"=naive_loser1d",'Daily evaluations'!$C$2:$C$36,"=d20261102"),"")</f>
      </c>
      <c r="AG142" s="8">
        <f>IF((0=1),SUMIFS('Daily evaluations'!$I$2:$I$36,'Daily evaluations'!$B$2:$B$36,"=naive_loser1d",'Daily evaluations'!$C$2:$C$36,"=d20261103"),"")</f>
      </c>
      <c r="AH142" s="8">
        <f>IF((0=1),SUMIFS('Daily evaluations'!$I$2:$I$36,'Daily evaluations'!$B$2:$B$36,"=naive_loser1d",'Daily evaluations'!$C$2:$C$36,"=d20261104"),"")</f>
      </c>
      <c r="AI142" s="8">
        <f>IF((0=1),SUMIFS('Daily evaluations'!$I$2:$I$36,'Daily evaluations'!$B$2:$B$36,"=naive_loser1d",'Daily evaluations'!$C$2:$C$36,"=d20261105"),"")</f>
      </c>
      <c r="AJ142" s="8">
        <f>IF((0=1),SUMIFS('Daily evaluations'!$I$2:$I$36,'Daily evaluations'!$B$2:$B$36,"=naive_loser1d",'Daily evaluations'!$C$2:$C$36,"=d20261106"),"")</f>
      </c>
      <c r="AK142" s="8">
        <f>IF((0=1),SUMIFS('Daily evaluations'!$I$2:$I$36,'Daily evaluations'!$B$2:$B$36,"=naive_loser1d",'Daily evaluations'!$C$2:$C$36,"=d20261109"),"")</f>
      </c>
      <c r="AL142" s="8">
        <f>IF((0=1),SUMIFS('Daily evaluations'!$I$2:$I$36,'Daily evaluations'!$B$2:$B$36,"=naive_loser1d",'Daily evaluations'!$C$2:$C$36,"=d20261110"),"")</f>
      </c>
      <c r="AM142" s="8">
        <f>IF((0=1),SUMIFS('Daily evaluations'!$I$2:$I$36,'Daily evaluations'!$B$2:$B$36,"=naive_loser1d",'Daily evaluations'!$C$2:$C$36,"=d20261111"),"")</f>
      </c>
      <c r="AN142" s="8">
        <f>IF((0=1),SUMIFS('Daily evaluations'!$I$2:$I$36,'Daily evaluations'!$B$2:$B$36,"=naive_loser1d",'Daily evaluations'!$C$2:$C$36,"=d20261112"),"")</f>
      </c>
      <c r="AO142" s="8">
        <f>IF((0=1),SUMIFS('Daily evaluations'!$I$2:$I$36,'Daily evaluations'!$B$2:$B$36,"=naive_loser1d",'Daily evaluations'!$C$2:$C$36,"=d20261113"),"")</f>
      </c>
      <c r="AP142" s="8">
        <f>IF((0=1),SUMIFS('Daily evaluations'!$I$2:$I$36,'Daily evaluations'!$B$2:$B$36,"=naive_loser1d",'Daily evaluations'!$C$2:$C$36,"=d20261116"),"")</f>
      </c>
      <c r="AQ142" s="8">
        <f>IF((0=1),SUMIFS('Daily evaluations'!$I$2:$I$36,'Daily evaluations'!$B$2:$B$36,"=naive_loser1d",'Daily evaluations'!$C$2:$C$36,"=d20261117"),"")</f>
      </c>
      <c r="AR142" s="8">
        <f>IF((0=1),SUMIFS('Daily evaluations'!$I$2:$I$36,'Daily evaluations'!$B$2:$B$36,"=naive_loser1d",'Daily evaluations'!$C$2:$C$36,"=d20261118"),"")</f>
      </c>
      <c r="AS142" s="8">
        <f>IF((0=1),SUMIFS('Daily evaluations'!$I$2:$I$36,'Daily evaluations'!$B$2:$B$36,"=naive_loser1d",'Daily evaluations'!$C$2:$C$36,"=d20261119"),"")</f>
      </c>
      <c r="AT142" s="8">
        <f>IF((0=1),SUMIFS('Daily evaluations'!$I$2:$I$36,'Daily evaluations'!$B$2:$B$36,"=naive_loser1d",'Daily evaluations'!$C$2:$C$36,"=d20261120"),"")</f>
      </c>
      <c r="AU142" s="8">
        <f>IF((0=1),SUMIFS('Daily evaluations'!$I$2:$I$36,'Daily evaluations'!$B$2:$B$36,"=naive_loser1d",'Daily evaluations'!$C$2:$C$36,"=d20261123"),"")</f>
      </c>
      <c r="AV142" s="8">
        <f>IF((0=1),SUMIFS('Daily evaluations'!$I$2:$I$36,'Daily evaluations'!$B$2:$B$36,"=naive_loser1d",'Daily evaluations'!$C$2:$C$36,"=d20261124"),"")</f>
      </c>
      <c r="AW142" s="8">
        <f>IF((0=1),SUMIFS('Daily evaluations'!$I$2:$I$36,'Daily evaluations'!$B$2:$B$36,"=naive_loser1d",'Daily evaluations'!$C$2:$C$36,"=d20261125"),"")</f>
      </c>
      <c r="AX142" s="8">
        <f>IF((0=1),SUMIFS('Daily evaluations'!$I$2:$I$36,'Daily evaluations'!$B$2:$B$36,"=naive_loser1d",'Daily evaluations'!$C$2:$C$36,"=d20261127"),"")</f>
      </c>
      <c r="AY142" s="8">
        <f>IF((0=1),SUMIFS('Daily evaluations'!$I$2:$I$36,'Daily evaluations'!$B$2:$B$36,"=naive_loser1d",'Daily evaluations'!$C$2:$C$36,"=d20261130"),"")</f>
      </c>
      <c r="AZ142" s="8">
        <f>IF((0=1),SUMIFS('Daily evaluations'!$I$2:$I$36,'Daily evaluations'!$B$2:$B$36,"=naive_loser1d",'Daily evaluations'!$C$2:$C$36,"=d20261201"),"")</f>
      </c>
      <c r="BA142" s="8">
        <f>IF((0=1),SUMIFS('Daily evaluations'!$I$2:$I$36,'Daily evaluations'!$B$2:$B$36,"=naive_loser1d",'Daily evaluations'!$C$2:$C$36,"=d20261202"),"")</f>
      </c>
      <c r="BB142" s="8">
        <f>IF((0=1),SUMIFS('Daily evaluations'!$I$2:$I$36,'Daily evaluations'!$B$2:$B$36,"=naive_loser1d",'Daily evaluations'!$C$2:$C$36,"=d20261203"),"")</f>
      </c>
      <c r="BC142" s="8">
        <f>IF((0=1),SUMIFS('Daily evaluations'!$I$2:$I$36,'Daily evaluations'!$B$2:$B$36,"=naive_loser1d",'Daily evaluations'!$C$2:$C$36,"=d20261204"),"")</f>
      </c>
      <c r="BD142" s="8">
        <f>IF((0=1),SUMIFS('Daily evaluations'!$I$2:$I$36,'Daily evaluations'!$B$2:$B$36,"=naive_loser1d",'Daily evaluations'!$C$2:$C$36,"=d20261207"),"")</f>
      </c>
      <c r="BE142" s="8">
        <f>IF((0=1),SUMIFS('Daily evaluations'!$I$2:$I$36,'Daily evaluations'!$B$2:$B$36,"=naive_loser1d",'Daily evaluations'!$C$2:$C$36,"=d20261208"),"")</f>
      </c>
      <c r="BF142" s="8">
        <f>IF((0=1),SUMIFS('Daily evaluations'!$I$2:$I$36,'Daily evaluations'!$B$2:$B$36,"=naive_loser1d",'Daily evaluations'!$C$2:$C$36,"=d20261209"),"")</f>
      </c>
      <c r="BG142" s="8">
        <f>IF((0=1),SUMIFS('Daily evaluations'!$I$2:$I$36,'Daily evaluations'!$B$2:$B$36,"=naive_loser1d",'Daily evaluations'!$C$2:$C$36,"=d20261210"),"")</f>
      </c>
      <c r="BH142" s="8">
        <f>IF((0=1),SUMIFS('Daily evaluations'!$I$2:$I$36,'Daily evaluations'!$B$2:$B$36,"=naive_loser1d",'Daily evaluations'!$C$2:$C$36,"=d20261211"),"")</f>
      </c>
      <c r="BI142" s="8">
        <f>IF((0=1),SUMIFS('Daily evaluations'!$I$2:$I$36,'Daily evaluations'!$B$2:$B$36,"=naive_loser1d",'Daily evaluations'!$C$2:$C$36,"=d20261214"),"")</f>
      </c>
      <c r="BJ142" s="8">
        <f>IF((0=1),SUMIFS('Daily evaluations'!$I$2:$I$36,'Daily evaluations'!$B$2:$B$36,"=naive_loser1d",'Daily evaluations'!$C$2:$C$36,"=d20261215"),"")</f>
      </c>
      <c r="BK142" s="8">
        <f>IF((0=1),SUMIFS('Daily evaluations'!$I$2:$I$36,'Daily evaluations'!$B$2:$B$36,"=naive_loser1d",'Daily evaluations'!$C$2:$C$36,"=d20261216"),"")</f>
      </c>
      <c r="BL142" s="8">
        <f>IF((0=1),SUMIFS('Daily evaluations'!$I$2:$I$36,'Daily evaluations'!$B$2:$B$36,"=naive_loser1d",'Daily evaluations'!$C$2:$C$36,"=d20261217"),"")</f>
      </c>
      <c r="BM142" s="8">
        <f>IF((0=1),SUMIFS('Daily evaluations'!$I$2:$I$36,'Daily evaluations'!$B$2:$B$36,"=naive_loser1d",'Daily evaluations'!$C$2:$C$36,"=d20261218"),"")</f>
      </c>
      <c r="BN142" s="8">
        <f>IF((0=1),SUMIFS('Daily evaluations'!$I$2:$I$36,'Daily evaluations'!$B$2:$B$36,"=naive_loser1d",'Daily evaluations'!$C$2:$C$36,"=d20261221"),"")</f>
      </c>
      <c r="BO142" s="8">
        <f>IF((0=1),SUMIFS('Daily evaluations'!$I$2:$I$36,'Daily evaluations'!$B$2:$B$36,"=naive_loser1d",'Daily evaluations'!$C$2:$C$36,"=d20261222"),"")</f>
      </c>
      <c r="BP142" s="8">
        <f>IF((0=1),SUMIFS('Daily evaluations'!$I$2:$I$36,'Daily evaluations'!$B$2:$B$36,"=naive_loser1d",'Daily evaluations'!$C$2:$C$36,"=d20261223"),"")</f>
      </c>
      <c r="BQ142" s="8">
        <f>IF((0=1),SUMIFS('Daily evaluations'!$I$2:$I$36,'Daily evaluations'!$B$2:$B$36,"=naive_loser1d",'Daily evaluations'!$C$2:$C$36,"=d20261224"),"")</f>
      </c>
      <c r="BR142" s="8">
        <f>IF((0=1),SUMIFS('Daily evaluations'!$I$2:$I$36,'Daily evaluations'!$B$2:$B$36,"=naive_loser1d",'Daily evaluations'!$C$2:$C$36,"=d20261228"),"")</f>
      </c>
      <c r="BS142" s="8">
        <f>IF((0=1),SUMIFS('Daily evaluations'!$I$2:$I$36,'Daily evaluations'!$B$2:$B$36,"=naive_loser1d",'Daily evaluations'!$C$2:$C$36,"=d20261229"),"")</f>
      </c>
      <c r="BT142" s="8">
        <f>IF((0=1),SUMIFS('Daily evaluations'!$I$2:$I$36,'Daily evaluations'!$B$2:$B$36,"=naive_loser1d",'Daily evaluations'!$C$2:$C$36,"=d20261230"),"")</f>
      </c>
      <c r="BU142" s="8">
        <f>IF((0=1),SUMIFS('Daily evaluations'!$I$2:$I$36,'Daily evaluations'!$B$2:$B$36,"=naive_loser1d",'Daily evaluations'!$C$2:$C$36,"=d20261231"),"")</f>
      </c>
      <c r="BV142" s="8">
        <f>IF((0=1),SUMIFS('Daily evaluations'!$I$2:$I$36,'Daily evaluations'!$B$2:$B$36,"=naive_loser1d",'Daily evaluations'!$C$2:$C$36,"=d20270104"),"")</f>
      </c>
      <c r="BW142" s="8">
        <f>IF((0=1),SUMIFS('Daily evaluations'!$I$2:$I$36,'Daily evaluations'!$B$2:$B$36,"=naive_loser1d",'Daily evaluations'!$C$2:$C$36,"=d20270105"),"")</f>
      </c>
      <c r="BX142" s="8">
        <f>IF((0=1),SUMIFS('Daily evaluations'!$I$2:$I$36,'Daily evaluations'!$B$2:$B$36,"=naive_loser1d",'Daily evaluations'!$C$2:$C$36,"=d20270106"),"")</f>
      </c>
      <c r="BY142" s="8">
        <f>IF((0=1),SUMIFS('Daily evaluations'!$I$2:$I$36,'Daily evaluations'!$B$2:$B$36,"=naive_loser1d",'Daily evaluations'!$C$2:$C$36,"=d20270107"),"")</f>
      </c>
      <c r="BZ142" s="8">
        <f>IF((0=1),SUMIFS('Daily evaluations'!$I$2:$I$36,'Daily evaluations'!$B$2:$B$36,"=naive_loser1d",'Daily evaluations'!$C$2:$C$36,"=d20270108"),"")</f>
      </c>
      <c r="CA142" s="8">
        <f>IF((0=1),SUMIFS('Daily evaluations'!$I$2:$I$36,'Daily evaluations'!$B$2:$B$36,"=naive_loser1d",'Daily evaluations'!$C$2:$C$36,"=d20270111"),"")</f>
      </c>
      <c r="CB142" s="8">
        <f>IF((0=1),SUMIFS('Daily evaluations'!$I$2:$I$36,'Daily evaluations'!$B$2:$B$36,"=naive_loser1d",'Daily evaluations'!$C$2:$C$36,"=d20270112"),"")</f>
      </c>
      <c r="CC142" s="8">
        <f>IF((0=1),SUMIFS('Daily evaluations'!$I$2:$I$36,'Daily evaluations'!$B$2:$B$36,"=naive_loser1d",'Daily evaluations'!$C$2:$C$36,"=d20270113"),"")</f>
      </c>
      <c r="CD142" s="8">
        <f>IF((0=1),SUMIFS('Daily evaluations'!$I$2:$I$36,'Daily evaluations'!$B$2:$B$36,"=naive_loser1d",'Daily evaluations'!$C$2:$C$36,"=d20270114"),"")</f>
      </c>
      <c r="CE142" s="8">
        <f>IF((0=1),SUMIFS('Daily evaluations'!$I$2:$I$36,'Daily evaluations'!$B$2:$B$36,"=naive_loser1d",'Daily evaluations'!$C$2:$C$36,"=d20270115"),"")</f>
      </c>
      <c r="CF142" s="8">
        <f>IF((0=1),SUMIFS('Daily evaluations'!$I$2:$I$36,'Daily evaluations'!$B$2:$B$36,"=naive_loser1d",'Daily evaluations'!$C$2:$C$36,"=d20270119"),"")</f>
      </c>
      <c r="CG142" s="8">
        <f>IF((0=1),SUMIFS('Daily evaluations'!$I$2:$I$36,'Daily evaluations'!$B$2:$B$36,"=naive_loser1d",'Daily evaluations'!$C$2:$C$36,"=d20270120"),"")</f>
      </c>
      <c r="CH142" s="8">
        <f>IF((0=1),SUMIFS('Daily evaluations'!$I$2:$I$36,'Daily evaluations'!$B$2:$B$36,"=naive_loser1d",'Daily evaluations'!$C$2:$C$36,"=d20270121"),"")</f>
      </c>
      <c r="CI142" s="8">
        <f>IF((0=1),SUMIFS('Daily evaluations'!$I$2:$I$36,'Daily evaluations'!$B$2:$B$36,"=naive_loser1d",'Daily evaluations'!$C$2:$C$36,"=d20270122"),"")</f>
      </c>
      <c r="CJ142" s="8">
        <f>IF((0=1),SUMIFS('Daily evaluations'!$I$2:$I$36,'Daily evaluations'!$B$2:$B$36,"=naive_loser1d",'Daily evaluations'!$C$2:$C$36,"=d20270125"),"")</f>
      </c>
      <c r="CK142" s="8">
        <f>IF((0=1),SUMIFS('Daily evaluations'!$I$2:$I$36,'Daily evaluations'!$B$2:$B$36,"=naive_loser1d",'Daily evaluations'!$C$2:$C$36,"=d20270126"),"")</f>
      </c>
      <c r="CL142" s="8">
        <f>IF((0=1),SUMIFS('Daily evaluations'!$I$2:$I$36,'Daily evaluations'!$B$2:$B$36,"=naive_loser1d",'Daily evaluations'!$C$2:$C$36,"=d20270127"),"")</f>
      </c>
      <c r="CM142" s="8">
        <f>IF((0=1),SUMIFS('Daily evaluations'!$I$2:$I$36,'Daily evaluations'!$B$2:$B$36,"=naive_loser1d",'Daily evaluations'!$C$2:$C$36,"=d20270128"),"")</f>
      </c>
      <c r="CN142" s="8">
        <f>IF((0=1),SUMIFS('Daily evaluations'!$I$2:$I$36,'Daily evaluations'!$B$2:$B$36,"=naive_loser1d",'Daily evaluations'!$C$2:$C$36,"=d20270129"),"")</f>
      </c>
      <c r="CO142" s="8">
        <f>IF((0=1),SUMIFS('Daily evaluations'!$I$2:$I$36,'Daily evaluations'!$B$2:$B$36,"=naive_loser1d",'Daily evaluations'!$C$2:$C$36,"=d20270201"),"")</f>
      </c>
      <c r="CP142" s="8">
        <f>IF((0=1),SUMIFS('Daily evaluations'!$I$2:$I$36,'Daily evaluations'!$B$2:$B$36,"=naive_loser1d",'Daily evaluations'!$C$2:$C$36,"=d20270202"),"")</f>
      </c>
      <c r="CQ142" s="8">
        <f>IF((0=1),SUMIFS('Daily evaluations'!$I$2:$I$36,'Daily evaluations'!$B$2:$B$36,"=naive_loser1d",'Daily evaluations'!$C$2:$C$36,"=d20270203"),"")</f>
      </c>
      <c r="CR142" s="8">
        <f>IF((0=1),SUMIFS('Daily evaluations'!$I$2:$I$36,'Daily evaluations'!$B$2:$B$36,"=naive_loser1d",'Daily evaluations'!$C$2:$C$36,"=d20270204"),"")</f>
      </c>
      <c r="CS142" s="8">
        <f>IF((0=1),SUMIFS('Daily evaluations'!$I$2:$I$36,'Daily evaluations'!$B$2:$B$36,"=naive_loser1d",'Daily evaluations'!$C$2:$C$36,"=d20270205"),"")</f>
      </c>
      <c r="CT142" s="8">
        <f>IF((0=1),SUMIFS('Daily evaluations'!$I$2:$I$36,'Daily evaluations'!$B$2:$B$36,"=naive_loser1d",'Daily evaluations'!$C$2:$C$36,"=d20270208"),"")</f>
      </c>
      <c r="CU142" s="8">
        <f>IF((0=1),SUMIFS('Daily evaluations'!$I$2:$I$36,'Daily evaluations'!$B$2:$B$36,"=naive_loser1d",'Daily evaluations'!$C$2:$C$36,"=d20270209"),"")</f>
      </c>
      <c r="CV142" s="8">
        <f>IF((0=1),SUMIFS('Daily evaluations'!$I$2:$I$36,'Daily evaluations'!$B$2:$B$36,"=naive_loser1d",'Daily evaluations'!$C$2:$C$36,"=d20270210"),"")</f>
      </c>
      <c r="CW142" s="8">
        <f>IF((0=1),SUMIFS('Daily evaluations'!$I$2:$I$36,'Daily evaluations'!$B$2:$B$36,"=naive_loser1d",'Daily evaluations'!$C$2:$C$36,"=d20270211"),"")</f>
      </c>
      <c r="CX142" s="8">
        <f>IF((0=1),SUMIFS('Daily evaluations'!$I$2:$I$36,'Daily evaluations'!$B$2:$B$36,"=naive_loser1d",'Daily evaluations'!$C$2:$C$36,"=d20270212"),"")</f>
      </c>
    </row>
    <row r="143">
      <c r="A143" s="0" t="inlineStr">
        <is>
          <t xml:space="preserve">Information coefficient</t>
        </is>
      </c>
      <c r="B143" s="0" t="inlineStr">
        <is>
          <t xml:space="preserve">lowest 100 by 60-day volatility</t>
        </is>
      </c>
      <c r="C143" s="8">
        <f>IF((1=1),SUMIFS('Daily evaluations'!$I$2:$I$36,'Daily evaluations'!$B$2:$B$36,"=naive_lowvol",'Daily evaluations'!$C$2:$C$36,"=d20260922"),"")</f>
        <v>-0.0239</v>
      </c>
      <c r="D143" s="8">
        <f>IF((0=1),SUMIFS('Daily evaluations'!$I$2:$I$36,'Daily evaluations'!$B$2:$B$36,"=naive_lowvol",'Daily evaluations'!$C$2:$C$36,"=d20260923"),"")</f>
      </c>
      <c r="E143" s="8">
        <f>IF((0=1),SUMIFS('Daily evaluations'!$I$2:$I$36,'Daily evaluations'!$B$2:$B$36,"=naive_lowvol",'Daily evaluations'!$C$2:$C$36,"=d20260924"),"")</f>
      </c>
      <c r="F143" s="8">
        <f>IF((0=1),SUMIFS('Daily evaluations'!$I$2:$I$36,'Daily evaluations'!$B$2:$B$36,"=naive_lowvol",'Daily evaluations'!$C$2:$C$36,"=d20260925"),"")</f>
      </c>
      <c r="G143" s="8">
        <f>IF((0=1),SUMIFS('Daily evaluations'!$I$2:$I$36,'Daily evaluations'!$B$2:$B$36,"=naive_lowvol",'Daily evaluations'!$C$2:$C$36,"=d20260928"),"")</f>
      </c>
      <c r="H143" s="8">
        <f>IF((0=1),SUMIFS('Daily evaluations'!$I$2:$I$36,'Daily evaluations'!$B$2:$B$36,"=naive_lowvol",'Daily evaluations'!$C$2:$C$36,"=d20260929"),"")</f>
      </c>
      <c r="I143" s="8">
        <f>IF((0=1),SUMIFS('Daily evaluations'!$I$2:$I$36,'Daily evaluations'!$B$2:$B$36,"=naive_lowvol",'Daily evaluations'!$C$2:$C$36,"=d20260930"),"")</f>
      </c>
      <c r="J143" s="8">
        <f>IF((0=1),SUMIFS('Daily evaluations'!$I$2:$I$36,'Daily evaluations'!$B$2:$B$36,"=naive_lowvol",'Daily evaluations'!$C$2:$C$36,"=d20261001"),"")</f>
      </c>
      <c r="K143" s="8">
        <f>IF((0=1),SUMIFS('Daily evaluations'!$I$2:$I$36,'Daily evaluations'!$B$2:$B$36,"=naive_lowvol",'Daily evaluations'!$C$2:$C$36,"=d20261002"),"")</f>
      </c>
      <c r="L143" s="8">
        <f>IF((0=1),SUMIFS('Daily evaluations'!$I$2:$I$36,'Daily evaluations'!$B$2:$B$36,"=naive_lowvol",'Daily evaluations'!$C$2:$C$36,"=d20261005"),"")</f>
      </c>
      <c r="M143" s="8">
        <f>IF((0=1),SUMIFS('Daily evaluations'!$I$2:$I$36,'Daily evaluations'!$B$2:$B$36,"=naive_lowvol",'Daily evaluations'!$C$2:$C$36,"=d20261006"),"")</f>
      </c>
      <c r="N143" s="8">
        <f>IF((0=1),SUMIFS('Daily evaluations'!$I$2:$I$36,'Daily evaluations'!$B$2:$B$36,"=naive_lowvol",'Daily evaluations'!$C$2:$C$36,"=d20261007"),"")</f>
      </c>
      <c r="O143" s="8">
        <f>IF((0=1),SUMIFS('Daily evaluations'!$I$2:$I$36,'Daily evaluations'!$B$2:$B$36,"=naive_lowvol",'Daily evaluations'!$C$2:$C$36,"=d20261008"),"")</f>
      </c>
      <c r="P143" s="8">
        <f>IF((0=1),SUMIFS('Daily evaluations'!$I$2:$I$36,'Daily evaluations'!$B$2:$B$36,"=naive_lowvol",'Daily evaluations'!$C$2:$C$36,"=d20261009"),"")</f>
      </c>
      <c r="Q143" s="8">
        <f>IF((0=1),SUMIFS('Daily evaluations'!$I$2:$I$36,'Daily evaluations'!$B$2:$B$36,"=naive_lowvol",'Daily evaluations'!$C$2:$C$36,"=d20261012"),"")</f>
      </c>
      <c r="R143" s="8">
        <f>IF((0=1),SUMIFS('Daily evaluations'!$I$2:$I$36,'Daily evaluations'!$B$2:$B$36,"=naive_lowvol",'Daily evaluations'!$C$2:$C$36,"=d20261013"),"")</f>
      </c>
      <c r="S143" s="8">
        <f>IF((0=1),SUMIFS('Daily evaluations'!$I$2:$I$36,'Daily evaluations'!$B$2:$B$36,"=naive_lowvol",'Daily evaluations'!$C$2:$C$36,"=d20261014"),"")</f>
      </c>
      <c r="T143" s="8">
        <f>IF((0=1),SUMIFS('Daily evaluations'!$I$2:$I$36,'Daily evaluations'!$B$2:$B$36,"=naive_lowvol",'Daily evaluations'!$C$2:$C$36,"=d20261015"),"")</f>
      </c>
      <c r="U143" s="8">
        <f>IF((0=1),SUMIFS('Daily evaluations'!$I$2:$I$36,'Daily evaluations'!$B$2:$B$36,"=naive_lowvol",'Daily evaluations'!$C$2:$C$36,"=d20261016"),"")</f>
      </c>
      <c r="V143" s="8">
        <f>IF((0=1),SUMIFS('Daily evaluations'!$I$2:$I$36,'Daily evaluations'!$B$2:$B$36,"=naive_lowvol",'Daily evaluations'!$C$2:$C$36,"=d20261019"),"")</f>
      </c>
      <c r="W143" s="8">
        <f>IF((0=1),SUMIFS('Daily evaluations'!$I$2:$I$36,'Daily evaluations'!$B$2:$B$36,"=naive_lowvol",'Daily evaluations'!$C$2:$C$36,"=d20261020"),"")</f>
      </c>
      <c r="X143" s="8">
        <f>IF((0=1),SUMIFS('Daily evaluations'!$I$2:$I$36,'Daily evaluations'!$B$2:$B$36,"=naive_lowvol",'Daily evaluations'!$C$2:$C$36,"=d20261021"),"")</f>
      </c>
      <c r="Y143" s="8">
        <f>IF((0=1),SUMIFS('Daily evaluations'!$I$2:$I$36,'Daily evaluations'!$B$2:$B$36,"=naive_lowvol",'Daily evaluations'!$C$2:$C$36,"=d20261022"),"")</f>
      </c>
      <c r="Z143" s="8">
        <f>IF((0=1),SUMIFS('Daily evaluations'!$I$2:$I$36,'Daily evaluations'!$B$2:$B$36,"=naive_lowvol",'Daily evaluations'!$C$2:$C$36,"=d20261023"),"")</f>
      </c>
      <c r="AA143" s="8">
        <f>IF((0=1),SUMIFS('Daily evaluations'!$I$2:$I$36,'Daily evaluations'!$B$2:$B$36,"=naive_lowvol",'Daily evaluations'!$C$2:$C$36,"=d20261026"),"")</f>
      </c>
      <c r="AB143" s="8">
        <f>IF((0=1),SUMIFS('Daily evaluations'!$I$2:$I$36,'Daily evaluations'!$B$2:$B$36,"=naive_lowvol",'Daily evaluations'!$C$2:$C$36,"=d20261027"),"")</f>
      </c>
      <c r="AC143" s="8">
        <f>IF((0=1),SUMIFS('Daily evaluations'!$I$2:$I$36,'Daily evaluations'!$B$2:$B$36,"=naive_lowvol",'Daily evaluations'!$C$2:$C$36,"=d20261028"),"")</f>
      </c>
      <c r="AD143" s="8">
        <f>IF((0=1),SUMIFS('Daily evaluations'!$I$2:$I$36,'Daily evaluations'!$B$2:$B$36,"=naive_lowvol",'Daily evaluations'!$C$2:$C$36,"=d20261029"),"")</f>
      </c>
      <c r="AE143" s="8">
        <f>IF((0=1),SUMIFS('Daily evaluations'!$I$2:$I$36,'Daily evaluations'!$B$2:$B$36,"=naive_lowvol",'Daily evaluations'!$C$2:$C$36,"=d20261030"),"")</f>
      </c>
      <c r="AF143" s="8">
        <f>IF((0=1),SUMIFS('Daily evaluations'!$I$2:$I$36,'Daily evaluations'!$B$2:$B$36,"=naive_lowvol",'Daily evaluations'!$C$2:$C$36,"=d20261102"),"")</f>
      </c>
      <c r="AG143" s="8">
        <f>IF((0=1),SUMIFS('Daily evaluations'!$I$2:$I$36,'Daily evaluations'!$B$2:$B$36,"=naive_lowvol",'Daily evaluations'!$C$2:$C$36,"=d20261103"),"")</f>
      </c>
      <c r="AH143" s="8">
        <f>IF((0=1),SUMIFS('Daily evaluations'!$I$2:$I$36,'Daily evaluations'!$B$2:$B$36,"=naive_lowvol",'Daily evaluations'!$C$2:$C$36,"=d20261104"),"")</f>
      </c>
      <c r="AI143" s="8">
        <f>IF((0=1),SUMIFS('Daily evaluations'!$I$2:$I$36,'Daily evaluations'!$B$2:$B$36,"=naive_lowvol",'Daily evaluations'!$C$2:$C$36,"=d20261105"),"")</f>
      </c>
      <c r="AJ143" s="8">
        <f>IF((0=1),SUMIFS('Daily evaluations'!$I$2:$I$36,'Daily evaluations'!$B$2:$B$36,"=naive_lowvol",'Daily evaluations'!$C$2:$C$36,"=d20261106"),"")</f>
      </c>
      <c r="AK143" s="8">
        <f>IF((0=1),SUMIFS('Daily evaluations'!$I$2:$I$36,'Daily evaluations'!$B$2:$B$36,"=naive_lowvol",'Daily evaluations'!$C$2:$C$36,"=d20261109"),"")</f>
      </c>
      <c r="AL143" s="8">
        <f>IF((0=1),SUMIFS('Daily evaluations'!$I$2:$I$36,'Daily evaluations'!$B$2:$B$36,"=naive_lowvol",'Daily evaluations'!$C$2:$C$36,"=d20261110"),"")</f>
      </c>
      <c r="AM143" s="8">
        <f>IF((0=1),SUMIFS('Daily evaluations'!$I$2:$I$36,'Daily evaluations'!$B$2:$B$36,"=naive_lowvol",'Daily evaluations'!$C$2:$C$36,"=d20261111"),"")</f>
      </c>
      <c r="AN143" s="8">
        <f>IF((0=1),SUMIFS('Daily evaluations'!$I$2:$I$36,'Daily evaluations'!$B$2:$B$36,"=naive_lowvol",'Daily evaluations'!$C$2:$C$36,"=d20261112"),"")</f>
      </c>
      <c r="AO143" s="8">
        <f>IF((0=1),SUMIFS('Daily evaluations'!$I$2:$I$36,'Daily evaluations'!$B$2:$B$36,"=naive_lowvol",'Daily evaluations'!$C$2:$C$36,"=d20261113"),"")</f>
      </c>
      <c r="AP143" s="8">
        <f>IF((0=1),SUMIFS('Daily evaluations'!$I$2:$I$36,'Daily evaluations'!$B$2:$B$36,"=naive_lowvol",'Daily evaluations'!$C$2:$C$36,"=d20261116"),"")</f>
      </c>
      <c r="AQ143" s="8">
        <f>IF((0=1),SUMIFS('Daily evaluations'!$I$2:$I$36,'Daily evaluations'!$B$2:$B$36,"=naive_lowvol",'Daily evaluations'!$C$2:$C$36,"=d20261117"),"")</f>
      </c>
      <c r="AR143" s="8">
        <f>IF((0=1),SUMIFS('Daily evaluations'!$I$2:$I$36,'Daily evaluations'!$B$2:$B$36,"=naive_lowvol",'Daily evaluations'!$C$2:$C$36,"=d20261118"),"")</f>
      </c>
      <c r="AS143" s="8">
        <f>IF((0=1),SUMIFS('Daily evaluations'!$I$2:$I$36,'Daily evaluations'!$B$2:$B$36,"=naive_lowvol",'Daily evaluations'!$C$2:$C$36,"=d20261119"),"")</f>
      </c>
      <c r="AT143" s="8">
        <f>IF((0=1),SUMIFS('Daily evaluations'!$I$2:$I$36,'Daily evaluations'!$B$2:$B$36,"=naive_lowvol",'Daily evaluations'!$C$2:$C$36,"=d20261120"),"")</f>
      </c>
      <c r="AU143" s="8">
        <f>IF((0=1),SUMIFS('Daily evaluations'!$I$2:$I$36,'Daily evaluations'!$B$2:$B$36,"=naive_lowvol",'Daily evaluations'!$C$2:$C$36,"=d20261123"),"")</f>
      </c>
      <c r="AV143" s="8">
        <f>IF((0=1),SUMIFS('Daily evaluations'!$I$2:$I$36,'Daily evaluations'!$B$2:$B$36,"=naive_lowvol",'Daily evaluations'!$C$2:$C$36,"=d20261124"),"")</f>
      </c>
      <c r="AW143" s="8">
        <f>IF((0=1),SUMIFS('Daily evaluations'!$I$2:$I$36,'Daily evaluations'!$B$2:$B$36,"=naive_lowvol",'Daily evaluations'!$C$2:$C$36,"=d20261125"),"")</f>
      </c>
      <c r="AX143" s="8">
        <f>IF((0=1),SUMIFS('Daily evaluations'!$I$2:$I$36,'Daily evaluations'!$B$2:$B$36,"=naive_lowvol",'Daily evaluations'!$C$2:$C$36,"=d20261127"),"")</f>
      </c>
      <c r="AY143" s="8">
        <f>IF((0=1),SUMIFS('Daily evaluations'!$I$2:$I$36,'Daily evaluations'!$B$2:$B$36,"=naive_lowvol",'Daily evaluations'!$C$2:$C$36,"=d20261130"),"")</f>
      </c>
      <c r="AZ143" s="8">
        <f>IF((0=1),SUMIFS('Daily evaluations'!$I$2:$I$36,'Daily evaluations'!$B$2:$B$36,"=naive_lowvol",'Daily evaluations'!$C$2:$C$36,"=d20261201"),"")</f>
      </c>
      <c r="BA143" s="8">
        <f>IF((0=1),SUMIFS('Daily evaluations'!$I$2:$I$36,'Daily evaluations'!$B$2:$B$36,"=naive_lowvol",'Daily evaluations'!$C$2:$C$36,"=d20261202"),"")</f>
      </c>
      <c r="BB143" s="8">
        <f>IF((0=1),SUMIFS('Daily evaluations'!$I$2:$I$36,'Daily evaluations'!$B$2:$B$36,"=naive_lowvol",'Daily evaluations'!$C$2:$C$36,"=d20261203"),"")</f>
      </c>
      <c r="BC143" s="8">
        <f>IF((0=1),SUMIFS('Daily evaluations'!$I$2:$I$36,'Daily evaluations'!$B$2:$B$36,"=naive_lowvol",'Daily evaluations'!$C$2:$C$36,"=d20261204"),"")</f>
      </c>
      <c r="BD143" s="8">
        <f>IF((0=1),SUMIFS('Daily evaluations'!$I$2:$I$36,'Daily evaluations'!$B$2:$B$36,"=naive_lowvol",'Daily evaluations'!$C$2:$C$36,"=d20261207"),"")</f>
      </c>
      <c r="BE143" s="8">
        <f>IF((0=1),SUMIFS('Daily evaluations'!$I$2:$I$36,'Daily evaluations'!$B$2:$B$36,"=naive_lowvol",'Daily evaluations'!$C$2:$C$36,"=d20261208"),"")</f>
      </c>
      <c r="BF143" s="8">
        <f>IF((0=1),SUMIFS('Daily evaluations'!$I$2:$I$36,'Daily evaluations'!$B$2:$B$36,"=naive_lowvol",'Daily evaluations'!$C$2:$C$36,"=d20261209"),"")</f>
      </c>
      <c r="BG143" s="8">
        <f>IF((0=1),SUMIFS('Daily evaluations'!$I$2:$I$36,'Daily evaluations'!$B$2:$B$36,"=naive_lowvol",'Daily evaluations'!$C$2:$C$36,"=d20261210"),"")</f>
      </c>
      <c r="BH143" s="8">
        <f>IF((0=1),SUMIFS('Daily evaluations'!$I$2:$I$36,'Daily evaluations'!$B$2:$B$36,"=naive_lowvol",'Daily evaluations'!$C$2:$C$36,"=d20261211"),"")</f>
      </c>
      <c r="BI143" s="8">
        <f>IF((0=1),SUMIFS('Daily evaluations'!$I$2:$I$36,'Daily evaluations'!$B$2:$B$36,"=naive_lowvol",'Daily evaluations'!$C$2:$C$36,"=d20261214"),"")</f>
      </c>
      <c r="BJ143" s="8">
        <f>IF((0=1),SUMIFS('Daily evaluations'!$I$2:$I$36,'Daily evaluations'!$B$2:$B$36,"=naive_lowvol",'Daily evaluations'!$C$2:$C$36,"=d20261215"),"")</f>
      </c>
      <c r="BK143" s="8">
        <f>IF((0=1),SUMIFS('Daily evaluations'!$I$2:$I$36,'Daily evaluations'!$B$2:$B$36,"=naive_lowvol",'Daily evaluations'!$C$2:$C$36,"=d20261216"),"")</f>
      </c>
      <c r="BL143" s="8">
        <f>IF((0=1),SUMIFS('Daily evaluations'!$I$2:$I$36,'Daily evaluations'!$B$2:$B$36,"=naive_lowvol",'Daily evaluations'!$C$2:$C$36,"=d20261217"),"")</f>
      </c>
      <c r="BM143" s="8">
        <f>IF((0=1),SUMIFS('Daily evaluations'!$I$2:$I$36,'Daily evaluations'!$B$2:$B$36,"=naive_lowvol",'Daily evaluations'!$C$2:$C$36,"=d20261218"),"")</f>
      </c>
      <c r="BN143" s="8">
        <f>IF((0=1),SUMIFS('Daily evaluations'!$I$2:$I$36,'Daily evaluations'!$B$2:$B$36,"=naive_lowvol",'Daily evaluations'!$C$2:$C$36,"=d20261221"),"")</f>
      </c>
      <c r="BO143" s="8">
        <f>IF((0=1),SUMIFS('Daily evaluations'!$I$2:$I$36,'Daily evaluations'!$B$2:$B$36,"=naive_lowvol",'Daily evaluations'!$C$2:$C$36,"=d20261222"),"")</f>
      </c>
      <c r="BP143" s="8">
        <f>IF((0=1),SUMIFS('Daily evaluations'!$I$2:$I$36,'Daily evaluations'!$B$2:$B$36,"=naive_lowvol",'Daily evaluations'!$C$2:$C$36,"=d20261223"),"")</f>
      </c>
      <c r="BQ143" s="8">
        <f>IF((0=1),SUMIFS('Daily evaluations'!$I$2:$I$36,'Daily evaluations'!$B$2:$B$36,"=naive_lowvol",'Daily evaluations'!$C$2:$C$36,"=d20261224"),"")</f>
      </c>
      <c r="BR143" s="8">
        <f>IF((0=1),SUMIFS('Daily evaluations'!$I$2:$I$36,'Daily evaluations'!$B$2:$B$36,"=naive_lowvol",'Daily evaluations'!$C$2:$C$36,"=d20261228"),"")</f>
      </c>
      <c r="BS143" s="8">
        <f>IF((0=1),SUMIFS('Daily evaluations'!$I$2:$I$36,'Daily evaluations'!$B$2:$B$36,"=naive_lowvol",'Daily evaluations'!$C$2:$C$36,"=d20261229"),"")</f>
      </c>
      <c r="BT143" s="8">
        <f>IF((0=1),SUMIFS('Daily evaluations'!$I$2:$I$36,'Daily evaluations'!$B$2:$B$36,"=naive_lowvol",'Daily evaluations'!$C$2:$C$36,"=d20261230"),"")</f>
      </c>
      <c r="BU143" s="8">
        <f>IF((0=1),SUMIFS('Daily evaluations'!$I$2:$I$36,'Daily evaluations'!$B$2:$B$36,"=naive_lowvol",'Daily evaluations'!$C$2:$C$36,"=d20261231"),"")</f>
      </c>
      <c r="BV143" s="8">
        <f>IF((0=1),SUMIFS('Daily evaluations'!$I$2:$I$36,'Daily evaluations'!$B$2:$B$36,"=naive_lowvol",'Daily evaluations'!$C$2:$C$36,"=d20270104"),"")</f>
      </c>
      <c r="BW143" s="8">
        <f>IF((0=1),SUMIFS('Daily evaluations'!$I$2:$I$36,'Daily evaluations'!$B$2:$B$36,"=naive_lowvol",'Daily evaluations'!$C$2:$C$36,"=d20270105"),"")</f>
      </c>
      <c r="BX143" s="8">
        <f>IF((0=1),SUMIFS('Daily evaluations'!$I$2:$I$36,'Daily evaluations'!$B$2:$B$36,"=naive_lowvol",'Daily evaluations'!$C$2:$C$36,"=d20270106"),"")</f>
      </c>
      <c r="BY143" s="8">
        <f>IF((0=1),SUMIFS('Daily evaluations'!$I$2:$I$36,'Daily evaluations'!$B$2:$B$36,"=naive_lowvol",'Daily evaluations'!$C$2:$C$36,"=d20270107"),"")</f>
      </c>
      <c r="BZ143" s="8">
        <f>IF((0=1),SUMIFS('Daily evaluations'!$I$2:$I$36,'Daily evaluations'!$B$2:$B$36,"=naive_lowvol",'Daily evaluations'!$C$2:$C$36,"=d20270108"),"")</f>
      </c>
      <c r="CA143" s="8">
        <f>IF((0=1),SUMIFS('Daily evaluations'!$I$2:$I$36,'Daily evaluations'!$B$2:$B$36,"=naive_lowvol",'Daily evaluations'!$C$2:$C$36,"=d20270111"),"")</f>
      </c>
      <c r="CB143" s="8">
        <f>IF((0=1),SUMIFS('Daily evaluations'!$I$2:$I$36,'Daily evaluations'!$B$2:$B$36,"=naive_lowvol",'Daily evaluations'!$C$2:$C$36,"=d20270112"),"")</f>
      </c>
      <c r="CC143" s="8">
        <f>IF((0=1),SUMIFS('Daily evaluations'!$I$2:$I$36,'Daily evaluations'!$B$2:$B$36,"=naive_lowvol",'Daily evaluations'!$C$2:$C$36,"=d20270113"),"")</f>
      </c>
      <c r="CD143" s="8">
        <f>IF((0=1),SUMIFS('Daily evaluations'!$I$2:$I$36,'Daily evaluations'!$B$2:$B$36,"=naive_lowvol",'Daily evaluations'!$C$2:$C$36,"=d20270114"),"")</f>
      </c>
      <c r="CE143" s="8">
        <f>IF((0=1),SUMIFS('Daily evaluations'!$I$2:$I$36,'Daily evaluations'!$B$2:$B$36,"=naive_lowvol",'Daily evaluations'!$C$2:$C$36,"=d20270115"),"")</f>
      </c>
      <c r="CF143" s="8">
        <f>IF((0=1),SUMIFS('Daily evaluations'!$I$2:$I$36,'Daily evaluations'!$B$2:$B$36,"=naive_lowvol",'Daily evaluations'!$C$2:$C$36,"=d20270119"),"")</f>
      </c>
      <c r="CG143" s="8">
        <f>IF((0=1),SUMIFS('Daily evaluations'!$I$2:$I$36,'Daily evaluations'!$B$2:$B$36,"=naive_lowvol",'Daily evaluations'!$C$2:$C$36,"=d20270120"),"")</f>
      </c>
      <c r="CH143" s="8">
        <f>IF((0=1),SUMIFS('Daily evaluations'!$I$2:$I$36,'Daily evaluations'!$B$2:$B$36,"=naive_lowvol",'Daily evaluations'!$C$2:$C$36,"=d20270121"),"")</f>
      </c>
      <c r="CI143" s="8">
        <f>IF((0=1),SUMIFS('Daily evaluations'!$I$2:$I$36,'Daily evaluations'!$B$2:$B$36,"=naive_lowvol",'Daily evaluations'!$C$2:$C$36,"=d20270122"),"")</f>
      </c>
      <c r="CJ143" s="8">
        <f>IF((0=1),SUMIFS('Daily evaluations'!$I$2:$I$36,'Daily evaluations'!$B$2:$B$36,"=naive_lowvol",'Daily evaluations'!$C$2:$C$36,"=d20270125"),"")</f>
      </c>
      <c r="CK143" s="8">
        <f>IF((0=1),SUMIFS('Daily evaluations'!$I$2:$I$36,'Daily evaluations'!$B$2:$B$36,"=naive_lowvol",'Daily evaluations'!$C$2:$C$36,"=d20270126"),"")</f>
      </c>
      <c r="CL143" s="8">
        <f>IF((0=1),SUMIFS('Daily evaluations'!$I$2:$I$36,'Daily evaluations'!$B$2:$B$36,"=naive_lowvol",'Daily evaluations'!$C$2:$C$36,"=d20270127"),"")</f>
      </c>
      <c r="CM143" s="8">
        <f>IF((0=1),SUMIFS('Daily evaluations'!$I$2:$I$36,'Daily evaluations'!$B$2:$B$36,"=naive_lowvol",'Daily evaluations'!$C$2:$C$36,"=d20270128"),"")</f>
      </c>
      <c r="CN143" s="8">
        <f>IF((0=1),SUMIFS('Daily evaluations'!$I$2:$I$36,'Daily evaluations'!$B$2:$B$36,"=naive_lowvol",'Daily evaluations'!$C$2:$C$36,"=d20270129"),"")</f>
      </c>
      <c r="CO143" s="8">
        <f>IF((0=1),SUMIFS('Daily evaluations'!$I$2:$I$36,'Daily evaluations'!$B$2:$B$36,"=naive_lowvol",'Daily evaluations'!$C$2:$C$36,"=d20270201"),"")</f>
      </c>
      <c r="CP143" s="8">
        <f>IF((0=1),SUMIFS('Daily evaluations'!$I$2:$I$36,'Daily evaluations'!$B$2:$B$36,"=naive_lowvol",'Daily evaluations'!$C$2:$C$36,"=d20270202"),"")</f>
      </c>
      <c r="CQ143" s="8">
        <f>IF((0=1),SUMIFS('Daily evaluations'!$I$2:$I$36,'Daily evaluations'!$B$2:$B$36,"=naive_lowvol",'Daily evaluations'!$C$2:$C$36,"=d20270203"),"")</f>
      </c>
      <c r="CR143" s="8">
        <f>IF((0=1),SUMIFS('Daily evaluations'!$I$2:$I$36,'Daily evaluations'!$B$2:$B$36,"=naive_lowvol",'Daily evaluations'!$C$2:$C$36,"=d20270204"),"")</f>
      </c>
      <c r="CS143" s="8">
        <f>IF((0=1),SUMIFS('Daily evaluations'!$I$2:$I$36,'Daily evaluations'!$B$2:$B$36,"=naive_lowvol",'Daily evaluations'!$C$2:$C$36,"=d20270205"),"")</f>
      </c>
      <c r="CT143" s="8">
        <f>IF((0=1),SUMIFS('Daily evaluations'!$I$2:$I$36,'Daily evaluations'!$B$2:$B$36,"=naive_lowvol",'Daily evaluations'!$C$2:$C$36,"=d20270208"),"")</f>
      </c>
      <c r="CU143" s="8">
        <f>IF((0=1),SUMIFS('Daily evaluations'!$I$2:$I$36,'Daily evaluations'!$B$2:$B$36,"=naive_lowvol",'Daily evaluations'!$C$2:$C$36,"=d20270209"),"")</f>
      </c>
      <c r="CV143" s="8">
        <f>IF((0=1),SUMIFS('Daily evaluations'!$I$2:$I$36,'Daily evaluations'!$B$2:$B$36,"=naive_lowvol",'Daily evaluations'!$C$2:$C$36,"=d20270210"),"")</f>
      </c>
      <c r="CW143" s="8">
        <f>IF((0=1),SUMIFS('Daily evaluations'!$I$2:$I$36,'Daily evaluations'!$B$2:$B$36,"=naive_lowvol",'Daily evaluations'!$C$2:$C$36,"=d20270211"),"")</f>
      </c>
      <c r="CX143" s="8">
        <f>IF((0=1),SUMIFS('Daily evaluations'!$I$2:$I$36,'Daily evaluations'!$B$2:$B$36,"=naive_lowvol",'Daily evaluations'!$C$2:$C$36,"=d20270212"),"")</f>
      </c>
    </row>
    <row r="144">
      <c r="A144" s="0" t="inlineStr">
        <is>
          <t xml:space="preserve">Information coefficient</t>
        </is>
      </c>
      <c r="B144" s="0" t="inlineStr">
        <is>
          <t xml:space="preserve">largest 100 by market cap</t>
        </is>
      </c>
      <c r="C144" s="8">
        <f>IF((1=1),SUMIFS('Daily evaluations'!$I$2:$I$36,'Daily evaluations'!$B$2:$B$36,"=naive_mcap",'Daily evaluations'!$C$2:$C$36,"=d20260922"),"")</f>
        <v>0.0763</v>
      </c>
      <c r="D144" s="8">
        <f>IF((0=1),SUMIFS('Daily evaluations'!$I$2:$I$36,'Daily evaluations'!$B$2:$B$36,"=naive_mcap",'Daily evaluations'!$C$2:$C$36,"=d20260923"),"")</f>
      </c>
      <c r="E144" s="8">
        <f>IF((0=1),SUMIFS('Daily evaluations'!$I$2:$I$36,'Daily evaluations'!$B$2:$B$36,"=naive_mcap",'Daily evaluations'!$C$2:$C$36,"=d20260924"),"")</f>
      </c>
      <c r="F144" s="8">
        <f>IF((0=1),SUMIFS('Daily evaluations'!$I$2:$I$36,'Daily evaluations'!$B$2:$B$36,"=naive_mcap",'Daily evaluations'!$C$2:$C$36,"=d20260925"),"")</f>
      </c>
      <c r="G144" s="8">
        <f>IF((0=1),SUMIFS('Daily evaluations'!$I$2:$I$36,'Daily evaluations'!$B$2:$B$36,"=naive_mcap",'Daily evaluations'!$C$2:$C$36,"=d20260928"),"")</f>
      </c>
      <c r="H144" s="8">
        <f>IF((0=1),SUMIFS('Daily evaluations'!$I$2:$I$36,'Daily evaluations'!$B$2:$B$36,"=naive_mcap",'Daily evaluations'!$C$2:$C$36,"=d20260929"),"")</f>
      </c>
      <c r="I144" s="8">
        <f>IF((0=1),SUMIFS('Daily evaluations'!$I$2:$I$36,'Daily evaluations'!$B$2:$B$36,"=naive_mcap",'Daily evaluations'!$C$2:$C$36,"=d20260930"),"")</f>
      </c>
      <c r="J144" s="8">
        <f>IF((0=1),SUMIFS('Daily evaluations'!$I$2:$I$36,'Daily evaluations'!$B$2:$B$36,"=naive_mcap",'Daily evaluations'!$C$2:$C$36,"=d20261001"),"")</f>
      </c>
      <c r="K144" s="8">
        <f>IF((0=1),SUMIFS('Daily evaluations'!$I$2:$I$36,'Daily evaluations'!$B$2:$B$36,"=naive_mcap",'Daily evaluations'!$C$2:$C$36,"=d20261002"),"")</f>
      </c>
      <c r="L144" s="8">
        <f>IF((0=1),SUMIFS('Daily evaluations'!$I$2:$I$36,'Daily evaluations'!$B$2:$B$36,"=naive_mcap",'Daily evaluations'!$C$2:$C$36,"=d20261005"),"")</f>
      </c>
      <c r="M144" s="8">
        <f>IF((0=1),SUMIFS('Daily evaluations'!$I$2:$I$36,'Daily evaluations'!$B$2:$B$36,"=naive_mcap",'Daily evaluations'!$C$2:$C$36,"=d20261006"),"")</f>
      </c>
      <c r="N144" s="8">
        <f>IF((0=1),SUMIFS('Daily evaluations'!$I$2:$I$36,'Daily evaluations'!$B$2:$B$36,"=naive_mcap",'Daily evaluations'!$C$2:$C$36,"=d20261007"),"")</f>
      </c>
      <c r="O144" s="8">
        <f>IF((0=1),SUMIFS('Daily evaluations'!$I$2:$I$36,'Daily evaluations'!$B$2:$B$36,"=naive_mcap",'Daily evaluations'!$C$2:$C$36,"=d20261008"),"")</f>
      </c>
      <c r="P144" s="8">
        <f>IF((0=1),SUMIFS('Daily evaluations'!$I$2:$I$36,'Daily evaluations'!$B$2:$B$36,"=naive_mcap",'Daily evaluations'!$C$2:$C$36,"=d20261009"),"")</f>
      </c>
      <c r="Q144" s="8">
        <f>IF((0=1),SUMIFS('Daily evaluations'!$I$2:$I$36,'Daily evaluations'!$B$2:$B$36,"=naive_mcap",'Daily evaluations'!$C$2:$C$36,"=d20261012"),"")</f>
      </c>
      <c r="R144" s="8">
        <f>IF((0=1),SUMIFS('Daily evaluations'!$I$2:$I$36,'Daily evaluations'!$B$2:$B$36,"=naive_mcap",'Daily evaluations'!$C$2:$C$36,"=d20261013"),"")</f>
      </c>
      <c r="S144" s="8">
        <f>IF((0=1),SUMIFS('Daily evaluations'!$I$2:$I$36,'Daily evaluations'!$B$2:$B$36,"=naive_mcap",'Daily evaluations'!$C$2:$C$36,"=d20261014"),"")</f>
      </c>
      <c r="T144" s="8">
        <f>IF((0=1),SUMIFS('Daily evaluations'!$I$2:$I$36,'Daily evaluations'!$B$2:$B$36,"=naive_mcap",'Daily evaluations'!$C$2:$C$36,"=d20261015"),"")</f>
      </c>
      <c r="U144" s="8">
        <f>IF((0=1),SUMIFS('Daily evaluations'!$I$2:$I$36,'Daily evaluations'!$B$2:$B$36,"=naive_mcap",'Daily evaluations'!$C$2:$C$36,"=d20261016"),"")</f>
      </c>
      <c r="V144" s="8">
        <f>IF((0=1),SUMIFS('Daily evaluations'!$I$2:$I$36,'Daily evaluations'!$B$2:$B$36,"=naive_mcap",'Daily evaluations'!$C$2:$C$36,"=d20261019"),"")</f>
      </c>
      <c r="W144" s="8">
        <f>IF((0=1),SUMIFS('Daily evaluations'!$I$2:$I$36,'Daily evaluations'!$B$2:$B$36,"=naive_mcap",'Daily evaluations'!$C$2:$C$36,"=d20261020"),"")</f>
      </c>
      <c r="X144" s="8">
        <f>IF((0=1),SUMIFS('Daily evaluations'!$I$2:$I$36,'Daily evaluations'!$B$2:$B$36,"=naive_mcap",'Daily evaluations'!$C$2:$C$36,"=d20261021"),"")</f>
      </c>
      <c r="Y144" s="8">
        <f>IF((0=1),SUMIFS('Daily evaluations'!$I$2:$I$36,'Daily evaluations'!$B$2:$B$36,"=naive_mcap",'Daily evaluations'!$C$2:$C$36,"=d20261022"),"")</f>
      </c>
      <c r="Z144" s="8">
        <f>IF((0=1),SUMIFS('Daily evaluations'!$I$2:$I$36,'Daily evaluations'!$B$2:$B$36,"=naive_mcap",'Daily evaluations'!$C$2:$C$36,"=d20261023"),"")</f>
      </c>
      <c r="AA144" s="8">
        <f>IF((0=1),SUMIFS('Daily evaluations'!$I$2:$I$36,'Daily evaluations'!$B$2:$B$36,"=naive_mcap",'Daily evaluations'!$C$2:$C$36,"=d20261026"),"")</f>
      </c>
      <c r="AB144" s="8">
        <f>IF((0=1),SUMIFS('Daily evaluations'!$I$2:$I$36,'Daily evaluations'!$B$2:$B$36,"=naive_mcap",'Daily evaluations'!$C$2:$C$36,"=d20261027"),"")</f>
      </c>
      <c r="AC144" s="8">
        <f>IF((0=1),SUMIFS('Daily evaluations'!$I$2:$I$36,'Daily evaluations'!$B$2:$B$36,"=naive_mcap",'Daily evaluations'!$C$2:$C$36,"=d20261028"),"")</f>
      </c>
      <c r="AD144" s="8">
        <f>IF((0=1),SUMIFS('Daily evaluations'!$I$2:$I$36,'Daily evaluations'!$B$2:$B$36,"=naive_mcap",'Daily evaluations'!$C$2:$C$36,"=d20261029"),"")</f>
      </c>
      <c r="AE144" s="8">
        <f>IF((0=1),SUMIFS('Daily evaluations'!$I$2:$I$36,'Daily evaluations'!$B$2:$B$36,"=naive_mcap",'Daily evaluations'!$C$2:$C$36,"=d20261030"),"")</f>
      </c>
      <c r="AF144" s="8">
        <f>IF((0=1),SUMIFS('Daily evaluations'!$I$2:$I$36,'Daily evaluations'!$B$2:$B$36,"=naive_mcap",'Daily evaluations'!$C$2:$C$36,"=d20261102"),"")</f>
      </c>
      <c r="AG144" s="8">
        <f>IF((0=1),SUMIFS('Daily evaluations'!$I$2:$I$36,'Daily evaluations'!$B$2:$B$36,"=naive_mcap",'Daily evaluations'!$C$2:$C$36,"=d20261103"),"")</f>
      </c>
      <c r="AH144" s="8">
        <f>IF((0=1),SUMIFS('Daily evaluations'!$I$2:$I$36,'Daily evaluations'!$B$2:$B$36,"=naive_mcap",'Daily evaluations'!$C$2:$C$36,"=d20261104"),"")</f>
      </c>
      <c r="AI144" s="8">
        <f>IF((0=1),SUMIFS('Daily evaluations'!$I$2:$I$36,'Daily evaluations'!$B$2:$B$36,"=naive_mcap",'Daily evaluations'!$C$2:$C$36,"=d20261105"),"")</f>
      </c>
      <c r="AJ144" s="8">
        <f>IF((0=1),SUMIFS('Daily evaluations'!$I$2:$I$36,'Daily evaluations'!$B$2:$B$36,"=naive_mcap",'Daily evaluations'!$C$2:$C$36,"=d20261106"),"")</f>
      </c>
      <c r="AK144" s="8">
        <f>IF((0=1),SUMIFS('Daily evaluations'!$I$2:$I$36,'Daily evaluations'!$B$2:$B$36,"=naive_mcap",'Daily evaluations'!$C$2:$C$36,"=d20261109"),"")</f>
      </c>
      <c r="AL144" s="8">
        <f>IF((0=1),SUMIFS('Daily evaluations'!$I$2:$I$36,'Daily evaluations'!$B$2:$B$36,"=naive_mcap",'Daily evaluations'!$C$2:$C$36,"=d20261110"),"")</f>
      </c>
      <c r="AM144" s="8">
        <f>IF((0=1),SUMIFS('Daily evaluations'!$I$2:$I$36,'Daily evaluations'!$B$2:$B$36,"=naive_mcap",'Daily evaluations'!$C$2:$C$36,"=d20261111"),"")</f>
      </c>
      <c r="AN144" s="8">
        <f>IF((0=1),SUMIFS('Daily evaluations'!$I$2:$I$36,'Daily evaluations'!$B$2:$B$36,"=naive_mcap",'Daily evaluations'!$C$2:$C$36,"=d20261112"),"")</f>
      </c>
      <c r="AO144" s="8">
        <f>IF((0=1),SUMIFS('Daily evaluations'!$I$2:$I$36,'Daily evaluations'!$B$2:$B$36,"=naive_mcap",'Daily evaluations'!$C$2:$C$36,"=d20261113"),"")</f>
      </c>
      <c r="AP144" s="8">
        <f>IF((0=1),SUMIFS('Daily evaluations'!$I$2:$I$36,'Daily evaluations'!$B$2:$B$36,"=naive_mcap",'Daily evaluations'!$C$2:$C$36,"=d20261116"),"")</f>
      </c>
      <c r="AQ144" s="8">
        <f>IF((0=1),SUMIFS('Daily evaluations'!$I$2:$I$36,'Daily evaluations'!$B$2:$B$36,"=naive_mcap",'Daily evaluations'!$C$2:$C$36,"=d20261117"),"")</f>
      </c>
      <c r="AR144" s="8">
        <f>IF((0=1),SUMIFS('Daily evaluations'!$I$2:$I$36,'Daily evaluations'!$B$2:$B$36,"=naive_mcap",'Daily evaluations'!$C$2:$C$36,"=d20261118"),"")</f>
      </c>
      <c r="AS144" s="8">
        <f>IF((0=1),SUMIFS('Daily evaluations'!$I$2:$I$36,'Daily evaluations'!$B$2:$B$36,"=naive_mcap",'Daily evaluations'!$C$2:$C$36,"=d20261119"),"")</f>
      </c>
      <c r="AT144" s="8">
        <f>IF((0=1),SUMIFS('Daily evaluations'!$I$2:$I$36,'Daily evaluations'!$B$2:$B$36,"=naive_mcap",'Daily evaluations'!$C$2:$C$36,"=d20261120"),"")</f>
      </c>
      <c r="AU144" s="8">
        <f>IF((0=1),SUMIFS('Daily evaluations'!$I$2:$I$36,'Daily evaluations'!$B$2:$B$36,"=naive_mcap",'Daily evaluations'!$C$2:$C$36,"=d20261123"),"")</f>
      </c>
      <c r="AV144" s="8">
        <f>IF((0=1),SUMIFS('Daily evaluations'!$I$2:$I$36,'Daily evaluations'!$B$2:$B$36,"=naive_mcap",'Daily evaluations'!$C$2:$C$36,"=d20261124"),"")</f>
      </c>
      <c r="AW144" s="8">
        <f>IF((0=1),SUMIFS('Daily evaluations'!$I$2:$I$36,'Daily evaluations'!$B$2:$B$36,"=naive_mcap",'Daily evaluations'!$C$2:$C$36,"=d20261125"),"")</f>
      </c>
      <c r="AX144" s="8">
        <f>IF((0=1),SUMIFS('Daily evaluations'!$I$2:$I$36,'Daily evaluations'!$B$2:$B$36,"=naive_mcap",'Daily evaluations'!$C$2:$C$36,"=d20261127"),"")</f>
      </c>
      <c r="AY144" s="8">
        <f>IF((0=1),SUMIFS('Daily evaluations'!$I$2:$I$36,'Daily evaluations'!$B$2:$B$36,"=naive_mcap",'Daily evaluations'!$C$2:$C$36,"=d20261130"),"")</f>
      </c>
      <c r="AZ144" s="8">
        <f>IF((0=1),SUMIFS('Daily evaluations'!$I$2:$I$36,'Daily evaluations'!$B$2:$B$36,"=naive_mcap",'Daily evaluations'!$C$2:$C$36,"=d20261201"),"")</f>
      </c>
      <c r="BA144" s="8">
        <f>IF((0=1),SUMIFS('Daily evaluations'!$I$2:$I$36,'Daily evaluations'!$B$2:$B$36,"=naive_mcap",'Daily evaluations'!$C$2:$C$36,"=d20261202"),"")</f>
      </c>
      <c r="BB144" s="8">
        <f>IF((0=1),SUMIFS('Daily evaluations'!$I$2:$I$36,'Daily evaluations'!$B$2:$B$36,"=naive_mcap",'Daily evaluations'!$C$2:$C$36,"=d20261203"),"")</f>
      </c>
      <c r="BC144" s="8">
        <f>IF((0=1),SUMIFS('Daily evaluations'!$I$2:$I$36,'Daily evaluations'!$B$2:$B$36,"=naive_mcap",'Daily evaluations'!$C$2:$C$36,"=d20261204"),"")</f>
      </c>
      <c r="BD144" s="8">
        <f>IF((0=1),SUMIFS('Daily evaluations'!$I$2:$I$36,'Daily evaluations'!$B$2:$B$36,"=naive_mcap",'Daily evaluations'!$C$2:$C$36,"=d20261207"),"")</f>
      </c>
      <c r="BE144" s="8">
        <f>IF((0=1),SUMIFS('Daily evaluations'!$I$2:$I$36,'Daily evaluations'!$B$2:$B$36,"=naive_mcap",'Daily evaluations'!$C$2:$C$36,"=d20261208"),"")</f>
      </c>
      <c r="BF144" s="8">
        <f>IF((0=1),SUMIFS('Daily evaluations'!$I$2:$I$36,'Daily evaluations'!$B$2:$B$36,"=naive_mcap",'Daily evaluations'!$C$2:$C$36,"=d20261209"),"")</f>
      </c>
      <c r="BG144" s="8">
        <f>IF((0=1),SUMIFS('Daily evaluations'!$I$2:$I$36,'Daily evaluations'!$B$2:$B$36,"=naive_mcap",'Daily evaluations'!$C$2:$C$36,"=d20261210"),"")</f>
      </c>
      <c r="BH144" s="8">
        <f>IF((0=1),SUMIFS('Daily evaluations'!$I$2:$I$36,'Daily evaluations'!$B$2:$B$36,"=naive_mcap",'Daily evaluations'!$C$2:$C$36,"=d20261211"),"")</f>
      </c>
      <c r="BI144" s="8">
        <f>IF((0=1),SUMIFS('Daily evaluations'!$I$2:$I$36,'Daily evaluations'!$B$2:$B$36,"=naive_mcap",'Daily evaluations'!$C$2:$C$36,"=d20261214"),"")</f>
      </c>
      <c r="BJ144" s="8">
        <f>IF((0=1),SUMIFS('Daily evaluations'!$I$2:$I$36,'Daily evaluations'!$B$2:$B$36,"=naive_mcap",'Daily evaluations'!$C$2:$C$36,"=d20261215"),"")</f>
      </c>
      <c r="BK144" s="8">
        <f>IF((0=1),SUMIFS('Daily evaluations'!$I$2:$I$36,'Daily evaluations'!$B$2:$B$36,"=naive_mcap",'Daily evaluations'!$C$2:$C$36,"=d20261216"),"")</f>
      </c>
      <c r="BL144" s="8">
        <f>IF((0=1),SUMIFS('Daily evaluations'!$I$2:$I$36,'Daily evaluations'!$B$2:$B$36,"=naive_mcap",'Daily evaluations'!$C$2:$C$36,"=d20261217"),"")</f>
      </c>
      <c r="BM144" s="8">
        <f>IF((0=1),SUMIFS('Daily evaluations'!$I$2:$I$36,'Daily evaluations'!$B$2:$B$36,"=naive_mcap",'Daily evaluations'!$C$2:$C$36,"=d20261218"),"")</f>
      </c>
      <c r="BN144" s="8">
        <f>IF((0=1),SUMIFS('Daily evaluations'!$I$2:$I$36,'Daily evaluations'!$B$2:$B$36,"=naive_mcap",'Daily evaluations'!$C$2:$C$36,"=d20261221"),"")</f>
      </c>
      <c r="BO144" s="8">
        <f>IF((0=1),SUMIFS('Daily evaluations'!$I$2:$I$36,'Daily evaluations'!$B$2:$B$36,"=naive_mcap",'Daily evaluations'!$C$2:$C$36,"=d20261222"),"")</f>
      </c>
      <c r="BP144" s="8">
        <f>IF((0=1),SUMIFS('Daily evaluations'!$I$2:$I$36,'Daily evaluations'!$B$2:$B$36,"=naive_mcap",'Daily evaluations'!$C$2:$C$36,"=d20261223"),"")</f>
      </c>
      <c r="BQ144" s="8">
        <f>IF((0=1),SUMIFS('Daily evaluations'!$I$2:$I$36,'Daily evaluations'!$B$2:$B$36,"=naive_mcap",'Daily evaluations'!$C$2:$C$36,"=d20261224"),"")</f>
      </c>
      <c r="BR144" s="8">
        <f>IF((0=1),SUMIFS('Daily evaluations'!$I$2:$I$36,'Daily evaluations'!$B$2:$B$36,"=naive_mcap",'Daily evaluations'!$C$2:$C$36,"=d20261228"),"")</f>
      </c>
      <c r="BS144" s="8">
        <f>IF((0=1),SUMIFS('Daily evaluations'!$I$2:$I$36,'Daily evaluations'!$B$2:$B$36,"=naive_mcap",'Daily evaluations'!$C$2:$C$36,"=d20261229"),"")</f>
      </c>
      <c r="BT144" s="8">
        <f>IF((0=1),SUMIFS('Daily evaluations'!$I$2:$I$36,'Daily evaluations'!$B$2:$B$36,"=naive_mcap",'Daily evaluations'!$C$2:$C$36,"=d20261230"),"")</f>
      </c>
      <c r="BU144" s="8">
        <f>IF((0=1),SUMIFS('Daily evaluations'!$I$2:$I$36,'Daily evaluations'!$B$2:$B$36,"=naive_mcap",'Daily evaluations'!$C$2:$C$36,"=d20261231"),"")</f>
      </c>
      <c r="BV144" s="8">
        <f>IF((0=1),SUMIFS('Daily evaluations'!$I$2:$I$36,'Daily evaluations'!$B$2:$B$36,"=naive_mcap",'Daily evaluations'!$C$2:$C$36,"=d20270104"),"")</f>
      </c>
      <c r="BW144" s="8">
        <f>IF((0=1),SUMIFS('Daily evaluations'!$I$2:$I$36,'Daily evaluations'!$B$2:$B$36,"=naive_mcap",'Daily evaluations'!$C$2:$C$36,"=d20270105"),"")</f>
      </c>
      <c r="BX144" s="8">
        <f>IF((0=1),SUMIFS('Daily evaluations'!$I$2:$I$36,'Daily evaluations'!$B$2:$B$36,"=naive_mcap",'Daily evaluations'!$C$2:$C$36,"=d20270106"),"")</f>
      </c>
      <c r="BY144" s="8">
        <f>IF((0=1),SUMIFS('Daily evaluations'!$I$2:$I$36,'Daily evaluations'!$B$2:$B$36,"=naive_mcap",'Daily evaluations'!$C$2:$C$36,"=d20270107"),"")</f>
      </c>
      <c r="BZ144" s="8">
        <f>IF((0=1),SUMIFS('Daily evaluations'!$I$2:$I$36,'Daily evaluations'!$B$2:$B$36,"=naive_mcap",'Daily evaluations'!$C$2:$C$36,"=d20270108"),"")</f>
      </c>
      <c r="CA144" s="8">
        <f>IF((0=1),SUMIFS('Daily evaluations'!$I$2:$I$36,'Daily evaluations'!$B$2:$B$36,"=naive_mcap",'Daily evaluations'!$C$2:$C$36,"=d20270111"),"")</f>
      </c>
      <c r="CB144" s="8">
        <f>IF((0=1),SUMIFS('Daily evaluations'!$I$2:$I$36,'Daily evaluations'!$B$2:$B$36,"=naive_mcap",'Daily evaluations'!$C$2:$C$36,"=d20270112"),"")</f>
      </c>
      <c r="CC144" s="8">
        <f>IF((0=1),SUMIFS('Daily evaluations'!$I$2:$I$36,'Daily evaluations'!$B$2:$B$36,"=naive_mcap",'Daily evaluations'!$C$2:$C$36,"=d20270113"),"")</f>
      </c>
      <c r="CD144" s="8">
        <f>IF((0=1),SUMIFS('Daily evaluations'!$I$2:$I$36,'Daily evaluations'!$B$2:$B$36,"=naive_mcap",'Daily evaluations'!$C$2:$C$36,"=d20270114"),"")</f>
      </c>
      <c r="CE144" s="8">
        <f>IF((0=1),SUMIFS('Daily evaluations'!$I$2:$I$36,'Daily evaluations'!$B$2:$B$36,"=naive_mcap",'Daily evaluations'!$C$2:$C$36,"=d20270115"),"")</f>
      </c>
      <c r="CF144" s="8">
        <f>IF((0=1),SUMIFS('Daily evaluations'!$I$2:$I$36,'Daily evaluations'!$B$2:$B$36,"=naive_mcap",'Daily evaluations'!$C$2:$C$36,"=d20270119"),"")</f>
      </c>
      <c r="CG144" s="8">
        <f>IF((0=1),SUMIFS('Daily evaluations'!$I$2:$I$36,'Daily evaluations'!$B$2:$B$36,"=naive_mcap",'Daily evaluations'!$C$2:$C$36,"=d20270120"),"")</f>
      </c>
      <c r="CH144" s="8">
        <f>IF((0=1),SUMIFS('Daily evaluations'!$I$2:$I$36,'Daily evaluations'!$B$2:$B$36,"=naive_mcap",'Daily evaluations'!$C$2:$C$36,"=d20270121"),"")</f>
      </c>
      <c r="CI144" s="8">
        <f>IF((0=1),SUMIFS('Daily evaluations'!$I$2:$I$36,'Daily evaluations'!$B$2:$B$36,"=naive_mcap",'Daily evaluations'!$C$2:$C$36,"=d20270122"),"")</f>
      </c>
      <c r="CJ144" s="8">
        <f>IF((0=1),SUMIFS('Daily evaluations'!$I$2:$I$36,'Daily evaluations'!$B$2:$B$36,"=naive_mcap",'Daily evaluations'!$C$2:$C$36,"=d20270125"),"")</f>
      </c>
      <c r="CK144" s="8">
        <f>IF((0=1),SUMIFS('Daily evaluations'!$I$2:$I$36,'Daily evaluations'!$B$2:$B$36,"=naive_mcap",'Daily evaluations'!$C$2:$C$36,"=d20270126"),"")</f>
      </c>
      <c r="CL144" s="8">
        <f>IF((0=1),SUMIFS('Daily evaluations'!$I$2:$I$36,'Daily evaluations'!$B$2:$B$36,"=naive_mcap",'Daily evaluations'!$C$2:$C$36,"=d20270127"),"")</f>
      </c>
      <c r="CM144" s="8">
        <f>IF((0=1),SUMIFS('Daily evaluations'!$I$2:$I$36,'Daily evaluations'!$B$2:$B$36,"=naive_mcap",'Daily evaluations'!$C$2:$C$36,"=d20270128"),"")</f>
      </c>
      <c r="CN144" s="8">
        <f>IF((0=1),SUMIFS('Daily evaluations'!$I$2:$I$36,'Daily evaluations'!$B$2:$B$36,"=naive_mcap",'Daily evaluations'!$C$2:$C$36,"=d20270129"),"")</f>
      </c>
      <c r="CO144" s="8">
        <f>IF((0=1),SUMIFS('Daily evaluations'!$I$2:$I$36,'Daily evaluations'!$B$2:$B$36,"=naive_mcap",'Daily evaluations'!$C$2:$C$36,"=d20270201"),"")</f>
      </c>
      <c r="CP144" s="8">
        <f>IF((0=1),SUMIFS('Daily evaluations'!$I$2:$I$36,'Daily evaluations'!$B$2:$B$36,"=naive_mcap",'Daily evaluations'!$C$2:$C$36,"=d20270202"),"")</f>
      </c>
      <c r="CQ144" s="8">
        <f>IF((0=1),SUMIFS('Daily evaluations'!$I$2:$I$36,'Daily evaluations'!$B$2:$B$36,"=naive_mcap",'Daily evaluations'!$C$2:$C$36,"=d20270203"),"")</f>
      </c>
      <c r="CR144" s="8">
        <f>IF((0=1),SUMIFS('Daily evaluations'!$I$2:$I$36,'Daily evaluations'!$B$2:$B$36,"=naive_mcap",'Daily evaluations'!$C$2:$C$36,"=d20270204"),"")</f>
      </c>
      <c r="CS144" s="8">
        <f>IF((0=1),SUMIFS('Daily evaluations'!$I$2:$I$36,'Daily evaluations'!$B$2:$B$36,"=naive_mcap",'Daily evaluations'!$C$2:$C$36,"=d20270205"),"")</f>
      </c>
      <c r="CT144" s="8">
        <f>IF((0=1),SUMIFS('Daily evaluations'!$I$2:$I$36,'Daily evaluations'!$B$2:$B$36,"=naive_mcap",'Daily evaluations'!$C$2:$C$36,"=d20270208"),"")</f>
      </c>
      <c r="CU144" s="8">
        <f>IF((0=1),SUMIFS('Daily evaluations'!$I$2:$I$36,'Daily evaluations'!$B$2:$B$36,"=naive_mcap",'Daily evaluations'!$C$2:$C$36,"=d20270209"),"")</f>
      </c>
      <c r="CV144" s="8">
        <f>IF((0=1),SUMIFS('Daily evaluations'!$I$2:$I$36,'Daily evaluations'!$B$2:$B$36,"=naive_mcap",'Daily evaluations'!$C$2:$C$36,"=d20270210"),"")</f>
      </c>
      <c r="CW144" s="8">
        <f>IF((0=1),SUMIFS('Daily evaluations'!$I$2:$I$36,'Daily evaluations'!$B$2:$B$36,"=naive_mcap",'Daily evaluations'!$C$2:$C$36,"=d20270211"),"")</f>
      </c>
      <c r="CX144" s="8">
        <f>IF((0=1),SUMIFS('Daily evaluations'!$I$2:$I$36,'Daily evaluations'!$B$2:$B$36,"=naive_mcap",'Daily evaluations'!$C$2:$C$36,"=d20270212"),"")</f>
      </c>
    </row>
    <row r="145">
      <c r="A145" s="0" t="inlineStr">
        <is>
          <t xml:space="preserve">Information coefficient</t>
        </is>
      </c>
      <c r="B145" s="0" t="inlineStr">
        <is>
          <t xml:space="preserve">top 100 by 12-1 month return</t>
        </is>
      </c>
      <c r="C145" s="8">
        <f>IF((1=1),SUMIFS('Daily evaluations'!$I$2:$I$36,'Daily evaluations'!$B$2:$B$36,"=naive_mom",'Daily evaluations'!$C$2:$C$36,"=d20260922"),"")</f>
        <v>0.0517</v>
      </c>
      <c r="D145" s="8">
        <f>IF((0=1),SUMIFS('Daily evaluations'!$I$2:$I$36,'Daily evaluations'!$B$2:$B$36,"=naive_mom",'Daily evaluations'!$C$2:$C$36,"=d20260923"),"")</f>
      </c>
      <c r="E145" s="8">
        <f>IF((0=1),SUMIFS('Daily evaluations'!$I$2:$I$36,'Daily evaluations'!$B$2:$B$36,"=naive_mom",'Daily evaluations'!$C$2:$C$36,"=d20260924"),"")</f>
      </c>
      <c r="F145" s="8">
        <f>IF((0=1),SUMIFS('Daily evaluations'!$I$2:$I$36,'Daily evaluations'!$B$2:$B$36,"=naive_mom",'Daily evaluations'!$C$2:$C$36,"=d20260925"),"")</f>
      </c>
      <c r="G145" s="8">
        <f>IF((0=1),SUMIFS('Daily evaluations'!$I$2:$I$36,'Daily evaluations'!$B$2:$B$36,"=naive_mom",'Daily evaluations'!$C$2:$C$36,"=d20260928"),"")</f>
      </c>
      <c r="H145" s="8">
        <f>IF((0=1),SUMIFS('Daily evaluations'!$I$2:$I$36,'Daily evaluations'!$B$2:$B$36,"=naive_mom",'Daily evaluations'!$C$2:$C$36,"=d20260929"),"")</f>
      </c>
      <c r="I145" s="8">
        <f>IF((0=1),SUMIFS('Daily evaluations'!$I$2:$I$36,'Daily evaluations'!$B$2:$B$36,"=naive_mom",'Daily evaluations'!$C$2:$C$36,"=d20260930"),"")</f>
      </c>
      <c r="J145" s="8">
        <f>IF((0=1),SUMIFS('Daily evaluations'!$I$2:$I$36,'Daily evaluations'!$B$2:$B$36,"=naive_mom",'Daily evaluations'!$C$2:$C$36,"=d20261001"),"")</f>
      </c>
      <c r="K145" s="8">
        <f>IF((0=1),SUMIFS('Daily evaluations'!$I$2:$I$36,'Daily evaluations'!$B$2:$B$36,"=naive_mom",'Daily evaluations'!$C$2:$C$36,"=d20261002"),"")</f>
      </c>
      <c r="L145" s="8">
        <f>IF((0=1),SUMIFS('Daily evaluations'!$I$2:$I$36,'Daily evaluations'!$B$2:$B$36,"=naive_mom",'Daily evaluations'!$C$2:$C$36,"=d20261005"),"")</f>
      </c>
      <c r="M145" s="8">
        <f>IF((0=1),SUMIFS('Daily evaluations'!$I$2:$I$36,'Daily evaluations'!$B$2:$B$36,"=naive_mom",'Daily evaluations'!$C$2:$C$36,"=d20261006"),"")</f>
      </c>
      <c r="N145" s="8">
        <f>IF((0=1),SUMIFS('Daily evaluations'!$I$2:$I$36,'Daily evaluations'!$B$2:$B$36,"=naive_mom",'Daily evaluations'!$C$2:$C$36,"=d20261007"),"")</f>
      </c>
      <c r="O145" s="8">
        <f>IF((0=1),SUMIFS('Daily evaluations'!$I$2:$I$36,'Daily evaluations'!$B$2:$B$36,"=naive_mom",'Daily evaluations'!$C$2:$C$36,"=d20261008"),"")</f>
      </c>
      <c r="P145" s="8">
        <f>IF((0=1),SUMIFS('Daily evaluations'!$I$2:$I$36,'Daily evaluations'!$B$2:$B$36,"=naive_mom",'Daily evaluations'!$C$2:$C$36,"=d20261009"),"")</f>
      </c>
      <c r="Q145" s="8">
        <f>IF((0=1),SUMIFS('Daily evaluations'!$I$2:$I$36,'Daily evaluations'!$B$2:$B$36,"=naive_mom",'Daily evaluations'!$C$2:$C$36,"=d20261012"),"")</f>
      </c>
      <c r="R145" s="8">
        <f>IF((0=1),SUMIFS('Daily evaluations'!$I$2:$I$36,'Daily evaluations'!$B$2:$B$36,"=naive_mom",'Daily evaluations'!$C$2:$C$36,"=d20261013"),"")</f>
      </c>
      <c r="S145" s="8">
        <f>IF((0=1),SUMIFS('Daily evaluations'!$I$2:$I$36,'Daily evaluations'!$B$2:$B$36,"=naive_mom",'Daily evaluations'!$C$2:$C$36,"=d20261014"),"")</f>
      </c>
      <c r="T145" s="8">
        <f>IF((0=1),SUMIFS('Daily evaluations'!$I$2:$I$36,'Daily evaluations'!$B$2:$B$36,"=naive_mom",'Daily evaluations'!$C$2:$C$36,"=d20261015"),"")</f>
      </c>
      <c r="U145" s="8">
        <f>IF((0=1),SUMIFS('Daily evaluations'!$I$2:$I$36,'Daily evaluations'!$B$2:$B$36,"=naive_mom",'Daily evaluations'!$C$2:$C$36,"=d20261016"),"")</f>
      </c>
      <c r="V145" s="8">
        <f>IF((0=1),SUMIFS('Daily evaluations'!$I$2:$I$36,'Daily evaluations'!$B$2:$B$36,"=naive_mom",'Daily evaluations'!$C$2:$C$36,"=d20261019"),"")</f>
      </c>
      <c r="W145" s="8">
        <f>IF((0=1),SUMIFS('Daily evaluations'!$I$2:$I$36,'Daily evaluations'!$B$2:$B$36,"=naive_mom",'Daily evaluations'!$C$2:$C$36,"=d20261020"),"")</f>
      </c>
      <c r="X145" s="8">
        <f>IF((0=1),SUMIFS('Daily evaluations'!$I$2:$I$36,'Daily evaluations'!$B$2:$B$36,"=naive_mom",'Daily evaluations'!$C$2:$C$36,"=d20261021"),"")</f>
      </c>
      <c r="Y145" s="8">
        <f>IF((0=1),SUMIFS('Daily evaluations'!$I$2:$I$36,'Daily evaluations'!$B$2:$B$36,"=naive_mom",'Daily evaluations'!$C$2:$C$36,"=d20261022"),"")</f>
      </c>
      <c r="Z145" s="8">
        <f>IF((0=1),SUMIFS('Daily evaluations'!$I$2:$I$36,'Daily evaluations'!$B$2:$B$36,"=naive_mom",'Daily evaluations'!$C$2:$C$36,"=d20261023"),"")</f>
      </c>
      <c r="AA145" s="8">
        <f>IF((0=1),SUMIFS('Daily evaluations'!$I$2:$I$36,'Daily evaluations'!$B$2:$B$36,"=naive_mom",'Daily evaluations'!$C$2:$C$36,"=d20261026"),"")</f>
      </c>
      <c r="AB145" s="8">
        <f>IF((0=1),SUMIFS('Daily evaluations'!$I$2:$I$36,'Daily evaluations'!$B$2:$B$36,"=naive_mom",'Daily evaluations'!$C$2:$C$36,"=d20261027"),"")</f>
      </c>
      <c r="AC145" s="8">
        <f>IF((0=1),SUMIFS('Daily evaluations'!$I$2:$I$36,'Daily evaluations'!$B$2:$B$36,"=naive_mom",'Daily evaluations'!$C$2:$C$36,"=d20261028"),"")</f>
      </c>
      <c r="AD145" s="8">
        <f>IF((0=1),SUMIFS('Daily evaluations'!$I$2:$I$36,'Daily evaluations'!$B$2:$B$36,"=naive_mom",'Daily evaluations'!$C$2:$C$36,"=d20261029"),"")</f>
      </c>
      <c r="AE145" s="8">
        <f>IF((0=1),SUMIFS('Daily evaluations'!$I$2:$I$36,'Daily evaluations'!$B$2:$B$36,"=naive_mom",'Daily evaluations'!$C$2:$C$36,"=d20261030"),"")</f>
      </c>
      <c r="AF145" s="8">
        <f>IF((0=1),SUMIFS('Daily evaluations'!$I$2:$I$36,'Daily evaluations'!$B$2:$B$36,"=naive_mom",'Daily evaluations'!$C$2:$C$36,"=d20261102"),"")</f>
      </c>
      <c r="AG145" s="8">
        <f>IF((0=1),SUMIFS('Daily evaluations'!$I$2:$I$36,'Daily evaluations'!$B$2:$B$36,"=naive_mom",'Daily evaluations'!$C$2:$C$36,"=d20261103"),"")</f>
      </c>
      <c r="AH145" s="8">
        <f>IF((0=1),SUMIFS('Daily evaluations'!$I$2:$I$36,'Daily evaluations'!$B$2:$B$36,"=naive_mom",'Daily evaluations'!$C$2:$C$36,"=d20261104"),"")</f>
      </c>
      <c r="AI145" s="8">
        <f>IF((0=1),SUMIFS('Daily evaluations'!$I$2:$I$36,'Daily evaluations'!$B$2:$B$36,"=naive_mom",'Daily evaluations'!$C$2:$C$36,"=d20261105"),"")</f>
      </c>
      <c r="AJ145" s="8">
        <f>IF((0=1),SUMIFS('Daily evaluations'!$I$2:$I$36,'Daily evaluations'!$B$2:$B$36,"=naive_mom",'Daily evaluations'!$C$2:$C$36,"=d20261106"),"")</f>
      </c>
      <c r="AK145" s="8">
        <f>IF((0=1),SUMIFS('Daily evaluations'!$I$2:$I$36,'Daily evaluations'!$B$2:$B$36,"=naive_mom",'Daily evaluations'!$C$2:$C$36,"=d20261109"),"")</f>
      </c>
      <c r="AL145" s="8">
        <f>IF((0=1),SUMIFS('Daily evaluations'!$I$2:$I$36,'Daily evaluations'!$B$2:$B$36,"=naive_mom",'Daily evaluations'!$C$2:$C$36,"=d20261110"),"")</f>
      </c>
      <c r="AM145" s="8">
        <f>IF((0=1),SUMIFS('Daily evaluations'!$I$2:$I$36,'Daily evaluations'!$B$2:$B$36,"=naive_mom",'Daily evaluations'!$C$2:$C$36,"=d20261111"),"")</f>
      </c>
      <c r="AN145" s="8">
        <f>IF((0=1),SUMIFS('Daily evaluations'!$I$2:$I$36,'Daily evaluations'!$B$2:$B$36,"=naive_mom",'Daily evaluations'!$C$2:$C$36,"=d20261112"),"")</f>
      </c>
      <c r="AO145" s="8">
        <f>IF((0=1),SUMIFS('Daily evaluations'!$I$2:$I$36,'Daily evaluations'!$B$2:$B$36,"=naive_mom",'Daily evaluations'!$C$2:$C$36,"=d20261113"),"")</f>
      </c>
      <c r="AP145" s="8">
        <f>IF((0=1),SUMIFS('Daily evaluations'!$I$2:$I$36,'Daily evaluations'!$B$2:$B$36,"=naive_mom",'Daily evaluations'!$C$2:$C$36,"=d20261116"),"")</f>
      </c>
      <c r="AQ145" s="8">
        <f>IF((0=1),SUMIFS('Daily evaluations'!$I$2:$I$36,'Daily evaluations'!$B$2:$B$36,"=naive_mom",'Daily evaluations'!$C$2:$C$36,"=d20261117"),"")</f>
      </c>
      <c r="AR145" s="8">
        <f>IF((0=1),SUMIFS('Daily evaluations'!$I$2:$I$36,'Daily evaluations'!$B$2:$B$36,"=naive_mom",'Daily evaluations'!$C$2:$C$36,"=d20261118"),"")</f>
      </c>
      <c r="AS145" s="8">
        <f>IF((0=1),SUMIFS('Daily evaluations'!$I$2:$I$36,'Daily evaluations'!$B$2:$B$36,"=naive_mom",'Daily evaluations'!$C$2:$C$36,"=d20261119"),"")</f>
      </c>
      <c r="AT145" s="8">
        <f>IF((0=1),SUMIFS('Daily evaluations'!$I$2:$I$36,'Daily evaluations'!$B$2:$B$36,"=naive_mom",'Daily evaluations'!$C$2:$C$36,"=d20261120"),"")</f>
      </c>
      <c r="AU145" s="8">
        <f>IF((0=1),SUMIFS('Daily evaluations'!$I$2:$I$36,'Daily evaluations'!$B$2:$B$36,"=naive_mom",'Daily evaluations'!$C$2:$C$36,"=d20261123"),"")</f>
      </c>
      <c r="AV145" s="8">
        <f>IF((0=1),SUMIFS('Daily evaluations'!$I$2:$I$36,'Daily evaluations'!$B$2:$B$36,"=naive_mom",'Daily evaluations'!$C$2:$C$36,"=d20261124"),"")</f>
      </c>
      <c r="AW145" s="8">
        <f>IF((0=1),SUMIFS('Daily evaluations'!$I$2:$I$36,'Daily evaluations'!$B$2:$B$36,"=naive_mom",'Daily evaluations'!$C$2:$C$36,"=d20261125"),"")</f>
      </c>
      <c r="AX145" s="8">
        <f>IF((0=1),SUMIFS('Daily evaluations'!$I$2:$I$36,'Daily evaluations'!$B$2:$B$36,"=naive_mom",'Daily evaluations'!$C$2:$C$36,"=d20261127"),"")</f>
      </c>
      <c r="AY145" s="8">
        <f>IF((0=1),SUMIFS('Daily evaluations'!$I$2:$I$36,'Daily evaluations'!$B$2:$B$36,"=naive_mom",'Daily evaluations'!$C$2:$C$36,"=d20261130"),"")</f>
      </c>
      <c r="AZ145" s="8">
        <f>IF((0=1),SUMIFS('Daily evaluations'!$I$2:$I$36,'Daily evaluations'!$B$2:$B$36,"=naive_mom",'Daily evaluations'!$C$2:$C$36,"=d20261201"),"")</f>
      </c>
      <c r="BA145" s="8">
        <f>IF((0=1),SUMIFS('Daily evaluations'!$I$2:$I$36,'Daily evaluations'!$B$2:$B$36,"=naive_mom",'Daily evaluations'!$C$2:$C$36,"=d20261202"),"")</f>
      </c>
      <c r="BB145" s="8">
        <f>IF((0=1),SUMIFS('Daily evaluations'!$I$2:$I$36,'Daily evaluations'!$B$2:$B$36,"=naive_mom",'Daily evaluations'!$C$2:$C$36,"=d20261203"),"")</f>
      </c>
      <c r="BC145" s="8">
        <f>IF((0=1),SUMIFS('Daily evaluations'!$I$2:$I$36,'Daily evaluations'!$B$2:$B$36,"=naive_mom",'Daily evaluations'!$C$2:$C$36,"=d20261204"),"")</f>
      </c>
      <c r="BD145" s="8">
        <f>IF((0=1),SUMIFS('Daily evaluations'!$I$2:$I$36,'Daily evaluations'!$B$2:$B$36,"=naive_mom",'Daily evaluations'!$C$2:$C$36,"=d20261207"),"")</f>
      </c>
      <c r="BE145" s="8">
        <f>IF((0=1),SUMIFS('Daily evaluations'!$I$2:$I$36,'Daily evaluations'!$B$2:$B$36,"=naive_mom",'Daily evaluations'!$C$2:$C$36,"=d20261208"),"")</f>
      </c>
      <c r="BF145" s="8">
        <f>IF((0=1),SUMIFS('Daily evaluations'!$I$2:$I$36,'Daily evaluations'!$B$2:$B$36,"=naive_mom",'Daily evaluations'!$C$2:$C$36,"=d20261209"),"")</f>
      </c>
      <c r="BG145" s="8">
        <f>IF((0=1),SUMIFS('Daily evaluations'!$I$2:$I$36,'Daily evaluations'!$B$2:$B$36,"=naive_mom",'Daily evaluations'!$C$2:$C$36,"=d20261210"),"")</f>
      </c>
      <c r="BH145" s="8">
        <f>IF((0=1),SUMIFS('Daily evaluations'!$I$2:$I$36,'Daily evaluations'!$B$2:$B$36,"=naive_mom",'Daily evaluations'!$C$2:$C$36,"=d20261211"),"")</f>
      </c>
      <c r="BI145" s="8">
        <f>IF((0=1),SUMIFS('Daily evaluations'!$I$2:$I$36,'Daily evaluations'!$B$2:$B$36,"=naive_mom",'Daily evaluations'!$C$2:$C$36,"=d20261214"),"")</f>
      </c>
      <c r="BJ145" s="8">
        <f>IF((0=1),SUMIFS('Daily evaluations'!$I$2:$I$36,'Daily evaluations'!$B$2:$B$36,"=naive_mom",'Daily evaluations'!$C$2:$C$36,"=d20261215"),"")</f>
      </c>
      <c r="BK145" s="8">
        <f>IF((0=1),SUMIFS('Daily evaluations'!$I$2:$I$36,'Daily evaluations'!$B$2:$B$36,"=naive_mom",'Daily evaluations'!$C$2:$C$36,"=d20261216"),"")</f>
      </c>
      <c r="BL145" s="8">
        <f>IF((0=1),SUMIFS('Daily evaluations'!$I$2:$I$36,'Daily evaluations'!$B$2:$B$36,"=naive_mom",'Daily evaluations'!$C$2:$C$36,"=d20261217"),"")</f>
      </c>
      <c r="BM145" s="8">
        <f>IF((0=1),SUMIFS('Daily evaluations'!$I$2:$I$36,'Daily evaluations'!$B$2:$B$36,"=naive_mom",'Daily evaluations'!$C$2:$C$36,"=d20261218"),"")</f>
      </c>
      <c r="BN145" s="8">
        <f>IF((0=1),SUMIFS('Daily evaluations'!$I$2:$I$36,'Daily evaluations'!$B$2:$B$36,"=naive_mom",'Daily evaluations'!$C$2:$C$36,"=d20261221"),"")</f>
      </c>
      <c r="BO145" s="8">
        <f>IF((0=1),SUMIFS('Daily evaluations'!$I$2:$I$36,'Daily evaluations'!$B$2:$B$36,"=naive_mom",'Daily evaluations'!$C$2:$C$36,"=d20261222"),"")</f>
      </c>
      <c r="BP145" s="8">
        <f>IF((0=1),SUMIFS('Daily evaluations'!$I$2:$I$36,'Daily evaluations'!$B$2:$B$36,"=naive_mom",'Daily evaluations'!$C$2:$C$36,"=d20261223"),"")</f>
      </c>
      <c r="BQ145" s="8">
        <f>IF((0=1),SUMIFS('Daily evaluations'!$I$2:$I$36,'Daily evaluations'!$B$2:$B$36,"=naive_mom",'Daily evaluations'!$C$2:$C$36,"=d20261224"),"")</f>
      </c>
      <c r="BR145" s="8">
        <f>IF((0=1),SUMIFS('Daily evaluations'!$I$2:$I$36,'Daily evaluations'!$B$2:$B$36,"=naive_mom",'Daily evaluations'!$C$2:$C$36,"=d20261228"),"")</f>
      </c>
      <c r="BS145" s="8">
        <f>IF((0=1),SUMIFS('Daily evaluations'!$I$2:$I$36,'Daily evaluations'!$B$2:$B$36,"=naive_mom",'Daily evaluations'!$C$2:$C$36,"=d20261229"),"")</f>
      </c>
      <c r="BT145" s="8">
        <f>IF((0=1),SUMIFS('Daily evaluations'!$I$2:$I$36,'Daily evaluations'!$B$2:$B$36,"=naive_mom",'Daily evaluations'!$C$2:$C$36,"=d20261230"),"")</f>
      </c>
      <c r="BU145" s="8">
        <f>IF((0=1),SUMIFS('Daily evaluations'!$I$2:$I$36,'Daily evaluations'!$B$2:$B$36,"=naive_mom",'Daily evaluations'!$C$2:$C$36,"=d20261231"),"")</f>
      </c>
      <c r="BV145" s="8">
        <f>IF((0=1),SUMIFS('Daily evaluations'!$I$2:$I$36,'Daily evaluations'!$B$2:$B$36,"=naive_mom",'Daily evaluations'!$C$2:$C$36,"=d20270104"),"")</f>
      </c>
      <c r="BW145" s="8">
        <f>IF((0=1),SUMIFS('Daily evaluations'!$I$2:$I$36,'Daily evaluations'!$B$2:$B$36,"=naive_mom",'Daily evaluations'!$C$2:$C$36,"=d20270105"),"")</f>
      </c>
      <c r="BX145" s="8">
        <f>IF((0=1),SUMIFS('Daily evaluations'!$I$2:$I$36,'Daily evaluations'!$B$2:$B$36,"=naive_mom",'Daily evaluations'!$C$2:$C$36,"=d20270106"),"")</f>
      </c>
      <c r="BY145" s="8">
        <f>IF((0=1),SUMIFS('Daily evaluations'!$I$2:$I$36,'Daily evaluations'!$B$2:$B$36,"=naive_mom",'Daily evaluations'!$C$2:$C$36,"=d20270107"),"")</f>
      </c>
      <c r="BZ145" s="8">
        <f>IF((0=1),SUMIFS('Daily evaluations'!$I$2:$I$36,'Daily evaluations'!$B$2:$B$36,"=naive_mom",'Daily evaluations'!$C$2:$C$36,"=d20270108"),"")</f>
      </c>
      <c r="CA145" s="8">
        <f>IF((0=1),SUMIFS('Daily evaluations'!$I$2:$I$36,'Daily evaluations'!$B$2:$B$36,"=naive_mom",'Daily evaluations'!$C$2:$C$36,"=d20270111"),"")</f>
      </c>
      <c r="CB145" s="8">
        <f>IF((0=1),SUMIFS('Daily evaluations'!$I$2:$I$36,'Daily evaluations'!$B$2:$B$36,"=naive_mom",'Daily evaluations'!$C$2:$C$36,"=d20270112"),"")</f>
      </c>
      <c r="CC145" s="8">
        <f>IF((0=1),SUMIFS('Daily evaluations'!$I$2:$I$36,'Daily evaluations'!$B$2:$B$36,"=naive_mom",'Daily evaluations'!$C$2:$C$36,"=d20270113"),"")</f>
      </c>
      <c r="CD145" s="8">
        <f>IF((0=1),SUMIFS('Daily evaluations'!$I$2:$I$36,'Daily evaluations'!$B$2:$B$36,"=naive_mom",'Daily evaluations'!$C$2:$C$36,"=d20270114"),"")</f>
      </c>
      <c r="CE145" s="8">
        <f>IF((0=1),SUMIFS('Daily evaluations'!$I$2:$I$36,'Daily evaluations'!$B$2:$B$36,"=naive_mom",'Daily evaluations'!$C$2:$C$36,"=d20270115"),"")</f>
      </c>
      <c r="CF145" s="8">
        <f>IF((0=1),SUMIFS('Daily evaluations'!$I$2:$I$36,'Daily evaluations'!$B$2:$B$36,"=naive_mom",'Daily evaluations'!$C$2:$C$36,"=d20270119"),"")</f>
      </c>
      <c r="CG145" s="8">
        <f>IF((0=1),SUMIFS('Daily evaluations'!$I$2:$I$36,'Daily evaluations'!$B$2:$B$36,"=naive_mom",'Daily evaluations'!$C$2:$C$36,"=d20270120"),"")</f>
      </c>
      <c r="CH145" s="8">
        <f>IF((0=1),SUMIFS('Daily evaluations'!$I$2:$I$36,'Daily evaluations'!$B$2:$B$36,"=naive_mom",'Daily evaluations'!$C$2:$C$36,"=d20270121"),"")</f>
      </c>
      <c r="CI145" s="8">
        <f>IF((0=1),SUMIFS('Daily evaluations'!$I$2:$I$36,'Daily evaluations'!$B$2:$B$36,"=naive_mom",'Daily evaluations'!$C$2:$C$36,"=d20270122"),"")</f>
      </c>
      <c r="CJ145" s="8">
        <f>IF((0=1),SUMIFS('Daily evaluations'!$I$2:$I$36,'Daily evaluations'!$B$2:$B$36,"=naive_mom",'Daily evaluations'!$C$2:$C$36,"=d20270125"),"")</f>
      </c>
      <c r="CK145" s="8">
        <f>IF((0=1),SUMIFS('Daily evaluations'!$I$2:$I$36,'Daily evaluations'!$B$2:$B$36,"=naive_mom",'Daily evaluations'!$C$2:$C$36,"=d20270126"),"")</f>
      </c>
      <c r="CL145" s="8">
        <f>IF((0=1),SUMIFS('Daily evaluations'!$I$2:$I$36,'Daily evaluations'!$B$2:$B$36,"=naive_mom",'Daily evaluations'!$C$2:$C$36,"=d20270127"),"")</f>
      </c>
      <c r="CM145" s="8">
        <f>IF((0=1),SUMIFS('Daily evaluations'!$I$2:$I$36,'Daily evaluations'!$B$2:$B$36,"=naive_mom",'Daily evaluations'!$C$2:$C$36,"=d20270128"),"")</f>
      </c>
      <c r="CN145" s="8">
        <f>IF((0=1),SUMIFS('Daily evaluations'!$I$2:$I$36,'Daily evaluations'!$B$2:$B$36,"=naive_mom",'Daily evaluations'!$C$2:$C$36,"=d20270129"),"")</f>
      </c>
      <c r="CO145" s="8">
        <f>IF((0=1),SUMIFS('Daily evaluations'!$I$2:$I$36,'Daily evaluations'!$B$2:$B$36,"=naive_mom",'Daily evaluations'!$C$2:$C$36,"=d20270201"),"")</f>
      </c>
      <c r="CP145" s="8">
        <f>IF((0=1),SUMIFS('Daily evaluations'!$I$2:$I$36,'Daily evaluations'!$B$2:$B$36,"=naive_mom",'Daily evaluations'!$C$2:$C$36,"=d20270202"),"")</f>
      </c>
      <c r="CQ145" s="8">
        <f>IF((0=1),SUMIFS('Daily evaluations'!$I$2:$I$36,'Daily evaluations'!$B$2:$B$36,"=naive_mom",'Daily evaluations'!$C$2:$C$36,"=d20270203"),"")</f>
      </c>
      <c r="CR145" s="8">
        <f>IF((0=1),SUMIFS('Daily evaluations'!$I$2:$I$36,'Daily evaluations'!$B$2:$B$36,"=naive_mom",'Daily evaluations'!$C$2:$C$36,"=d20270204"),"")</f>
      </c>
      <c r="CS145" s="8">
        <f>IF((0=1),SUMIFS('Daily evaluations'!$I$2:$I$36,'Daily evaluations'!$B$2:$B$36,"=naive_mom",'Daily evaluations'!$C$2:$C$36,"=d20270205"),"")</f>
      </c>
      <c r="CT145" s="8">
        <f>IF((0=1),SUMIFS('Daily evaluations'!$I$2:$I$36,'Daily evaluations'!$B$2:$B$36,"=naive_mom",'Daily evaluations'!$C$2:$C$36,"=d20270208"),"")</f>
      </c>
      <c r="CU145" s="8">
        <f>IF((0=1),SUMIFS('Daily evaluations'!$I$2:$I$36,'Daily evaluations'!$B$2:$B$36,"=naive_mom",'Daily evaluations'!$C$2:$C$36,"=d20270209"),"")</f>
      </c>
      <c r="CV145" s="8">
        <f>IF((0=1),SUMIFS('Daily evaluations'!$I$2:$I$36,'Daily evaluations'!$B$2:$B$36,"=naive_mom",'Daily evaluations'!$C$2:$C$36,"=d20270210"),"")</f>
      </c>
      <c r="CW145" s="8">
        <f>IF((0=1),SUMIFS('Daily evaluations'!$I$2:$I$36,'Daily evaluations'!$B$2:$B$36,"=naive_mom",'Daily evaluations'!$C$2:$C$36,"=d20270211"),"")</f>
      </c>
      <c r="CX145" s="8">
        <f>IF((0=1),SUMIFS('Daily evaluations'!$I$2:$I$36,'Daily evaluations'!$B$2:$B$36,"=naive_mom",'Daily evaluations'!$C$2:$C$36,"=d20270212"),"")</f>
      </c>
    </row>
    <row r="146">
      <c r="A146" s="0" t="inlineStr">
        <is>
          <t xml:space="preserve">Information coefficient</t>
        </is>
      </c>
      <c r="B146" s="0" t="inlineStr">
        <is>
          <t xml:space="preserve">best 100 by yesterday's close-to-close return</t>
        </is>
      </c>
      <c r="C146" s="8">
        <f>IF((1=1),SUMIFS('Daily evaluations'!$I$2:$I$36,'Daily evaluations'!$B$2:$B$36,"=naive_winner1d",'Daily evaluations'!$C$2:$C$36,"=d20260922"),"")</f>
        <v>-0.0962</v>
      </c>
      <c r="D146" s="8">
        <f>IF((0=1),SUMIFS('Daily evaluations'!$I$2:$I$36,'Daily evaluations'!$B$2:$B$36,"=naive_winner1d",'Daily evaluations'!$C$2:$C$36,"=d20260923"),"")</f>
      </c>
      <c r="E146" s="8">
        <f>IF((0=1),SUMIFS('Daily evaluations'!$I$2:$I$36,'Daily evaluations'!$B$2:$B$36,"=naive_winner1d",'Daily evaluations'!$C$2:$C$36,"=d20260924"),"")</f>
      </c>
      <c r="F146" s="8">
        <f>IF((0=1),SUMIFS('Daily evaluations'!$I$2:$I$36,'Daily evaluations'!$B$2:$B$36,"=naive_winner1d",'Daily evaluations'!$C$2:$C$36,"=d20260925"),"")</f>
      </c>
      <c r="G146" s="8">
        <f>IF((0=1),SUMIFS('Daily evaluations'!$I$2:$I$36,'Daily evaluations'!$B$2:$B$36,"=naive_winner1d",'Daily evaluations'!$C$2:$C$36,"=d20260928"),"")</f>
      </c>
      <c r="H146" s="8">
        <f>IF((0=1),SUMIFS('Daily evaluations'!$I$2:$I$36,'Daily evaluations'!$B$2:$B$36,"=naive_winner1d",'Daily evaluations'!$C$2:$C$36,"=d20260929"),"")</f>
      </c>
      <c r="I146" s="8">
        <f>IF((0=1),SUMIFS('Daily evaluations'!$I$2:$I$36,'Daily evaluations'!$B$2:$B$36,"=naive_winner1d",'Daily evaluations'!$C$2:$C$36,"=d20260930"),"")</f>
      </c>
      <c r="J146" s="8">
        <f>IF((0=1),SUMIFS('Daily evaluations'!$I$2:$I$36,'Daily evaluations'!$B$2:$B$36,"=naive_winner1d",'Daily evaluations'!$C$2:$C$36,"=d20261001"),"")</f>
      </c>
      <c r="K146" s="8">
        <f>IF((0=1),SUMIFS('Daily evaluations'!$I$2:$I$36,'Daily evaluations'!$B$2:$B$36,"=naive_winner1d",'Daily evaluations'!$C$2:$C$36,"=d20261002"),"")</f>
      </c>
      <c r="L146" s="8">
        <f>IF((0=1),SUMIFS('Daily evaluations'!$I$2:$I$36,'Daily evaluations'!$B$2:$B$36,"=naive_winner1d",'Daily evaluations'!$C$2:$C$36,"=d20261005"),"")</f>
      </c>
      <c r="M146" s="8">
        <f>IF((0=1),SUMIFS('Daily evaluations'!$I$2:$I$36,'Daily evaluations'!$B$2:$B$36,"=naive_winner1d",'Daily evaluations'!$C$2:$C$36,"=d20261006"),"")</f>
      </c>
      <c r="N146" s="8">
        <f>IF((0=1),SUMIFS('Daily evaluations'!$I$2:$I$36,'Daily evaluations'!$B$2:$B$36,"=naive_winner1d",'Daily evaluations'!$C$2:$C$36,"=d20261007"),"")</f>
      </c>
      <c r="O146" s="8">
        <f>IF((0=1),SUMIFS('Daily evaluations'!$I$2:$I$36,'Daily evaluations'!$B$2:$B$36,"=naive_winner1d",'Daily evaluations'!$C$2:$C$36,"=d20261008"),"")</f>
      </c>
      <c r="P146" s="8">
        <f>IF((0=1),SUMIFS('Daily evaluations'!$I$2:$I$36,'Daily evaluations'!$B$2:$B$36,"=naive_winner1d",'Daily evaluations'!$C$2:$C$36,"=d20261009"),"")</f>
      </c>
      <c r="Q146" s="8">
        <f>IF((0=1),SUMIFS('Daily evaluations'!$I$2:$I$36,'Daily evaluations'!$B$2:$B$36,"=naive_winner1d",'Daily evaluations'!$C$2:$C$36,"=d20261012"),"")</f>
      </c>
      <c r="R146" s="8">
        <f>IF((0=1),SUMIFS('Daily evaluations'!$I$2:$I$36,'Daily evaluations'!$B$2:$B$36,"=naive_winner1d",'Daily evaluations'!$C$2:$C$36,"=d20261013"),"")</f>
      </c>
      <c r="S146" s="8">
        <f>IF((0=1),SUMIFS('Daily evaluations'!$I$2:$I$36,'Daily evaluations'!$B$2:$B$36,"=naive_winner1d",'Daily evaluations'!$C$2:$C$36,"=d20261014"),"")</f>
      </c>
      <c r="T146" s="8">
        <f>IF((0=1),SUMIFS('Daily evaluations'!$I$2:$I$36,'Daily evaluations'!$B$2:$B$36,"=naive_winner1d",'Daily evaluations'!$C$2:$C$36,"=d20261015"),"")</f>
      </c>
      <c r="U146" s="8">
        <f>IF((0=1),SUMIFS('Daily evaluations'!$I$2:$I$36,'Daily evaluations'!$B$2:$B$36,"=naive_winner1d",'Daily evaluations'!$C$2:$C$36,"=d20261016"),"")</f>
      </c>
      <c r="V146" s="8">
        <f>IF((0=1),SUMIFS('Daily evaluations'!$I$2:$I$36,'Daily evaluations'!$B$2:$B$36,"=naive_winner1d",'Daily evaluations'!$C$2:$C$36,"=d20261019"),"")</f>
      </c>
      <c r="W146" s="8">
        <f>IF((0=1),SUMIFS('Daily evaluations'!$I$2:$I$36,'Daily evaluations'!$B$2:$B$36,"=naive_winner1d",'Daily evaluations'!$C$2:$C$36,"=d20261020"),"")</f>
      </c>
      <c r="X146" s="8">
        <f>IF((0=1),SUMIFS('Daily evaluations'!$I$2:$I$36,'Daily evaluations'!$B$2:$B$36,"=naive_winner1d",'Daily evaluations'!$C$2:$C$36,"=d20261021"),"")</f>
      </c>
      <c r="Y146" s="8">
        <f>IF((0=1),SUMIFS('Daily evaluations'!$I$2:$I$36,'Daily evaluations'!$B$2:$B$36,"=naive_winner1d",'Daily evaluations'!$C$2:$C$36,"=d20261022"),"")</f>
      </c>
      <c r="Z146" s="8">
        <f>IF((0=1),SUMIFS('Daily evaluations'!$I$2:$I$36,'Daily evaluations'!$B$2:$B$36,"=naive_winner1d",'Daily evaluations'!$C$2:$C$36,"=d20261023"),"")</f>
      </c>
      <c r="AA146" s="8">
        <f>IF((0=1),SUMIFS('Daily evaluations'!$I$2:$I$36,'Daily evaluations'!$B$2:$B$36,"=naive_winner1d",'Daily evaluations'!$C$2:$C$36,"=d20261026"),"")</f>
      </c>
      <c r="AB146" s="8">
        <f>IF((0=1),SUMIFS('Daily evaluations'!$I$2:$I$36,'Daily evaluations'!$B$2:$B$36,"=naive_winner1d",'Daily evaluations'!$C$2:$C$36,"=d20261027"),"")</f>
      </c>
      <c r="AC146" s="8">
        <f>IF((0=1),SUMIFS('Daily evaluations'!$I$2:$I$36,'Daily evaluations'!$B$2:$B$36,"=naive_winner1d",'Daily evaluations'!$C$2:$C$36,"=d20261028"),"")</f>
      </c>
      <c r="AD146" s="8">
        <f>IF((0=1),SUMIFS('Daily evaluations'!$I$2:$I$36,'Daily evaluations'!$B$2:$B$36,"=naive_winner1d",'Daily evaluations'!$C$2:$C$36,"=d20261029"),"")</f>
      </c>
      <c r="AE146" s="8">
        <f>IF((0=1),SUMIFS('Daily evaluations'!$I$2:$I$36,'Daily evaluations'!$B$2:$B$36,"=naive_winner1d",'Daily evaluations'!$C$2:$C$36,"=d20261030"),"")</f>
      </c>
      <c r="AF146" s="8">
        <f>IF((0=1),SUMIFS('Daily evaluations'!$I$2:$I$36,'Daily evaluations'!$B$2:$B$36,"=naive_winner1d",'Daily evaluations'!$C$2:$C$36,"=d20261102"),"")</f>
      </c>
      <c r="AG146" s="8">
        <f>IF((0=1),SUMIFS('Daily evaluations'!$I$2:$I$36,'Daily evaluations'!$B$2:$B$36,"=naive_winner1d",'Daily evaluations'!$C$2:$C$36,"=d20261103"),"")</f>
      </c>
      <c r="AH146" s="8">
        <f>IF((0=1),SUMIFS('Daily evaluations'!$I$2:$I$36,'Daily evaluations'!$B$2:$B$36,"=naive_winner1d",'Daily evaluations'!$C$2:$C$36,"=d20261104"),"")</f>
      </c>
      <c r="AI146" s="8">
        <f>IF((0=1),SUMIFS('Daily evaluations'!$I$2:$I$36,'Daily evaluations'!$B$2:$B$36,"=naive_winner1d",'Daily evaluations'!$C$2:$C$36,"=d20261105"),"")</f>
      </c>
      <c r="AJ146" s="8">
        <f>IF((0=1),SUMIFS('Daily evaluations'!$I$2:$I$36,'Daily evaluations'!$B$2:$B$36,"=naive_winner1d",'Daily evaluations'!$C$2:$C$36,"=d20261106"),"")</f>
      </c>
      <c r="AK146" s="8">
        <f>IF((0=1),SUMIFS('Daily evaluations'!$I$2:$I$36,'Daily evaluations'!$B$2:$B$36,"=naive_winner1d",'Daily evaluations'!$C$2:$C$36,"=d20261109"),"")</f>
      </c>
      <c r="AL146" s="8">
        <f>IF((0=1),SUMIFS('Daily evaluations'!$I$2:$I$36,'Daily evaluations'!$B$2:$B$36,"=naive_winner1d",'Daily evaluations'!$C$2:$C$36,"=d20261110"),"")</f>
      </c>
      <c r="AM146" s="8">
        <f>IF((0=1),SUMIFS('Daily evaluations'!$I$2:$I$36,'Daily evaluations'!$B$2:$B$36,"=naive_winner1d",'Daily evaluations'!$C$2:$C$36,"=d20261111"),"")</f>
      </c>
      <c r="AN146" s="8">
        <f>IF((0=1),SUMIFS('Daily evaluations'!$I$2:$I$36,'Daily evaluations'!$B$2:$B$36,"=naive_winner1d",'Daily evaluations'!$C$2:$C$36,"=d20261112"),"")</f>
      </c>
      <c r="AO146" s="8">
        <f>IF((0=1),SUMIFS('Daily evaluations'!$I$2:$I$36,'Daily evaluations'!$B$2:$B$36,"=naive_winner1d",'Daily evaluations'!$C$2:$C$36,"=d20261113"),"")</f>
      </c>
      <c r="AP146" s="8">
        <f>IF((0=1),SUMIFS('Daily evaluations'!$I$2:$I$36,'Daily evaluations'!$B$2:$B$36,"=naive_winner1d",'Daily evaluations'!$C$2:$C$36,"=d20261116"),"")</f>
      </c>
      <c r="AQ146" s="8">
        <f>IF((0=1),SUMIFS('Daily evaluations'!$I$2:$I$36,'Daily evaluations'!$B$2:$B$36,"=naive_winner1d",'Daily evaluations'!$C$2:$C$36,"=d20261117"),"")</f>
      </c>
      <c r="AR146" s="8">
        <f>IF((0=1),SUMIFS('Daily evaluations'!$I$2:$I$36,'Daily evaluations'!$B$2:$B$36,"=naive_winner1d",'Daily evaluations'!$C$2:$C$36,"=d20261118"),"")</f>
      </c>
      <c r="AS146" s="8">
        <f>IF((0=1),SUMIFS('Daily evaluations'!$I$2:$I$36,'Daily evaluations'!$B$2:$B$36,"=naive_winner1d",'Daily evaluations'!$C$2:$C$36,"=d20261119"),"")</f>
      </c>
      <c r="AT146" s="8">
        <f>IF((0=1),SUMIFS('Daily evaluations'!$I$2:$I$36,'Daily evaluations'!$B$2:$B$36,"=naive_winner1d",'Daily evaluations'!$C$2:$C$36,"=d20261120"),"")</f>
      </c>
      <c r="AU146" s="8">
        <f>IF((0=1),SUMIFS('Daily evaluations'!$I$2:$I$36,'Daily evaluations'!$B$2:$B$36,"=naive_winner1d",'Daily evaluations'!$C$2:$C$36,"=d20261123"),"")</f>
      </c>
      <c r="AV146" s="8">
        <f>IF((0=1),SUMIFS('Daily evaluations'!$I$2:$I$36,'Daily evaluations'!$B$2:$B$36,"=naive_winner1d",'Daily evaluations'!$C$2:$C$36,"=d20261124"),"")</f>
      </c>
      <c r="AW146" s="8">
        <f>IF((0=1),SUMIFS('Daily evaluations'!$I$2:$I$36,'Daily evaluations'!$B$2:$B$36,"=naive_winner1d",'Daily evaluations'!$C$2:$C$36,"=d20261125"),"")</f>
      </c>
      <c r="AX146" s="8">
        <f>IF((0=1),SUMIFS('Daily evaluations'!$I$2:$I$36,'Daily evaluations'!$B$2:$B$36,"=naive_winner1d",'Daily evaluations'!$C$2:$C$36,"=d20261127"),"")</f>
      </c>
      <c r="AY146" s="8">
        <f>IF((0=1),SUMIFS('Daily evaluations'!$I$2:$I$36,'Daily evaluations'!$B$2:$B$36,"=naive_winner1d",'Daily evaluations'!$C$2:$C$36,"=d20261130"),"")</f>
      </c>
      <c r="AZ146" s="8">
        <f>IF((0=1),SUMIFS('Daily evaluations'!$I$2:$I$36,'Daily evaluations'!$B$2:$B$36,"=naive_winner1d",'Daily evaluations'!$C$2:$C$36,"=d20261201"),"")</f>
      </c>
      <c r="BA146" s="8">
        <f>IF((0=1),SUMIFS('Daily evaluations'!$I$2:$I$36,'Daily evaluations'!$B$2:$B$36,"=naive_winner1d",'Daily evaluations'!$C$2:$C$36,"=d20261202"),"")</f>
      </c>
      <c r="BB146" s="8">
        <f>IF((0=1),SUMIFS('Daily evaluations'!$I$2:$I$36,'Daily evaluations'!$B$2:$B$36,"=naive_winner1d",'Daily evaluations'!$C$2:$C$36,"=d20261203"),"")</f>
      </c>
      <c r="BC146" s="8">
        <f>IF((0=1),SUMIFS('Daily evaluations'!$I$2:$I$36,'Daily evaluations'!$B$2:$B$36,"=naive_winner1d",'Daily evaluations'!$C$2:$C$36,"=d20261204"),"")</f>
      </c>
      <c r="BD146" s="8">
        <f>IF((0=1),SUMIFS('Daily evaluations'!$I$2:$I$36,'Daily evaluations'!$B$2:$B$36,"=naive_winner1d",'Daily evaluations'!$C$2:$C$36,"=d20261207"),"")</f>
      </c>
      <c r="BE146" s="8">
        <f>IF((0=1),SUMIFS('Daily evaluations'!$I$2:$I$36,'Daily evaluations'!$B$2:$B$36,"=naive_winner1d",'Daily evaluations'!$C$2:$C$36,"=d20261208"),"")</f>
      </c>
      <c r="BF146" s="8">
        <f>IF((0=1),SUMIFS('Daily evaluations'!$I$2:$I$36,'Daily evaluations'!$B$2:$B$36,"=naive_winner1d",'Daily evaluations'!$C$2:$C$36,"=d20261209"),"")</f>
      </c>
      <c r="BG146" s="8">
        <f>IF((0=1),SUMIFS('Daily evaluations'!$I$2:$I$36,'Daily evaluations'!$B$2:$B$36,"=naive_winner1d",'Daily evaluations'!$C$2:$C$36,"=d20261210"),"")</f>
      </c>
      <c r="BH146" s="8">
        <f>IF((0=1),SUMIFS('Daily evaluations'!$I$2:$I$36,'Daily evaluations'!$B$2:$B$36,"=naive_winner1d",'Daily evaluations'!$C$2:$C$36,"=d20261211"),"")</f>
      </c>
      <c r="BI146" s="8">
        <f>IF((0=1),SUMIFS('Daily evaluations'!$I$2:$I$36,'Daily evaluations'!$B$2:$B$36,"=naive_winner1d",'Daily evaluations'!$C$2:$C$36,"=d20261214"),"")</f>
      </c>
      <c r="BJ146" s="8">
        <f>IF((0=1),SUMIFS('Daily evaluations'!$I$2:$I$36,'Daily evaluations'!$B$2:$B$36,"=naive_winner1d",'Daily evaluations'!$C$2:$C$36,"=d20261215"),"")</f>
      </c>
      <c r="BK146" s="8">
        <f>IF((0=1),SUMIFS('Daily evaluations'!$I$2:$I$36,'Daily evaluations'!$B$2:$B$36,"=naive_winner1d",'Daily evaluations'!$C$2:$C$36,"=d20261216"),"")</f>
      </c>
      <c r="BL146" s="8">
        <f>IF((0=1),SUMIFS('Daily evaluations'!$I$2:$I$36,'Daily evaluations'!$B$2:$B$36,"=naive_winner1d",'Daily evaluations'!$C$2:$C$36,"=d20261217"),"")</f>
      </c>
      <c r="BM146" s="8">
        <f>IF((0=1),SUMIFS('Daily evaluations'!$I$2:$I$36,'Daily evaluations'!$B$2:$B$36,"=naive_winner1d",'Daily evaluations'!$C$2:$C$36,"=d20261218"),"")</f>
      </c>
      <c r="BN146" s="8">
        <f>IF((0=1),SUMIFS('Daily evaluations'!$I$2:$I$36,'Daily evaluations'!$B$2:$B$36,"=naive_winner1d",'Daily evaluations'!$C$2:$C$36,"=d20261221"),"")</f>
      </c>
      <c r="BO146" s="8">
        <f>IF((0=1),SUMIFS('Daily evaluations'!$I$2:$I$36,'Daily evaluations'!$B$2:$B$36,"=naive_winner1d",'Daily evaluations'!$C$2:$C$36,"=d20261222"),"")</f>
      </c>
      <c r="BP146" s="8">
        <f>IF((0=1),SUMIFS('Daily evaluations'!$I$2:$I$36,'Daily evaluations'!$B$2:$B$36,"=naive_winner1d",'Daily evaluations'!$C$2:$C$36,"=d20261223"),"")</f>
      </c>
      <c r="BQ146" s="8">
        <f>IF((0=1),SUMIFS('Daily evaluations'!$I$2:$I$36,'Daily evaluations'!$B$2:$B$36,"=naive_winner1d",'Daily evaluations'!$C$2:$C$36,"=d20261224"),"")</f>
      </c>
      <c r="BR146" s="8">
        <f>IF((0=1),SUMIFS('Daily evaluations'!$I$2:$I$36,'Daily evaluations'!$B$2:$B$36,"=naive_winner1d",'Daily evaluations'!$C$2:$C$36,"=d20261228"),"")</f>
      </c>
      <c r="BS146" s="8">
        <f>IF((0=1),SUMIFS('Daily evaluations'!$I$2:$I$36,'Daily evaluations'!$B$2:$B$36,"=naive_winner1d",'Daily evaluations'!$C$2:$C$36,"=d20261229"),"")</f>
      </c>
      <c r="BT146" s="8">
        <f>IF((0=1),SUMIFS('Daily evaluations'!$I$2:$I$36,'Daily evaluations'!$B$2:$B$36,"=naive_winner1d",'Daily evaluations'!$C$2:$C$36,"=d20261230"),"")</f>
      </c>
      <c r="BU146" s="8">
        <f>IF((0=1),SUMIFS('Daily evaluations'!$I$2:$I$36,'Daily evaluations'!$B$2:$B$36,"=naive_winner1d",'Daily evaluations'!$C$2:$C$36,"=d20261231"),"")</f>
      </c>
      <c r="BV146" s="8">
        <f>IF((0=1),SUMIFS('Daily evaluations'!$I$2:$I$36,'Daily evaluations'!$B$2:$B$36,"=naive_winner1d",'Daily evaluations'!$C$2:$C$36,"=d20270104"),"")</f>
      </c>
      <c r="BW146" s="8">
        <f>IF((0=1),SUMIFS('Daily evaluations'!$I$2:$I$36,'Daily evaluations'!$B$2:$B$36,"=naive_winner1d",'Daily evaluations'!$C$2:$C$36,"=d20270105"),"")</f>
      </c>
      <c r="BX146" s="8">
        <f>IF((0=1),SUMIFS('Daily evaluations'!$I$2:$I$36,'Daily evaluations'!$B$2:$B$36,"=naive_winner1d",'Daily evaluations'!$C$2:$C$36,"=d20270106"),"")</f>
      </c>
      <c r="BY146" s="8">
        <f>IF((0=1),SUMIFS('Daily evaluations'!$I$2:$I$36,'Daily evaluations'!$B$2:$B$36,"=naive_winner1d",'Daily evaluations'!$C$2:$C$36,"=d20270107"),"")</f>
      </c>
      <c r="BZ146" s="8">
        <f>IF((0=1),SUMIFS('Daily evaluations'!$I$2:$I$36,'Daily evaluations'!$B$2:$B$36,"=naive_winner1d",'Daily evaluations'!$C$2:$C$36,"=d20270108"),"")</f>
      </c>
      <c r="CA146" s="8">
        <f>IF((0=1),SUMIFS('Daily evaluations'!$I$2:$I$36,'Daily evaluations'!$B$2:$B$36,"=naive_winner1d",'Daily evaluations'!$C$2:$C$36,"=d20270111"),"")</f>
      </c>
      <c r="CB146" s="8">
        <f>IF((0=1),SUMIFS('Daily evaluations'!$I$2:$I$36,'Daily evaluations'!$B$2:$B$36,"=naive_winner1d",'Daily evaluations'!$C$2:$C$36,"=d20270112"),"")</f>
      </c>
      <c r="CC146" s="8">
        <f>IF((0=1),SUMIFS('Daily evaluations'!$I$2:$I$36,'Daily evaluations'!$B$2:$B$36,"=naive_winner1d",'Daily evaluations'!$C$2:$C$36,"=d20270113"),"")</f>
      </c>
      <c r="CD146" s="8">
        <f>IF((0=1),SUMIFS('Daily evaluations'!$I$2:$I$36,'Daily evaluations'!$B$2:$B$36,"=naive_winner1d",'Daily evaluations'!$C$2:$C$36,"=d20270114"),"")</f>
      </c>
      <c r="CE146" s="8">
        <f>IF((0=1),SUMIFS('Daily evaluations'!$I$2:$I$36,'Daily evaluations'!$B$2:$B$36,"=naive_winner1d",'Daily evaluations'!$C$2:$C$36,"=d20270115"),"")</f>
      </c>
      <c r="CF146" s="8">
        <f>IF((0=1),SUMIFS('Daily evaluations'!$I$2:$I$36,'Daily evaluations'!$B$2:$B$36,"=naive_winner1d",'Daily evaluations'!$C$2:$C$36,"=d20270119"),"")</f>
      </c>
      <c r="CG146" s="8">
        <f>IF((0=1),SUMIFS('Daily evaluations'!$I$2:$I$36,'Daily evaluations'!$B$2:$B$36,"=naive_winner1d",'Daily evaluations'!$C$2:$C$36,"=d20270120"),"")</f>
      </c>
      <c r="CH146" s="8">
        <f>IF((0=1),SUMIFS('Daily evaluations'!$I$2:$I$36,'Daily evaluations'!$B$2:$B$36,"=naive_winner1d",'Daily evaluations'!$C$2:$C$36,"=d20270121"),"")</f>
      </c>
      <c r="CI146" s="8">
        <f>IF((0=1),SUMIFS('Daily evaluations'!$I$2:$I$36,'Daily evaluations'!$B$2:$B$36,"=naive_winner1d",'Daily evaluations'!$C$2:$C$36,"=d20270122"),"")</f>
      </c>
      <c r="CJ146" s="8">
        <f>IF((0=1),SUMIFS('Daily evaluations'!$I$2:$I$36,'Daily evaluations'!$B$2:$B$36,"=naive_winner1d",'Daily evaluations'!$C$2:$C$36,"=d20270125"),"")</f>
      </c>
      <c r="CK146" s="8">
        <f>IF((0=1),SUMIFS('Daily evaluations'!$I$2:$I$36,'Daily evaluations'!$B$2:$B$36,"=naive_winner1d",'Daily evaluations'!$C$2:$C$36,"=d20270126"),"")</f>
      </c>
      <c r="CL146" s="8">
        <f>IF((0=1),SUMIFS('Daily evaluations'!$I$2:$I$36,'Daily evaluations'!$B$2:$B$36,"=naive_winner1d",'Daily evaluations'!$C$2:$C$36,"=d20270127"),"")</f>
      </c>
      <c r="CM146" s="8">
        <f>IF((0=1),SUMIFS('Daily evaluations'!$I$2:$I$36,'Daily evaluations'!$B$2:$B$36,"=naive_winner1d",'Daily evaluations'!$C$2:$C$36,"=d20270128"),"")</f>
      </c>
      <c r="CN146" s="8">
        <f>IF((0=1),SUMIFS('Daily evaluations'!$I$2:$I$36,'Daily evaluations'!$B$2:$B$36,"=naive_winner1d",'Daily evaluations'!$C$2:$C$36,"=d20270129"),"")</f>
      </c>
      <c r="CO146" s="8">
        <f>IF((0=1),SUMIFS('Daily evaluations'!$I$2:$I$36,'Daily evaluations'!$B$2:$B$36,"=naive_winner1d",'Daily evaluations'!$C$2:$C$36,"=d20270201"),"")</f>
      </c>
      <c r="CP146" s="8">
        <f>IF((0=1),SUMIFS('Daily evaluations'!$I$2:$I$36,'Daily evaluations'!$B$2:$B$36,"=naive_winner1d",'Daily evaluations'!$C$2:$C$36,"=d20270202"),"")</f>
      </c>
      <c r="CQ146" s="8">
        <f>IF((0=1),SUMIFS('Daily evaluations'!$I$2:$I$36,'Daily evaluations'!$B$2:$B$36,"=naive_winner1d",'Daily evaluations'!$C$2:$C$36,"=d20270203"),"")</f>
      </c>
      <c r="CR146" s="8">
        <f>IF((0=1),SUMIFS('Daily evaluations'!$I$2:$I$36,'Daily evaluations'!$B$2:$B$36,"=naive_winner1d",'Daily evaluations'!$C$2:$C$36,"=d20270204"),"")</f>
      </c>
      <c r="CS146" s="8">
        <f>IF((0=1),SUMIFS('Daily evaluations'!$I$2:$I$36,'Daily evaluations'!$B$2:$B$36,"=naive_winner1d",'Daily evaluations'!$C$2:$C$36,"=d20270205"),"")</f>
      </c>
      <c r="CT146" s="8">
        <f>IF((0=1),SUMIFS('Daily evaluations'!$I$2:$I$36,'Daily evaluations'!$B$2:$B$36,"=naive_winner1d",'Daily evaluations'!$C$2:$C$36,"=d20270208"),"")</f>
      </c>
      <c r="CU146" s="8">
        <f>IF((0=1),SUMIFS('Daily evaluations'!$I$2:$I$36,'Daily evaluations'!$B$2:$B$36,"=naive_winner1d",'Daily evaluations'!$C$2:$C$36,"=d20270209"),"")</f>
      </c>
      <c r="CV146" s="8">
        <f>IF((0=1),SUMIFS('Daily evaluations'!$I$2:$I$36,'Daily evaluations'!$B$2:$B$36,"=naive_winner1d",'Daily evaluations'!$C$2:$C$36,"=d20270210"),"")</f>
      </c>
      <c r="CW146" s="8">
        <f>IF((0=1),SUMIFS('Daily evaluations'!$I$2:$I$36,'Daily evaluations'!$B$2:$B$36,"=naive_winner1d",'Daily evaluations'!$C$2:$C$36,"=d20270211"),"")</f>
      </c>
      <c r="CX146" s="8">
        <f>IF((0=1),SUMIFS('Daily evaluations'!$I$2:$I$36,'Daily evaluations'!$B$2:$B$36,"=naive_winner1d",'Daily evaluations'!$C$2:$C$36,"=d20270212"),"")</f>
      </c>
    </row>
    <row r="147">
      <c r="A147" s="0" t="inlineStr">
        <is>
          <t xml:space="preserve">Information coefficient</t>
        </is>
      </c>
      <c r="B147" s="0" t="inlineStr">
        <is>
          <t xml:space="preserve">Retail Attention Overnight</t>
        </is>
      </c>
      <c r="C147" s="8">
        <f>IF((1=1),SUMIFS('Daily evaluations'!$I$2:$I$36,'Daily evaluations'!$B$2:$B$36,"=p01_attention",'Daily evaluations'!$C$2:$C$36,"=d20260922"),"")</f>
        <v>-0.0688</v>
      </c>
      <c r="D147" s="8">
        <f>IF((0=1),SUMIFS('Daily evaluations'!$I$2:$I$36,'Daily evaluations'!$B$2:$B$36,"=p01_attention",'Daily evaluations'!$C$2:$C$36,"=d20260923"),"")</f>
      </c>
      <c r="E147" s="8">
        <f>IF((0=1),SUMIFS('Daily evaluations'!$I$2:$I$36,'Daily evaluations'!$B$2:$B$36,"=p01_attention",'Daily evaluations'!$C$2:$C$36,"=d20260924"),"")</f>
      </c>
      <c r="F147" s="8">
        <f>IF((0=1),SUMIFS('Daily evaluations'!$I$2:$I$36,'Daily evaluations'!$B$2:$B$36,"=p01_attention",'Daily evaluations'!$C$2:$C$36,"=d20260925"),"")</f>
      </c>
      <c r="G147" s="8">
        <f>IF((0=1),SUMIFS('Daily evaluations'!$I$2:$I$36,'Daily evaluations'!$B$2:$B$36,"=p01_attention",'Daily evaluations'!$C$2:$C$36,"=d20260928"),"")</f>
      </c>
      <c r="H147" s="8">
        <f>IF((0=1),SUMIFS('Daily evaluations'!$I$2:$I$36,'Daily evaluations'!$B$2:$B$36,"=p01_attention",'Daily evaluations'!$C$2:$C$36,"=d20260929"),"")</f>
      </c>
      <c r="I147" s="8">
        <f>IF((0=1),SUMIFS('Daily evaluations'!$I$2:$I$36,'Daily evaluations'!$B$2:$B$36,"=p01_attention",'Daily evaluations'!$C$2:$C$36,"=d20260930"),"")</f>
      </c>
      <c r="J147" s="8">
        <f>IF((0=1),SUMIFS('Daily evaluations'!$I$2:$I$36,'Daily evaluations'!$B$2:$B$36,"=p01_attention",'Daily evaluations'!$C$2:$C$36,"=d20261001"),"")</f>
      </c>
      <c r="K147" s="8">
        <f>IF((0=1),SUMIFS('Daily evaluations'!$I$2:$I$36,'Daily evaluations'!$B$2:$B$36,"=p01_attention",'Daily evaluations'!$C$2:$C$36,"=d20261002"),"")</f>
      </c>
      <c r="L147" s="8">
        <f>IF((0=1),SUMIFS('Daily evaluations'!$I$2:$I$36,'Daily evaluations'!$B$2:$B$36,"=p01_attention",'Daily evaluations'!$C$2:$C$36,"=d20261005"),"")</f>
      </c>
      <c r="M147" s="8">
        <f>IF((0=1),SUMIFS('Daily evaluations'!$I$2:$I$36,'Daily evaluations'!$B$2:$B$36,"=p01_attention",'Daily evaluations'!$C$2:$C$36,"=d20261006"),"")</f>
      </c>
      <c r="N147" s="8">
        <f>IF((0=1),SUMIFS('Daily evaluations'!$I$2:$I$36,'Daily evaluations'!$B$2:$B$36,"=p01_attention",'Daily evaluations'!$C$2:$C$36,"=d20261007"),"")</f>
      </c>
      <c r="O147" s="8">
        <f>IF((0=1),SUMIFS('Daily evaluations'!$I$2:$I$36,'Daily evaluations'!$B$2:$B$36,"=p01_attention",'Daily evaluations'!$C$2:$C$36,"=d20261008"),"")</f>
      </c>
      <c r="P147" s="8">
        <f>IF((0=1),SUMIFS('Daily evaluations'!$I$2:$I$36,'Daily evaluations'!$B$2:$B$36,"=p01_attention",'Daily evaluations'!$C$2:$C$36,"=d20261009"),"")</f>
      </c>
      <c r="Q147" s="8">
        <f>IF((0=1),SUMIFS('Daily evaluations'!$I$2:$I$36,'Daily evaluations'!$B$2:$B$36,"=p01_attention",'Daily evaluations'!$C$2:$C$36,"=d20261012"),"")</f>
      </c>
      <c r="R147" s="8">
        <f>IF((0=1),SUMIFS('Daily evaluations'!$I$2:$I$36,'Daily evaluations'!$B$2:$B$36,"=p01_attention",'Daily evaluations'!$C$2:$C$36,"=d20261013"),"")</f>
      </c>
      <c r="S147" s="8">
        <f>IF((0=1),SUMIFS('Daily evaluations'!$I$2:$I$36,'Daily evaluations'!$B$2:$B$36,"=p01_attention",'Daily evaluations'!$C$2:$C$36,"=d20261014"),"")</f>
      </c>
      <c r="T147" s="8">
        <f>IF((0=1),SUMIFS('Daily evaluations'!$I$2:$I$36,'Daily evaluations'!$B$2:$B$36,"=p01_attention",'Daily evaluations'!$C$2:$C$36,"=d20261015"),"")</f>
      </c>
      <c r="U147" s="8">
        <f>IF((0=1),SUMIFS('Daily evaluations'!$I$2:$I$36,'Daily evaluations'!$B$2:$B$36,"=p01_attention",'Daily evaluations'!$C$2:$C$36,"=d20261016"),"")</f>
      </c>
      <c r="V147" s="8">
        <f>IF((0=1),SUMIFS('Daily evaluations'!$I$2:$I$36,'Daily evaluations'!$B$2:$B$36,"=p01_attention",'Daily evaluations'!$C$2:$C$36,"=d20261019"),"")</f>
      </c>
      <c r="W147" s="8">
        <f>IF((0=1),SUMIFS('Daily evaluations'!$I$2:$I$36,'Daily evaluations'!$B$2:$B$36,"=p01_attention",'Daily evaluations'!$C$2:$C$36,"=d20261020"),"")</f>
      </c>
      <c r="X147" s="8">
        <f>IF((0=1),SUMIFS('Daily evaluations'!$I$2:$I$36,'Daily evaluations'!$B$2:$B$36,"=p01_attention",'Daily evaluations'!$C$2:$C$36,"=d20261021"),"")</f>
      </c>
      <c r="Y147" s="8">
        <f>IF((0=1),SUMIFS('Daily evaluations'!$I$2:$I$36,'Daily evaluations'!$B$2:$B$36,"=p01_attention",'Daily evaluations'!$C$2:$C$36,"=d20261022"),"")</f>
      </c>
      <c r="Z147" s="8">
        <f>IF((0=1),SUMIFS('Daily evaluations'!$I$2:$I$36,'Daily evaluations'!$B$2:$B$36,"=p01_attention",'Daily evaluations'!$C$2:$C$36,"=d20261023"),"")</f>
      </c>
      <c r="AA147" s="8">
        <f>IF((0=1),SUMIFS('Daily evaluations'!$I$2:$I$36,'Daily evaluations'!$B$2:$B$36,"=p01_attention",'Daily evaluations'!$C$2:$C$36,"=d20261026"),"")</f>
      </c>
      <c r="AB147" s="8">
        <f>IF((0=1),SUMIFS('Daily evaluations'!$I$2:$I$36,'Daily evaluations'!$B$2:$B$36,"=p01_attention",'Daily evaluations'!$C$2:$C$36,"=d20261027"),"")</f>
      </c>
      <c r="AC147" s="8">
        <f>IF((0=1),SUMIFS('Daily evaluations'!$I$2:$I$36,'Daily evaluations'!$B$2:$B$36,"=p01_attention",'Daily evaluations'!$C$2:$C$36,"=d20261028"),"")</f>
      </c>
      <c r="AD147" s="8">
        <f>IF((0=1),SUMIFS('Daily evaluations'!$I$2:$I$36,'Daily evaluations'!$B$2:$B$36,"=p01_attention",'Daily evaluations'!$C$2:$C$36,"=d20261029"),"")</f>
      </c>
      <c r="AE147" s="8">
        <f>IF((0=1),SUMIFS('Daily evaluations'!$I$2:$I$36,'Daily evaluations'!$B$2:$B$36,"=p01_attention",'Daily evaluations'!$C$2:$C$36,"=d20261030"),"")</f>
      </c>
      <c r="AF147" s="8">
        <f>IF((0=1),SUMIFS('Daily evaluations'!$I$2:$I$36,'Daily evaluations'!$B$2:$B$36,"=p01_attention",'Daily evaluations'!$C$2:$C$36,"=d20261102"),"")</f>
      </c>
      <c r="AG147" s="8">
        <f>IF((0=1),SUMIFS('Daily evaluations'!$I$2:$I$36,'Daily evaluations'!$B$2:$B$36,"=p01_attention",'Daily evaluations'!$C$2:$C$36,"=d20261103"),"")</f>
      </c>
      <c r="AH147" s="8">
        <f>IF((0=1),SUMIFS('Daily evaluations'!$I$2:$I$36,'Daily evaluations'!$B$2:$B$36,"=p01_attention",'Daily evaluations'!$C$2:$C$36,"=d20261104"),"")</f>
      </c>
      <c r="AI147" s="8">
        <f>IF((0=1),SUMIFS('Daily evaluations'!$I$2:$I$36,'Daily evaluations'!$B$2:$B$36,"=p01_attention",'Daily evaluations'!$C$2:$C$36,"=d20261105"),"")</f>
      </c>
      <c r="AJ147" s="8">
        <f>IF((0=1),SUMIFS('Daily evaluations'!$I$2:$I$36,'Daily evaluations'!$B$2:$B$36,"=p01_attention",'Daily evaluations'!$C$2:$C$36,"=d20261106"),"")</f>
      </c>
      <c r="AK147" s="8">
        <f>IF((0=1),SUMIFS('Daily evaluations'!$I$2:$I$36,'Daily evaluations'!$B$2:$B$36,"=p01_attention",'Daily evaluations'!$C$2:$C$36,"=d20261109"),"")</f>
      </c>
      <c r="AL147" s="8">
        <f>IF((0=1),SUMIFS('Daily evaluations'!$I$2:$I$36,'Daily evaluations'!$B$2:$B$36,"=p01_attention",'Daily evaluations'!$C$2:$C$36,"=d20261110"),"")</f>
      </c>
      <c r="AM147" s="8">
        <f>IF((0=1),SUMIFS('Daily evaluations'!$I$2:$I$36,'Daily evaluations'!$B$2:$B$36,"=p01_attention",'Daily evaluations'!$C$2:$C$36,"=d20261111"),"")</f>
      </c>
      <c r="AN147" s="8">
        <f>IF((0=1),SUMIFS('Daily evaluations'!$I$2:$I$36,'Daily evaluations'!$B$2:$B$36,"=p01_attention",'Daily evaluations'!$C$2:$C$36,"=d20261112"),"")</f>
      </c>
      <c r="AO147" s="8">
        <f>IF((0=1),SUMIFS('Daily evaluations'!$I$2:$I$36,'Daily evaluations'!$B$2:$B$36,"=p01_attention",'Daily evaluations'!$C$2:$C$36,"=d20261113"),"")</f>
      </c>
      <c r="AP147" s="8">
        <f>IF((0=1),SUMIFS('Daily evaluations'!$I$2:$I$36,'Daily evaluations'!$B$2:$B$36,"=p01_attention",'Daily evaluations'!$C$2:$C$36,"=d20261116"),"")</f>
      </c>
      <c r="AQ147" s="8">
        <f>IF((0=1),SUMIFS('Daily evaluations'!$I$2:$I$36,'Daily evaluations'!$B$2:$B$36,"=p01_attention",'Daily evaluations'!$C$2:$C$36,"=d20261117"),"")</f>
      </c>
      <c r="AR147" s="8">
        <f>IF((0=1),SUMIFS('Daily evaluations'!$I$2:$I$36,'Daily evaluations'!$B$2:$B$36,"=p01_attention",'Daily evaluations'!$C$2:$C$36,"=d20261118"),"")</f>
      </c>
      <c r="AS147" s="8">
        <f>IF((0=1),SUMIFS('Daily evaluations'!$I$2:$I$36,'Daily evaluations'!$B$2:$B$36,"=p01_attention",'Daily evaluations'!$C$2:$C$36,"=d20261119"),"")</f>
      </c>
      <c r="AT147" s="8">
        <f>IF((0=1),SUMIFS('Daily evaluations'!$I$2:$I$36,'Daily evaluations'!$B$2:$B$36,"=p01_attention",'Daily evaluations'!$C$2:$C$36,"=d20261120"),"")</f>
      </c>
      <c r="AU147" s="8">
        <f>IF((0=1),SUMIFS('Daily evaluations'!$I$2:$I$36,'Daily evaluations'!$B$2:$B$36,"=p01_attention",'Daily evaluations'!$C$2:$C$36,"=d20261123"),"")</f>
      </c>
      <c r="AV147" s="8">
        <f>IF((0=1),SUMIFS('Daily evaluations'!$I$2:$I$36,'Daily evaluations'!$B$2:$B$36,"=p01_attention",'Daily evaluations'!$C$2:$C$36,"=d20261124"),"")</f>
      </c>
      <c r="AW147" s="8">
        <f>IF((0=1),SUMIFS('Daily evaluations'!$I$2:$I$36,'Daily evaluations'!$B$2:$B$36,"=p01_attention",'Daily evaluations'!$C$2:$C$36,"=d20261125"),"")</f>
      </c>
      <c r="AX147" s="8">
        <f>IF((0=1),SUMIFS('Daily evaluations'!$I$2:$I$36,'Daily evaluations'!$B$2:$B$36,"=p01_attention",'Daily evaluations'!$C$2:$C$36,"=d20261127"),"")</f>
      </c>
      <c r="AY147" s="8">
        <f>IF((0=1),SUMIFS('Daily evaluations'!$I$2:$I$36,'Daily evaluations'!$B$2:$B$36,"=p01_attention",'Daily evaluations'!$C$2:$C$36,"=d20261130"),"")</f>
      </c>
      <c r="AZ147" s="8">
        <f>IF((0=1),SUMIFS('Daily evaluations'!$I$2:$I$36,'Daily evaluations'!$B$2:$B$36,"=p01_attention",'Daily evaluations'!$C$2:$C$36,"=d20261201"),"")</f>
      </c>
      <c r="BA147" s="8">
        <f>IF((0=1),SUMIFS('Daily evaluations'!$I$2:$I$36,'Daily evaluations'!$B$2:$B$36,"=p01_attention",'Daily evaluations'!$C$2:$C$36,"=d20261202"),"")</f>
      </c>
      <c r="BB147" s="8">
        <f>IF((0=1),SUMIFS('Daily evaluations'!$I$2:$I$36,'Daily evaluations'!$B$2:$B$36,"=p01_attention",'Daily evaluations'!$C$2:$C$36,"=d20261203"),"")</f>
      </c>
      <c r="BC147" s="8">
        <f>IF((0=1),SUMIFS('Daily evaluations'!$I$2:$I$36,'Daily evaluations'!$B$2:$B$36,"=p01_attention",'Daily evaluations'!$C$2:$C$36,"=d20261204"),"")</f>
      </c>
      <c r="BD147" s="8">
        <f>IF((0=1),SUMIFS('Daily evaluations'!$I$2:$I$36,'Daily evaluations'!$B$2:$B$36,"=p01_attention",'Daily evaluations'!$C$2:$C$36,"=d20261207"),"")</f>
      </c>
      <c r="BE147" s="8">
        <f>IF((0=1),SUMIFS('Daily evaluations'!$I$2:$I$36,'Daily evaluations'!$B$2:$B$36,"=p01_attention",'Daily evaluations'!$C$2:$C$36,"=d20261208"),"")</f>
      </c>
      <c r="BF147" s="8">
        <f>IF((0=1),SUMIFS('Daily evaluations'!$I$2:$I$36,'Daily evaluations'!$B$2:$B$36,"=p01_attention",'Daily evaluations'!$C$2:$C$36,"=d20261209"),"")</f>
      </c>
      <c r="BG147" s="8">
        <f>IF((0=1),SUMIFS('Daily evaluations'!$I$2:$I$36,'Daily evaluations'!$B$2:$B$36,"=p01_attention",'Daily evaluations'!$C$2:$C$36,"=d20261210"),"")</f>
      </c>
      <c r="BH147" s="8">
        <f>IF((0=1),SUMIFS('Daily evaluations'!$I$2:$I$36,'Daily evaluations'!$B$2:$B$36,"=p01_attention",'Daily evaluations'!$C$2:$C$36,"=d20261211"),"")</f>
      </c>
      <c r="BI147" s="8">
        <f>IF((0=1),SUMIFS('Daily evaluations'!$I$2:$I$36,'Daily evaluations'!$B$2:$B$36,"=p01_attention",'Daily evaluations'!$C$2:$C$36,"=d20261214"),"")</f>
      </c>
      <c r="BJ147" s="8">
        <f>IF((0=1),SUMIFS('Daily evaluations'!$I$2:$I$36,'Daily evaluations'!$B$2:$B$36,"=p01_attention",'Daily evaluations'!$C$2:$C$36,"=d20261215"),"")</f>
      </c>
      <c r="BK147" s="8">
        <f>IF((0=1),SUMIFS('Daily evaluations'!$I$2:$I$36,'Daily evaluations'!$B$2:$B$36,"=p01_attention",'Daily evaluations'!$C$2:$C$36,"=d20261216"),"")</f>
      </c>
      <c r="BL147" s="8">
        <f>IF((0=1),SUMIFS('Daily evaluations'!$I$2:$I$36,'Daily evaluations'!$B$2:$B$36,"=p01_attention",'Daily evaluations'!$C$2:$C$36,"=d20261217"),"")</f>
      </c>
      <c r="BM147" s="8">
        <f>IF((0=1),SUMIFS('Daily evaluations'!$I$2:$I$36,'Daily evaluations'!$B$2:$B$36,"=p01_attention",'Daily evaluations'!$C$2:$C$36,"=d20261218"),"")</f>
      </c>
      <c r="BN147" s="8">
        <f>IF((0=1),SUMIFS('Daily evaluations'!$I$2:$I$36,'Daily evaluations'!$B$2:$B$36,"=p01_attention",'Daily evaluations'!$C$2:$C$36,"=d20261221"),"")</f>
      </c>
      <c r="BO147" s="8">
        <f>IF((0=1),SUMIFS('Daily evaluations'!$I$2:$I$36,'Daily evaluations'!$B$2:$B$36,"=p01_attention",'Daily evaluations'!$C$2:$C$36,"=d20261222"),"")</f>
      </c>
      <c r="BP147" s="8">
        <f>IF((0=1),SUMIFS('Daily evaluations'!$I$2:$I$36,'Daily evaluations'!$B$2:$B$36,"=p01_attention",'Daily evaluations'!$C$2:$C$36,"=d20261223"),"")</f>
      </c>
      <c r="BQ147" s="8">
        <f>IF((0=1),SUMIFS('Daily evaluations'!$I$2:$I$36,'Daily evaluations'!$B$2:$B$36,"=p01_attention",'Daily evaluations'!$C$2:$C$36,"=d20261224"),"")</f>
      </c>
      <c r="BR147" s="8">
        <f>IF((0=1),SUMIFS('Daily evaluations'!$I$2:$I$36,'Daily evaluations'!$B$2:$B$36,"=p01_attention",'Daily evaluations'!$C$2:$C$36,"=d20261228"),"")</f>
      </c>
      <c r="BS147" s="8">
        <f>IF((0=1),SUMIFS('Daily evaluations'!$I$2:$I$36,'Daily evaluations'!$B$2:$B$36,"=p01_attention",'Daily evaluations'!$C$2:$C$36,"=d20261229"),"")</f>
      </c>
      <c r="BT147" s="8">
        <f>IF((0=1),SUMIFS('Daily evaluations'!$I$2:$I$36,'Daily evaluations'!$B$2:$B$36,"=p01_attention",'Daily evaluations'!$C$2:$C$36,"=d20261230"),"")</f>
      </c>
      <c r="BU147" s="8">
        <f>IF((0=1),SUMIFS('Daily evaluations'!$I$2:$I$36,'Daily evaluations'!$B$2:$B$36,"=p01_attention",'Daily evaluations'!$C$2:$C$36,"=d20261231"),"")</f>
      </c>
      <c r="BV147" s="8">
        <f>IF((0=1),SUMIFS('Daily evaluations'!$I$2:$I$36,'Daily evaluations'!$B$2:$B$36,"=p01_attention",'Daily evaluations'!$C$2:$C$36,"=d20270104"),"")</f>
      </c>
      <c r="BW147" s="8">
        <f>IF((0=1),SUMIFS('Daily evaluations'!$I$2:$I$36,'Daily evaluations'!$B$2:$B$36,"=p01_attention",'Daily evaluations'!$C$2:$C$36,"=d20270105"),"")</f>
      </c>
      <c r="BX147" s="8">
        <f>IF((0=1),SUMIFS('Daily evaluations'!$I$2:$I$36,'Daily evaluations'!$B$2:$B$36,"=p01_attention",'Daily evaluations'!$C$2:$C$36,"=d20270106"),"")</f>
      </c>
      <c r="BY147" s="8">
        <f>IF((0=1),SUMIFS('Daily evaluations'!$I$2:$I$36,'Daily evaluations'!$B$2:$B$36,"=p01_attention",'Daily evaluations'!$C$2:$C$36,"=d20270107"),"")</f>
      </c>
      <c r="BZ147" s="8">
        <f>IF((0=1),SUMIFS('Daily evaluations'!$I$2:$I$36,'Daily evaluations'!$B$2:$B$36,"=p01_attention",'Daily evaluations'!$C$2:$C$36,"=d20270108"),"")</f>
      </c>
      <c r="CA147" s="8">
        <f>IF((0=1),SUMIFS('Daily evaluations'!$I$2:$I$36,'Daily evaluations'!$B$2:$B$36,"=p01_attention",'Daily evaluations'!$C$2:$C$36,"=d20270111"),"")</f>
      </c>
      <c r="CB147" s="8">
        <f>IF((0=1),SUMIFS('Daily evaluations'!$I$2:$I$36,'Daily evaluations'!$B$2:$B$36,"=p01_attention",'Daily evaluations'!$C$2:$C$36,"=d20270112"),"")</f>
      </c>
      <c r="CC147" s="8">
        <f>IF((0=1),SUMIFS('Daily evaluations'!$I$2:$I$36,'Daily evaluations'!$B$2:$B$36,"=p01_attention",'Daily evaluations'!$C$2:$C$36,"=d20270113"),"")</f>
      </c>
      <c r="CD147" s="8">
        <f>IF((0=1),SUMIFS('Daily evaluations'!$I$2:$I$36,'Daily evaluations'!$B$2:$B$36,"=p01_attention",'Daily evaluations'!$C$2:$C$36,"=d20270114"),"")</f>
      </c>
      <c r="CE147" s="8">
        <f>IF((0=1),SUMIFS('Daily evaluations'!$I$2:$I$36,'Daily evaluations'!$B$2:$B$36,"=p01_attention",'Daily evaluations'!$C$2:$C$36,"=d20270115"),"")</f>
      </c>
      <c r="CF147" s="8">
        <f>IF((0=1),SUMIFS('Daily evaluations'!$I$2:$I$36,'Daily evaluations'!$B$2:$B$36,"=p01_attention",'Daily evaluations'!$C$2:$C$36,"=d20270119"),"")</f>
      </c>
      <c r="CG147" s="8">
        <f>IF((0=1),SUMIFS('Daily evaluations'!$I$2:$I$36,'Daily evaluations'!$B$2:$B$36,"=p01_attention",'Daily evaluations'!$C$2:$C$36,"=d20270120"),"")</f>
      </c>
      <c r="CH147" s="8">
        <f>IF((0=1),SUMIFS('Daily evaluations'!$I$2:$I$36,'Daily evaluations'!$B$2:$B$36,"=p01_attention",'Daily evaluations'!$C$2:$C$36,"=d20270121"),"")</f>
      </c>
      <c r="CI147" s="8">
        <f>IF((0=1),SUMIFS('Daily evaluations'!$I$2:$I$36,'Daily evaluations'!$B$2:$B$36,"=p01_attention",'Daily evaluations'!$C$2:$C$36,"=d20270122"),"")</f>
      </c>
      <c r="CJ147" s="8">
        <f>IF((0=1),SUMIFS('Daily evaluations'!$I$2:$I$36,'Daily evaluations'!$B$2:$B$36,"=p01_attention",'Daily evaluations'!$C$2:$C$36,"=d20270125"),"")</f>
      </c>
      <c r="CK147" s="8">
        <f>IF((0=1),SUMIFS('Daily evaluations'!$I$2:$I$36,'Daily evaluations'!$B$2:$B$36,"=p01_attention",'Daily evaluations'!$C$2:$C$36,"=d20270126"),"")</f>
      </c>
      <c r="CL147" s="8">
        <f>IF((0=1),SUMIFS('Daily evaluations'!$I$2:$I$36,'Daily evaluations'!$B$2:$B$36,"=p01_attention",'Daily evaluations'!$C$2:$C$36,"=d20270127"),"")</f>
      </c>
      <c r="CM147" s="8">
        <f>IF((0=1),SUMIFS('Daily evaluations'!$I$2:$I$36,'Daily evaluations'!$B$2:$B$36,"=p01_attention",'Daily evaluations'!$C$2:$C$36,"=d20270128"),"")</f>
      </c>
      <c r="CN147" s="8">
        <f>IF((0=1),SUMIFS('Daily evaluations'!$I$2:$I$36,'Daily evaluations'!$B$2:$B$36,"=p01_attention",'Daily evaluations'!$C$2:$C$36,"=d20270129"),"")</f>
      </c>
      <c r="CO147" s="8">
        <f>IF((0=1),SUMIFS('Daily evaluations'!$I$2:$I$36,'Daily evaluations'!$B$2:$B$36,"=p01_attention",'Daily evaluations'!$C$2:$C$36,"=d20270201"),"")</f>
      </c>
      <c r="CP147" s="8">
        <f>IF((0=1),SUMIFS('Daily evaluations'!$I$2:$I$36,'Daily evaluations'!$B$2:$B$36,"=p01_attention",'Daily evaluations'!$C$2:$C$36,"=d20270202"),"")</f>
      </c>
      <c r="CQ147" s="8">
        <f>IF((0=1),SUMIFS('Daily evaluations'!$I$2:$I$36,'Daily evaluations'!$B$2:$B$36,"=p01_attention",'Daily evaluations'!$C$2:$C$36,"=d20270203"),"")</f>
      </c>
      <c r="CR147" s="8">
        <f>IF((0=1),SUMIFS('Daily evaluations'!$I$2:$I$36,'Daily evaluations'!$B$2:$B$36,"=p01_attention",'Daily evaluations'!$C$2:$C$36,"=d20270204"),"")</f>
      </c>
      <c r="CS147" s="8">
        <f>IF((0=1),SUMIFS('Daily evaluations'!$I$2:$I$36,'Daily evaluations'!$B$2:$B$36,"=p01_attention",'Daily evaluations'!$C$2:$C$36,"=d20270205"),"")</f>
      </c>
      <c r="CT147" s="8">
        <f>IF((0=1),SUMIFS('Daily evaluations'!$I$2:$I$36,'Daily evaluations'!$B$2:$B$36,"=p01_attention",'Daily evaluations'!$C$2:$C$36,"=d20270208"),"")</f>
      </c>
      <c r="CU147" s="8">
        <f>IF((0=1),SUMIFS('Daily evaluations'!$I$2:$I$36,'Daily evaluations'!$B$2:$B$36,"=p01_attention",'Daily evaluations'!$C$2:$C$36,"=d20270209"),"")</f>
      </c>
      <c r="CV147" s="8">
        <f>IF((0=1),SUMIFS('Daily evaluations'!$I$2:$I$36,'Daily evaluations'!$B$2:$B$36,"=p01_attention",'Daily evaluations'!$C$2:$C$36,"=d20270210"),"")</f>
      </c>
      <c r="CW147" s="8">
        <f>IF((0=1),SUMIFS('Daily evaluations'!$I$2:$I$36,'Daily evaluations'!$B$2:$B$36,"=p01_attention",'Daily evaluations'!$C$2:$C$36,"=d20270211"),"")</f>
      </c>
      <c r="CX147" s="8">
        <f>IF((0=1),SUMIFS('Daily evaluations'!$I$2:$I$36,'Daily evaluations'!$B$2:$B$36,"=p01_attention",'Daily evaluations'!$C$2:$C$36,"=d20270212"),"")</f>
      </c>
    </row>
    <row r="148">
      <c r="A148" s="0" t="inlineStr">
        <is>
          <t xml:space="preserve">Information coefficient</t>
        </is>
      </c>
      <c r="B148" s="0" t="inlineStr">
        <is>
          <t xml:space="preserve">Post-Earnings Drift, Overnight Leg</t>
        </is>
      </c>
      <c r="C148" s="8">
        <f>IF((1=1),SUMIFS('Daily evaluations'!$I$2:$I$36,'Daily evaluations'!$B$2:$B$36,"=p02_earnings_drift",'Daily evaluations'!$C$2:$C$36,"=d20260922"),"")</f>
        <v>-0.1282</v>
      </c>
      <c r="D148" s="8">
        <f>IF((0=1),SUMIFS('Daily evaluations'!$I$2:$I$36,'Daily evaluations'!$B$2:$B$36,"=p02_earnings_drift",'Daily evaluations'!$C$2:$C$36,"=d20260923"),"")</f>
      </c>
      <c r="E148" s="8">
        <f>IF((0=1),SUMIFS('Daily evaluations'!$I$2:$I$36,'Daily evaluations'!$B$2:$B$36,"=p02_earnings_drift",'Daily evaluations'!$C$2:$C$36,"=d20260924"),"")</f>
      </c>
      <c r="F148" s="8">
        <f>IF((0=1),SUMIFS('Daily evaluations'!$I$2:$I$36,'Daily evaluations'!$B$2:$B$36,"=p02_earnings_drift",'Daily evaluations'!$C$2:$C$36,"=d20260925"),"")</f>
      </c>
      <c r="G148" s="8">
        <f>IF((0=1),SUMIFS('Daily evaluations'!$I$2:$I$36,'Daily evaluations'!$B$2:$B$36,"=p02_earnings_drift",'Daily evaluations'!$C$2:$C$36,"=d20260928"),"")</f>
      </c>
      <c r="H148" s="8">
        <f>IF((0=1),SUMIFS('Daily evaluations'!$I$2:$I$36,'Daily evaluations'!$B$2:$B$36,"=p02_earnings_drift",'Daily evaluations'!$C$2:$C$36,"=d20260929"),"")</f>
      </c>
      <c r="I148" s="8">
        <f>IF((0=1),SUMIFS('Daily evaluations'!$I$2:$I$36,'Daily evaluations'!$B$2:$B$36,"=p02_earnings_drift",'Daily evaluations'!$C$2:$C$36,"=d20260930"),"")</f>
      </c>
      <c r="J148" s="8">
        <f>IF((0=1),SUMIFS('Daily evaluations'!$I$2:$I$36,'Daily evaluations'!$B$2:$B$36,"=p02_earnings_drift",'Daily evaluations'!$C$2:$C$36,"=d20261001"),"")</f>
      </c>
      <c r="K148" s="8">
        <f>IF((0=1),SUMIFS('Daily evaluations'!$I$2:$I$36,'Daily evaluations'!$B$2:$B$36,"=p02_earnings_drift",'Daily evaluations'!$C$2:$C$36,"=d20261002"),"")</f>
      </c>
      <c r="L148" s="8">
        <f>IF((0=1),SUMIFS('Daily evaluations'!$I$2:$I$36,'Daily evaluations'!$B$2:$B$36,"=p02_earnings_drift",'Daily evaluations'!$C$2:$C$36,"=d20261005"),"")</f>
      </c>
      <c r="M148" s="8">
        <f>IF((0=1),SUMIFS('Daily evaluations'!$I$2:$I$36,'Daily evaluations'!$B$2:$B$36,"=p02_earnings_drift",'Daily evaluations'!$C$2:$C$36,"=d20261006"),"")</f>
      </c>
      <c r="N148" s="8">
        <f>IF((0=1),SUMIFS('Daily evaluations'!$I$2:$I$36,'Daily evaluations'!$B$2:$B$36,"=p02_earnings_drift",'Daily evaluations'!$C$2:$C$36,"=d20261007"),"")</f>
      </c>
      <c r="O148" s="8">
        <f>IF((0=1),SUMIFS('Daily evaluations'!$I$2:$I$36,'Daily evaluations'!$B$2:$B$36,"=p02_earnings_drift",'Daily evaluations'!$C$2:$C$36,"=d20261008"),"")</f>
      </c>
      <c r="P148" s="8">
        <f>IF((0=1),SUMIFS('Daily evaluations'!$I$2:$I$36,'Daily evaluations'!$B$2:$B$36,"=p02_earnings_drift",'Daily evaluations'!$C$2:$C$36,"=d20261009"),"")</f>
      </c>
      <c r="Q148" s="8">
        <f>IF((0=1),SUMIFS('Daily evaluations'!$I$2:$I$36,'Daily evaluations'!$B$2:$B$36,"=p02_earnings_drift",'Daily evaluations'!$C$2:$C$36,"=d20261012"),"")</f>
      </c>
      <c r="R148" s="8">
        <f>IF((0=1),SUMIFS('Daily evaluations'!$I$2:$I$36,'Daily evaluations'!$B$2:$B$36,"=p02_earnings_drift",'Daily evaluations'!$C$2:$C$36,"=d20261013"),"")</f>
      </c>
      <c r="S148" s="8">
        <f>IF((0=1),SUMIFS('Daily evaluations'!$I$2:$I$36,'Daily evaluations'!$B$2:$B$36,"=p02_earnings_drift",'Daily evaluations'!$C$2:$C$36,"=d20261014"),"")</f>
      </c>
      <c r="T148" s="8">
        <f>IF((0=1),SUMIFS('Daily evaluations'!$I$2:$I$36,'Daily evaluations'!$B$2:$B$36,"=p02_earnings_drift",'Daily evaluations'!$C$2:$C$36,"=d20261015"),"")</f>
      </c>
      <c r="U148" s="8">
        <f>IF((0=1),SUMIFS('Daily evaluations'!$I$2:$I$36,'Daily evaluations'!$B$2:$B$36,"=p02_earnings_drift",'Daily evaluations'!$C$2:$C$36,"=d20261016"),"")</f>
      </c>
      <c r="V148" s="8">
        <f>IF((0=1),SUMIFS('Daily evaluations'!$I$2:$I$36,'Daily evaluations'!$B$2:$B$36,"=p02_earnings_drift",'Daily evaluations'!$C$2:$C$36,"=d20261019"),"")</f>
      </c>
      <c r="W148" s="8">
        <f>IF((0=1),SUMIFS('Daily evaluations'!$I$2:$I$36,'Daily evaluations'!$B$2:$B$36,"=p02_earnings_drift",'Daily evaluations'!$C$2:$C$36,"=d20261020"),"")</f>
      </c>
      <c r="X148" s="8">
        <f>IF((0=1),SUMIFS('Daily evaluations'!$I$2:$I$36,'Daily evaluations'!$B$2:$B$36,"=p02_earnings_drift",'Daily evaluations'!$C$2:$C$36,"=d20261021"),"")</f>
      </c>
      <c r="Y148" s="8">
        <f>IF((0=1),SUMIFS('Daily evaluations'!$I$2:$I$36,'Daily evaluations'!$B$2:$B$36,"=p02_earnings_drift",'Daily evaluations'!$C$2:$C$36,"=d20261022"),"")</f>
      </c>
      <c r="Z148" s="8">
        <f>IF((0=1),SUMIFS('Daily evaluations'!$I$2:$I$36,'Daily evaluations'!$B$2:$B$36,"=p02_earnings_drift",'Daily evaluations'!$C$2:$C$36,"=d20261023"),"")</f>
      </c>
      <c r="AA148" s="8">
        <f>IF((0=1),SUMIFS('Daily evaluations'!$I$2:$I$36,'Daily evaluations'!$B$2:$B$36,"=p02_earnings_drift",'Daily evaluations'!$C$2:$C$36,"=d20261026"),"")</f>
      </c>
      <c r="AB148" s="8">
        <f>IF((0=1),SUMIFS('Daily evaluations'!$I$2:$I$36,'Daily evaluations'!$B$2:$B$36,"=p02_earnings_drift",'Daily evaluations'!$C$2:$C$36,"=d20261027"),"")</f>
      </c>
      <c r="AC148" s="8">
        <f>IF((0=1),SUMIFS('Daily evaluations'!$I$2:$I$36,'Daily evaluations'!$B$2:$B$36,"=p02_earnings_drift",'Daily evaluations'!$C$2:$C$36,"=d20261028"),"")</f>
      </c>
      <c r="AD148" s="8">
        <f>IF((0=1),SUMIFS('Daily evaluations'!$I$2:$I$36,'Daily evaluations'!$B$2:$B$36,"=p02_earnings_drift",'Daily evaluations'!$C$2:$C$36,"=d20261029"),"")</f>
      </c>
      <c r="AE148" s="8">
        <f>IF((0=1),SUMIFS('Daily evaluations'!$I$2:$I$36,'Daily evaluations'!$B$2:$B$36,"=p02_earnings_drift",'Daily evaluations'!$C$2:$C$36,"=d20261030"),"")</f>
      </c>
      <c r="AF148" s="8">
        <f>IF((0=1),SUMIFS('Daily evaluations'!$I$2:$I$36,'Daily evaluations'!$B$2:$B$36,"=p02_earnings_drift",'Daily evaluations'!$C$2:$C$36,"=d20261102"),"")</f>
      </c>
      <c r="AG148" s="8">
        <f>IF((0=1),SUMIFS('Daily evaluations'!$I$2:$I$36,'Daily evaluations'!$B$2:$B$36,"=p02_earnings_drift",'Daily evaluations'!$C$2:$C$36,"=d20261103"),"")</f>
      </c>
      <c r="AH148" s="8">
        <f>IF((0=1),SUMIFS('Daily evaluations'!$I$2:$I$36,'Daily evaluations'!$B$2:$B$36,"=p02_earnings_drift",'Daily evaluations'!$C$2:$C$36,"=d20261104"),"")</f>
      </c>
      <c r="AI148" s="8">
        <f>IF((0=1),SUMIFS('Daily evaluations'!$I$2:$I$36,'Daily evaluations'!$B$2:$B$36,"=p02_earnings_drift",'Daily evaluations'!$C$2:$C$36,"=d20261105"),"")</f>
      </c>
      <c r="AJ148" s="8">
        <f>IF((0=1),SUMIFS('Daily evaluations'!$I$2:$I$36,'Daily evaluations'!$B$2:$B$36,"=p02_earnings_drift",'Daily evaluations'!$C$2:$C$36,"=d20261106"),"")</f>
      </c>
      <c r="AK148" s="8">
        <f>IF((0=1),SUMIFS('Daily evaluations'!$I$2:$I$36,'Daily evaluations'!$B$2:$B$36,"=p02_earnings_drift",'Daily evaluations'!$C$2:$C$36,"=d20261109"),"")</f>
      </c>
      <c r="AL148" s="8">
        <f>IF((0=1),SUMIFS('Daily evaluations'!$I$2:$I$36,'Daily evaluations'!$B$2:$B$36,"=p02_earnings_drift",'Daily evaluations'!$C$2:$C$36,"=d20261110"),"")</f>
      </c>
      <c r="AM148" s="8">
        <f>IF((0=1),SUMIFS('Daily evaluations'!$I$2:$I$36,'Daily evaluations'!$B$2:$B$36,"=p02_earnings_drift",'Daily evaluations'!$C$2:$C$36,"=d20261111"),"")</f>
      </c>
      <c r="AN148" s="8">
        <f>IF((0=1),SUMIFS('Daily evaluations'!$I$2:$I$36,'Daily evaluations'!$B$2:$B$36,"=p02_earnings_drift",'Daily evaluations'!$C$2:$C$36,"=d20261112"),"")</f>
      </c>
      <c r="AO148" s="8">
        <f>IF((0=1),SUMIFS('Daily evaluations'!$I$2:$I$36,'Daily evaluations'!$B$2:$B$36,"=p02_earnings_drift",'Daily evaluations'!$C$2:$C$36,"=d20261113"),"")</f>
      </c>
      <c r="AP148" s="8">
        <f>IF((0=1),SUMIFS('Daily evaluations'!$I$2:$I$36,'Daily evaluations'!$B$2:$B$36,"=p02_earnings_drift",'Daily evaluations'!$C$2:$C$36,"=d20261116"),"")</f>
      </c>
      <c r="AQ148" s="8">
        <f>IF((0=1),SUMIFS('Daily evaluations'!$I$2:$I$36,'Daily evaluations'!$B$2:$B$36,"=p02_earnings_drift",'Daily evaluations'!$C$2:$C$36,"=d20261117"),"")</f>
      </c>
      <c r="AR148" s="8">
        <f>IF((0=1),SUMIFS('Daily evaluations'!$I$2:$I$36,'Daily evaluations'!$B$2:$B$36,"=p02_earnings_drift",'Daily evaluations'!$C$2:$C$36,"=d20261118"),"")</f>
      </c>
      <c r="AS148" s="8">
        <f>IF((0=1),SUMIFS('Daily evaluations'!$I$2:$I$36,'Daily evaluations'!$B$2:$B$36,"=p02_earnings_drift",'Daily evaluations'!$C$2:$C$36,"=d20261119"),"")</f>
      </c>
      <c r="AT148" s="8">
        <f>IF((0=1),SUMIFS('Daily evaluations'!$I$2:$I$36,'Daily evaluations'!$B$2:$B$36,"=p02_earnings_drift",'Daily evaluations'!$C$2:$C$36,"=d20261120"),"")</f>
      </c>
      <c r="AU148" s="8">
        <f>IF((0=1),SUMIFS('Daily evaluations'!$I$2:$I$36,'Daily evaluations'!$B$2:$B$36,"=p02_earnings_drift",'Daily evaluations'!$C$2:$C$36,"=d20261123"),"")</f>
      </c>
      <c r="AV148" s="8">
        <f>IF((0=1),SUMIFS('Daily evaluations'!$I$2:$I$36,'Daily evaluations'!$B$2:$B$36,"=p02_earnings_drift",'Daily evaluations'!$C$2:$C$36,"=d20261124"),"")</f>
      </c>
      <c r="AW148" s="8">
        <f>IF((0=1),SUMIFS('Daily evaluations'!$I$2:$I$36,'Daily evaluations'!$B$2:$B$36,"=p02_earnings_drift",'Daily evaluations'!$C$2:$C$36,"=d20261125"),"")</f>
      </c>
      <c r="AX148" s="8">
        <f>IF((0=1),SUMIFS('Daily evaluations'!$I$2:$I$36,'Daily evaluations'!$B$2:$B$36,"=p02_earnings_drift",'Daily evaluations'!$C$2:$C$36,"=d20261127"),"")</f>
      </c>
      <c r="AY148" s="8">
        <f>IF((0=1),SUMIFS('Daily evaluations'!$I$2:$I$36,'Daily evaluations'!$B$2:$B$36,"=p02_earnings_drift",'Daily evaluations'!$C$2:$C$36,"=d20261130"),"")</f>
      </c>
      <c r="AZ148" s="8">
        <f>IF((0=1),SUMIFS('Daily evaluations'!$I$2:$I$36,'Daily evaluations'!$B$2:$B$36,"=p02_earnings_drift",'Daily evaluations'!$C$2:$C$36,"=d20261201"),"")</f>
      </c>
      <c r="BA148" s="8">
        <f>IF((0=1),SUMIFS('Daily evaluations'!$I$2:$I$36,'Daily evaluations'!$B$2:$B$36,"=p02_earnings_drift",'Daily evaluations'!$C$2:$C$36,"=d20261202"),"")</f>
      </c>
      <c r="BB148" s="8">
        <f>IF((0=1),SUMIFS('Daily evaluations'!$I$2:$I$36,'Daily evaluations'!$B$2:$B$36,"=p02_earnings_drift",'Daily evaluations'!$C$2:$C$36,"=d20261203"),"")</f>
      </c>
      <c r="BC148" s="8">
        <f>IF((0=1),SUMIFS('Daily evaluations'!$I$2:$I$36,'Daily evaluations'!$B$2:$B$36,"=p02_earnings_drift",'Daily evaluations'!$C$2:$C$36,"=d20261204"),"")</f>
      </c>
      <c r="BD148" s="8">
        <f>IF((0=1),SUMIFS('Daily evaluations'!$I$2:$I$36,'Daily evaluations'!$B$2:$B$36,"=p02_earnings_drift",'Daily evaluations'!$C$2:$C$36,"=d20261207"),"")</f>
      </c>
      <c r="BE148" s="8">
        <f>IF((0=1),SUMIFS('Daily evaluations'!$I$2:$I$36,'Daily evaluations'!$B$2:$B$36,"=p02_earnings_drift",'Daily evaluations'!$C$2:$C$36,"=d20261208"),"")</f>
      </c>
      <c r="BF148" s="8">
        <f>IF((0=1),SUMIFS('Daily evaluations'!$I$2:$I$36,'Daily evaluations'!$B$2:$B$36,"=p02_earnings_drift",'Daily evaluations'!$C$2:$C$36,"=d20261209"),"")</f>
      </c>
      <c r="BG148" s="8">
        <f>IF((0=1),SUMIFS('Daily evaluations'!$I$2:$I$36,'Daily evaluations'!$B$2:$B$36,"=p02_earnings_drift",'Daily evaluations'!$C$2:$C$36,"=d20261210"),"")</f>
      </c>
      <c r="BH148" s="8">
        <f>IF((0=1),SUMIFS('Daily evaluations'!$I$2:$I$36,'Daily evaluations'!$B$2:$B$36,"=p02_earnings_drift",'Daily evaluations'!$C$2:$C$36,"=d20261211"),"")</f>
      </c>
      <c r="BI148" s="8">
        <f>IF((0=1),SUMIFS('Daily evaluations'!$I$2:$I$36,'Daily evaluations'!$B$2:$B$36,"=p02_earnings_drift",'Daily evaluations'!$C$2:$C$36,"=d20261214"),"")</f>
      </c>
      <c r="BJ148" s="8">
        <f>IF((0=1),SUMIFS('Daily evaluations'!$I$2:$I$36,'Daily evaluations'!$B$2:$B$36,"=p02_earnings_drift",'Daily evaluations'!$C$2:$C$36,"=d20261215"),"")</f>
      </c>
      <c r="BK148" s="8">
        <f>IF((0=1),SUMIFS('Daily evaluations'!$I$2:$I$36,'Daily evaluations'!$B$2:$B$36,"=p02_earnings_drift",'Daily evaluations'!$C$2:$C$36,"=d20261216"),"")</f>
      </c>
      <c r="BL148" s="8">
        <f>IF((0=1),SUMIFS('Daily evaluations'!$I$2:$I$36,'Daily evaluations'!$B$2:$B$36,"=p02_earnings_drift",'Daily evaluations'!$C$2:$C$36,"=d20261217"),"")</f>
      </c>
      <c r="BM148" s="8">
        <f>IF((0=1),SUMIFS('Daily evaluations'!$I$2:$I$36,'Daily evaluations'!$B$2:$B$36,"=p02_earnings_drift",'Daily evaluations'!$C$2:$C$36,"=d20261218"),"")</f>
      </c>
      <c r="BN148" s="8">
        <f>IF((0=1),SUMIFS('Daily evaluations'!$I$2:$I$36,'Daily evaluations'!$B$2:$B$36,"=p02_earnings_drift",'Daily evaluations'!$C$2:$C$36,"=d20261221"),"")</f>
      </c>
      <c r="BO148" s="8">
        <f>IF((0=1),SUMIFS('Daily evaluations'!$I$2:$I$36,'Daily evaluations'!$B$2:$B$36,"=p02_earnings_drift",'Daily evaluations'!$C$2:$C$36,"=d20261222"),"")</f>
      </c>
      <c r="BP148" s="8">
        <f>IF((0=1),SUMIFS('Daily evaluations'!$I$2:$I$36,'Daily evaluations'!$B$2:$B$36,"=p02_earnings_drift",'Daily evaluations'!$C$2:$C$36,"=d20261223"),"")</f>
      </c>
      <c r="BQ148" s="8">
        <f>IF((0=1),SUMIFS('Daily evaluations'!$I$2:$I$36,'Daily evaluations'!$B$2:$B$36,"=p02_earnings_drift",'Daily evaluations'!$C$2:$C$36,"=d20261224"),"")</f>
      </c>
      <c r="BR148" s="8">
        <f>IF((0=1),SUMIFS('Daily evaluations'!$I$2:$I$36,'Daily evaluations'!$B$2:$B$36,"=p02_earnings_drift",'Daily evaluations'!$C$2:$C$36,"=d20261228"),"")</f>
      </c>
      <c r="BS148" s="8">
        <f>IF((0=1),SUMIFS('Daily evaluations'!$I$2:$I$36,'Daily evaluations'!$B$2:$B$36,"=p02_earnings_drift",'Daily evaluations'!$C$2:$C$36,"=d20261229"),"")</f>
      </c>
      <c r="BT148" s="8">
        <f>IF((0=1),SUMIFS('Daily evaluations'!$I$2:$I$36,'Daily evaluations'!$B$2:$B$36,"=p02_earnings_drift",'Daily evaluations'!$C$2:$C$36,"=d20261230"),"")</f>
      </c>
      <c r="BU148" s="8">
        <f>IF((0=1),SUMIFS('Daily evaluations'!$I$2:$I$36,'Daily evaluations'!$B$2:$B$36,"=p02_earnings_drift",'Daily evaluations'!$C$2:$C$36,"=d20261231"),"")</f>
      </c>
      <c r="BV148" s="8">
        <f>IF((0=1),SUMIFS('Daily evaluations'!$I$2:$I$36,'Daily evaluations'!$B$2:$B$36,"=p02_earnings_drift",'Daily evaluations'!$C$2:$C$36,"=d20270104"),"")</f>
      </c>
      <c r="BW148" s="8">
        <f>IF((0=1),SUMIFS('Daily evaluations'!$I$2:$I$36,'Daily evaluations'!$B$2:$B$36,"=p02_earnings_drift",'Daily evaluations'!$C$2:$C$36,"=d20270105"),"")</f>
      </c>
      <c r="BX148" s="8">
        <f>IF((0=1),SUMIFS('Daily evaluations'!$I$2:$I$36,'Daily evaluations'!$B$2:$B$36,"=p02_earnings_drift",'Daily evaluations'!$C$2:$C$36,"=d20270106"),"")</f>
      </c>
      <c r="BY148" s="8">
        <f>IF((0=1),SUMIFS('Daily evaluations'!$I$2:$I$36,'Daily evaluations'!$B$2:$B$36,"=p02_earnings_drift",'Daily evaluations'!$C$2:$C$36,"=d20270107"),"")</f>
      </c>
      <c r="BZ148" s="8">
        <f>IF((0=1),SUMIFS('Daily evaluations'!$I$2:$I$36,'Daily evaluations'!$B$2:$B$36,"=p02_earnings_drift",'Daily evaluations'!$C$2:$C$36,"=d20270108"),"")</f>
      </c>
      <c r="CA148" s="8">
        <f>IF((0=1),SUMIFS('Daily evaluations'!$I$2:$I$36,'Daily evaluations'!$B$2:$B$36,"=p02_earnings_drift",'Daily evaluations'!$C$2:$C$36,"=d20270111"),"")</f>
      </c>
      <c r="CB148" s="8">
        <f>IF((0=1),SUMIFS('Daily evaluations'!$I$2:$I$36,'Daily evaluations'!$B$2:$B$36,"=p02_earnings_drift",'Daily evaluations'!$C$2:$C$36,"=d20270112"),"")</f>
      </c>
      <c r="CC148" s="8">
        <f>IF((0=1),SUMIFS('Daily evaluations'!$I$2:$I$36,'Daily evaluations'!$B$2:$B$36,"=p02_earnings_drift",'Daily evaluations'!$C$2:$C$36,"=d20270113"),"")</f>
      </c>
      <c r="CD148" s="8">
        <f>IF((0=1),SUMIFS('Daily evaluations'!$I$2:$I$36,'Daily evaluations'!$B$2:$B$36,"=p02_earnings_drift",'Daily evaluations'!$C$2:$C$36,"=d20270114"),"")</f>
      </c>
      <c r="CE148" s="8">
        <f>IF((0=1),SUMIFS('Daily evaluations'!$I$2:$I$36,'Daily evaluations'!$B$2:$B$36,"=p02_earnings_drift",'Daily evaluations'!$C$2:$C$36,"=d20270115"),"")</f>
      </c>
      <c r="CF148" s="8">
        <f>IF((0=1),SUMIFS('Daily evaluations'!$I$2:$I$36,'Daily evaluations'!$B$2:$B$36,"=p02_earnings_drift",'Daily evaluations'!$C$2:$C$36,"=d20270119"),"")</f>
      </c>
      <c r="CG148" s="8">
        <f>IF((0=1),SUMIFS('Daily evaluations'!$I$2:$I$36,'Daily evaluations'!$B$2:$B$36,"=p02_earnings_drift",'Daily evaluations'!$C$2:$C$36,"=d20270120"),"")</f>
      </c>
      <c r="CH148" s="8">
        <f>IF((0=1),SUMIFS('Daily evaluations'!$I$2:$I$36,'Daily evaluations'!$B$2:$B$36,"=p02_earnings_drift",'Daily evaluations'!$C$2:$C$36,"=d20270121"),"")</f>
      </c>
      <c r="CI148" s="8">
        <f>IF((0=1),SUMIFS('Daily evaluations'!$I$2:$I$36,'Daily evaluations'!$B$2:$B$36,"=p02_earnings_drift",'Daily evaluations'!$C$2:$C$36,"=d20270122"),"")</f>
      </c>
      <c r="CJ148" s="8">
        <f>IF((0=1),SUMIFS('Daily evaluations'!$I$2:$I$36,'Daily evaluations'!$B$2:$B$36,"=p02_earnings_drift",'Daily evaluations'!$C$2:$C$36,"=d20270125"),"")</f>
      </c>
      <c r="CK148" s="8">
        <f>IF((0=1),SUMIFS('Daily evaluations'!$I$2:$I$36,'Daily evaluations'!$B$2:$B$36,"=p02_earnings_drift",'Daily evaluations'!$C$2:$C$36,"=d20270126"),"")</f>
      </c>
      <c r="CL148" s="8">
        <f>IF((0=1),SUMIFS('Daily evaluations'!$I$2:$I$36,'Daily evaluations'!$B$2:$B$36,"=p02_earnings_drift",'Daily evaluations'!$C$2:$C$36,"=d20270127"),"")</f>
      </c>
      <c r="CM148" s="8">
        <f>IF((0=1),SUMIFS('Daily evaluations'!$I$2:$I$36,'Daily evaluations'!$B$2:$B$36,"=p02_earnings_drift",'Daily evaluations'!$C$2:$C$36,"=d20270128"),"")</f>
      </c>
      <c r="CN148" s="8">
        <f>IF((0=1),SUMIFS('Daily evaluations'!$I$2:$I$36,'Daily evaluations'!$B$2:$B$36,"=p02_earnings_drift",'Daily evaluations'!$C$2:$C$36,"=d20270129"),"")</f>
      </c>
      <c r="CO148" s="8">
        <f>IF((0=1),SUMIFS('Daily evaluations'!$I$2:$I$36,'Daily evaluations'!$B$2:$B$36,"=p02_earnings_drift",'Daily evaluations'!$C$2:$C$36,"=d20270201"),"")</f>
      </c>
      <c r="CP148" s="8">
        <f>IF((0=1),SUMIFS('Daily evaluations'!$I$2:$I$36,'Daily evaluations'!$B$2:$B$36,"=p02_earnings_drift",'Daily evaluations'!$C$2:$C$36,"=d20270202"),"")</f>
      </c>
      <c r="CQ148" s="8">
        <f>IF((0=1),SUMIFS('Daily evaluations'!$I$2:$I$36,'Daily evaluations'!$B$2:$B$36,"=p02_earnings_drift",'Daily evaluations'!$C$2:$C$36,"=d20270203"),"")</f>
      </c>
      <c r="CR148" s="8">
        <f>IF((0=1),SUMIFS('Daily evaluations'!$I$2:$I$36,'Daily evaluations'!$B$2:$B$36,"=p02_earnings_drift",'Daily evaluations'!$C$2:$C$36,"=d20270204"),"")</f>
      </c>
      <c r="CS148" s="8">
        <f>IF((0=1),SUMIFS('Daily evaluations'!$I$2:$I$36,'Daily evaluations'!$B$2:$B$36,"=p02_earnings_drift",'Daily evaluations'!$C$2:$C$36,"=d20270205"),"")</f>
      </c>
      <c r="CT148" s="8">
        <f>IF((0=1),SUMIFS('Daily evaluations'!$I$2:$I$36,'Daily evaluations'!$B$2:$B$36,"=p02_earnings_drift",'Daily evaluations'!$C$2:$C$36,"=d20270208"),"")</f>
      </c>
      <c r="CU148" s="8">
        <f>IF((0=1),SUMIFS('Daily evaluations'!$I$2:$I$36,'Daily evaluations'!$B$2:$B$36,"=p02_earnings_drift",'Daily evaluations'!$C$2:$C$36,"=d20270209"),"")</f>
      </c>
      <c r="CV148" s="8">
        <f>IF((0=1),SUMIFS('Daily evaluations'!$I$2:$I$36,'Daily evaluations'!$B$2:$B$36,"=p02_earnings_drift",'Daily evaluations'!$C$2:$C$36,"=d20270210"),"")</f>
      </c>
      <c r="CW148" s="8">
        <f>IF((0=1),SUMIFS('Daily evaluations'!$I$2:$I$36,'Daily evaluations'!$B$2:$B$36,"=p02_earnings_drift",'Daily evaluations'!$C$2:$C$36,"=d20270211"),"")</f>
      </c>
      <c r="CX148" s="8">
        <f>IF((0=1),SUMIFS('Daily evaluations'!$I$2:$I$36,'Daily evaluations'!$B$2:$B$36,"=p02_earnings_drift",'Daily evaluations'!$C$2:$C$36,"=d20270212"),"")</f>
      </c>
    </row>
    <row r="149">
      <c r="A149" s="0" t="inlineStr">
        <is>
          <t xml:space="preserve">Information coefficient</t>
        </is>
      </c>
      <c r="B149" s="0" t="inlineStr">
        <is>
          <t xml:space="preserve">Intraday-to-Overnight Reversal</t>
        </is>
      </c>
      <c r="C149" s="8">
        <f>IF((1=1),SUMIFS('Daily evaluations'!$I$2:$I$36,'Daily evaluations'!$B$2:$B$36,"=p03_intraday_reversal",'Daily evaluations'!$C$2:$C$36,"=d20260922"),"")</f>
        <v>0.0638</v>
      </c>
      <c r="D149" s="8">
        <f>IF((0=1),SUMIFS('Daily evaluations'!$I$2:$I$36,'Daily evaluations'!$B$2:$B$36,"=p03_intraday_reversal",'Daily evaluations'!$C$2:$C$36,"=d20260923"),"")</f>
      </c>
      <c r="E149" s="8">
        <f>IF((0=1),SUMIFS('Daily evaluations'!$I$2:$I$36,'Daily evaluations'!$B$2:$B$36,"=p03_intraday_reversal",'Daily evaluations'!$C$2:$C$36,"=d20260924"),"")</f>
      </c>
      <c r="F149" s="8">
        <f>IF((0=1),SUMIFS('Daily evaluations'!$I$2:$I$36,'Daily evaluations'!$B$2:$B$36,"=p03_intraday_reversal",'Daily evaluations'!$C$2:$C$36,"=d20260925"),"")</f>
      </c>
      <c r="G149" s="8">
        <f>IF((0=1),SUMIFS('Daily evaluations'!$I$2:$I$36,'Daily evaluations'!$B$2:$B$36,"=p03_intraday_reversal",'Daily evaluations'!$C$2:$C$36,"=d20260928"),"")</f>
      </c>
      <c r="H149" s="8">
        <f>IF((0=1),SUMIFS('Daily evaluations'!$I$2:$I$36,'Daily evaluations'!$B$2:$B$36,"=p03_intraday_reversal",'Daily evaluations'!$C$2:$C$36,"=d20260929"),"")</f>
      </c>
      <c r="I149" s="8">
        <f>IF((0=1),SUMIFS('Daily evaluations'!$I$2:$I$36,'Daily evaluations'!$B$2:$B$36,"=p03_intraday_reversal",'Daily evaluations'!$C$2:$C$36,"=d20260930"),"")</f>
      </c>
      <c r="J149" s="8">
        <f>IF((0=1),SUMIFS('Daily evaluations'!$I$2:$I$36,'Daily evaluations'!$B$2:$B$36,"=p03_intraday_reversal",'Daily evaluations'!$C$2:$C$36,"=d20261001"),"")</f>
      </c>
      <c r="K149" s="8">
        <f>IF((0=1),SUMIFS('Daily evaluations'!$I$2:$I$36,'Daily evaluations'!$B$2:$B$36,"=p03_intraday_reversal",'Daily evaluations'!$C$2:$C$36,"=d20261002"),"")</f>
      </c>
      <c r="L149" s="8">
        <f>IF((0=1),SUMIFS('Daily evaluations'!$I$2:$I$36,'Daily evaluations'!$B$2:$B$36,"=p03_intraday_reversal",'Daily evaluations'!$C$2:$C$36,"=d20261005"),"")</f>
      </c>
      <c r="M149" s="8">
        <f>IF((0=1),SUMIFS('Daily evaluations'!$I$2:$I$36,'Daily evaluations'!$B$2:$B$36,"=p03_intraday_reversal",'Daily evaluations'!$C$2:$C$36,"=d20261006"),"")</f>
      </c>
      <c r="N149" s="8">
        <f>IF((0=1),SUMIFS('Daily evaluations'!$I$2:$I$36,'Daily evaluations'!$B$2:$B$36,"=p03_intraday_reversal",'Daily evaluations'!$C$2:$C$36,"=d20261007"),"")</f>
      </c>
      <c r="O149" s="8">
        <f>IF((0=1),SUMIFS('Daily evaluations'!$I$2:$I$36,'Daily evaluations'!$B$2:$B$36,"=p03_intraday_reversal",'Daily evaluations'!$C$2:$C$36,"=d20261008"),"")</f>
      </c>
      <c r="P149" s="8">
        <f>IF((0=1),SUMIFS('Daily evaluations'!$I$2:$I$36,'Daily evaluations'!$B$2:$B$36,"=p03_intraday_reversal",'Daily evaluations'!$C$2:$C$36,"=d20261009"),"")</f>
      </c>
      <c r="Q149" s="8">
        <f>IF((0=1),SUMIFS('Daily evaluations'!$I$2:$I$36,'Daily evaluations'!$B$2:$B$36,"=p03_intraday_reversal",'Daily evaluations'!$C$2:$C$36,"=d20261012"),"")</f>
      </c>
      <c r="R149" s="8">
        <f>IF((0=1),SUMIFS('Daily evaluations'!$I$2:$I$36,'Daily evaluations'!$B$2:$B$36,"=p03_intraday_reversal",'Daily evaluations'!$C$2:$C$36,"=d20261013"),"")</f>
      </c>
      <c r="S149" s="8">
        <f>IF((0=1),SUMIFS('Daily evaluations'!$I$2:$I$36,'Daily evaluations'!$B$2:$B$36,"=p03_intraday_reversal",'Daily evaluations'!$C$2:$C$36,"=d20261014"),"")</f>
      </c>
      <c r="T149" s="8">
        <f>IF((0=1),SUMIFS('Daily evaluations'!$I$2:$I$36,'Daily evaluations'!$B$2:$B$36,"=p03_intraday_reversal",'Daily evaluations'!$C$2:$C$36,"=d20261015"),"")</f>
      </c>
      <c r="U149" s="8">
        <f>IF((0=1),SUMIFS('Daily evaluations'!$I$2:$I$36,'Daily evaluations'!$B$2:$B$36,"=p03_intraday_reversal",'Daily evaluations'!$C$2:$C$36,"=d20261016"),"")</f>
      </c>
      <c r="V149" s="8">
        <f>IF((0=1),SUMIFS('Daily evaluations'!$I$2:$I$36,'Daily evaluations'!$B$2:$B$36,"=p03_intraday_reversal",'Daily evaluations'!$C$2:$C$36,"=d20261019"),"")</f>
      </c>
      <c r="W149" s="8">
        <f>IF((0=1),SUMIFS('Daily evaluations'!$I$2:$I$36,'Daily evaluations'!$B$2:$B$36,"=p03_intraday_reversal",'Daily evaluations'!$C$2:$C$36,"=d20261020"),"")</f>
      </c>
      <c r="X149" s="8">
        <f>IF((0=1),SUMIFS('Daily evaluations'!$I$2:$I$36,'Daily evaluations'!$B$2:$B$36,"=p03_intraday_reversal",'Daily evaluations'!$C$2:$C$36,"=d20261021"),"")</f>
      </c>
      <c r="Y149" s="8">
        <f>IF((0=1),SUMIFS('Daily evaluations'!$I$2:$I$36,'Daily evaluations'!$B$2:$B$36,"=p03_intraday_reversal",'Daily evaluations'!$C$2:$C$36,"=d20261022"),"")</f>
      </c>
      <c r="Z149" s="8">
        <f>IF((0=1),SUMIFS('Daily evaluations'!$I$2:$I$36,'Daily evaluations'!$B$2:$B$36,"=p03_intraday_reversal",'Daily evaluations'!$C$2:$C$36,"=d20261023"),"")</f>
      </c>
      <c r="AA149" s="8">
        <f>IF((0=1),SUMIFS('Daily evaluations'!$I$2:$I$36,'Daily evaluations'!$B$2:$B$36,"=p03_intraday_reversal",'Daily evaluations'!$C$2:$C$36,"=d20261026"),"")</f>
      </c>
      <c r="AB149" s="8">
        <f>IF((0=1),SUMIFS('Daily evaluations'!$I$2:$I$36,'Daily evaluations'!$B$2:$B$36,"=p03_intraday_reversal",'Daily evaluations'!$C$2:$C$36,"=d20261027"),"")</f>
      </c>
      <c r="AC149" s="8">
        <f>IF((0=1),SUMIFS('Daily evaluations'!$I$2:$I$36,'Daily evaluations'!$B$2:$B$36,"=p03_intraday_reversal",'Daily evaluations'!$C$2:$C$36,"=d20261028"),"")</f>
      </c>
      <c r="AD149" s="8">
        <f>IF((0=1),SUMIFS('Daily evaluations'!$I$2:$I$36,'Daily evaluations'!$B$2:$B$36,"=p03_intraday_reversal",'Daily evaluations'!$C$2:$C$36,"=d20261029"),"")</f>
      </c>
      <c r="AE149" s="8">
        <f>IF((0=1),SUMIFS('Daily evaluations'!$I$2:$I$36,'Daily evaluations'!$B$2:$B$36,"=p03_intraday_reversal",'Daily evaluations'!$C$2:$C$36,"=d20261030"),"")</f>
      </c>
      <c r="AF149" s="8">
        <f>IF((0=1),SUMIFS('Daily evaluations'!$I$2:$I$36,'Daily evaluations'!$B$2:$B$36,"=p03_intraday_reversal",'Daily evaluations'!$C$2:$C$36,"=d20261102"),"")</f>
      </c>
      <c r="AG149" s="8">
        <f>IF((0=1),SUMIFS('Daily evaluations'!$I$2:$I$36,'Daily evaluations'!$B$2:$B$36,"=p03_intraday_reversal",'Daily evaluations'!$C$2:$C$36,"=d20261103"),"")</f>
      </c>
      <c r="AH149" s="8">
        <f>IF((0=1),SUMIFS('Daily evaluations'!$I$2:$I$36,'Daily evaluations'!$B$2:$B$36,"=p03_intraday_reversal",'Daily evaluations'!$C$2:$C$36,"=d20261104"),"")</f>
      </c>
      <c r="AI149" s="8">
        <f>IF((0=1),SUMIFS('Daily evaluations'!$I$2:$I$36,'Daily evaluations'!$B$2:$B$36,"=p03_intraday_reversal",'Daily evaluations'!$C$2:$C$36,"=d20261105"),"")</f>
      </c>
      <c r="AJ149" s="8">
        <f>IF((0=1),SUMIFS('Daily evaluations'!$I$2:$I$36,'Daily evaluations'!$B$2:$B$36,"=p03_intraday_reversal",'Daily evaluations'!$C$2:$C$36,"=d20261106"),"")</f>
      </c>
      <c r="AK149" s="8">
        <f>IF((0=1),SUMIFS('Daily evaluations'!$I$2:$I$36,'Daily evaluations'!$B$2:$B$36,"=p03_intraday_reversal",'Daily evaluations'!$C$2:$C$36,"=d20261109"),"")</f>
      </c>
      <c r="AL149" s="8">
        <f>IF((0=1),SUMIFS('Daily evaluations'!$I$2:$I$36,'Daily evaluations'!$B$2:$B$36,"=p03_intraday_reversal",'Daily evaluations'!$C$2:$C$36,"=d20261110"),"")</f>
      </c>
      <c r="AM149" s="8">
        <f>IF((0=1),SUMIFS('Daily evaluations'!$I$2:$I$36,'Daily evaluations'!$B$2:$B$36,"=p03_intraday_reversal",'Daily evaluations'!$C$2:$C$36,"=d20261111"),"")</f>
      </c>
      <c r="AN149" s="8">
        <f>IF((0=1),SUMIFS('Daily evaluations'!$I$2:$I$36,'Daily evaluations'!$B$2:$B$36,"=p03_intraday_reversal",'Daily evaluations'!$C$2:$C$36,"=d20261112"),"")</f>
      </c>
      <c r="AO149" s="8">
        <f>IF((0=1),SUMIFS('Daily evaluations'!$I$2:$I$36,'Daily evaluations'!$B$2:$B$36,"=p03_intraday_reversal",'Daily evaluations'!$C$2:$C$36,"=d20261113"),"")</f>
      </c>
      <c r="AP149" s="8">
        <f>IF((0=1),SUMIFS('Daily evaluations'!$I$2:$I$36,'Daily evaluations'!$B$2:$B$36,"=p03_intraday_reversal",'Daily evaluations'!$C$2:$C$36,"=d20261116"),"")</f>
      </c>
      <c r="AQ149" s="8">
        <f>IF((0=1),SUMIFS('Daily evaluations'!$I$2:$I$36,'Daily evaluations'!$B$2:$B$36,"=p03_intraday_reversal",'Daily evaluations'!$C$2:$C$36,"=d20261117"),"")</f>
      </c>
      <c r="AR149" s="8">
        <f>IF((0=1),SUMIFS('Daily evaluations'!$I$2:$I$36,'Daily evaluations'!$B$2:$B$36,"=p03_intraday_reversal",'Daily evaluations'!$C$2:$C$36,"=d20261118"),"")</f>
      </c>
      <c r="AS149" s="8">
        <f>IF((0=1),SUMIFS('Daily evaluations'!$I$2:$I$36,'Daily evaluations'!$B$2:$B$36,"=p03_intraday_reversal",'Daily evaluations'!$C$2:$C$36,"=d20261119"),"")</f>
      </c>
      <c r="AT149" s="8">
        <f>IF((0=1),SUMIFS('Daily evaluations'!$I$2:$I$36,'Daily evaluations'!$B$2:$B$36,"=p03_intraday_reversal",'Daily evaluations'!$C$2:$C$36,"=d20261120"),"")</f>
      </c>
      <c r="AU149" s="8">
        <f>IF((0=1),SUMIFS('Daily evaluations'!$I$2:$I$36,'Daily evaluations'!$B$2:$B$36,"=p03_intraday_reversal",'Daily evaluations'!$C$2:$C$36,"=d20261123"),"")</f>
      </c>
      <c r="AV149" s="8">
        <f>IF((0=1),SUMIFS('Daily evaluations'!$I$2:$I$36,'Daily evaluations'!$B$2:$B$36,"=p03_intraday_reversal",'Daily evaluations'!$C$2:$C$36,"=d20261124"),"")</f>
      </c>
      <c r="AW149" s="8">
        <f>IF((0=1),SUMIFS('Daily evaluations'!$I$2:$I$36,'Daily evaluations'!$B$2:$B$36,"=p03_intraday_reversal",'Daily evaluations'!$C$2:$C$36,"=d20261125"),"")</f>
      </c>
      <c r="AX149" s="8">
        <f>IF((0=1),SUMIFS('Daily evaluations'!$I$2:$I$36,'Daily evaluations'!$B$2:$B$36,"=p03_intraday_reversal",'Daily evaluations'!$C$2:$C$36,"=d20261127"),"")</f>
      </c>
      <c r="AY149" s="8">
        <f>IF((0=1),SUMIFS('Daily evaluations'!$I$2:$I$36,'Daily evaluations'!$B$2:$B$36,"=p03_intraday_reversal",'Daily evaluations'!$C$2:$C$36,"=d20261130"),"")</f>
      </c>
      <c r="AZ149" s="8">
        <f>IF((0=1),SUMIFS('Daily evaluations'!$I$2:$I$36,'Daily evaluations'!$B$2:$B$36,"=p03_intraday_reversal",'Daily evaluations'!$C$2:$C$36,"=d20261201"),"")</f>
      </c>
      <c r="BA149" s="8">
        <f>IF((0=1),SUMIFS('Daily evaluations'!$I$2:$I$36,'Daily evaluations'!$B$2:$B$36,"=p03_intraday_reversal",'Daily evaluations'!$C$2:$C$36,"=d20261202"),"")</f>
      </c>
      <c r="BB149" s="8">
        <f>IF((0=1),SUMIFS('Daily evaluations'!$I$2:$I$36,'Daily evaluations'!$B$2:$B$36,"=p03_intraday_reversal",'Daily evaluations'!$C$2:$C$36,"=d20261203"),"")</f>
      </c>
      <c r="BC149" s="8">
        <f>IF((0=1),SUMIFS('Daily evaluations'!$I$2:$I$36,'Daily evaluations'!$B$2:$B$36,"=p03_intraday_reversal",'Daily evaluations'!$C$2:$C$36,"=d20261204"),"")</f>
      </c>
      <c r="BD149" s="8">
        <f>IF((0=1),SUMIFS('Daily evaluations'!$I$2:$I$36,'Daily evaluations'!$B$2:$B$36,"=p03_intraday_reversal",'Daily evaluations'!$C$2:$C$36,"=d20261207"),"")</f>
      </c>
      <c r="BE149" s="8">
        <f>IF((0=1),SUMIFS('Daily evaluations'!$I$2:$I$36,'Daily evaluations'!$B$2:$B$36,"=p03_intraday_reversal",'Daily evaluations'!$C$2:$C$36,"=d20261208"),"")</f>
      </c>
      <c r="BF149" s="8">
        <f>IF((0=1),SUMIFS('Daily evaluations'!$I$2:$I$36,'Daily evaluations'!$B$2:$B$36,"=p03_intraday_reversal",'Daily evaluations'!$C$2:$C$36,"=d20261209"),"")</f>
      </c>
      <c r="BG149" s="8">
        <f>IF((0=1),SUMIFS('Daily evaluations'!$I$2:$I$36,'Daily evaluations'!$B$2:$B$36,"=p03_intraday_reversal",'Daily evaluations'!$C$2:$C$36,"=d20261210"),"")</f>
      </c>
      <c r="BH149" s="8">
        <f>IF((0=1),SUMIFS('Daily evaluations'!$I$2:$I$36,'Daily evaluations'!$B$2:$B$36,"=p03_intraday_reversal",'Daily evaluations'!$C$2:$C$36,"=d20261211"),"")</f>
      </c>
      <c r="BI149" s="8">
        <f>IF((0=1),SUMIFS('Daily evaluations'!$I$2:$I$36,'Daily evaluations'!$B$2:$B$36,"=p03_intraday_reversal",'Daily evaluations'!$C$2:$C$36,"=d20261214"),"")</f>
      </c>
      <c r="BJ149" s="8">
        <f>IF((0=1),SUMIFS('Daily evaluations'!$I$2:$I$36,'Daily evaluations'!$B$2:$B$36,"=p03_intraday_reversal",'Daily evaluations'!$C$2:$C$36,"=d20261215"),"")</f>
      </c>
      <c r="BK149" s="8">
        <f>IF((0=1),SUMIFS('Daily evaluations'!$I$2:$I$36,'Daily evaluations'!$B$2:$B$36,"=p03_intraday_reversal",'Daily evaluations'!$C$2:$C$36,"=d20261216"),"")</f>
      </c>
      <c r="BL149" s="8">
        <f>IF((0=1),SUMIFS('Daily evaluations'!$I$2:$I$36,'Daily evaluations'!$B$2:$B$36,"=p03_intraday_reversal",'Daily evaluations'!$C$2:$C$36,"=d20261217"),"")</f>
      </c>
      <c r="BM149" s="8">
        <f>IF((0=1),SUMIFS('Daily evaluations'!$I$2:$I$36,'Daily evaluations'!$B$2:$B$36,"=p03_intraday_reversal",'Daily evaluations'!$C$2:$C$36,"=d20261218"),"")</f>
      </c>
      <c r="BN149" s="8">
        <f>IF((0=1),SUMIFS('Daily evaluations'!$I$2:$I$36,'Daily evaluations'!$B$2:$B$36,"=p03_intraday_reversal",'Daily evaluations'!$C$2:$C$36,"=d20261221"),"")</f>
      </c>
      <c r="BO149" s="8">
        <f>IF((0=1),SUMIFS('Daily evaluations'!$I$2:$I$36,'Daily evaluations'!$B$2:$B$36,"=p03_intraday_reversal",'Daily evaluations'!$C$2:$C$36,"=d20261222"),"")</f>
      </c>
      <c r="BP149" s="8">
        <f>IF((0=1),SUMIFS('Daily evaluations'!$I$2:$I$36,'Daily evaluations'!$B$2:$B$36,"=p03_intraday_reversal",'Daily evaluations'!$C$2:$C$36,"=d20261223"),"")</f>
      </c>
      <c r="BQ149" s="8">
        <f>IF((0=1),SUMIFS('Daily evaluations'!$I$2:$I$36,'Daily evaluations'!$B$2:$B$36,"=p03_intraday_reversal",'Daily evaluations'!$C$2:$C$36,"=d20261224"),"")</f>
      </c>
      <c r="BR149" s="8">
        <f>IF((0=1),SUMIFS('Daily evaluations'!$I$2:$I$36,'Daily evaluations'!$B$2:$B$36,"=p03_intraday_reversal",'Daily evaluations'!$C$2:$C$36,"=d20261228"),"")</f>
      </c>
      <c r="BS149" s="8">
        <f>IF((0=1),SUMIFS('Daily evaluations'!$I$2:$I$36,'Daily evaluations'!$B$2:$B$36,"=p03_intraday_reversal",'Daily evaluations'!$C$2:$C$36,"=d20261229"),"")</f>
      </c>
      <c r="BT149" s="8">
        <f>IF((0=1),SUMIFS('Daily evaluations'!$I$2:$I$36,'Daily evaluations'!$B$2:$B$36,"=p03_intraday_reversal",'Daily evaluations'!$C$2:$C$36,"=d20261230"),"")</f>
      </c>
      <c r="BU149" s="8">
        <f>IF((0=1),SUMIFS('Daily evaluations'!$I$2:$I$36,'Daily evaluations'!$B$2:$B$36,"=p03_intraday_reversal",'Daily evaluations'!$C$2:$C$36,"=d20261231"),"")</f>
      </c>
      <c r="BV149" s="8">
        <f>IF((0=1),SUMIFS('Daily evaluations'!$I$2:$I$36,'Daily evaluations'!$B$2:$B$36,"=p03_intraday_reversal",'Daily evaluations'!$C$2:$C$36,"=d20270104"),"")</f>
      </c>
      <c r="BW149" s="8">
        <f>IF((0=1),SUMIFS('Daily evaluations'!$I$2:$I$36,'Daily evaluations'!$B$2:$B$36,"=p03_intraday_reversal",'Daily evaluations'!$C$2:$C$36,"=d20270105"),"")</f>
      </c>
      <c r="BX149" s="8">
        <f>IF((0=1),SUMIFS('Daily evaluations'!$I$2:$I$36,'Daily evaluations'!$B$2:$B$36,"=p03_intraday_reversal",'Daily evaluations'!$C$2:$C$36,"=d20270106"),"")</f>
      </c>
      <c r="BY149" s="8">
        <f>IF((0=1),SUMIFS('Daily evaluations'!$I$2:$I$36,'Daily evaluations'!$B$2:$B$36,"=p03_intraday_reversal",'Daily evaluations'!$C$2:$C$36,"=d20270107"),"")</f>
      </c>
      <c r="BZ149" s="8">
        <f>IF((0=1),SUMIFS('Daily evaluations'!$I$2:$I$36,'Daily evaluations'!$B$2:$B$36,"=p03_intraday_reversal",'Daily evaluations'!$C$2:$C$36,"=d20270108"),"")</f>
      </c>
      <c r="CA149" s="8">
        <f>IF((0=1),SUMIFS('Daily evaluations'!$I$2:$I$36,'Daily evaluations'!$B$2:$B$36,"=p03_intraday_reversal",'Daily evaluations'!$C$2:$C$36,"=d20270111"),"")</f>
      </c>
      <c r="CB149" s="8">
        <f>IF((0=1),SUMIFS('Daily evaluations'!$I$2:$I$36,'Daily evaluations'!$B$2:$B$36,"=p03_intraday_reversal",'Daily evaluations'!$C$2:$C$36,"=d20270112"),"")</f>
      </c>
      <c r="CC149" s="8">
        <f>IF((0=1),SUMIFS('Daily evaluations'!$I$2:$I$36,'Daily evaluations'!$B$2:$B$36,"=p03_intraday_reversal",'Daily evaluations'!$C$2:$C$36,"=d20270113"),"")</f>
      </c>
      <c r="CD149" s="8">
        <f>IF((0=1),SUMIFS('Daily evaluations'!$I$2:$I$36,'Daily evaluations'!$B$2:$B$36,"=p03_intraday_reversal",'Daily evaluations'!$C$2:$C$36,"=d20270114"),"")</f>
      </c>
      <c r="CE149" s="8">
        <f>IF((0=1),SUMIFS('Daily evaluations'!$I$2:$I$36,'Daily evaluations'!$B$2:$B$36,"=p03_intraday_reversal",'Daily evaluations'!$C$2:$C$36,"=d20270115"),"")</f>
      </c>
      <c r="CF149" s="8">
        <f>IF((0=1),SUMIFS('Daily evaluations'!$I$2:$I$36,'Daily evaluations'!$B$2:$B$36,"=p03_intraday_reversal",'Daily evaluations'!$C$2:$C$36,"=d20270119"),"")</f>
      </c>
      <c r="CG149" s="8">
        <f>IF((0=1),SUMIFS('Daily evaluations'!$I$2:$I$36,'Daily evaluations'!$B$2:$B$36,"=p03_intraday_reversal",'Daily evaluations'!$C$2:$C$36,"=d20270120"),"")</f>
      </c>
      <c r="CH149" s="8">
        <f>IF((0=1),SUMIFS('Daily evaluations'!$I$2:$I$36,'Daily evaluations'!$B$2:$B$36,"=p03_intraday_reversal",'Daily evaluations'!$C$2:$C$36,"=d20270121"),"")</f>
      </c>
      <c r="CI149" s="8">
        <f>IF((0=1),SUMIFS('Daily evaluations'!$I$2:$I$36,'Daily evaluations'!$B$2:$B$36,"=p03_intraday_reversal",'Daily evaluations'!$C$2:$C$36,"=d20270122"),"")</f>
      </c>
      <c r="CJ149" s="8">
        <f>IF((0=1),SUMIFS('Daily evaluations'!$I$2:$I$36,'Daily evaluations'!$B$2:$B$36,"=p03_intraday_reversal",'Daily evaluations'!$C$2:$C$36,"=d20270125"),"")</f>
      </c>
      <c r="CK149" s="8">
        <f>IF((0=1),SUMIFS('Daily evaluations'!$I$2:$I$36,'Daily evaluations'!$B$2:$B$36,"=p03_intraday_reversal",'Daily evaluations'!$C$2:$C$36,"=d20270126"),"")</f>
      </c>
      <c r="CL149" s="8">
        <f>IF((0=1),SUMIFS('Daily evaluations'!$I$2:$I$36,'Daily evaluations'!$B$2:$B$36,"=p03_intraday_reversal",'Daily evaluations'!$C$2:$C$36,"=d20270127"),"")</f>
      </c>
      <c r="CM149" s="8">
        <f>IF((0=1),SUMIFS('Daily evaluations'!$I$2:$I$36,'Daily evaluations'!$B$2:$B$36,"=p03_intraday_reversal",'Daily evaluations'!$C$2:$C$36,"=d20270128"),"")</f>
      </c>
      <c r="CN149" s="8">
        <f>IF((0=1),SUMIFS('Daily evaluations'!$I$2:$I$36,'Daily evaluations'!$B$2:$B$36,"=p03_intraday_reversal",'Daily evaluations'!$C$2:$C$36,"=d20270129"),"")</f>
      </c>
      <c r="CO149" s="8">
        <f>IF((0=1),SUMIFS('Daily evaluations'!$I$2:$I$36,'Daily evaluations'!$B$2:$B$36,"=p03_intraday_reversal",'Daily evaluations'!$C$2:$C$36,"=d20270201"),"")</f>
      </c>
      <c r="CP149" s="8">
        <f>IF((0=1),SUMIFS('Daily evaluations'!$I$2:$I$36,'Daily evaluations'!$B$2:$B$36,"=p03_intraday_reversal",'Daily evaluations'!$C$2:$C$36,"=d20270202"),"")</f>
      </c>
      <c r="CQ149" s="8">
        <f>IF((0=1),SUMIFS('Daily evaluations'!$I$2:$I$36,'Daily evaluations'!$B$2:$B$36,"=p03_intraday_reversal",'Daily evaluations'!$C$2:$C$36,"=d20270203"),"")</f>
      </c>
      <c r="CR149" s="8">
        <f>IF((0=1),SUMIFS('Daily evaluations'!$I$2:$I$36,'Daily evaluations'!$B$2:$B$36,"=p03_intraday_reversal",'Daily evaluations'!$C$2:$C$36,"=d20270204"),"")</f>
      </c>
      <c r="CS149" s="8">
        <f>IF((0=1),SUMIFS('Daily evaluations'!$I$2:$I$36,'Daily evaluations'!$B$2:$B$36,"=p03_intraday_reversal",'Daily evaluations'!$C$2:$C$36,"=d20270205"),"")</f>
      </c>
      <c r="CT149" s="8">
        <f>IF((0=1),SUMIFS('Daily evaluations'!$I$2:$I$36,'Daily evaluations'!$B$2:$B$36,"=p03_intraday_reversal",'Daily evaluations'!$C$2:$C$36,"=d20270208"),"")</f>
      </c>
      <c r="CU149" s="8">
        <f>IF((0=1),SUMIFS('Daily evaluations'!$I$2:$I$36,'Daily evaluations'!$B$2:$B$36,"=p03_intraday_reversal",'Daily evaluations'!$C$2:$C$36,"=d20270209"),"")</f>
      </c>
      <c r="CV149" s="8">
        <f>IF((0=1),SUMIFS('Daily evaluations'!$I$2:$I$36,'Daily evaluations'!$B$2:$B$36,"=p03_intraday_reversal",'Daily evaluations'!$C$2:$C$36,"=d20270210"),"")</f>
      </c>
      <c r="CW149" s="8">
        <f>IF((0=1),SUMIFS('Daily evaluations'!$I$2:$I$36,'Daily evaluations'!$B$2:$B$36,"=p03_intraday_reversal",'Daily evaluations'!$C$2:$C$36,"=d20270211"),"")</f>
      </c>
      <c r="CX149" s="8">
        <f>IF((0=1),SUMIFS('Daily evaluations'!$I$2:$I$36,'Daily evaluations'!$B$2:$B$36,"=p03_intraday_reversal",'Daily evaluations'!$C$2:$C$36,"=d20270212"),"")</f>
      </c>
    </row>
    <row r="150">
      <c r="A150" s="0" t="inlineStr">
        <is>
          <t xml:space="preserve">Information coefficient</t>
        </is>
      </c>
      <c r="B150" s="0" t="inlineStr">
        <is>
          <t xml:space="preserve">Analyst Revision Momentum</t>
        </is>
      </c>
      <c r="C150" s="8">
        <f>IF((1=1),SUMIFS('Daily evaluations'!$I$2:$I$36,'Daily evaluations'!$B$2:$B$36,"=p04_analyst_revisions",'Daily evaluations'!$C$2:$C$36,"=d20260922"),"")</f>
        <v>0.074</v>
      </c>
      <c r="D150" s="8">
        <f>IF((0=1),SUMIFS('Daily evaluations'!$I$2:$I$36,'Daily evaluations'!$B$2:$B$36,"=p04_analyst_revisions",'Daily evaluations'!$C$2:$C$36,"=d20260923"),"")</f>
      </c>
      <c r="E150" s="8">
        <f>IF((0=1),SUMIFS('Daily evaluations'!$I$2:$I$36,'Daily evaluations'!$B$2:$B$36,"=p04_analyst_revisions",'Daily evaluations'!$C$2:$C$36,"=d20260924"),"")</f>
      </c>
      <c r="F150" s="8">
        <f>IF((0=1),SUMIFS('Daily evaluations'!$I$2:$I$36,'Daily evaluations'!$B$2:$B$36,"=p04_analyst_revisions",'Daily evaluations'!$C$2:$C$36,"=d20260925"),"")</f>
      </c>
      <c r="G150" s="8">
        <f>IF((0=1),SUMIFS('Daily evaluations'!$I$2:$I$36,'Daily evaluations'!$B$2:$B$36,"=p04_analyst_revisions",'Daily evaluations'!$C$2:$C$36,"=d20260928"),"")</f>
      </c>
      <c r="H150" s="8">
        <f>IF((0=1),SUMIFS('Daily evaluations'!$I$2:$I$36,'Daily evaluations'!$B$2:$B$36,"=p04_analyst_revisions",'Daily evaluations'!$C$2:$C$36,"=d20260929"),"")</f>
      </c>
      <c r="I150" s="8">
        <f>IF((0=1),SUMIFS('Daily evaluations'!$I$2:$I$36,'Daily evaluations'!$B$2:$B$36,"=p04_analyst_revisions",'Daily evaluations'!$C$2:$C$36,"=d20260930"),"")</f>
      </c>
      <c r="J150" s="8">
        <f>IF((0=1),SUMIFS('Daily evaluations'!$I$2:$I$36,'Daily evaluations'!$B$2:$B$36,"=p04_analyst_revisions",'Daily evaluations'!$C$2:$C$36,"=d20261001"),"")</f>
      </c>
      <c r="K150" s="8">
        <f>IF((0=1),SUMIFS('Daily evaluations'!$I$2:$I$36,'Daily evaluations'!$B$2:$B$36,"=p04_analyst_revisions",'Daily evaluations'!$C$2:$C$36,"=d20261002"),"")</f>
      </c>
      <c r="L150" s="8">
        <f>IF((0=1),SUMIFS('Daily evaluations'!$I$2:$I$36,'Daily evaluations'!$B$2:$B$36,"=p04_analyst_revisions",'Daily evaluations'!$C$2:$C$36,"=d20261005"),"")</f>
      </c>
      <c r="M150" s="8">
        <f>IF((0=1),SUMIFS('Daily evaluations'!$I$2:$I$36,'Daily evaluations'!$B$2:$B$36,"=p04_analyst_revisions",'Daily evaluations'!$C$2:$C$36,"=d20261006"),"")</f>
      </c>
      <c r="N150" s="8">
        <f>IF((0=1),SUMIFS('Daily evaluations'!$I$2:$I$36,'Daily evaluations'!$B$2:$B$36,"=p04_analyst_revisions",'Daily evaluations'!$C$2:$C$36,"=d20261007"),"")</f>
      </c>
      <c r="O150" s="8">
        <f>IF((0=1),SUMIFS('Daily evaluations'!$I$2:$I$36,'Daily evaluations'!$B$2:$B$36,"=p04_analyst_revisions",'Daily evaluations'!$C$2:$C$36,"=d20261008"),"")</f>
      </c>
      <c r="P150" s="8">
        <f>IF((0=1),SUMIFS('Daily evaluations'!$I$2:$I$36,'Daily evaluations'!$B$2:$B$36,"=p04_analyst_revisions",'Daily evaluations'!$C$2:$C$36,"=d20261009"),"")</f>
      </c>
      <c r="Q150" s="8">
        <f>IF((0=1),SUMIFS('Daily evaluations'!$I$2:$I$36,'Daily evaluations'!$B$2:$B$36,"=p04_analyst_revisions",'Daily evaluations'!$C$2:$C$36,"=d20261012"),"")</f>
      </c>
      <c r="R150" s="8">
        <f>IF((0=1),SUMIFS('Daily evaluations'!$I$2:$I$36,'Daily evaluations'!$B$2:$B$36,"=p04_analyst_revisions",'Daily evaluations'!$C$2:$C$36,"=d20261013"),"")</f>
      </c>
      <c r="S150" s="8">
        <f>IF((0=1),SUMIFS('Daily evaluations'!$I$2:$I$36,'Daily evaluations'!$B$2:$B$36,"=p04_analyst_revisions",'Daily evaluations'!$C$2:$C$36,"=d20261014"),"")</f>
      </c>
      <c r="T150" s="8">
        <f>IF((0=1),SUMIFS('Daily evaluations'!$I$2:$I$36,'Daily evaluations'!$B$2:$B$36,"=p04_analyst_revisions",'Daily evaluations'!$C$2:$C$36,"=d20261015"),"")</f>
      </c>
      <c r="U150" s="8">
        <f>IF((0=1),SUMIFS('Daily evaluations'!$I$2:$I$36,'Daily evaluations'!$B$2:$B$36,"=p04_analyst_revisions",'Daily evaluations'!$C$2:$C$36,"=d20261016"),"")</f>
      </c>
      <c r="V150" s="8">
        <f>IF((0=1),SUMIFS('Daily evaluations'!$I$2:$I$36,'Daily evaluations'!$B$2:$B$36,"=p04_analyst_revisions",'Daily evaluations'!$C$2:$C$36,"=d20261019"),"")</f>
      </c>
      <c r="W150" s="8">
        <f>IF((0=1),SUMIFS('Daily evaluations'!$I$2:$I$36,'Daily evaluations'!$B$2:$B$36,"=p04_analyst_revisions",'Daily evaluations'!$C$2:$C$36,"=d20261020"),"")</f>
      </c>
      <c r="X150" s="8">
        <f>IF((0=1),SUMIFS('Daily evaluations'!$I$2:$I$36,'Daily evaluations'!$B$2:$B$36,"=p04_analyst_revisions",'Daily evaluations'!$C$2:$C$36,"=d20261021"),"")</f>
      </c>
      <c r="Y150" s="8">
        <f>IF((0=1),SUMIFS('Daily evaluations'!$I$2:$I$36,'Daily evaluations'!$B$2:$B$36,"=p04_analyst_revisions",'Daily evaluations'!$C$2:$C$36,"=d20261022"),"")</f>
      </c>
      <c r="Z150" s="8">
        <f>IF((0=1),SUMIFS('Daily evaluations'!$I$2:$I$36,'Daily evaluations'!$B$2:$B$36,"=p04_analyst_revisions",'Daily evaluations'!$C$2:$C$36,"=d20261023"),"")</f>
      </c>
      <c r="AA150" s="8">
        <f>IF((0=1),SUMIFS('Daily evaluations'!$I$2:$I$36,'Daily evaluations'!$B$2:$B$36,"=p04_analyst_revisions",'Daily evaluations'!$C$2:$C$36,"=d20261026"),"")</f>
      </c>
      <c r="AB150" s="8">
        <f>IF((0=1),SUMIFS('Daily evaluations'!$I$2:$I$36,'Daily evaluations'!$B$2:$B$36,"=p04_analyst_revisions",'Daily evaluations'!$C$2:$C$36,"=d20261027"),"")</f>
      </c>
      <c r="AC150" s="8">
        <f>IF((0=1),SUMIFS('Daily evaluations'!$I$2:$I$36,'Daily evaluations'!$B$2:$B$36,"=p04_analyst_revisions",'Daily evaluations'!$C$2:$C$36,"=d20261028"),"")</f>
      </c>
      <c r="AD150" s="8">
        <f>IF((0=1),SUMIFS('Daily evaluations'!$I$2:$I$36,'Daily evaluations'!$B$2:$B$36,"=p04_analyst_revisions",'Daily evaluations'!$C$2:$C$36,"=d20261029"),"")</f>
      </c>
      <c r="AE150" s="8">
        <f>IF((0=1),SUMIFS('Daily evaluations'!$I$2:$I$36,'Daily evaluations'!$B$2:$B$36,"=p04_analyst_revisions",'Daily evaluations'!$C$2:$C$36,"=d20261030"),"")</f>
      </c>
      <c r="AF150" s="8">
        <f>IF((0=1),SUMIFS('Daily evaluations'!$I$2:$I$36,'Daily evaluations'!$B$2:$B$36,"=p04_analyst_revisions",'Daily evaluations'!$C$2:$C$36,"=d20261102"),"")</f>
      </c>
      <c r="AG150" s="8">
        <f>IF((0=1),SUMIFS('Daily evaluations'!$I$2:$I$36,'Daily evaluations'!$B$2:$B$36,"=p04_analyst_revisions",'Daily evaluations'!$C$2:$C$36,"=d20261103"),"")</f>
      </c>
      <c r="AH150" s="8">
        <f>IF((0=1),SUMIFS('Daily evaluations'!$I$2:$I$36,'Daily evaluations'!$B$2:$B$36,"=p04_analyst_revisions",'Daily evaluations'!$C$2:$C$36,"=d20261104"),"")</f>
      </c>
      <c r="AI150" s="8">
        <f>IF((0=1),SUMIFS('Daily evaluations'!$I$2:$I$36,'Daily evaluations'!$B$2:$B$36,"=p04_analyst_revisions",'Daily evaluations'!$C$2:$C$36,"=d20261105"),"")</f>
      </c>
      <c r="AJ150" s="8">
        <f>IF((0=1),SUMIFS('Daily evaluations'!$I$2:$I$36,'Daily evaluations'!$B$2:$B$36,"=p04_analyst_revisions",'Daily evaluations'!$C$2:$C$36,"=d20261106"),"")</f>
      </c>
      <c r="AK150" s="8">
        <f>IF((0=1),SUMIFS('Daily evaluations'!$I$2:$I$36,'Daily evaluations'!$B$2:$B$36,"=p04_analyst_revisions",'Daily evaluations'!$C$2:$C$36,"=d20261109"),"")</f>
      </c>
      <c r="AL150" s="8">
        <f>IF((0=1),SUMIFS('Daily evaluations'!$I$2:$I$36,'Daily evaluations'!$B$2:$B$36,"=p04_analyst_revisions",'Daily evaluations'!$C$2:$C$36,"=d20261110"),"")</f>
      </c>
      <c r="AM150" s="8">
        <f>IF((0=1),SUMIFS('Daily evaluations'!$I$2:$I$36,'Daily evaluations'!$B$2:$B$36,"=p04_analyst_revisions",'Daily evaluations'!$C$2:$C$36,"=d20261111"),"")</f>
      </c>
      <c r="AN150" s="8">
        <f>IF((0=1),SUMIFS('Daily evaluations'!$I$2:$I$36,'Daily evaluations'!$B$2:$B$36,"=p04_analyst_revisions",'Daily evaluations'!$C$2:$C$36,"=d20261112"),"")</f>
      </c>
      <c r="AO150" s="8">
        <f>IF((0=1),SUMIFS('Daily evaluations'!$I$2:$I$36,'Daily evaluations'!$B$2:$B$36,"=p04_analyst_revisions",'Daily evaluations'!$C$2:$C$36,"=d20261113"),"")</f>
      </c>
      <c r="AP150" s="8">
        <f>IF((0=1),SUMIFS('Daily evaluations'!$I$2:$I$36,'Daily evaluations'!$B$2:$B$36,"=p04_analyst_revisions",'Daily evaluations'!$C$2:$C$36,"=d20261116"),"")</f>
      </c>
      <c r="AQ150" s="8">
        <f>IF((0=1),SUMIFS('Daily evaluations'!$I$2:$I$36,'Daily evaluations'!$B$2:$B$36,"=p04_analyst_revisions",'Daily evaluations'!$C$2:$C$36,"=d20261117"),"")</f>
      </c>
      <c r="AR150" s="8">
        <f>IF((0=1),SUMIFS('Daily evaluations'!$I$2:$I$36,'Daily evaluations'!$B$2:$B$36,"=p04_analyst_revisions",'Daily evaluations'!$C$2:$C$36,"=d20261118"),"")</f>
      </c>
      <c r="AS150" s="8">
        <f>IF((0=1),SUMIFS('Daily evaluations'!$I$2:$I$36,'Daily evaluations'!$B$2:$B$36,"=p04_analyst_revisions",'Daily evaluations'!$C$2:$C$36,"=d20261119"),"")</f>
      </c>
      <c r="AT150" s="8">
        <f>IF((0=1),SUMIFS('Daily evaluations'!$I$2:$I$36,'Daily evaluations'!$B$2:$B$36,"=p04_analyst_revisions",'Daily evaluations'!$C$2:$C$36,"=d20261120"),"")</f>
      </c>
      <c r="AU150" s="8">
        <f>IF((0=1),SUMIFS('Daily evaluations'!$I$2:$I$36,'Daily evaluations'!$B$2:$B$36,"=p04_analyst_revisions",'Daily evaluations'!$C$2:$C$36,"=d20261123"),"")</f>
      </c>
      <c r="AV150" s="8">
        <f>IF((0=1),SUMIFS('Daily evaluations'!$I$2:$I$36,'Daily evaluations'!$B$2:$B$36,"=p04_analyst_revisions",'Daily evaluations'!$C$2:$C$36,"=d20261124"),"")</f>
      </c>
      <c r="AW150" s="8">
        <f>IF((0=1),SUMIFS('Daily evaluations'!$I$2:$I$36,'Daily evaluations'!$B$2:$B$36,"=p04_analyst_revisions",'Daily evaluations'!$C$2:$C$36,"=d20261125"),"")</f>
      </c>
      <c r="AX150" s="8">
        <f>IF((0=1),SUMIFS('Daily evaluations'!$I$2:$I$36,'Daily evaluations'!$B$2:$B$36,"=p04_analyst_revisions",'Daily evaluations'!$C$2:$C$36,"=d20261127"),"")</f>
      </c>
      <c r="AY150" s="8">
        <f>IF((0=1),SUMIFS('Daily evaluations'!$I$2:$I$36,'Daily evaluations'!$B$2:$B$36,"=p04_analyst_revisions",'Daily evaluations'!$C$2:$C$36,"=d20261130"),"")</f>
      </c>
      <c r="AZ150" s="8">
        <f>IF((0=1),SUMIFS('Daily evaluations'!$I$2:$I$36,'Daily evaluations'!$B$2:$B$36,"=p04_analyst_revisions",'Daily evaluations'!$C$2:$C$36,"=d20261201"),"")</f>
      </c>
      <c r="BA150" s="8">
        <f>IF((0=1),SUMIFS('Daily evaluations'!$I$2:$I$36,'Daily evaluations'!$B$2:$B$36,"=p04_analyst_revisions",'Daily evaluations'!$C$2:$C$36,"=d20261202"),"")</f>
      </c>
      <c r="BB150" s="8">
        <f>IF((0=1),SUMIFS('Daily evaluations'!$I$2:$I$36,'Daily evaluations'!$B$2:$B$36,"=p04_analyst_revisions",'Daily evaluations'!$C$2:$C$36,"=d20261203"),"")</f>
      </c>
      <c r="BC150" s="8">
        <f>IF((0=1),SUMIFS('Daily evaluations'!$I$2:$I$36,'Daily evaluations'!$B$2:$B$36,"=p04_analyst_revisions",'Daily evaluations'!$C$2:$C$36,"=d20261204"),"")</f>
      </c>
      <c r="BD150" s="8">
        <f>IF((0=1),SUMIFS('Daily evaluations'!$I$2:$I$36,'Daily evaluations'!$B$2:$B$36,"=p04_analyst_revisions",'Daily evaluations'!$C$2:$C$36,"=d20261207"),"")</f>
      </c>
      <c r="BE150" s="8">
        <f>IF((0=1),SUMIFS('Daily evaluations'!$I$2:$I$36,'Daily evaluations'!$B$2:$B$36,"=p04_analyst_revisions",'Daily evaluations'!$C$2:$C$36,"=d20261208"),"")</f>
      </c>
      <c r="BF150" s="8">
        <f>IF((0=1),SUMIFS('Daily evaluations'!$I$2:$I$36,'Daily evaluations'!$B$2:$B$36,"=p04_analyst_revisions",'Daily evaluations'!$C$2:$C$36,"=d20261209"),"")</f>
      </c>
      <c r="BG150" s="8">
        <f>IF((0=1),SUMIFS('Daily evaluations'!$I$2:$I$36,'Daily evaluations'!$B$2:$B$36,"=p04_analyst_revisions",'Daily evaluations'!$C$2:$C$36,"=d20261210"),"")</f>
      </c>
      <c r="BH150" s="8">
        <f>IF((0=1),SUMIFS('Daily evaluations'!$I$2:$I$36,'Daily evaluations'!$B$2:$B$36,"=p04_analyst_revisions",'Daily evaluations'!$C$2:$C$36,"=d20261211"),"")</f>
      </c>
      <c r="BI150" s="8">
        <f>IF((0=1),SUMIFS('Daily evaluations'!$I$2:$I$36,'Daily evaluations'!$B$2:$B$36,"=p04_analyst_revisions",'Daily evaluations'!$C$2:$C$36,"=d20261214"),"")</f>
      </c>
      <c r="BJ150" s="8">
        <f>IF((0=1),SUMIFS('Daily evaluations'!$I$2:$I$36,'Daily evaluations'!$B$2:$B$36,"=p04_analyst_revisions",'Daily evaluations'!$C$2:$C$36,"=d20261215"),"")</f>
      </c>
      <c r="BK150" s="8">
        <f>IF((0=1),SUMIFS('Daily evaluations'!$I$2:$I$36,'Daily evaluations'!$B$2:$B$36,"=p04_analyst_revisions",'Daily evaluations'!$C$2:$C$36,"=d20261216"),"")</f>
      </c>
      <c r="BL150" s="8">
        <f>IF((0=1),SUMIFS('Daily evaluations'!$I$2:$I$36,'Daily evaluations'!$B$2:$B$36,"=p04_analyst_revisions",'Daily evaluations'!$C$2:$C$36,"=d20261217"),"")</f>
      </c>
      <c r="BM150" s="8">
        <f>IF((0=1),SUMIFS('Daily evaluations'!$I$2:$I$36,'Daily evaluations'!$B$2:$B$36,"=p04_analyst_revisions",'Daily evaluations'!$C$2:$C$36,"=d20261218"),"")</f>
      </c>
      <c r="BN150" s="8">
        <f>IF((0=1),SUMIFS('Daily evaluations'!$I$2:$I$36,'Daily evaluations'!$B$2:$B$36,"=p04_analyst_revisions",'Daily evaluations'!$C$2:$C$36,"=d20261221"),"")</f>
      </c>
      <c r="BO150" s="8">
        <f>IF((0=1),SUMIFS('Daily evaluations'!$I$2:$I$36,'Daily evaluations'!$B$2:$B$36,"=p04_analyst_revisions",'Daily evaluations'!$C$2:$C$36,"=d20261222"),"")</f>
      </c>
      <c r="BP150" s="8">
        <f>IF((0=1),SUMIFS('Daily evaluations'!$I$2:$I$36,'Daily evaluations'!$B$2:$B$36,"=p04_analyst_revisions",'Daily evaluations'!$C$2:$C$36,"=d20261223"),"")</f>
      </c>
      <c r="BQ150" s="8">
        <f>IF((0=1),SUMIFS('Daily evaluations'!$I$2:$I$36,'Daily evaluations'!$B$2:$B$36,"=p04_analyst_revisions",'Daily evaluations'!$C$2:$C$36,"=d20261224"),"")</f>
      </c>
      <c r="BR150" s="8">
        <f>IF((0=1),SUMIFS('Daily evaluations'!$I$2:$I$36,'Daily evaluations'!$B$2:$B$36,"=p04_analyst_revisions",'Daily evaluations'!$C$2:$C$36,"=d20261228"),"")</f>
      </c>
      <c r="BS150" s="8">
        <f>IF((0=1),SUMIFS('Daily evaluations'!$I$2:$I$36,'Daily evaluations'!$B$2:$B$36,"=p04_analyst_revisions",'Daily evaluations'!$C$2:$C$36,"=d20261229"),"")</f>
      </c>
      <c r="BT150" s="8">
        <f>IF((0=1),SUMIFS('Daily evaluations'!$I$2:$I$36,'Daily evaluations'!$B$2:$B$36,"=p04_analyst_revisions",'Daily evaluations'!$C$2:$C$36,"=d20261230"),"")</f>
      </c>
      <c r="BU150" s="8">
        <f>IF((0=1),SUMIFS('Daily evaluations'!$I$2:$I$36,'Daily evaluations'!$B$2:$B$36,"=p04_analyst_revisions",'Daily evaluations'!$C$2:$C$36,"=d20261231"),"")</f>
      </c>
      <c r="BV150" s="8">
        <f>IF((0=1),SUMIFS('Daily evaluations'!$I$2:$I$36,'Daily evaluations'!$B$2:$B$36,"=p04_analyst_revisions",'Daily evaluations'!$C$2:$C$36,"=d20270104"),"")</f>
      </c>
      <c r="BW150" s="8">
        <f>IF((0=1),SUMIFS('Daily evaluations'!$I$2:$I$36,'Daily evaluations'!$B$2:$B$36,"=p04_analyst_revisions",'Daily evaluations'!$C$2:$C$36,"=d20270105"),"")</f>
      </c>
      <c r="BX150" s="8">
        <f>IF((0=1),SUMIFS('Daily evaluations'!$I$2:$I$36,'Daily evaluations'!$B$2:$B$36,"=p04_analyst_revisions",'Daily evaluations'!$C$2:$C$36,"=d20270106"),"")</f>
      </c>
      <c r="BY150" s="8">
        <f>IF((0=1),SUMIFS('Daily evaluations'!$I$2:$I$36,'Daily evaluations'!$B$2:$B$36,"=p04_analyst_revisions",'Daily evaluations'!$C$2:$C$36,"=d20270107"),"")</f>
      </c>
      <c r="BZ150" s="8">
        <f>IF((0=1),SUMIFS('Daily evaluations'!$I$2:$I$36,'Daily evaluations'!$B$2:$B$36,"=p04_analyst_revisions",'Daily evaluations'!$C$2:$C$36,"=d20270108"),"")</f>
      </c>
      <c r="CA150" s="8">
        <f>IF((0=1),SUMIFS('Daily evaluations'!$I$2:$I$36,'Daily evaluations'!$B$2:$B$36,"=p04_analyst_revisions",'Daily evaluations'!$C$2:$C$36,"=d20270111"),"")</f>
      </c>
      <c r="CB150" s="8">
        <f>IF((0=1),SUMIFS('Daily evaluations'!$I$2:$I$36,'Daily evaluations'!$B$2:$B$36,"=p04_analyst_revisions",'Daily evaluations'!$C$2:$C$36,"=d20270112"),"")</f>
      </c>
      <c r="CC150" s="8">
        <f>IF((0=1),SUMIFS('Daily evaluations'!$I$2:$I$36,'Daily evaluations'!$B$2:$B$36,"=p04_analyst_revisions",'Daily evaluations'!$C$2:$C$36,"=d20270113"),"")</f>
      </c>
      <c r="CD150" s="8">
        <f>IF((0=1),SUMIFS('Daily evaluations'!$I$2:$I$36,'Daily evaluations'!$B$2:$B$36,"=p04_analyst_revisions",'Daily evaluations'!$C$2:$C$36,"=d20270114"),"")</f>
      </c>
      <c r="CE150" s="8">
        <f>IF((0=1),SUMIFS('Daily evaluations'!$I$2:$I$36,'Daily evaluations'!$B$2:$B$36,"=p04_analyst_revisions",'Daily evaluations'!$C$2:$C$36,"=d20270115"),"")</f>
      </c>
      <c r="CF150" s="8">
        <f>IF((0=1),SUMIFS('Daily evaluations'!$I$2:$I$36,'Daily evaluations'!$B$2:$B$36,"=p04_analyst_revisions",'Daily evaluations'!$C$2:$C$36,"=d20270119"),"")</f>
      </c>
      <c r="CG150" s="8">
        <f>IF((0=1),SUMIFS('Daily evaluations'!$I$2:$I$36,'Daily evaluations'!$B$2:$B$36,"=p04_analyst_revisions",'Daily evaluations'!$C$2:$C$36,"=d20270120"),"")</f>
      </c>
      <c r="CH150" s="8">
        <f>IF((0=1),SUMIFS('Daily evaluations'!$I$2:$I$36,'Daily evaluations'!$B$2:$B$36,"=p04_analyst_revisions",'Daily evaluations'!$C$2:$C$36,"=d20270121"),"")</f>
      </c>
      <c r="CI150" s="8">
        <f>IF((0=1),SUMIFS('Daily evaluations'!$I$2:$I$36,'Daily evaluations'!$B$2:$B$36,"=p04_analyst_revisions",'Daily evaluations'!$C$2:$C$36,"=d20270122"),"")</f>
      </c>
      <c r="CJ150" s="8">
        <f>IF((0=1),SUMIFS('Daily evaluations'!$I$2:$I$36,'Daily evaluations'!$B$2:$B$36,"=p04_analyst_revisions",'Daily evaluations'!$C$2:$C$36,"=d20270125"),"")</f>
      </c>
      <c r="CK150" s="8">
        <f>IF((0=1),SUMIFS('Daily evaluations'!$I$2:$I$36,'Daily evaluations'!$B$2:$B$36,"=p04_analyst_revisions",'Daily evaluations'!$C$2:$C$36,"=d20270126"),"")</f>
      </c>
      <c r="CL150" s="8">
        <f>IF((0=1),SUMIFS('Daily evaluations'!$I$2:$I$36,'Daily evaluations'!$B$2:$B$36,"=p04_analyst_revisions",'Daily evaluations'!$C$2:$C$36,"=d20270127"),"")</f>
      </c>
      <c r="CM150" s="8">
        <f>IF((0=1),SUMIFS('Daily evaluations'!$I$2:$I$36,'Daily evaluations'!$B$2:$B$36,"=p04_analyst_revisions",'Daily evaluations'!$C$2:$C$36,"=d20270128"),"")</f>
      </c>
      <c r="CN150" s="8">
        <f>IF((0=1),SUMIFS('Daily evaluations'!$I$2:$I$36,'Daily evaluations'!$B$2:$B$36,"=p04_analyst_revisions",'Daily evaluations'!$C$2:$C$36,"=d20270129"),"")</f>
      </c>
      <c r="CO150" s="8">
        <f>IF((0=1),SUMIFS('Daily evaluations'!$I$2:$I$36,'Daily evaluations'!$B$2:$B$36,"=p04_analyst_revisions",'Daily evaluations'!$C$2:$C$36,"=d20270201"),"")</f>
      </c>
      <c r="CP150" s="8">
        <f>IF((0=1),SUMIFS('Daily evaluations'!$I$2:$I$36,'Daily evaluations'!$B$2:$B$36,"=p04_analyst_revisions",'Daily evaluations'!$C$2:$C$36,"=d20270202"),"")</f>
      </c>
      <c r="CQ150" s="8">
        <f>IF((0=1),SUMIFS('Daily evaluations'!$I$2:$I$36,'Daily evaluations'!$B$2:$B$36,"=p04_analyst_revisions",'Daily evaluations'!$C$2:$C$36,"=d20270203"),"")</f>
      </c>
      <c r="CR150" s="8">
        <f>IF((0=1),SUMIFS('Daily evaluations'!$I$2:$I$36,'Daily evaluations'!$B$2:$B$36,"=p04_analyst_revisions",'Daily evaluations'!$C$2:$C$36,"=d20270204"),"")</f>
      </c>
      <c r="CS150" s="8">
        <f>IF((0=1),SUMIFS('Daily evaluations'!$I$2:$I$36,'Daily evaluations'!$B$2:$B$36,"=p04_analyst_revisions",'Daily evaluations'!$C$2:$C$36,"=d20270205"),"")</f>
      </c>
      <c r="CT150" s="8">
        <f>IF((0=1),SUMIFS('Daily evaluations'!$I$2:$I$36,'Daily evaluations'!$B$2:$B$36,"=p04_analyst_revisions",'Daily evaluations'!$C$2:$C$36,"=d20270208"),"")</f>
      </c>
      <c r="CU150" s="8">
        <f>IF((0=1),SUMIFS('Daily evaluations'!$I$2:$I$36,'Daily evaluations'!$B$2:$B$36,"=p04_analyst_revisions",'Daily evaluations'!$C$2:$C$36,"=d20270209"),"")</f>
      </c>
      <c r="CV150" s="8">
        <f>IF((0=1),SUMIFS('Daily evaluations'!$I$2:$I$36,'Daily evaluations'!$B$2:$B$36,"=p04_analyst_revisions",'Daily evaluations'!$C$2:$C$36,"=d20270210"),"")</f>
      </c>
      <c r="CW150" s="8">
        <f>IF((0=1),SUMIFS('Daily evaluations'!$I$2:$I$36,'Daily evaluations'!$B$2:$B$36,"=p04_analyst_revisions",'Daily evaluations'!$C$2:$C$36,"=d20270211"),"")</f>
      </c>
      <c r="CX150" s="8">
        <f>IF((0=1),SUMIFS('Daily evaluations'!$I$2:$I$36,'Daily evaluations'!$B$2:$B$36,"=p04_analyst_revisions",'Daily evaluations'!$C$2:$C$36,"=d20270212"),"")</f>
      </c>
    </row>
    <row r="151">
      <c r="A151" s="0" t="inlineStr">
        <is>
          <t xml:space="preserve">Information coefficient</t>
        </is>
      </c>
      <c r="B151" s="0" t="inlineStr">
        <is>
          <t xml:space="preserve">Clustered Insider Buying</t>
        </is>
      </c>
      <c r="C151" s="8">
        <f>IF((1=1),SUMIFS('Daily evaluations'!$I$2:$I$36,'Daily evaluations'!$B$2:$B$36,"=p05_insider_clusters",'Daily evaluations'!$C$2:$C$36,"=d20260922"),"")</f>
        <v>-0.0244</v>
      </c>
      <c r="D151" s="8">
        <f>IF((0=1),SUMIFS('Daily evaluations'!$I$2:$I$36,'Daily evaluations'!$B$2:$B$36,"=p05_insider_clusters",'Daily evaluations'!$C$2:$C$36,"=d20260923"),"")</f>
      </c>
      <c r="E151" s="8">
        <f>IF((0=1),SUMIFS('Daily evaluations'!$I$2:$I$36,'Daily evaluations'!$B$2:$B$36,"=p05_insider_clusters",'Daily evaluations'!$C$2:$C$36,"=d20260924"),"")</f>
      </c>
      <c r="F151" s="8">
        <f>IF((0=1),SUMIFS('Daily evaluations'!$I$2:$I$36,'Daily evaluations'!$B$2:$B$36,"=p05_insider_clusters",'Daily evaluations'!$C$2:$C$36,"=d20260925"),"")</f>
      </c>
      <c r="G151" s="8">
        <f>IF((0=1),SUMIFS('Daily evaluations'!$I$2:$I$36,'Daily evaluations'!$B$2:$B$36,"=p05_insider_clusters",'Daily evaluations'!$C$2:$C$36,"=d20260928"),"")</f>
      </c>
      <c r="H151" s="8">
        <f>IF((0=1),SUMIFS('Daily evaluations'!$I$2:$I$36,'Daily evaluations'!$B$2:$B$36,"=p05_insider_clusters",'Daily evaluations'!$C$2:$C$36,"=d20260929"),"")</f>
      </c>
      <c r="I151" s="8">
        <f>IF((0=1),SUMIFS('Daily evaluations'!$I$2:$I$36,'Daily evaluations'!$B$2:$B$36,"=p05_insider_clusters",'Daily evaluations'!$C$2:$C$36,"=d20260930"),"")</f>
      </c>
      <c r="J151" s="8">
        <f>IF((0=1),SUMIFS('Daily evaluations'!$I$2:$I$36,'Daily evaluations'!$B$2:$B$36,"=p05_insider_clusters",'Daily evaluations'!$C$2:$C$36,"=d20261001"),"")</f>
      </c>
      <c r="K151" s="8">
        <f>IF((0=1),SUMIFS('Daily evaluations'!$I$2:$I$36,'Daily evaluations'!$B$2:$B$36,"=p05_insider_clusters",'Daily evaluations'!$C$2:$C$36,"=d20261002"),"")</f>
      </c>
      <c r="L151" s="8">
        <f>IF((0=1),SUMIFS('Daily evaluations'!$I$2:$I$36,'Daily evaluations'!$B$2:$B$36,"=p05_insider_clusters",'Daily evaluations'!$C$2:$C$36,"=d20261005"),"")</f>
      </c>
      <c r="M151" s="8">
        <f>IF((0=1),SUMIFS('Daily evaluations'!$I$2:$I$36,'Daily evaluations'!$B$2:$B$36,"=p05_insider_clusters",'Daily evaluations'!$C$2:$C$36,"=d20261006"),"")</f>
      </c>
      <c r="N151" s="8">
        <f>IF((0=1),SUMIFS('Daily evaluations'!$I$2:$I$36,'Daily evaluations'!$B$2:$B$36,"=p05_insider_clusters",'Daily evaluations'!$C$2:$C$36,"=d20261007"),"")</f>
      </c>
      <c r="O151" s="8">
        <f>IF((0=1),SUMIFS('Daily evaluations'!$I$2:$I$36,'Daily evaluations'!$B$2:$B$36,"=p05_insider_clusters",'Daily evaluations'!$C$2:$C$36,"=d20261008"),"")</f>
      </c>
      <c r="P151" s="8">
        <f>IF((0=1),SUMIFS('Daily evaluations'!$I$2:$I$36,'Daily evaluations'!$B$2:$B$36,"=p05_insider_clusters",'Daily evaluations'!$C$2:$C$36,"=d20261009"),"")</f>
      </c>
      <c r="Q151" s="8">
        <f>IF((0=1),SUMIFS('Daily evaluations'!$I$2:$I$36,'Daily evaluations'!$B$2:$B$36,"=p05_insider_clusters",'Daily evaluations'!$C$2:$C$36,"=d20261012"),"")</f>
      </c>
      <c r="R151" s="8">
        <f>IF((0=1),SUMIFS('Daily evaluations'!$I$2:$I$36,'Daily evaluations'!$B$2:$B$36,"=p05_insider_clusters",'Daily evaluations'!$C$2:$C$36,"=d20261013"),"")</f>
      </c>
      <c r="S151" s="8">
        <f>IF((0=1),SUMIFS('Daily evaluations'!$I$2:$I$36,'Daily evaluations'!$B$2:$B$36,"=p05_insider_clusters",'Daily evaluations'!$C$2:$C$36,"=d20261014"),"")</f>
      </c>
      <c r="T151" s="8">
        <f>IF((0=1),SUMIFS('Daily evaluations'!$I$2:$I$36,'Daily evaluations'!$B$2:$B$36,"=p05_insider_clusters",'Daily evaluations'!$C$2:$C$36,"=d20261015"),"")</f>
      </c>
      <c r="U151" s="8">
        <f>IF((0=1),SUMIFS('Daily evaluations'!$I$2:$I$36,'Daily evaluations'!$B$2:$B$36,"=p05_insider_clusters",'Daily evaluations'!$C$2:$C$36,"=d20261016"),"")</f>
      </c>
      <c r="V151" s="8">
        <f>IF((0=1),SUMIFS('Daily evaluations'!$I$2:$I$36,'Daily evaluations'!$B$2:$B$36,"=p05_insider_clusters",'Daily evaluations'!$C$2:$C$36,"=d20261019"),"")</f>
      </c>
      <c r="W151" s="8">
        <f>IF((0=1),SUMIFS('Daily evaluations'!$I$2:$I$36,'Daily evaluations'!$B$2:$B$36,"=p05_insider_clusters",'Daily evaluations'!$C$2:$C$36,"=d20261020"),"")</f>
      </c>
      <c r="X151" s="8">
        <f>IF((0=1),SUMIFS('Daily evaluations'!$I$2:$I$36,'Daily evaluations'!$B$2:$B$36,"=p05_insider_clusters",'Daily evaluations'!$C$2:$C$36,"=d20261021"),"")</f>
      </c>
      <c r="Y151" s="8">
        <f>IF((0=1),SUMIFS('Daily evaluations'!$I$2:$I$36,'Daily evaluations'!$B$2:$B$36,"=p05_insider_clusters",'Daily evaluations'!$C$2:$C$36,"=d20261022"),"")</f>
      </c>
      <c r="Z151" s="8">
        <f>IF((0=1),SUMIFS('Daily evaluations'!$I$2:$I$36,'Daily evaluations'!$B$2:$B$36,"=p05_insider_clusters",'Daily evaluations'!$C$2:$C$36,"=d20261023"),"")</f>
      </c>
      <c r="AA151" s="8">
        <f>IF((0=1),SUMIFS('Daily evaluations'!$I$2:$I$36,'Daily evaluations'!$B$2:$B$36,"=p05_insider_clusters",'Daily evaluations'!$C$2:$C$36,"=d20261026"),"")</f>
      </c>
      <c r="AB151" s="8">
        <f>IF((0=1),SUMIFS('Daily evaluations'!$I$2:$I$36,'Daily evaluations'!$B$2:$B$36,"=p05_insider_clusters",'Daily evaluations'!$C$2:$C$36,"=d20261027"),"")</f>
      </c>
      <c r="AC151" s="8">
        <f>IF((0=1),SUMIFS('Daily evaluations'!$I$2:$I$36,'Daily evaluations'!$B$2:$B$36,"=p05_insider_clusters",'Daily evaluations'!$C$2:$C$36,"=d20261028"),"")</f>
      </c>
      <c r="AD151" s="8">
        <f>IF((0=1),SUMIFS('Daily evaluations'!$I$2:$I$36,'Daily evaluations'!$B$2:$B$36,"=p05_insider_clusters",'Daily evaluations'!$C$2:$C$36,"=d20261029"),"")</f>
      </c>
      <c r="AE151" s="8">
        <f>IF((0=1),SUMIFS('Daily evaluations'!$I$2:$I$36,'Daily evaluations'!$B$2:$B$36,"=p05_insider_clusters",'Daily evaluations'!$C$2:$C$36,"=d20261030"),"")</f>
      </c>
      <c r="AF151" s="8">
        <f>IF((0=1),SUMIFS('Daily evaluations'!$I$2:$I$36,'Daily evaluations'!$B$2:$B$36,"=p05_insider_clusters",'Daily evaluations'!$C$2:$C$36,"=d20261102"),"")</f>
      </c>
      <c r="AG151" s="8">
        <f>IF((0=1),SUMIFS('Daily evaluations'!$I$2:$I$36,'Daily evaluations'!$B$2:$B$36,"=p05_insider_clusters",'Daily evaluations'!$C$2:$C$36,"=d20261103"),"")</f>
      </c>
      <c r="AH151" s="8">
        <f>IF((0=1),SUMIFS('Daily evaluations'!$I$2:$I$36,'Daily evaluations'!$B$2:$B$36,"=p05_insider_clusters",'Daily evaluations'!$C$2:$C$36,"=d20261104"),"")</f>
      </c>
      <c r="AI151" s="8">
        <f>IF((0=1),SUMIFS('Daily evaluations'!$I$2:$I$36,'Daily evaluations'!$B$2:$B$36,"=p05_insider_clusters",'Daily evaluations'!$C$2:$C$36,"=d20261105"),"")</f>
      </c>
      <c r="AJ151" s="8">
        <f>IF((0=1),SUMIFS('Daily evaluations'!$I$2:$I$36,'Daily evaluations'!$B$2:$B$36,"=p05_insider_clusters",'Daily evaluations'!$C$2:$C$36,"=d20261106"),"")</f>
      </c>
      <c r="AK151" s="8">
        <f>IF((0=1),SUMIFS('Daily evaluations'!$I$2:$I$36,'Daily evaluations'!$B$2:$B$36,"=p05_insider_clusters",'Daily evaluations'!$C$2:$C$36,"=d20261109"),"")</f>
      </c>
      <c r="AL151" s="8">
        <f>IF((0=1),SUMIFS('Daily evaluations'!$I$2:$I$36,'Daily evaluations'!$B$2:$B$36,"=p05_insider_clusters",'Daily evaluations'!$C$2:$C$36,"=d20261110"),"")</f>
      </c>
      <c r="AM151" s="8">
        <f>IF((0=1),SUMIFS('Daily evaluations'!$I$2:$I$36,'Daily evaluations'!$B$2:$B$36,"=p05_insider_clusters",'Daily evaluations'!$C$2:$C$36,"=d20261111"),"")</f>
      </c>
      <c r="AN151" s="8">
        <f>IF((0=1),SUMIFS('Daily evaluations'!$I$2:$I$36,'Daily evaluations'!$B$2:$B$36,"=p05_insider_clusters",'Daily evaluations'!$C$2:$C$36,"=d20261112"),"")</f>
      </c>
      <c r="AO151" s="8">
        <f>IF((0=1),SUMIFS('Daily evaluations'!$I$2:$I$36,'Daily evaluations'!$B$2:$B$36,"=p05_insider_clusters",'Daily evaluations'!$C$2:$C$36,"=d20261113"),"")</f>
      </c>
      <c r="AP151" s="8">
        <f>IF((0=1),SUMIFS('Daily evaluations'!$I$2:$I$36,'Daily evaluations'!$B$2:$B$36,"=p05_insider_clusters",'Daily evaluations'!$C$2:$C$36,"=d20261116"),"")</f>
      </c>
      <c r="AQ151" s="8">
        <f>IF((0=1),SUMIFS('Daily evaluations'!$I$2:$I$36,'Daily evaluations'!$B$2:$B$36,"=p05_insider_clusters",'Daily evaluations'!$C$2:$C$36,"=d20261117"),"")</f>
      </c>
      <c r="AR151" s="8">
        <f>IF((0=1),SUMIFS('Daily evaluations'!$I$2:$I$36,'Daily evaluations'!$B$2:$B$36,"=p05_insider_clusters",'Daily evaluations'!$C$2:$C$36,"=d20261118"),"")</f>
      </c>
      <c r="AS151" s="8">
        <f>IF((0=1),SUMIFS('Daily evaluations'!$I$2:$I$36,'Daily evaluations'!$B$2:$B$36,"=p05_insider_clusters",'Daily evaluations'!$C$2:$C$36,"=d20261119"),"")</f>
      </c>
      <c r="AT151" s="8">
        <f>IF((0=1),SUMIFS('Daily evaluations'!$I$2:$I$36,'Daily evaluations'!$B$2:$B$36,"=p05_insider_clusters",'Daily evaluations'!$C$2:$C$36,"=d20261120"),"")</f>
      </c>
      <c r="AU151" s="8">
        <f>IF((0=1),SUMIFS('Daily evaluations'!$I$2:$I$36,'Daily evaluations'!$B$2:$B$36,"=p05_insider_clusters",'Daily evaluations'!$C$2:$C$36,"=d20261123"),"")</f>
      </c>
      <c r="AV151" s="8">
        <f>IF((0=1),SUMIFS('Daily evaluations'!$I$2:$I$36,'Daily evaluations'!$B$2:$B$36,"=p05_insider_clusters",'Daily evaluations'!$C$2:$C$36,"=d20261124"),"")</f>
      </c>
      <c r="AW151" s="8">
        <f>IF((0=1),SUMIFS('Daily evaluations'!$I$2:$I$36,'Daily evaluations'!$B$2:$B$36,"=p05_insider_clusters",'Daily evaluations'!$C$2:$C$36,"=d20261125"),"")</f>
      </c>
      <c r="AX151" s="8">
        <f>IF((0=1),SUMIFS('Daily evaluations'!$I$2:$I$36,'Daily evaluations'!$B$2:$B$36,"=p05_insider_clusters",'Daily evaluations'!$C$2:$C$36,"=d20261127"),"")</f>
      </c>
      <c r="AY151" s="8">
        <f>IF((0=1),SUMIFS('Daily evaluations'!$I$2:$I$36,'Daily evaluations'!$B$2:$B$36,"=p05_insider_clusters",'Daily evaluations'!$C$2:$C$36,"=d20261130"),"")</f>
      </c>
      <c r="AZ151" s="8">
        <f>IF((0=1),SUMIFS('Daily evaluations'!$I$2:$I$36,'Daily evaluations'!$B$2:$B$36,"=p05_insider_clusters",'Daily evaluations'!$C$2:$C$36,"=d20261201"),"")</f>
      </c>
      <c r="BA151" s="8">
        <f>IF((0=1),SUMIFS('Daily evaluations'!$I$2:$I$36,'Daily evaluations'!$B$2:$B$36,"=p05_insider_clusters",'Daily evaluations'!$C$2:$C$36,"=d20261202"),"")</f>
      </c>
      <c r="BB151" s="8">
        <f>IF((0=1),SUMIFS('Daily evaluations'!$I$2:$I$36,'Daily evaluations'!$B$2:$B$36,"=p05_insider_clusters",'Daily evaluations'!$C$2:$C$36,"=d20261203"),"")</f>
      </c>
      <c r="BC151" s="8">
        <f>IF((0=1),SUMIFS('Daily evaluations'!$I$2:$I$36,'Daily evaluations'!$B$2:$B$36,"=p05_insider_clusters",'Daily evaluations'!$C$2:$C$36,"=d20261204"),"")</f>
      </c>
      <c r="BD151" s="8">
        <f>IF((0=1),SUMIFS('Daily evaluations'!$I$2:$I$36,'Daily evaluations'!$B$2:$B$36,"=p05_insider_clusters",'Daily evaluations'!$C$2:$C$36,"=d20261207"),"")</f>
      </c>
      <c r="BE151" s="8">
        <f>IF((0=1),SUMIFS('Daily evaluations'!$I$2:$I$36,'Daily evaluations'!$B$2:$B$36,"=p05_insider_clusters",'Daily evaluations'!$C$2:$C$36,"=d20261208"),"")</f>
      </c>
      <c r="BF151" s="8">
        <f>IF((0=1),SUMIFS('Daily evaluations'!$I$2:$I$36,'Daily evaluations'!$B$2:$B$36,"=p05_insider_clusters",'Daily evaluations'!$C$2:$C$36,"=d20261209"),"")</f>
      </c>
      <c r="BG151" s="8">
        <f>IF((0=1),SUMIFS('Daily evaluations'!$I$2:$I$36,'Daily evaluations'!$B$2:$B$36,"=p05_insider_clusters",'Daily evaluations'!$C$2:$C$36,"=d20261210"),"")</f>
      </c>
      <c r="BH151" s="8">
        <f>IF((0=1),SUMIFS('Daily evaluations'!$I$2:$I$36,'Daily evaluations'!$B$2:$B$36,"=p05_insider_clusters",'Daily evaluations'!$C$2:$C$36,"=d20261211"),"")</f>
      </c>
      <c r="BI151" s="8">
        <f>IF((0=1),SUMIFS('Daily evaluations'!$I$2:$I$36,'Daily evaluations'!$B$2:$B$36,"=p05_insider_clusters",'Daily evaluations'!$C$2:$C$36,"=d20261214"),"")</f>
      </c>
      <c r="BJ151" s="8">
        <f>IF((0=1),SUMIFS('Daily evaluations'!$I$2:$I$36,'Daily evaluations'!$B$2:$B$36,"=p05_insider_clusters",'Daily evaluations'!$C$2:$C$36,"=d20261215"),"")</f>
      </c>
      <c r="BK151" s="8">
        <f>IF((0=1),SUMIFS('Daily evaluations'!$I$2:$I$36,'Daily evaluations'!$B$2:$B$36,"=p05_insider_clusters",'Daily evaluations'!$C$2:$C$36,"=d20261216"),"")</f>
      </c>
      <c r="BL151" s="8">
        <f>IF((0=1),SUMIFS('Daily evaluations'!$I$2:$I$36,'Daily evaluations'!$B$2:$B$36,"=p05_insider_clusters",'Daily evaluations'!$C$2:$C$36,"=d20261217"),"")</f>
      </c>
      <c r="BM151" s="8">
        <f>IF((0=1),SUMIFS('Daily evaluations'!$I$2:$I$36,'Daily evaluations'!$B$2:$B$36,"=p05_insider_clusters",'Daily evaluations'!$C$2:$C$36,"=d20261218"),"")</f>
      </c>
      <c r="BN151" s="8">
        <f>IF((0=1),SUMIFS('Daily evaluations'!$I$2:$I$36,'Daily evaluations'!$B$2:$B$36,"=p05_insider_clusters",'Daily evaluations'!$C$2:$C$36,"=d20261221"),"")</f>
      </c>
      <c r="BO151" s="8">
        <f>IF((0=1),SUMIFS('Daily evaluations'!$I$2:$I$36,'Daily evaluations'!$B$2:$B$36,"=p05_insider_clusters",'Daily evaluations'!$C$2:$C$36,"=d20261222"),"")</f>
      </c>
      <c r="BP151" s="8">
        <f>IF((0=1),SUMIFS('Daily evaluations'!$I$2:$I$36,'Daily evaluations'!$B$2:$B$36,"=p05_insider_clusters",'Daily evaluations'!$C$2:$C$36,"=d20261223"),"")</f>
      </c>
      <c r="BQ151" s="8">
        <f>IF((0=1),SUMIFS('Daily evaluations'!$I$2:$I$36,'Daily evaluations'!$B$2:$B$36,"=p05_insider_clusters",'Daily evaluations'!$C$2:$C$36,"=d20261224"),"")</f>
      </c>
      <c r="BR151" s="8">
        <f>IF((0=1),SUMIFS('Daily evaluations'!$I$2:$I$36,'Daily evaluations'!$B$2:$B$36,"=p05_insider_clusters",'Daily evaluations'!$C$2:$C$36,"=d20261228"),"")</f>
      </c>
      <c r="BS151" s="8">
        <f>IF((0=1),SUMIFS('Daily evaluations'!$I$2:$I$36,'Daily evaluations'!$B$2:$B$36,"=p05_insider_clusters",'Daily evaluations'!$C$2:$C$36,"=d20261229"),"")</f>
      </c>
      <c r="BT151" s="8">
        <f>IF((0=1),SUMIFS('Daily evaluations'!$I$2:$I$36,'Daily evaluations'!$B$2:$B$36,"=p05_insider_clusters",'Daily evaluations'!$C$2:$C$36,"=d20261230"),"")</f>
      </c>
      <c r="BU151" s="8">
        <f>IF((0=1),SUMIFS('Daily evaluations'!$I$2:$I$36,'Daily evaluations'!$B$2:$B$36,"=p05_insider_clusters",'Daily evaluations'!$C$2:$C$36,"=d20261231"),"")</f>
      </c>
      <c r="BV151" s="8">
        <f>IF((0=1),SUMIFS('Daily evaluations'!$I$2:$I$36,'Daily evaluations'!$B$2:$B$36,"=p05_insider_clusters",'Daily evaluations'!$C$2:$C$36,"=d20270104"),"")</f>
      </c>
      <c r="BW151" s="8">
        <f>IF((0=1),SUMIFS('Daily evaluations'!$I$2:$I$36,'Daily evaluations'!$B$2:$B$36,"=p05_insider_clusters",'Daily evaluations'!$C$2:$C$36,"=d20270105"),"")</f>
      </c>
      <c r="BX151" s="8">
        <f>IF((0=1),SUMIFS('Daily evaluations'!$I$2:$I$36,'Daily evaluations'!$B$2:$B$36,"=p05_insider_clusters",'Daily evaluations'!$C$2:$C$36,"=d20270106"),"")</f>
      </c>
      <c r="BY151" s="8">
        <f>IF((0=1),SUMIFS('Daily evaluations'!$I$2:$I$36,'Daily evaluations'!$B$2:$B$36,"=p05_insider_clusters",'Daily evaluations'!$C$2:$C$36,"=d20270107"),"")</f>
      </c>
      <c r="BZ151" s="8">
        <f>IF((0=1),SUMIFS('Daily evaluations'!$I$2:$I$36,'Daily evaluations'!$B$2:$B$36,"=p05_insider_clusters",'Daily evaluations'!$C$2:$C$36,"=d20270108"),"")</f>
      </c>
      <c r="CA151" s="8">
        <f>IF((0=1),SUMIFS('Daily evaluations'!$I$2:$I$36,'Daily evaluations'!$B$2:$B$36,"=p05_insider_clusters",'Daily evaluations'!$C$2:$C$36,"=d20270111"),"")</f>
      </c>
      <c r="CB151" s="8">
        <f>IF((0=1),SUMIFS('Daily evaluations'!$I$2:$I$36,'Daily evaluations'!$B$2:$B$36,"=p05_insider_clusters",'Daily evaluations'!$C$2:$C$36,"=d20270112"),"")</f>
      </c>
      <c r="CC151" s="8">
        <f>IF((0=1),SUMIFS('Daily evaluations'!$I$2:$I$36,'Daily evaluations'!$B$2:$B$36,"=p05_insider_clusters",'Daily evaluations'!$C$2:$C$36,"=d20270113"),"")</f>
      </c>
      <c r="CD151" s="8">
        <f>IF((0=1),SUMIFS('Daily evaluations'!$I$2:$I$36,'Daily evaluations'!$B$2:$B$36,"=p05_insider_clusters",'Daily evaluations'!$C$2:$C$36,"=d20270114"),"")</f>
      </c>
      <c r="CE151" s="8">
        <f>IF((0=1),SUMIFS('Daily evaluations'!$I$2:$I$36,'Daily evaluations'!$B$2:$B$36,"=p05_insider_clusters",'Daily evaluations'!$C$2:$C$36,"=d20270115"),"")</f>
      </c>
      <c r="CF151" s="8">
        <f>IF((0=1),SUMIFS('Daily evaluations'!$I$2:$I$36,'Daily evaluations'!$B$2:$B$36,"=p05_insider_clusters",'Daily evaluations'!$C$2:$C$36,"=d20270119"),"")</f>
      </c>
      <c r="CG151" s="8">
        <f>IF((0=1),SUMIFS('Daily evaluations'!$I$2:$I$36,'Daily evaluations'!$B$2:$B$36,"=p05_insider_clusters",'Daily evaluations'!$C$2:$C$36,"=d20270120"),"")</f>
      </c>
      <c r="CH151" s="8">
        <f>IF((0=1),SUMIFS('Daily evaluations'!$I$2:$I$36,'Daily evaluations'!$B$2:$B$36,"=p05_insider_clusters",'Daily evaluations'!$C$2:$C$36,"=d20270121"),"")</f>
      </c>
      <c r="CI151" s="8">
        <f>IF((0=1),SUMIFS('Daily evaluations'!$I$2:$I$36,'Daily evaluations'!$B$2:$B$36,"=p05_insider_clusters",'Daily evaluations'!$C$2:$C$36,"=d20270122"),"")</f>
      </c>
      <c r="CJ151" s="8">
        <f>IF((0=1),SUMIFS('Daily evaluations'!$I$2:$I$36,'Daily evaluations'!$B$2:$B$36,"=p05_insider_clusters",'Daily evaluations'!$C$2:$C$36,"=d20270125"),"")</f>
      </c>
      <c r="CK151" s="8">
        <f>IF((0=1),SUMIFS('Daily evaluations'!$I$2:$I$36,'Daily evaluations'!$B$2:$B$36,"=p05_insider_clusters",'Daily evaluations'!$C$2:$C$36,"=d20270126"),"")</f>
      </c>
      <c r="CL151" s="8">
        <f>IF((0=1),SUMIFS('Daily evaluations'!$I$2:$I$36,'Daily evaluations'!$B$2:$B$36,"=p05_insider_clusters",'Daily evaluations'!$C$2:$C$36,"=d20270127"),"")</f>
      </c>
      <c r="CM151" s="8">
        <f>IF((0=1),SUMIFS('Daily evaluations'!$I$2:$I$36,'Daily evaluations'!$B$2:$B$36,"=p05_insider_clusters",'Daily evaluations'!$C$2:$C$36,"=d20270128"),"")</f>
      </c>
      <c r="CN151" s="8">
        <f>IF((0=1),SUMIFS('Daily evaluations'!$I$2:$I$36,'Daily evaluations'!$B$2:$B$36,"=p05_insider_clusters",'Daily evaluations'!$C$2:$C$36,"=d20270129"),"")</f>
      </c>
      <c r="CO151" s="8">
        <f>IF((0=1),SUMIFS('Daily evaluations'!$I$2:$I$36,'Daily evaluations'!$B$2:$B$36,"=p05_insider_clusters",'Daily evaluations'!$C$2:$C$36,"=d20270201"),"")</f>
      </c>
      <c r="CP151" s="8">
        <f>IF((0=1),SUMIFS('Daily evaluations'!$I$2:$I$36,'Daily evaluations'!$B$2:$B$36,"=p05_insider_clusters",'Daily evaluations'!$C$2:$C$36,"=d20270202"),"")</f>
      </c>
      <c r="CQ151" s="8">
        <f>IF((0=1),SUMIFS('Daily evaluations'!$I$2:$I$36,'Daily evaluations'!$B$2:$B$36,"=p05_insider_clusters",'Daily evaluations'!$C$2:$C$36,"=d20270203"),"")</f>
      </c>
      <c r="CR151" s="8">
        <f>IF((0=1),SUMIFS('Daily evaluations'!$I$2:$I$36,'Daily evaluations'!$B$2:$B$36,"=p05_insider_clusters",'Daily evaluations'!$C$2:$C$36,"=d20270204"),"")</f>
      </c>
      <c r="CS151" s="8">
        <f>IF((0=1),SUMIFS('Daily evaluations'!$I$2:$I$36,'Daily evaluations'!$B$2:$B$36,"=p05_insider_clusters",'Daily evaluations'!$C$2:$C$36,"=d20270205"),"")</f>
      </c>
      <c r="CT151" s="8">
        <f>IF((0=1),SUMIFS('Daily evaluations'!$I$2:$I$36,'Daily evaluations'!$B$2:$B$36,"=p05_insider_clusters",'Daily evaluations'!$C$2:$C$36,"=d20270208"),"")</f>
      </c>
      <c r="CU151" s="8">
        <f>IF((0=1),SUMIFS('Daily evaluations'!$I$2:$I$36,'Daily evaluations'!$B$2:$B$36,"=p05_insider_clusters",'Daily evaluations'!$C$2:$C$36,"=d20270209"),"")</f>
      </c>
      <c r="CV151" s="8">
        <f>IF((0=1),SUMIFS('Daily evaluations'!$I$2:$I$36,'Daily evaluations'!$B$2:$B$36,"=p05_insider_clusters",'Daily evaluations'!$C$2:$C$36,"=d20270210"),"")</f>
      </c>
      <c r="CW151" s="8">
        <f>IF((0=1),SUMIFS('Daily evaluations'!$I$2:$I$36,'Daily evaluations'!$B$2:$B$36,"=p05_insider_clusters",'Daily evaluations'!$C$2:$C$36,"=d20270211"),"")</f>
      </c>
      <c r="CX151" s="8">
        <f>IF((0=1),SUMIFS('Daily evaluations'!$I$2:$I$36,'Daily evaluations'!$B$2:$B$36,"=p05_insider_clusters",'Daily evaluations'!$C$2:$C$36,"=d20270212"),"")</f>
      </c>
    </row>
    <row r="152">
      <c r="A152" s="0" t="inlineStr">
        <is>
          <t xml:space="preserve">Information coefficient</t>
        </is>
      </c>
      <c r="B152" s="0" t="inlineStr">
        <is>
          <t xml:space="preserve">Same-Month Seasonality</t>
        </is>
      </c>
      <c r="C152" s="8">
        <f>IF((1=1),SUMIFS('Daily evaluations'!$I$2:$I$36,'Daily evaluations'!$B$2:$B$36,"=p06_seasonality",'Daily evaluations'!$C$2:$C$36,"=d20260922"),"")</f>
        <v>0.0123</v>
      </c>
      <c r="D152" s="8">
        <f>IF((0=1),SUMIFS('Daily evaluations'!$I$2:$I$36,'Daily evaluations'!$B$2:$B$36,"=p06_seasonality",'Daily evaluations'!$C$2:$C$36,"=d20260923"),"")</f>
      </c>
      <c r="E152" s="8">
        <f>IF((0=1),SUMIFS('Daily evaluations'!$I$2:$I$36,'Daily evaluations'!$B$2:$B$36,"=p06_seasonality",'Daily evaluations'!$C$2:$C$36,"=d20260924"),"")</f>
      </c>
      <c r="F152" s="8">
        <f>IF((0=1),SUMIFS('Daily evaluations'!$I$2:$I$36,'Daily evaluations'!$B$2:$B$36,"=p06_seasonality",'Daily evaluations'!$C$2:$C$36,"=d20260925"),"")</f>
      </c>
      <c r="G152" s="8">
        <f>IF((0=1),SUMIFS('Daily evaluations'!$I$2:$I$36,'Daily evaluations'!$B$2:$B$36,"=p06_seasonality",'Daily evaluations'!$C$2:$C$36,"=d20260928"),"")</f>
      </c>
      <c r="H152" s="8">
        <f>IF((0=1),SUMIFS('Daily evaluations'!$I$2:$I$36,'Daily evaluations'!$B$2:$B$36,"=p06_seasonality",'Daily evaluations'!$C$2:$C$36,"=d20260929"),"")</f>
      </c>
      <c r="I152" s="8">
        <f>IF((0=1),SUMIFS('Daily evaluations'!$I$2:$I$36,'Daily evaluations'!$B$2:$B$36,"=p06_seasonality",'Daily evaluations'!$C$2:$C$36,"=d20260930"),"")</f>
      </c>
      <c r="J152" s="8">
        <f>IF((0=1),SUMIFS('Daily evaluations'!$I$2:$I$36,'Daily evaluations'!$B$2:$B$36,"=p06_seasonality",'Daily evaluations'!$C$2:$C$36,"=d20261001"),"")</f>
      </c>
      <c r="K152" s="8">
        <f>IF((0=1),SUMIFS('Daily evaluations'!$I$2:$I$36,'Daily evaluations'!$B$2:$B$36,"=p06_seasonality",'Daily evaluations'!$C$2:$C$36,"=d20261002"),"")</f>
      </c>
      <c r="L152" s="8">
        <f>IF((0=1),SUMIFS('Daily evaluations'!$I$2:$I$36,'Daily evaluations'!$B$2:$B$36,"=p06_seasonality",'Daily evaluations'!$C$2:$C$36,"=d20261005"),"")</f>
      </c>
      <c r="M152" s="8">
        <f>IF((0=1),SUMIFS('Daily evaluations'!$I$2:$I$36,'Daily evaluations'!$B$2:$B$36,"=p06_seasonality",'Daily evaluations'!$C$2:$C$36,"=d20261006"),"")</f>
      </c>
      <c r="N152" s="8">
        <f>IF((0=1),SUMIFS('Daily evaluations'!$I$2:$I$36,'Daily evaluations'!$B$2:$B$36,"=p06_seasonality",'Daily evaluations'!$C$2:$C$36,"=d20261007"),"")</f>
      </c>
      <c r="O152" s="8">
        <f>IF((0=1),SUMIFS('Daily evaluations'!$I$2:$I$36,'Daily evaluations'!$B$2:$B$36,"=p06_seasonality",'Daily evaluations'!$C$2:$C$36,"=d20261008"),"")</f>
      </c>
      <c r="P152" s="8">
        <f>IF((0=1),SUMIFS('Daily evaluations'!$I$2:$I$36,'Daily evaluations'!$B$2:$B$36,"=p06_seasonality",'Daily evaluations'!$C$2:$C$36,"=d20261009"),"")</f>
      </c>
      <c r="Q152" s="8">
        <f>IF((0=1),SUMIFS('Daily evaluations'!$I$2:$I$36,'Daily evaluations'!$B$2:$B$36,"=p06_seasonality",'Daily evaluations'!$C$2:$C$36,"=d20261012"),"")</f>
      </c>
      <c r="R152" s="8">
        <f>IF((0=1),SUMIFS('Daily evaluations'!$I$2:$I$36,'Daily evaluations'!$B$2:$B$36,"=p06_seasonality",'Daily evaluations'!$C$2:$C$36,"=d20261013"),"")</f>
      </c>
      <c r="S152" s="8">
        <f>IF((0=1),SUMIFS('Daily evaluations'!$I$2:$I$36,'Daily evaluations'!$B$2:$B$36,"=p06_seasonality",'Daily evaluations'!$C$2:$C$36,"=d20261014"),"")</f>
      </c>
      <c r="T152" s="8">
        <f>IF((0=1),SUMIFS('Daily evaluations'!$I$2:$I$36,'Daily evaluations'!$B$2:$B$36,"=p06_seasonality",'Daily evaluations'!$C$2:$C$36,"=d20261015"),"")</f>
      </c>
      <c r="U152" s="8">
        <f>IF((0=1),SUMIFS('Daily evaluations'!$I$2:$I$36,'Daily evaluations'!$B$2:$B$36,"=p06_seasonality",'Daily evaluations'!$C$2:$C$36,"=d20261016"),"")</f>
      </c>
      <c r="V152" s="8">
        <f>IF((0=1),SUMIFS('Daily evaluations'!$I$2:$I$36,'Daily evaluations'!$B$2:$B$36,"=p06_seasonality",'Daily evaluations'!$C$2:$C$36,"=d20261019"),"")</f>
      </c>
      <c r="W152" s="8">
        <f>IF((0=1),SUMIFS('Daily evaluations'!$I$2:$I$36,'Daily evaluations'!$B$2:$B$36,"=p06_seasonality",'Daily evaluations'!$C$2:$C$36,"=d20261020"),"")</f>
      </c>
      <c r="X152" s="8">
        <f>IF((0=1),SUMIFS('Daily evaluations'!$I$2:$I$36,'Daily evaluations'!$B$2:$B$36,"=p06_seasonality",'Daily evaluations'!$C$2:$C$36,"=d20261021"),"")</f>
      </c>
      <c r="Y152" s="8">
        <f>IF((0=1),SUMIFS('Daily evaluations'!$I$2:$I$36,'Daily evaluations'!$B$2:$B$36,"=p06_seasonality",'Daily evaluations'!$C$2:$C$36,"=d20261022"),"")</f>
      </c>
      <c r="Z152" s="8">
        <f>IF((0=1),SUMIFS('Daily evaluations'!$I$2:$I$36,'Daily evaluations'!$B$2:$B$36,"=p06_seasonality",'Daily evaluations'!$C$2:$C$36,"=d20261023"),"")</f>
      </c>
      <c r="AA152" s="8">
        <f>IF((0=1),SUMIFS('Daily evaluations'!$I$2:$I$36,'Daily evaluations'!$B$2:$B$36,"=p06_seasonality",'Daily evaluations'!$C$2:$C$36,"=d20261026"),"")</f>
      </c>
      <c r="AB152" s="8">
        <f>IF((0=1),SUMIFS('Daily evaluations'!$I$2:$I$36,'Daily evaluations'!$B$2:$B$36,"=p06_seasonality",'Daily evaluations'!$C$2:$C$36,"=d20261027"),"")</f>
      </c>
      <c r="AC152" s="8">
        <f>IF((0=1),SUMIFS('Daily evaluations'!$I$2:$I$36,'Daily evaluations'!$B$2:$B$36,"=p06_seasonality",'Daily evaluations'!$C$2:$C$36,"=d20261028"),"")</f>
      </c>
      <c r="AD152" s="8">
        <f>IF((0=1),SUMIFS('Daily evaluations'!$I$2:$I$36,'Daily evaluations'!$B$2:$B$36,"=p06_seasonality",'Daily evaluations'!$C$2:$C$36,"=d20261029"),"")</f>
      </c>
      <c r="AE152" s="8">
        <f>IF((0=1),SUMIFS('Daily evaluations'!$I$2:$I$36,'Daily evaluations'!$B$2:$B$36,"=p06_seasonality",'Daily evaluations'!$C$2:$C$36,"=d20261030"),"")</f>
      </c>
      <c r="AF152" s="8">
        <f>IF((0=1),SUMIFS('Daily evaluations'!$I$2:$I$36,'Daily evaluations'!$B$2:$B$36,"=p06_seasonality",'Daily evaluations'!$C$2:$C$36,"=d20261102"),"")</f>
      </c>
      <c r="AG152" s="8">
        <f>IF((0=1),SUMIFS('Daily evaluations'!$I$2:$I$36,'Daily evaluations'!$B$2:$B$36,"=p06_seasonality",'Daily evaluations'!$C$2:$C$36,"=d20261103"),"")</f>
      </c>
      <c r="AH152" s="8">
        <f>IF((0=1),SUMIFS('Daily evaluations'!$I$2:$I$36,'Daily evaluations'!$B$2:$B$36,"=p06_seasonality",'Daily evaluations'!$C$2:$C$36,"=d20261104"),"")</f>
      </c>
      <c r="AI152" s="8">
        <f>IF((0=1),SUMIFS('Daily evaluations'!$I$2:$I$36,'Daily evaluations'!$B$2:$B$36,"=p06_seasonality",'Daily evaluations'!$C$2:$C$36,"=d20261105"),"")</f>
      </c>
      <c r="AJ152" s="8">
        <f>IF((0=1),SUMIFS('Daily evaluations'!$I$2:$I$36,'Daily evaluations'!$B$2:$B$36,"=p06_seasonality",'Daily evaluations'!$C$2:$C$36,"=d20261106"),"")</f>
      </c>
      <c r="AK152" s="8">
        <f>IF((0=1),SUMIFS('Daily evaluations'!$I$2:$I$36,'Daily evaluations'!$B$2:$B$36,"=p06_seasonality",'Daily evaluations'!$C$2:$C$36,"=d20261109"),"")</f>
      </c>
      <c r="AL152" s="8">
        <f>IF((0=1),SUMIFS('Daily evaluations'!$I$2:$I$36,'Daily evaluations'!$B$2:$B$36,"=p06_seasonality",'Daily evaluations'!$C$2:$C$36,"=d20261110"),"")</f>
      </c>
      <c r="AM152" s="8">
        <f>IF((0=1),SUMIFS('Daily evaluations'!$I$2:$I$36,'Daily evaluations'!$B$2:$B$36,"=p06_seasonality",'Daily evaluations'!$C$2:$C$36,"=d20261111"),"")</f>
      </c>
      <c r="AN152" s="8">
        <f>IF((0=1),SUMIFS('Daily evaluations'!$I$2:$I$36,'Daily evaluations'!$B$2:$B$36,"=p06_seasonality",'Daily evaluations'!$C$2:$C$36,"=d20261112"),"")</f>
      </c>
      <c r="AO152" s="8">
        <f>IF((0=1),SUMIFS('Daily evaluations'!$I$2:$I$36,'Daily evaluations'!$B$2:$B$36,"=p06_seasonality",'Daily evaluations'!$C$2:$C$36,"=d20261113"),"")</f>
      </c>
      <c r="AP152" s="8">
        <f>IF((0=1),SUMIFS('Daily evaluations'!$I$2:$I$36,'Daily evaluations'!$B$2:$B$36,"=p06_seasonality",'Daily evaluations'!$C$2:$C$36,"=d20261116"),"")</f>
      </c>
      <c r="AQ152" s="8">
        <f>IF((0=1),SUMIFS('Daily evaluations'!$I$2:$I$36,'Daily evaluations'!$B$2:$B$36,"=p06_seasonality",'Daily evaluations'!$C$2:$C$36,"=d20261117"),"")</f>
      </c>
      <c r="AR152" s="8">
        <f>IF((0=1),SUMIFS('Daily evaluations'!$I$2:$I$36,'Daily evaluations'!$B$2:$B$36,"=p06_seasonality",'Daily evaluations'!$C$2:$C$36,"=d20261118"),"")</f>
      </c>
      <c r="AS152" s="8">
        <f>IF((0=1),SUMIFS('Daily evaluations'!$I$2:$I$36,'Daily evaluations'!$B$2:$B$36,"=p06_seasonality",'Daily evaluations'!$C$2:$C$36,"=d20261119"),"")</f>
      </c>
      <c r="AT152" s="8">
        <f>IF((0=1),SUMIFS('Daily evaluations'!$I$2:$I$36,'Daily evaluations'!$B$2:$B$36,"=p06_seasonality",'Daily evaluations'!$C$2:$C$36,"=d20261120"),"")</f>
      </c>
      <c r="AU152" s="8">
        <f>IF((0=1),SUMIFS('Daily evaluations'!$I$2:$I$36,'Daily evaluations'!$B$2:$B$36,"=p06_seasonality",'Daily evaluations'!$C$2:$C$36,"=d20261123"),"")</f>
      </c>
      <c r="AV152" s="8">
        <f>IF((0=1),SUMIFS('Daily evaluations'!$I$2:$I$36,'Daily evaluations'!$B$2:$B$36,"=p06_seasonality",'Daily evaluations'!$C$2:$C$36,"=d20261124"),"")</f>
      </c>
      <c r="AW152" s="8">
        <f>IF((0=1),SUMIFS('Daily evaluations'!$I$2:$I$36,'Daily evaluations'!$B$2:$B$36,"=p06_seasonality",'Daily evaluations'!$C$2:$C$36,"=d20261125"),"")</f>
      </c>
      <c r="AX152" s="8">
        <f>IF((0=1),SUMIFS('Daily evaluations'!$I$2:$I$36,'Daily evaluations'!$B$2:$B$36,"=p06_seasonality",'Daily evaluations'!$C$2:$C$36,"=d20261127"),"")</f>
      </c>
      <c r="AY152" s="8">
        <f>IF((0=1),SUMIFS('Daily evaluations'!$I$2:$I$36,'Daily evaluations'!$B$2:$B$36,"=p06_seasonality",'Daily evaluations'!$C$2:$C$36,"=d20261130"),"")</f>
      </c>
      <c r="AZ152" s="8">
        <f>IF((0=1),SUMIFS('Daily evaluations'!$I$2:$I$36,'Daily evaluations'!$B$2:$B$36,"=p06_seasonality",'Daily evaluations'!$C$2:$C$36,"=d20261201"),"")</f>
      </c>
      <c r="BA152" s="8">
        <f>IF((0=1),SUMIFS('Daily evaluations'!$I$2:$I$36,'Daily evaluations'!$B$2:$B$36,"=p06_seasonality",'Daily evaluations'!$C$2:$C$36,"=d20261202"),"")</f>
      </c>
      <c r="BB152" s="8">
        <f>IF((0=1),SUMIFS('Daily evaluations'!$I$2:$I$36,'Daily evaluations'!$B$2:$B$36,"=p06_seasonality",'Daily evaluations'!$C$2:$C$36,"=d20261203"),"")</f>
      </c>
      <c r="BC152" s="8">
        <f>IF((0=1),SUMIFS('Daily evaluations'!$I$2:$I$36,'Daily evaluations'!$B$2:$B$36,"=p06_seasonality",'Daily evaluations'!$C$2:$C$36,"=d20261204"),"")</f>
      </c>
      <c r="BD152" s="8">
        <f>IF((0=1),SUMIFS('Daily evaluations'!$I$2:$I$36,'Daily evaluations'!$B$2:$B$36,"=p06_seasonality",'Daily evaluations'!$C$2:$C$36,"=d20261207"),"")</f>
      </c>
      <c r="BE152" s="8">
        <f>IF((0=1),SUMIFS('Daily evaluations'!$I$2:$I$36,'Daily evaluations'!$B$2:$B$36,"=p06_seasonality",'Daily evaluations'!$C$2:$C$36,"=d20261208"),"")</f>
      </c>
      <c r="BF152" s="8">
        <f>IF((0=1),SUMIFS('Daily evaluations'!$I$2:$I$36,'Daily evaluations'!$B$2:$B$36,"=p06_seasonality",'Daily evaluations'!$C$2:$C$36,"=d20261209"),"")</f>
      </c>
      <c r="BG152" s="8">
        <f>IF((0=1),SUMIFS('Daily evaluations'!$I$2:$I$36,'Daily evaluations'!$B$2:$B$36,"=p06_seasonality",'Daily evaluations'!$C$2:$C$36,"=d20261210"),"")</f>
      </c>
      <c r="BH152" s="8">
        <f>IF((0=1),SUMIFS('Daily evaluations'!$I$2:$I$36,'Daily evaluations'!$B$2:$B$36,"=p06_seasonality",'Daily evaluations'!$C$2:$C$36,"=d20261211"),"")</f>
      </c>
      <c r="BI152" s="8">
        <f>IF((0=1),SUMIFS('Daily evaluations'!$I$2:$I$36,'Daily evaluations'!$B$2:$B$36,"=p06_seasonality",'Daily evaluations'!$C$2:$C$36,"=d20261214"),"")</f>
      </c>
      <c r="BJ152" s="8">
        <f>IF((0=1),SUMIFS('Daily evaluations'!$I$2:$I$36,'Daily evaluations'!$B$2:$B$36,"=p06_seasonality",'Daily evaluations'!$C$2:$C$36,"=d20261215"),"")</f>
      </c>
      <c r="BK152" s="8">
        <f>IF((0=1),SUMIFS('Daily evaluations'!$I$2:$I$36,'Daily evaluations'!$B$2:$B$36,"=p06_seasonality",'Daily evaluations'!$C$2:$C$36,"=d20261216"),"")</f>
      </c>
      <c r="BL152" s="8">
        <f>IF((0=1),SUMIFS('Daily evaluations'!$I$2:$I$36,'Daily evaluations'!$B$2:$B$36,"=p06_seasonality",'Daily evaluations'!$C$2:$C$36,"=d20261217"),"")</f>
      </c>
      <c r="BM152" s="8">
        <f>IF((0=1),SUMIFS('Daily evaluations'!$I$2:$I$36,'Daily evaluations'!$B$2:$B$36,"=p06_seasonality",'Daily evaluations'!$C$2:$C$36,"=d20261218"),"")</f>
      </c>
      <c r="BN152" s="8">
        <f>IF((0=1),SUMIFS('Daily evaluations'!$I$2:$I$36,'Daily evaluations'!$B$2:$B$36,"=p06_seasonality",'Daily evaluations'!$C$2:$C$36,"=d20261221"),"")</f>
      </c>
      <c r="BO152" s="8">
        <f>IF((0=1),SUMIFS('Daily evaluations'!$I$2:$I$36,'Daily evaluations'!$B$2:$B$36,"=p06_seasonality",'Daily evaluations'!$C$2:$C$36,"=d20261222"),"")</f>
      </c>
      <c r="BP152" s="8">
        <f>IF((0=1),SUMIFS('Daily evaluations'!$I$2:$I$36,'Daily evaluations'!$B$2:$B$36,"=p06_seasonality",'Daily evaluations'!$C$2:$C$36,"=d20261223"),"")</f>
      </c>
      <c r="BQ152" s="8">
        <f>IF((0=1),SUMIFS('Daily evaluations'!$I$2:$I$36,'Daily evaluations'!$B$2:$B$36,"=p06_seasonality",'Daily evaluations'!$C$2:$C$36,"=d20261224"),"")</f>
      </c>
      <c r="BR152" s="8">
        <f>IF((0=1),SUMIFS('Daily evaluations'!$I$2:$I$36,'Daily evaluations'!$B$2:$B$36,"=p06_seasonality",'Daily evaluations'!$C$2:$C$36,"=d20261228"),"")</f>
      </c>
      <c r="BS152" s="8">
        <f>IF((0=1),SUMIFS('Daily evaluations'!$I$2:$I$36,'Daily evaluations'!$B$2:$B$36,"=p06_seasonality",'Daily evaluations'!$C$2:$C$36,"=d20261229"),"")</f>
      </c>
      <c r="BT152" s="8">
        <f>IF((0=1),SUMIFS('Daily evaluations'!$I$2:$I$36,'Daily evaluations'!$B$2:$B$36,"=p06_seasonality",'Daily evaluations'!$C$2:$C$36,"=d20261230"),"")</f>
      </c>
      <c r="BU152" s="8">
        <f>IF((0=1),SUMIFS('Daily evaluations'!$I$2:$I$36,'Daily evaluations'!$B$2:$B$36,"=p06_seasonality",'Daily evaluations'!$C$2:$C$36,"=d20261231"),"")</f>
      </c>
      <c r="BV152" s="8">
        <f>IF((0=1),SUMIFS('Daily evaluations'!$I$2:$I$36,'Daily evaluations'!$B$2:$B$36,"=p06_seasonality",'Daily evaluations'!$C$2:$C$36,"=d20270104"),"")</f>
      </c>
      <c r="BW152" s="8">
        <f>IF((0=1),SUMIFS('Daily evaluations'!$I$2:$I$36,'Daily evaluations'!$B$2:$B$36,"=p06_seasonality",'Daily evaluations'!$C$2:$C$36,"=d20270105"),"")</f>
      </c>
      <c r="BX152" s="8">
        <f>IF((0=1),SUMIFS('Daily evaluations'!$I$2:$I$36,'Daily evaluations'!$B$2:$B$36,"=p06_seasonality",'Daily evaluations'!$C$2:$C$36,"=d20270106"),"")</f>
      </c>
      <c r="BY152" s="8">
        <f>IF((0=1),SUMIFS('Daily evaluations'!$I$2:$I$36,'Daily evaluations'!$B$2:$B$36,"=p06_seasonality",'Daily evaluations'!$C$2:$C$36,"=d20270107"),"")</f>
      </c>
      <c r="BZ152" s="8">
        <f>IF((0=1),SUMIFS('Daily evaluations'!$I$2:$I$36,'Daily evaluations'!$B$2:$B$36,"=p06_seasonality",'Daily evaluations'!$C$2:$C$36,"=d20270108"),"")</f>
      </c>
      <c r="CA152" s="8">
        <f>IF((0=1),SUMIFS('Daily evaluations'!$I$2:$I$36,'Daily evaluations'!$B$2:$B$36,"=p06_seasonality",'Daily evaluations'!$C$2:$C$36,"=d20270111"),"")</f>
      </c>
      <c r="CB152" s="8">
        <f>IF((0=1),SUMIFS('Daily evaluations'!$I$2:$I$36,'Daily evaluations'!$B$2:$B$36,"=p06_seasonality",'Daily evaluations'!$C$2:$C$36,"=d20270112"),"")</f>
      </c>
      <c r="CC152" s="8">
        <f>IF((0=1),SUMIFS('Daily evaluations'!$I$2:$I$36,'Daily evaluations'!$B$2:$B$36,"=p06_seasonality",'Daily evaluations'!$C$2:$C$36,"=d20270113"),"")</f>
      </c>
      <c r="CD152" s="8">
        <f>IF((0=1),SUMIFS('Daily evaluations'!$I$2:$I$36,'Daily evaluations'!$B$2:$B$36,"=p06_seasonality",'Daily evaluations'!$C$2:$C$36,"=d20270114"),"")</f>
      </c>
      <c r="CE152" s="8">
        <f>IF((0=1),SUMIFS('Daily evaluations'!$I$2:$I$36,'Daily evaluations'!$B$2:$B$36,"=p06_seasonality",'Daily evaluations'!$C$2:$C$36,"=d20270115"),"")</f>
      </c>
      <c r="CF152" s="8">
        <f>IF((0=1),SUMIFS('Daily evaluations'!$I$2:$I$36,'Daily evaluations'!$B$2:$B$36,"=p06_seasonality",'Daily evaluations'!$C$2:$C$36,"=d20270119"),"")</f>
      </c>
      <c r="CG152" s="8">
        <f>IF((0=1),SUMIFS('Daily evaluations'!$I$2:$I$36,'Daily evaluations'!$B$2:$B$36,"=p06_seasonality",'Daily evaluations'!$C$2:$C$36,"=d20270120"),"")</f>
      </c>
      <c r="CH152" s="8">
        <f>IF((0=1),SUMIFS('Daily evaluations'!$I$2:$I$36,'Daily evaluations'!$B$2:$B$36,"=p06_seasonality",'Daily evaluations'!$C$2:$C$36,"=d20270121"),"")</f>
      </c>
      <c r="CI152" s="8">
        <f>IF((0=1),SUMIFS('Daily evaluations'!$I$2:$I$36,'Daily evaluations'!$B$2:$B$36,"=p06_seasonality",'Daily evaluations'!$C$2:$C$36,"=d20270122"),"")</f>
      </c>
      <c r="CJ152" s="8">
        <f>IF((0=1),SUMIFS('Daily evaluations'!$I$2:$I$36,'Daily evaluations'!$B$2:$B$36,"=p06_seasonality",'Daily evaluations'!$C$2:$C$36,"=d20270125"),"")</f>
      </c>
      <c r="CK152" s="8">
        <f>IF((0=1),SUMIFS('Daily evaluations'!$I$2:$I$36,'Daily evaluations'!$B$2:$B$36,"=p06_seasonality",'Daily evaluations'!$C$2:$C$36,"=d20270126"),"")</f>
      </c>
      <c r="CL152" s="8">
        <f>IF((0=1),SUMIFS('Daily evaluations'!$I$2:$I$36,'Daily evaluations'!$B$2:$B$36,"=p06_seasonality",'Daily evaluations'!$C$2:$C$36,"=d20270127"),"")</f>
      </c>
      <c r="CM152" s="8">
        <f>IF((0=1),SUMIFS('Daily evaluations'!$I$2:$I$36,'Daily evaluations'!$B$2:$B$36,"=p06_seasonality",'Daily evaluations'!$C$2:$C$36,"=d20270128"),"")</f>
      </c>
      <c r="CN152" s="8">
        <f>IF((0=1),SUMIFS('Daily evaluations'!$I$2:$I$36,'Daily evaluations'!$B$2:$B$36,"=p06_seasonality",'Daily evaluations'!$C$2:$C$36,"=d20270129"),"")</f>
      </c>
      <c r="CO152" s="8">
        <f>IF((0=1),SUMIFS('Daily evaluations'!$I$2:$I$36,'Daily evaluations'!$B$2:$B$36,"=p06_seasonality",'Daily evaluations'!$C$2:$C$36,"=d20270201"),"")</f>
      </c>
      <c r="CP152" s="8">
        <f>IF((0=1),SUMIFS('Daily evaluations'!$I$2:$I$36,'Daily evaluations'!$B$2:$B$36,"=p06_seasonality",'Daily evaluations'!$C$2:$C$36,"=d20270202"),"")</f>
      </c>
      <c r="CQ152" s="8">
        <f>IF((0=1),SUMIFS('Daily evaluations'!$I$2:$I$36,'Daily evaluations'!$B$2:$B$36,"=p06_seasonality",'Daily evaluations'!$C$2:$C$36,"=d20270203"),"")</f>
      </c>
      <c r="CR152" s="8">
        <f>IF((0=1),SUMIFS('Daily evaluations'!$I$2:$I$36,'Daily evaluations'!$B$2:$B$36,"=p06_seasonality",'Daily evaluations'!$C$2:$C$36,"=d20270204"),"")</f>
      </c>
      <c r="CS152" s="8">
        <f>IF((0=1),SUMIFS('Daily evaluations'!$I$2:$I$36,'Daily evaluations'!$B$2:$B$36,"=p06_seasonality",'Daily evaluations'!$C$2:$C$36,"=d20270205"),"")</f>
      </c>
      <c r="CT152" s="8">
        <f>IF((0=1),SUMIFS('Daily evaluations'!$I$2:$I$36,'Daily evaluations'!$B$2:$B$36,"=p06_seasonality",'Daily evaluations'!$C$2:$C$36,"=d20270208"),"")</f>
      </c>
      <c r="CU152" s="8">
        <f>IF((0=1),SUMIFS('Daily evaluations'!$I$2:$I$36,'Daily evaluations'!$B$2:$B$36,"=p06_seasonality",'Daily evaluations'!$C$2:$C$36,"=d20270209"),"")</f>
      </c>
      <c r="CV152" s="8">
        <f>IF((0=1),SUMIFS('Daily evaluations'!$I$2:$I$36,'Daily evaluations'!$B$2:$B$36,"=p06_seasonality",'Daily evaluations'!$C$2:$C$36,"=d20270210"),"")</f>
      </c>
      <c r="CW152" s="8">
        <f>IF((0=1),SUMIFS('Daily evaluations'!$I$2:$I$36,'Daily evaluations'!$B$2:$B$36,"=p06_seasonality",'Daily evaluations'!$C$2:$C$36,"=d20270211"),"")</f>
      </c>
      <c r="CX152" s="8">
        <f>IF((0=1),SUMIFS('Daily evaluations'!$I$2:$I$36,'Daily evaluations'!$B$2:$B$36,"=p06_seasonality",'Daily evaluations'!$C$2:$C$36,"=d20270212"),"")</f>
      </c>
    </row>
    <row r="153">
      <c r="A153" s="0" t="inlineStr">
        <is>
          <t xml:space="preserve">Information coefficient</t>
        </is>
      </c>
      <c r="B153" s="0" t="inlineStr">
        <is>
          <t xml:space="preserve">Quality at a Reasonable Price</t>
        </is>
      </c>
      <c r="C153" s="8">
        <f>IF((1=1),SUMIFS('Daily evaluations'!$I$2:$I$36,'Daily evaluations'!$B$2:$B$36,"=p07_quality_value",'Daily evaluations'!$C$2:$C$36,"=d20260922"),"")</f>
        <v>0.1021</v>
      </c>
      <c r="D153" s="8">
        <f>IF((0=1),SUMIFS('Daily evaluations'!$I$2:$I$36,'Daily evaluations'!$B$2:$B$36,"=p07_quality_value",'Daily evaluations'!$C$2:$C$36,"=d20260923"),"")</f>
      </c>
      <c r="E153" s="8">
        <f>IF((0=1),SUMIFS('Daily evaluations'!$I$2:$I$36,'Daily evaluations'!$B$2:$B$36,"=p07_quality_value",'Daily evaluations'!$C$2:$C$36,"=d20260924"),"")</f>
      </c>
      <c r="F153" s="8">
        <f>IF((0=1),SUMIFS('Daily evaluations'!$I$2:$I$36,'Daily evaluations'!$B$2:$B$36,"=p07_quality_value",'Daily evaluations'!$C$2:$C$36,"=d20260925"),"")</f>
      </c>
      <c r="G153" s="8">
        <f>IF((0=1),SUMIFS('Daily evaluations'!$I$2:$I$36,'Daily evaluations'!$B$2:$B$36,"=p07_quality_value",'Daily evaluations'!$C$2:$C$36,"=d20260928"),"")</f>
      </c>
      <c r="H153" s="8">
        <f>IF((0=1),SUMIFS('Daily evaluations'!$I$2:$I$36,'Daily evaluations'!$B$2:$B$36,"=p07_quality_value",'Daily evaluations'!$C$2:$C$36,"=d20260929"),"")</f>
      </c>
      <c r="I153" s="8">
        <f>IF((0=1),SUMIFS('Daily evaluations'!$I$2:$I$36,'Daily evaluations'!$B$2:$B$36,"=p07_quality_value",'Daily evaluations'!$C$2:$C$36,"=d20260930"),"")</f>
      </c>
      <c r="J153" s="8">
        <f>IF((0=1),SUMIFS('Daily evaluations'!$I$2:$I$36,'Daily evaluations'!$B$2:$B$36,"=p07_quality_value",'Daily evaluations'!$C$2:$C$36,"=d20261001"),"")</f>
      </c>
      <c r="K153" s="8">
        <f>IF((0=1),SUMIFS('Daily evaluations'!$I$2:$I$36,'Daily evaluations'!$B$2:$B$36,"=p07_quality_value",'Daily evaluations'!$C$2:$C$36,"=d20261002"),"")</f>
      </c>
      <c r="L153" s="8">
        <f>IF((0=1),SUMIFS('Daily evaluations'!$I$2:$I$36,'Daily evaluations'!$B$2:$B$36,"=p07_quality_value",'Daily evaluations'!$C$2:$C$36,"=d20261005"),"")</f>
      </c>
      <c r="M153" s="8">
        <f>IF((0=1),SUMIFS('Daily evaluations'!$I$2:$I$36,'Daily evaluations'!$B$2:$B$36,"=p07_quality_value",'Daily evaluations'!$C$2:$C$36,"=d20261006"),"")</f>
      </c>
      <c r="N153" s="8">
        <f>IF((0=1),SUMIFS('Daily evaluations'!$I$2:$I$36,'Daily evaluations'!$B$2:$B$36,"=p07_quality_value",'Daily evaluations'!$C$2:$C$36,"=d20261007"),"")</f>
      </c>
      <c r="O153" s="8">
        <f>IF((0=1),SUMIFS('Daily evaluations'!$I$2:$I$36,'Daily evaluations'!$B$2:$B$36,"=p07_quality_value",'Daily evaluations'!$C$2:$C$36,"=d20261008"),"")</f>
      </c>
      <c r="P153" s="8">
        <f>IF((0=1),SUMIFS('Daily evaluations'!$I$2:$I$36,'Daily evaluations'!$B$2:$B$36,"=p07_quality_value",'Daily evaluations'!$C$2:$C$36,"=d20261009"),"")</f>
      </c>
      <c r="Q153" s="8">
        <f>IF((0=1),SUMIFS('Daily evaluations'!$I$2:$I$36,'Daily evaluations'!$B$2:$B$36,"=p07_quality_value",'Daily evaluations'!$C$2:$C$36,"=d20261012"),"")</f>
      </c>
      <c r="R153" s="8">
        <f>IF((0=1),SUMIFS('Daily evaluations'!$I$2:$I$36,'Daily evaluations'!$B$2:$B$36,"=p07_quality_value",'Daily evaluations'!$C$2:$C$36,"=d20261013"),"")</f>
      </c>
      <c r="S153" s="8">
        <f>IF((0=1),SUMIFS('Daily evaluations'!$I$2:$I$36,'Daily evaluations'!$B$2:$B$36,"=p07_quality_value",'Daily evaluations'!$C$2:$C$36,"=d20261014"),"")</f>
      </c>
      <c r="T153" s="8">
        <f>IF((0=1),SUMIFS('Daily evaluations'!$I$2:$I$36,'Daily evaluations'!$B$2:$B$36,"=p07_quality_value",'Daily evaluations'!$C$2:$C$36,"=d20261015"),"")</f>
      </c>
      <c r="U153" s="8">
        <f>IF((0=1),SUMIFS('Daily evaluations'!$I$2:$I$36,'Daily evaluations'!$B$2:$B$36,"=p07_quality_value",'Daily evaluations'!$C$2:$C$36,"=d20261016"),"")</f>
      </c>
      <c r="V153" s="8">
        <f>IF((0=1),SUMIFS('Daily evaluations'!$I$2:$I$36,'Daily evaluations'!$B$2:$B$36,"=p07_quality_value",'Daily evaluations'!$C$2:$C$36,"=d20261019"),"")</f>
      </c>
      <c r="W153" s="8">
        <f>IF((0=1),SUMIFS('Daily evaluations'!$I$2:$I$36,'Daily evaluations'!$B$2:$B$36,"=p07_quality_value",'Daily evaluations'!$C$2:$C$36,"=d20261020"),"")</f>
      </c>
      <c r="X153" s="8">
        <f>IF((0=1),SUMIFS('Daily evaluations'!$I$2:$I$36,'Daily evaluations'!$B$2:$B$36,"=p07_quality_value",'Daily evaluations'!$C$2:$C$36,"=d20261021"),"")</f>
      </c>
      <c r="Y153" s="8">
        <f>IF((0=1),SUMIFS('Daily evaluations'!$I$2:$I$36,'Daily evaluations'!$B$2:$B$36,"=p07_quality_value",'Daily evaluations'!$C$2:$C$36,"=d20261022"),"")</f>
      </c>
      <c r="Z153" s="8">
        <f>IF((0=1),SUMIFS('Daily evaluations'!$I$2:$I$36,'Daily evaluations'!$B$2:$B$36,"=p07_quality_value",'Daily evaluations'!$C$2:$C$36,"=d20261023"),"")</f>
      </c>
      <c r="AA153" s="8">
        <f>IF((0=1),SUMIFS('Daily evaluations'!$I$2:$I$36,'Daily evaluations'!$B$2:$B$36,"=p07_quality_value",'Daily evaluations'!$C$2:$C$36,"=d20261026"),"")</f>
      </c>
      <c r="AB153" s="8">
        <f>IF((0=1),SUMIFS('Daily evaluations'!$I$2:$I$36,'Daily evaluations'!$B$2:$B$36,"=p07_quality_value",'Daily evaluations'!$C$2:$C$36,"=d20261027"),"")</f>
      </c>
      <c r="AC153" s="8">
        <f>IF((0=1),SUMIFS('Daily evaluations'!$I$2:$I$36,'Daily evaluations'!$B$2:$B$36,"=p07_quality_value",'Daily evaluations'!$C$2:$C$36,"=d20261028"),"")</f>
      </c>
      <c r="AD153" s="8">
        <f>IF((0=1),SUMIFS('Daily evaluations'!$I$2:$I$36,'Daily evaluations'!$B$2:$B$36,"=p07_quality_value",'Daily evaluations'!$C$2:$C$36,"=d20261029"),"")</f>
      </c>
      <c r="AE153" s="8">
        <f>IF((0=1),SUMIFS('Daily evaluations'!$I$2:$I$36,'Daily evaluations'!$B$2:$B$36,"=p07_quality_value",'Daily evaluations'!$C$2:$C$36,"=d20261030"),"")</f>
      </c>
      <c r="AF153" s="8">
        <f>IF((0=1),SUMIFS('Daily evaluations'!$I$2:$I$36,'Daily evaluations'!$B$2:$B$36,"=p07_quality_value",'Daily evaluations'!$C$2:$C$36,"=d20261102"),"")</f>
      </c>
      <c r="AG153" s="8">
        <f>IF((0=1),SUMIFS('Daily evaluations'!$I$2:$I$36,'Daily evaluations'!$B$2:$B$36,"=p07_quality_value",'Daily evaluations'!$C$2:$C$36,"=d20261103"),"")</f>
      </c>
      <c r="AH153" s="8">
        <f>IF((0=1),SUMIFS('Daily evaluations'!$I$2:$I$36,'Daily evaluations'!$B$2:$B$36,"=p07_quality_value",'Daily evaluations'!$C$2:$C$36,"=d20261104"),"")</f>
      </c>
      <c r="AI153" s="8">
        <f>IF((0=1),SUMIFS('Daily evaluations'!$I$2:$I$36,'Daily evaluations'!$B$2:$B$36,"=p07_quality_value",'Daily evaluations'!$C$2:$C$36,"=d20261105"),"")</f>
      </c>
      <c r="AJ153" s="8">
        <f>IF((0=1),SUMIFS('Daily evaluations'!$I$2:$I$36,'Daily evaluations'!$B$2:$B$36,"=p07_quality_value",'Daily evaluations'!$C$2:$C$36,"=d20261106"),"")</f>
      </c>
      <c r="AK153" s="8">
        <f>IF((0=1),SUMIFS('Daily evaluations'!$I$2:$I$36,'Daily evaluations'!$B$2:$B$36,"=p07_quality_value",'Daily evaluations'!$C$2:$C$36,"=d20261109"),"")</f>
      </c>
      <c r="AL153" s="8">
        <f>IF((0=1),SUMIFS('Daily evaluations'!$I$2:$I$36,'Daily evaluations'!$B$2:$B$36,"=p07_quality_value",'Daily evaluations'!$C$2:$C$36,"=d20261110"),"")</f>
      </c>
      <c r="AM153" s="8">
        <f>IF((0=1),SUMIFS('Daily evaluations'!$I$2:$I$36,'Daily evaluations'!$B$2:$B$36,"=p07_quality_value",'Daily evaluations'!$C$2:$C$36,"=d20261111"),"")</f>
      </c>
      <c r="AN153" s="8">
        <f>IF((0=1),SUMIFS('Daily evaluations'!$I$2:$I$36,'Daily evaluations'!$B$2:$B$36,"=p07_quality_value",'Daily evaluations'!$C$2:$C$36,"=d20261112"),"")</f>
      </c>
      <c r="AO153" s="8">
        <f>IF((0=1),SUMIFS('Daily evaluations'!$I$2:$I$36,'Daily evaluations'!$B$2:$B$36,"=p07_quality_value",'Daily evaluations'!$C$2:$C$36,"=d20261113"),"")</f>
      </c>
      <c r="AP153" s="8">
        <f>IF((0=1),SUMIFS('Daily evaluations'!$I$2:$I$36,'Daily evaluations'!$B$2:$B$36,"=p07_quality_value",'Daily evaluations'!$C$2:$C$36,"=d20261116"),"")</f>
      </c>
      <c r="AQ153" s="8">
        <f>IF((0=1),SUMIFS('Daily evaluations'!$I$2:$I$36,'Daily evaluations'!$B$2:$B$36,"=p07_quality_value",'Daily evaluations'!$C$2:$C$36,"=d20261117"),"")</f>
      </c>
      <c r="AR153" s="8">
        <f>IF((0=1),SUMIFS('Daily evaluations'!$I$2:$I$36,'Daily evaluations'!$B$2:$B$36,"=p07_quality_value",'Daily evaluations'!$C$2:$C$36,"=d20261118"),"")</f>
      </c>
      <c r="AS153" s="8">
        <f>IF((0=1),SUMIFS('Daily evaluations'!$I$2:$I$36,'Daily evaluations'!$B$2:$B$36,"=p07_quality_value",'Daily evaluations'!$C$2:$C$36,"=d20261119"),"")</f>
      </c>
      <c r="AT153" s="8">
        <f>IF((0=1),SUMIFS('Daily evaluations'!$I$2:$I$36,'Daily evaluations'!$B$2:$B$36,"=p07_quality_value",'Daily evaluations'!$C$2:$C$36,"=d20261120"),"")</f>
      </c>
      <c r="AU153" s="8">
        <f>IF((0=1),SUMIFS('Daily evaluations'!$I$2:$I$36,'Daily evaluations'!$B$2:$B$36,"=p07_quality_value",'Daily evaluations'!$C$2:$C$36,"=d20261123"),"")</f>
      </c>
      <c r="AV153" s="8">
        <f>IF((0=1),SUMIFS('Daily evaluations'!$I$2:$I$36,'Daily evaluations'!$B$2:$B$36,"=p07_quality_value",'Daily evaluations'!$C$2:$C$36,"=d20261124"),"")</f>
      </c>
      <c r="AW153" s="8">
        <f>IF((0=1),SUMIFS('Daily evaluations'!$I$2:$I$36,'Daily evaluations'!$B$2:$B$36,"=p07_quality_value",'Daily evaluations'!$C$2:$C$36,"=d20261125"),"")</f>
      </c>
      <c r="AX153" s="8">
        <f>IF((0=1),SUMIFS('Daily evaluations'!$I$2:$I$36,'Daily evaluations'!$B$2:$B$36,"=p07_quality_value",'Daily evaluations'!$C$2:$C$36,"=d20261127"),"")</f>
      </c>
      <c r="AY153" s="8">
        <f>IF((0=1),SUMIFS('Daily evaluations'!$I$2:$I$36,'Daily evaluations'!$B$2:$B$36,"=p07_quality_value",'Daily evaluations'!$C$2:$C$36,"=d20261130"),"")</f>
      </c>
      <c r="AZ153" s="8">
        <f>IF((0=1),SUMIFS('Daily evaluations'!$I$2:$I$36,'Daily evaluations'!$B$2:$B$36,"=p07_quality_value",'Daily evaluations'!$C$2:$C$36,"=d20261201"),"")</f>
      </c>
      <c r="BA153" s="8">
        <f>IF((0=1),SUMIFS('Daily evaluations'!$I$2:$I$36,'Daily evaluations'!$B$2:$B$36,"=p07_quality_value",'Daily evaluations'!$C$2:$C$36,"=d20261202"),"")</f>
      </c>
      <c r="BB153" s="8">
        <f>IF((0=1),SUMIFS('Daily evaluations'!$I$2:$I$36,'Daily evaluations'!$B$2:$B$36,"=p07_quality_value",'Daily evaluations'!$C$2:$C$36,"=d20261203"),"")</f>
      </c>
      <c r="BC153" s="8">
        <f>IF((0=1),SUMIFS('Daily evaluations'!$I$2:$I$36,'Daily evaluations'!$B$2:$B$36,"=p07_quality_value",'Daily evaluations'!$C$2:$C$36,"=d20261204"),"")</f>
      </c>
      <c r="BD153" s="8">
        <f>IF((0=1),SUMIFS('Daily evaluations'!$I$2:$I$36,'Daily evaluations'!$B$2:$B$36,"=p07_quality_value",'Daily evaluations'!$C$2:$C$36,"=d20261207"),"")</f>
      </c>
      <c r="BE153" s="8">
        <f>IF((0=1),SUMIFS('Daily evaluations'!$I$2:$I$36,'Daily evaluations'!$B$2:$B$36,"=p07_quality_value",'Daily evaluations'!$C$2:$C$36,"=d20261208"),"")</f>
      </c>
      <c r="BF153" s="8">
        <f>IF((0=1),SUMIFS('Daily evaluations'!$I$2:$I$36,'Daily evaluations'!$B$2:$B$36,"=p07_quality_value",'Daily evaluations'!$C$2:$C$36,"=d20261209"),"")</f>
      </c>
      <c r="BG153" s="8">
        <f>IF((0=1),SUMIFS('Daily evaluations'!$I$2:$I$36,'Daily evaluations'!$B$2:$B$36,"=p07_quality_value",'Daily evaluations'!$C$2:$C$36,"=d20261210"),"")</f>
      </c>
      <c r="BH153" s="8">
        <f>IF((0=1),SUMIFS('Daily evaluations'!$I$2:$I$36,'Daily evaluations'!$B$2:$B$36,"=p07_quality_value",'Daily evaluations'!$C$2:$C$36,"=d20261211"),"")</f>
      </c>
      <c r="BI153" s="8">
        <f>IF((0=1),SUMIFS('Daily evaluations'!$I$2:$I$36,'Daily evaluations'!$B$2:$B$36,"=p07_quality_value",'Daily evaluations'!$C$2:$C$36,"=d20261214"),"")</f>
      </c>
      <c r="BJ153" s="8">
        <f>IF((0=1),SUMIFS('Daily evaluations'!$I$2:$I$36,'Daily evaluations'!$B$2:$B$36,"=p07_quality_value",'Daily evaluations'!$C$2:$C$36,"=d20261215"),"")</f>
      </c>
      <c r="BK153" s="8">
        <f>IF((0=1),SUMIFS('Daily evaluations'!$I$2:$I$36,'Daily evaluations'!$B$2:$B$36,"=p07_quality_value",'Daily evaluations'!$C$2:$C$36,"=d20261216"),"")</f>
      </c>
      <c r="BL153" s="8">
        <f>IF((0=1),SUMIFS('Daily evaluations'!$I$2:$I$36,'Daily evaluations'!$B$2:$B$36,"=p07_quality_value",'Daily evaluations'!$C$2:$C$36,"=d20261217"),"")</f>
      </c>
      <c r="BM153" s="8">
        <f>IF((0=1),SUMIFS('Daily evaluations'!$I$2:$I$36,'Daily evaluations'!$B$2:$B$36,"=p07_quality_value",'Daily evaluations'!$C$2:$C$36,"=d20261218"),"")</f>
      </c>
      <c r="BN153" s="8">
        <f>IF((0=1),SUMIFS('Daily evaluations'!$I$2:$I$36,'Daily evaluations'!$B$2:$B$36,"=p07_quality_value",'Daily evaluations'!$C$2:$C$36,"=d20261221"),"")</f>
      </c>
      <c r="BO153" s="8">
        <f>IF((0=1),SUMIFS('Daily evaluations'!$I$2:$I$36,'Daily evaluations'!$B$2:$B$36,"=p07_quality_value",'Daily evaluations'!$C$2:$C$36,"=d20261222"),"")</f>
      </c>
      <c r="BP153" s="8">
        <f>IF((0=1),SUMIFS('Daily evaluations'!$I$2:$I$36,'Daily evaluations'!$B$2:$B$36,"=p07_quality_value",'Daily evaluations'!$C$2:$C$36,"=d20261223"),"")</f>
      </c>
      <c r="BQ153" s="8">
        <f>IF((0=1),SUMIFS('Daily evaluations'!$I$2:$I$36,'Daily evaluations'!$B$2:$B$36,"=p07_quality_value",'Daily evaluations'!$C$2:$C$36,"=d20261224"),"")</f>
      </c>
      <c r="BR153" s="8">
        <f>IF((0=1),SUMIFS('Daily evaluations'!$I$2:$I$36,'Daily evaluations'!$B$2:$B$36,"=p07_quality_value",'Daily evaluations'!$C$2:$C$36,"=d20261228"),"")</f>
      </c>
      <c r="BS153" s="8">
        <f>IF((0=1),SUMIFS('Daily evaluations'!$I$2:$I$36,'Daily evaluations'!$B$2:$B$36,"=p07_quality_value",'Daily evaluations'!$C$2:$C$36,"=d20261229"),"")</f>
      </c>
      <c r="BT153" s="8">
        <f>IF((0=1),SUMIFS('Daily evaluations'!$I$2:$I$36,'Daily evaluations'!$B$2:$B$36,"=p07_quality_value",'Daily evaluations'!$C$2:$C$36,"=d20261230"),"")</f>
      </c>
      <c r="BU153" s="8">
        <f>IF((0=1),SUMIFS('Daily evaluations'!$I$2:$I$36,'Daily evaluations'!$B$2:$B$36,"=p07_quality_value",'Daily evaluations'!$C$2:$C$36,"=d20261231"),"")</f>
      </c>
      <c r="BV153" s="8">
        <f>IF((0=1),SUMIFS('Daily evaluations'!$I$2:$I$36,'Daily evaluations'!$B$2:$B$36,"=p07_quality_value",'Daily evaluations'!$C$2:$C$36,"=d20270104"),"")</f>
      </c>
      <c r="BW153" s="8">
        <f>IF((0=1),SUMIFS('Daily evaluations'!$I$2:$I$36,'Daily evaluations'!$B$2:$B$36,"=p07_quality_value",'Daily evaluations'!$C$2:$C$36,"=d20270105"),"")</f>
      </c>
      <c r="BX153" s="8">
        <f>IF((0=1),SUMIFS('Daily evaluations'!$I$2:$I$36,'Daily evaluations'!$B$2:$B$36,"=p07_quality_value",'Daily evaluations'!$C$2:$C$36,"=d20270106"),"")</f>
      </c>
      <c r="BY153" s="8">
        <f>IF((0=1),SUMIFS('Daily evaluations'!$I$2:$I$36,'Daily evaluations'!$B$2:$B$36,"=p07_quality_value",'Daily evaluations'!$C$2:$C$36,"=d20270107"),"")</f>
      </c>
      <c r="BZ153" s="8">
        <f>IF((0=1),SUMIFS('Daily evaluations'!$I$2:$I$36,'Daily evaluations'!$B$2:$B$36,"=p07_quality_value",'Daily evaluations'!$C$2:$C$36,"=d20270108"),"")</f>
      </c>
      <c r="CA153" s="8">
        <f>IF((0=1),SUMIFS('Daily evaluations'!$I$2:$I$36,'Daily evaluations'!$B$2:$B$36,"=p07_quality_value",'Daily evaluations'!$C$2:$C$36,"=d20270111"),"")</f>
      </c>
      <c r="CB153" s="8">
        <f>IF((0=1),SUMIFS('Daily evaluations'!$I$2:$I$36,'Daily evaluations'!$B$2:$B$36,"=p07_quality_value",'Daily evaluations'!$C$2:$C$36,"=d20270112"),"")</f>
      </c>
      <c r="CC153" s="8">
        <f>IF((0=1),SUMIFS('Daily evaluations'!$I$2:$I$36,'Daily evaluations'!$B$2:$B$36,"=p07_quality_value",'Daily evaluations'!$C$2:$C$36,"=d20270113"),"")</f>
      </c>
      <c r="CD153" s="8">
        <f>IF((0=1),SUMIFS('Daily evaluations'!$I$2:$I$36,'Daily evaluations'!$B$2:$B$36,"=p07_quality_value",'Daily evaluations'!$C$2:$C$36,"=d20270114"),"")</f>
      </c>
      <c r="CE153" s="8">
        <f>IF((0=1),SUMIFS('Daily evaluations'!$I$2:$I$36,'Daily evaluations'!$B$2:$B$36,"=p07_quality_value",'Daily evaluations'!$C$2:$C$36,"=d20270115"),"")</f>
      </c>
      <c r="CF153" s="8">
        <f>IF((0=1),SUMIFS('Daily evaluations'!$I$2:$I$36,'Daily evaluations'!$B$2:$B$36,"=p07_quality_value",'Daily evaluations'!$C$2:$C$36,"=d20270119"),"")</f>
      </c>
      <c r="CG153" s="8">
        <f>IF((0=1),SUMIFS('Daily evaluations'!$I$2:$I$36,'Daily evaluations'!$B$2:$B$36,"=p07_quality_value",'Daily evaluations'!$C$2:$C$36,"=d20270120"),"")</f>
      </c>
      <c r="CH153" s="8">
        <f>IF((0=1),SUMIFS('Daily evaluations'!$I$2:$I$36,'Daily evaluations'!$B$2:$B$36,"=p07_quality_value",'Daily evaluations'!$C$2:$C$36,"=d20270121"),"")</f>
      </c>
      <c r="CI153" s="8">
        <f>IF((0=1),SUMIFS('Daily evaluations'!$I$2:$I$36,'Daily evaluations'!$B$2:$B$36,"=p07_quality_value",'Daily evaluations'!$C$2:$C$36,"=d20270122"),"")</f>
      </c>
      <c r="CJ153" s="8">
        <f>IF((0=1),SUMIFS('Daily evaluations'!$I$2:$I$36,'Daily evaluations'!$B$2:$B$36,"=p07_quality_value",'Daily evaluations'!$C$2:$C$36,"=d20270125"),"")</f>
      </c>
      <c r="CK153" s="8">
        <f>IF((0=1),SUMIFS('Daily evaluations'!$I$2:$I$36,'Daily evaluations'!$B$2:$B$36,"=p07_quality_value",'Daily evaluations'!$C$2:$C$36,"=d20270126"),"")</f>
      </c>
      <c r="CL153" s="8">
        <f>IF((0=1),SUMIFS('Daily evaluations'!$I$2:$I$36,'Daily evaluations'!$B$2:$B$36,"=p07_quality_value",'Daily evaluations'!$C$2:$C$36,"=d20270127"),"")</f>
      </c>
      <c r="CM153" s="8">
        <f>IF((0=1),SUMIFS('Daily evaluations'!$I$2:$I$36,'Daily evaluations'!$B$2:$B$36,"=p07_quality_value",'Daily evaluations'!$C$2:$C$36,"=d20270128"),"")</f>
      </c>
      <c r="CN153" s="8">
        <f>IF((0=1),SUMIFS('Daily evaluations'!$I$2:$I$36,'Daily evaluations'!$B$2:$B$36,"=p07_quality_value",'Daily evaluations'!$C$2:$C$36,"=d20270129"),"")</f>
      </c>
      <c r="CO153" s="8">
        <f>IF((0=1),SUMIFS('Daily evaluations'!$I$2:$I$36,'Daily evaluations'!$B$2:$B$36,"=p07_quality_value",'Daily evaluations'!$C$2:$C$36,"=d20270201"),"")</f>
      </c>
      <c r="CP153" s="8">
        <f>IF((0=1),SUMIFS('Daily evaluations'!$I$2:$I$36,'Daily evaluations'!$B$2:$B$36,"=p07_quality_value",'Daily evaluations'!$C$2:$C$36,"=d20270202"),"")</f>
      </c>
      <c r="CQ153" s="8">
        <f>IF((0=1),SUMIFS('Daily evaluations'!$I$2:$I$36,'Daily evaluations'!$B$2:$B$36,"=p07_quality_value",'Daily evaluations'!$C$2:$C$36,"=d20270203"),"")</f>
      </c>
      <c r="CR153" s="8">
        <f>IF((0=1),SUMIFS('Daily evaluations'!$I$2:$I$36,'Daily evaluations'!$B$2:$B$36,"=p07_quality_value",'Daily evaluations'!$C$2:$C$36,"=d20270204"),"")</f>
      </c>
      <c r="CS153" s="8">
        <f>IF((0=1),SUMIFS('Daily evaluations'!$I$2:$I$36,'Daily evaluations'!$B$2:$B$36,"=p07_quality_value",'Daily evaluations'!$C$2:$C$36,"=d20270205"),"")</f>
      </c>
      <c r="CT153" s="8">
        <f>IF((0=1),SUMIFS('Daily evaluations'!$I$2:$I$36,'Daily evaluations'!$B$2:$B$36,"=p07_quality_value",'Daily evaluations'!$C$2:$C$36,"=d20270208"),"")</f>
      </c>
      <c r="CU153" s="8">
        <f>IF((0=1),SUMIFS('Daily evaluations'!$I$2:$I$36,'Daily evaluations'!$B$2:$B$36,"=p07_quality_value",'Daily evaluations'!$C$2:$C$36,"=d20270209"),"")</f>
      </c>
      <c r="CV153" s="8">
        <f>IF((0=1),SUMIFS('Daily evaluations'!$I$2:$I$36,'Daily evaluations'!$B$2:$B$36,"=p07_quality_value",'Daily evaluations'!$C$2:$C$36,"=d20270210"),"")</f>
      </c>
      <c r="CW153" s="8">
        <f>IF((0=1),SUMIFS('Daily evaluations'!$I$2:$I$36,'Daily evaluations'!$B$2:$B$36,"=p07_quality_value",'Daily evaluations'!$C$2:$C$36,"=d20270211"),"")</f>
      </c>
      <c r="CX153" s="8">
        <f>IF((0=1),SUMIFS('Daily evaluations'!$I$2:$I$36,'Daily evaluations'!$B$2:$B$36,"=p07_quality_value",'Daily evaluations'!$C$2:$C$36,"=d20270212"),"")</f>
      </c>
    </row>
    <row r="154">
      <c r="A154" s="0" t="inlineStr">
        <is>
          <t xml:space="preserve">Information coefficient</t>
        </is>
      </c>
      <c r="B154" s="0" t="inlineStr">
        <is>
          <t xml:space="preserve">Residual Momentum</t>
        </is>
      </c>
      <c r="C154" s="8">
        <f>IF((1=1),SUMIFS('Daily evaluations'!$I$2:$I$36,'Daily evaluations'!$B$2:$B$36,"=p08_residual_momentum",'Daily evaluations'!$C$2:$C$36,"=d20260922"),"")</f>
        <v>0.1171</v>
      </c>
      <c r="D154" s="8">
        <f>IF((0=1),SUMIFS('Daily evaluations'!$I$2:$I$36,'Daily evaluations'!$B$2:$B$36,"=p08_residual_momentum",'Daily evaluations'!$C$2:$C$36,"=d20260923"),"")</f>
      </c>
      <c r="E154" s="8">
        <f>IF((0=1),SUMIFS('Daily evaluations'!$I$2:$I$36,'Daily evaluations'!$B$2:$B$36,"=p08_residual_momentum",'Daily evaluations'!$C$2:$C$36,"=d20260924"),"")</f>
      </c>
      <c r="F154" s="8">
        <f>IF((0=1),SUMIFS('Daily evaluations'!$I$2:$I$36,'Daily evaluations'!$B$2:$B$36,"=p08_residual_momentum",'Daily evaluations'!$C$2:$C$36,"=d20260925"),"")</f>
      </c>
      <c r="G154" s="8">
        <f>IF((0=1),SUMIFS('Daily evaluations'!$I$2:$I$36,'Daily evaluations'!$B$2:$B$36,"=p08_residual_momentum",'Daily evaluations'!$C$2:$C$36,"=d20260928"),"")</f>
      </c>
      <c r="H154" s="8">
        <f>IF((0=1),SUMIFS('Daily evaluations'!$I$2:$I$36,'Daily evaluations'!$B$2:$B$36,"=p08_residual_momentum",'Daily evaluations'!$C$2:$C$36,"=d20260929"),"")</f>
      </c>
      <c r="I154" s="8">
        <f>IF((0=1),SUMIFS('Daily evaluations'!$I$2:$I$36,'Daily evaluations'!$B$2:$B$36,"=p08_residual_momentum",'Daily evaluations'!$C$2:$C$36,"=d20260930"),"")</f>
      </c>
      <c r="J154" s="8">
        <f>IF((0=1),SUMIFS('Daily evaluations'!$I$2:$I$36,'Daily evaluations'!$B$2:$B$36,"=p08_residual_momentum",'Daily evaluations'!$C$2:$C$36,"=d20261001"),"")</f>
      </c>
      <c r="K154" s="8">
        <f>IF((0=1),SUMIFS('Daily evaluations'!$I$2:$I$36,'Daily evaluations'!$B$2:$B$36,"=p08_residual_momentum",'Daily evaluations'!$C$2:$C$36,"=d20261002"),"")</f>
      </c>
      <c r="L154" s="8">
        <f>IF((0=1),SUMIFS('Daily evaluations'!$I$2:$I$36,'Daily evaluations'!$B$2:$B$36,"=p08_residual_momentum",'Daily evaluations'!$C$2:$C$36,"=d20261005"),"")</f>
      </c>
      <c r="M154" s="8">
        <f>IF((0=1),SUMIFS('Daily evaluations'!$I$2:$I$36,'Daily evaluations'!$B$2:$B$36,"=p08_residual_momentum",'Daily evaluations'!$C$2:$C$36,"=d20261006"),"")</f>
      </c>
      <c r="N154" s="8">
        <f>IF((0=1),SUMIFS('Daily evaluations'!$I$2:$I$36,'Daily evaluations'!$B$2:$B$36,"=p08_residual_momentum",'Daily evaluations'!$C$2:$C$36,"=d20261007"),"")</f>
      </c>
      <c r="O154" s="8">
        <f>IF((0=1),SUMIFS('Daily evaluations'!$I$2:$I$36,'Daily evaluations'!$B$2:$B$36,"=p08_residual_momentum",'Daily evaluations'!$C$2:$C$36,"=d20261008"),"")</f>
      </c>
      <c r="P154" s="8">
        <f>IF((0=1),SUMIFS('Daily evaluations'!$I$2:$I$36,'Daily evaluations'!$B$2:$B$36,"=p08_residual_momentum",'Daily evaluations'!$C$2:$C$36,"=d20261009"),"")</f>
      </c>
      <c r="Q154" s="8">
        <f>IF((0=1),SUMIFS('Daily evaluations'!$I$2:$I$36,'Daily evaluations'!$B$2:$B$36,"=p08_residual_momentum",'Daily evaluations'!$C$2:$C$36,"=d20261012"),"")</f>
      </c>
      <c r="R154" s="8">
        <f>IF((0=1),SUMIFS('Daily evaluations'!$I$2:$I$36,'Daily evaluations'!$B$2:$B$36,"=p08_residual_momentum",'Daily evaluations'!$C$2:$C$36,"=d20261013"),"")</f>
      </c>
      <c r="S154" s="8">
        <f>IF((0=1),SUMIFS('Daily evaluations'!$I$2:$I$36,'Daily evaluations'!$B$2:$B$36,"=p08_residual_momentum",'Daily evaluations'!$C$2:$C$36,"=d20261014"),"")</f>
      </c>
      <c r="T154" s="8">
        <f>IF((0=1),SUMIFS('Daily evaluations'!$I$2:$I$36,'Daily evaluations'!$B$2:$B$36,"=p08_residual_momentum",'Daily evaluations'!$C$2:$C$36,"=d20261015"),"")</f>
      </c>
      <c r="U154" s="8">
        <f>IF((0=1),SUMIFS('Daily evaluations'!$I$2:$I$36,'Daily evaluations'!$B$2:$B$36,"=p08_residual_momentum",'Daily evaluations'!$C$2:$C$36,"=d20261016"),"")</f>
      </c>
      <c r="V154" s="8">
        <f>IF((0=1),SUMIFS('Daily evaluations'!$I$2:$I$36,'Daily evaluations'!$B$2:$B$36,"=p08_residual_momentum",'Daily evaluations'!$C$2:$C$36,"=d20261019"),"")</f>
      </c>
      <c r="W154" s="8">
        <f>IF((0=1),SUMIFS('Daily evaluations'!$I$2:$I$36,'Daily evaluations'!$B$2:$B$36,"=p08_residual_momentum",'Daily evaluations'!$C$2:$C$36,"=d20261020"),"")</f>
      </c>
      <c r="X154" s="8">
        <f>IF((0=1),SUMIFS('Daily evaluations'!$I$2:$I$36,'Daily evaluations'!$B$2:$B$36,"=p08_residual_momentum",'Daily evaluations'!$C$2:$C$36,"=d20261021"),"")</f>
      </c>
      <c r="Y154" s="8">
        <f>IF((0=1),SUMIFS('Daily evaluations'!$I$2:$I$36,'Daily evaluations'!$B$2:$B$36,"=p08_residual_momentum",'Daily evaluations'!$C$2:$C$36,"=d20261022"),"")</f>
      </c>
      <c r="Z154" s="8">
        <f>IF((0=1),SUMIFS('Daily evaluations'!$I$2:$I$36,'Daily evaluations'!$B$2:$B$36,"=p08_residual_momentum",'Daily evaluations'!$C$2:$C$36,"=d20261023"),"")</f>
      </c>
      <c r="AA154" s="8">
        <f>IF((0=1),SUMIFS('Daily evaluations'!$I$2:$I$36,'Daily evaluations'!$B$2:$B$36,"=p08_residual_momentum",'Daily evaluations'!$C$2:$C$36,"=d20261026"),"")</f>
      </c>
      <c r="AB154" s="8">
        <f>IF((0=1),SUMIFS('Daily evaluations'!$I$2:$I$36,'Daily evaluations'!$B$2:$B$36,"=p08_residual_momentum",'Daily evaluations'!$C$2:$C$36,"=d20261027"),"")</f>
      </c>
      <c r="AC154" s="8">
        <f>IF((0=1),SUMIFS('Daily evaluations'!$I$2:$I$36,'Daily evaluations'!$B$2:$B$36,"=p08_residual_momentum",'Daily evaluations'!$C$2:$C$36,"=d20261028"),"")</f>
      </c>
      <c r="AD154" s="8">
        <f>IF((0=1),SUMIFS('Daily evaluations'!$I$2:$I$36,'Daily evaluations'!$B$2:$B$36,"=p08_residual_momentum",'Daily evaluations'!$C$2:$C$36,"=d20261029"),"")</f>
      </c>
      <c r="AE154" s="8">
        <f>IF((0=1),SUMIFS('Daily evaluations'!$I$2:$I$36,'Daily evaluations'!$B$2:$B$36,"=p08_residual_momentum",'Daily evaluations'!$C$2:$C$36,"=d20261030"),"")</f>
      </c>
      <c r="AF154" s="8">
        <f>IF((0=1),SUMIFS('Daily evaluations'!$I$2:$I$36,'Daily evaluations'!$B$2:$B$36,"=p08_residual_momentum",'Daily evaluations'!$C$2:$C$36,"=d20261102"),"")</f>
      </c>
      <c r="AG154" s="8">
        <f>IF((0=1),SUMIFS('Daily evaluations'!$I$2:$I$36,'Daily evaluations'!$B$2:$B$36,"=p08_residual_momentum",'Daily evaluations'!$C$2:$C$36,"=d20261103"),"")</f>
      </c>
      <c r="AH154" s="8">
        <f>IF((0=1),SUMIFS('Daily evaluations'!$I$2:$I$36,'Daily evaluations'!$B$2:$B$36,"=p08_residual_momentum",'Daily evaluations'!$C$2:$C$36,"=d20261104"),"")</f>
      </c>
      <c r="AI154" s="8">
        <f>IF((0=1),SUMIFS('Daily evaluations'!$I$2:$I$36,'Daily evaluations'!$B$2:$B$36,"=p08_residual_momentum",'Daily evaluations'!$C$2:$C$36,"=d20261105"),"")</f>
      </c>
      <c r="AJ154" s="8">
        <f>IF((0=1),SUMIFS('Daily evaluations'!$I$2:$I$36,'Daily evaluations'!$B$2:$B$36,"=p08_residual_momentum",'Daily evaluations'!$C$2:$C$36,"=d20261106"),"")</f>
      </c>
      <c r="AK154" s="8">
        <f>IF((0=1),SUMIFS('Daily evaluations'!$I$2:$I$36,'Daily evaluations'!$B$2:$B$36,"=p08_residual_momentum",'Daily evaluations'!$C$2:$C$36,"=d20261109"),"")</f>
      </c>
      <c r="AL154" s="8">
        <f>IF((0=1),SUMIFS('Daily evaluations'!$I$2:$I$36,'Daily evaluations'!$B$2:$B$36,"=p08_residual_momentum",'Daily evaluations'!$C$2:$C$36,"=d20261110"),"")</f>
      </c>
      <c r="AM154" s="8">
        <f>IF((0=1),SUMIFS('Daily evaluations'!$I$2:$I$36,'Daily evaluations'!$B$2:$B$36,"=p08_residual_momentum",'Daily evaluations'!$C$2:$C$36,"=d20261111"),"")</f>
      </c>
      <c r="AN154" s="8">
        <f>IF((0=1),SUMIFS('Daily evaluations'!$I$2:$I$36,'Daily evaluations'!$B$2:$B$36,"=p08_residual_momentum",'Daily evaluations'!$C$2:$C$36,"=d20261112"),"")</f>
      </c>
      <c r="AO154" s="8">
        <f>IF((0=1),SUMIFS('Daily evaluations'!$I$2:$I$36,'Daily evaluations'!$B$2:$B$36,"=p08_residual_momentum",'Daily evaluations'!$C$2:$C$36,"=d20261113"),"")</f>
      </c>
      <c r="AP154" s="8">
        <f>IF((0=1),SUMIFS('Daily evaluations'!$I$2:$I$36,'Daily evaluations'!$B$2:$B$36,"=p08_residual_momentum",'Daily evaluations'!$C$2:$C$36,"=d20261116"),"")</f>
      </c>
      <c r="AQ154" s="8">
        <f>IF((0=1),SUMIFS('Daily evaluations'!$I$2:$I$36,'Daily evaluations'!$B$2:$B$36,"=p08_residual_momentum",'Daily evaluations'!$C$2:$C$36,"=d20261117"),"")</f>
      </c>
      <c r="AR154" s="8">
        <f>IF((0=1),SUMIFS('Daily evaluations'!$I$2:$I$36,'Daily evaluations'!$B$2:$B$36,"=p08_residual_momentum",'Daily evaluations'!$C$2:$C$36,"=d20261118"),"")</f>
      </c>
      <c r="AS154" s="8">
        <f>IF((0=1),SUMIFS('Daily evaluations'!$I$2:$I$36,'Daily evaluations'!$B$2:$B$36,"=p08_residual_momentum",'Daily evaluations'!$C$2:$C$36,"=d20261119"),"")</f>
      </c>
      <c r="AT154" s="8">
        <f>IF((0=1),SUMIFS('Daily evaluations'!$I$2:$I$36,'Daily evaluations'!$B$2:$B$36,"=p08_residual_momentum",'Daily evaluations'!$C$2:$C$36,"=d20261120"),"")</f>
      </c>
      <c r="AU154" s="8">
        <f>IF((0=1),SUMIFS('Daily evaluations'!$I$2:$I$36,'Daily evaluations'!$B$2:$B$36,"=p08_residual_momentum",'Daily evaluations'!$C$2:$C$36,"=d20261123"),"")</f>
      </c>
      <c r="AV154" s="8">
        <f>IF((0=1),SUMIFS('Daily evaluations'!$I$2:$I$36,'Daily evaluations'!$B$2:$B$36,"=p08_residual_momentum",'Daily evaluations'!$C$2:$C$36,"=d20261124"),"")</f>
      </c>
      <c r="AW154" s="8">
        <f>IF((0=1),SUMIFS('Daily evaluations'!$I$2:$I$36,'Daily evaluations'!$B$2:$B$36,"=p08_residual_momentum",'Daily evaluations'!$C$2:$C$36,"=d20261125"),"")</f>
      </c>
      <c r="AX154" s="8">
        <f>IF((0=1),SUMIFS('Daily evaluations'!$I$2:$I$36,'Daily evaluations'!$B$2:$B$36,"=p08_residual_momentum",'Daily evaluations'!$C$2:$C$36,"=d20261127"),"")</f>
      </c>
      <c r="AY154" s="8">
        <f>IF((0=1),SUMIFS('Daily evaluations'!$I$2:$I$36,'Daily evaluations'!$B$2:$B$36,"=p08_residual_momentum",'Daily evaluations'!$C$2:$C$36,"=d20261130"),"")</f>
      </c>
      <c r="AZ154" s="8">
        <f>IF((0=1),SUMIFS('Daily evaluations'!$I$2:$I$36,'Daily evaluations'!$B$2:$B$36,"=p08_residual_momentum",'Daily evaluations'!$C$2:$C$36,"=d20261201"),"")</f>
      </c>
      <c r="BA154" s="8">
        <f>IF((0=1),SUMIFS('Daily evaluations'!$I$2:$I$36,'Daily evaluations'!$B$2:$B$36,"=p08_residual_momentum",'Daily evaluations'!$C$2:$C$36,"=d20261202"),"")</f>
      </c>
      <c r="BB154" s="8">
        <f>IF((0=1),SUMIFS('Daily evaluations'!$I$2:$I$36,'Daily evaluations'!$B$2:$B$36,"=p08_residual_momentum",'Daily evaluations'!$C$2:$C$36,"=d20261203"),"")</f>
      </c>
      <c r="BC154" s="8">
        <f>IF((0=1),SUMIFS('Daily evaluations'!$I$2:$I$36,'Daily evaluations'!$B$2:$B$36,"=p08_residual_momentum",'Daily evaluations'!$C$2:$C$36,"=d20261204"),"")</f>
      </c>
      <c r="BD154" s="8">
        <f>IF((0=1),SUMIFS('Daily evaluations'!$I$2:$I$36,'Daily evaluations'!$B$2:$B$36,"=p08_residual_momentum",'Daily evaluations'!$C$2:$C$36,"=d20261207"),"")</f>
      </c>
      <c r="BE154" s="8">
        <f>IF((0=1),SUMIFS('Daily evaluations'!$I$2:$I$36,'Daily evaluations'!$B$2:$B$36,"=p08_residual_momentum",'Daily evaluations'!$C$2:$C$36,"=d20261208"),"")</f>
      </c>
      <c r="BF154" s="8">
        <f>IF((0=1),SUMIFS('Daily evaluations'!$I$2:$I$36,'Daily evaluations'!$B$2:$B$36,"=p08_residual_momentum",'Daily evaluations'!$C$2:$C$36,"=d20261209"),"")</f>
      </c>
      <c r="BG154" s="8">
        <f>IF((0=1),SUMIFS('Daily evaluations'!$I$2:$I$36,'Daily evaluations'!$B$2:$B$36,"=p08_residual_momentum",'Daily evaluations'!$C$2:$C$36,"=d20261210"),"")</f>
      </c>
      <c r="BH154" s="8">
        <f>IF((0=1),SUMIFS('Daily evaluations'!$I$2:$I$36,'Daily evaluations'!$B$2:$B$36,"=p08_residual_momentum",'Daily evaluations'!$C$2:$C$36,"=d20261211"),"")</f>
      </c>
      <c r="BI154" s="8">
        <f>IF((0=1),SUMIFS('Daily evaluations'!$I$2:$I$36,'Daily evaluations'!$B$2:$B$36,"=p08_residual_momentum",'Daily evaluations'!$C$2:$C$36,"=d20261214"),"")</f>
      </c>
      <c r="BJ154" s="8">
        <f>IF((0=1),SUMIFS('Daily evaluations'!$I$2:$I$36,'Daily evaluations'!$B$2:$B$36,"=p08_residual_momentum",'Daily evaluations'!$C$2:$C$36,"=d20261215"),"")</f>
      </c>
      <c r="BK154" s="8">
        <f>IF((0=1),SUMIFS('Daily evaluations'!$I$2:$I$36,'Daily evaluations'!$B$2:$B$36,"=p08_residual_momentum",'Daily evaluations'!$C$2:$C$36,"=d20261216"),"")</f>
      </c>
      <c r="BL154" s="8">
        <f>IF((0=1),SUMIFS('Daily evaluations'!$I$2:$I$36,'Daily evaluations'!$B$2:$B$36,"=p08_residual_momentum",'Daily evaluations'!$C$2:$C$36,"=d20261217"),"")</f>
      </c>
      <c r="BM154" s="8">
        <f>IF((0=1),SUMIFS('Daily evaluations'!$I$2:$I$36,'Daily evaluations'!$B$2:$B$36,"=p08_residual_momentum",'Daily evaluations'!$C$2:$C$36,"=d20261218"),"")</f>
      </c>
      <c r="BN154" s="8">
        <f>IF((0=1),SUMIFS('Daily evaluations'!$I$2:$I$36,'Daily evaluations'!$B$2:$B$36,"=p08_residual_momentum",'Daily evaluations'!$C$2:$C$36,"=d20261221"),"")</f>
      </c>
      <c r="BO154" s="8">
        <f>IF((0=1),SUMIFS('Daily evaluations'!$I$2:$I$36,'Daily evaluations'!$B$2:$B$36,"=p08_residual_momentum",'Daily evaluations'!$C$2:$C$36,"=d20261222"),"")</f>
      </c>
      <c r="BP154" s="8">
        <f>IF((0=1),SUMIFS('Daily evaluations'!$I$2:$I$36,'Daily evaluations'!$B$2:$B$36,"=p08_residual_momentum",'Daily evaluations'!$C$2:$C$36,"=d20261223"),"")</f>
      </c>
      <c r="BQ154" s="8">
        <f>IF((0=1),SUMIFS('Daily evaluations'!$I$2:$I$36,'Daily evaluations'!$B$2:$B$36,"=p08_residual_momentum",'Daily evaluations'!$C$2:$C$36,"=d20261224"),"")</f>
      </c>
      <c r="BR154" s="8">
        <f>IF((0=1),SUMIFS('Daily evaluations'!$I$2:$I$36,'Daily evaluations'!$B$2:$B$36,"=p08_residual_momentum",'Daily evaluations'!$C$2:$C$36,"=d20261228"),"")</f>
      </c>
      <c r="BS154" s="8">
        <f>IF((0=1),SUMIFS('Daily evaluations'!$I$2:$I$36,'Daily evaluations'!$B$2:$B$36,"=p08_residual_momentum",'Daily evaluations'!$C$2:$C$36,"=d20261229"),"")</f>
      </c>
      <c r="BT154" s="8">
        <f>IF((0=1),SUMIFS('Daily evaluations'!$I$2:$I$36,'Daily evaluations'!$B$2:$B$36,"=p08_residual_momentum",'Daily evaluations'!$C$2:$C$36,"=d20261230"),"")</f>
      </c>
      <c r="BU154" s="8">
        <f>IF((0=1),SUMIFS('Daily evaluations'!$I$2:$I$36,'Daily evaluations'!$B$2:$B$36,"=p08_residual_momentum",'Daily evaluations'!$C$2:$C$36,"=d20261231"),"")</f>
      </c>
      <c r="BV154" s="8">
        <f>IF((0=1),SUMIFS('Daily evaluations'!$I$2:$I$36,'Daily evaluations'!$B$2:$B$36,"=p08_residual_momentum",'Daily evaluations'!$C$2:$C$36,"=d20270104"),"")</f>
      </c>
      <c r="BW154" s="8">
        <f>IF((0=1),SUMIFS('Daily evaluations'!$I$2:$I$36,'Daily evaluations'!$B$2:$B$36,"=p08_residual_momentum",'Daily evaluations'!$C$2:$C$36,"=d20270105"),"")</f>
      </c>
      <c r="BX154" s="8">
        <f>IF((0=1),SUMIFS('Daily evaluations'!$I$2:$I$36,'Daily evaluations'!$B$2:$B$36,"=p08_residual_momentum",'Daily evaluations'!$C$2:$C$36,"=d20270106"),"")</f>
      </c>
      <c r="BY154" s="8">
        <f>IF((0=1),SUMIFS('Daily evaluations'!$I$2:$I$36,'Daily evaluations'!$B$2:$B$36,"=p08_residual_momentum",'Daily evaluations'!$C$2:$C$36,"=d20270107"),"")</f>
      </c>
      <c r="BZ154" s="8">
        <f>IF((0=1),SUMIFS('Daily evaluations'!$I$2:$I$36,'Daily evaluations'!$B$2:$B$36,"=p08_residual_momentum",'Daily evaluations'!$C$2:$C$36,"=d20270108"),"")</f>
      </c>
      <c r="CA154" s="8">
        <f>IF((0=1),SUMIFS('Daily evaluations'!$I$2:$I$36,'Daily evaluations'!$B$2:$B$36,"=p08_residual_momentum",'Daily evaluations'!$C$2:$C$36,"=d20270111"),"")</f>
      </c>
      <c r="CB154" s="8">
        <f>IF((0=1),SUMIFS('Daily evaluations'!$I$2:$I$36,'Daily evaluations'!$B$2:$B$36,"=p08_residual_momentum",'Daily evaluations'!$C$2:$C$36,"=d20270112"),"")</f>
      </c>
      <c r="CC154" s="8">
        <f>IF((0=1),SUMIFS('Daily evaluations'!$I$2:$I$36,'Daily evaluations'!$B$2:$B$36,"=p08_residual_momentum",'Daily evaluations'!$C$2:$C$36,"=d20270113"),"")</f>
      </c>
      <c r="CD154" s="8">
        <f>IF((0=1),SUMIFS('Daily evaluations'!$I$2:$I$36,'Daily evaluations'!$B$2:$B$36,"=p08_residual_momentum",'Daily evaluations'!$C$2:$C$36,"=d20270114"),"")</f>
      </c>
      <c r="CE154" s="8">
        <f>IF((0=1),SUMIFS('Daily evaluations'!$I$2:$I$36,'Daily evaluations'!$B$2:$B$36,"=p08_residual_momentum",'Daily evaluations'!$C$2:$C$36,"=d20270115"),"")</f>
      </c>
      <c r="CF154" s="8">
        <f>IF((0=1),SUMIFS('Daily evaluations'!$I$2:$I$36,'Daily evaluations'!$B$2:$B$36,"=p08_residual_momentum",'Daily evaluations'!$C$2:$C$36,"=d20270119"),"")</f>
      </c>
      <c r="CG154" s="8">
        <f>IF((0=1),SUMIFS('Daily evaluations'!$I$2:$I$36,'Daily evaluations'!$B$2:$B$36,"=p08_residual_momentum",'Daily evaluations'!$C$2:$C$36,"=d20270120"),"")</f>
      </c>
      <c r="CH154" s="8">
        <f>IF((0=1),SUMIFS('Daily evaluations'!$I$2:$I$36,'Daily evaluations'!$B$2:$B$36,"=p08_residual_momentum",'Daily evaluations'!$C$2:$C$36,"=d20270121"),"")</f>
      </c>
      <c r="CI154" s="8">
        <f>IF((0=1),SUMIFS('Daily evaluations'!$I$2:$I$36,'Daily evaluations'!$B$2:$B$36,"=p08_residual_momentum",'Daily evaluations'!$C$2:$C$36,"=d20270122"),"")</f>
      </c>
      <c r="CJ154" s="8">
        <f>IF((0=1),SUMIFS('Daily evaluations'!$I$2:$I$36,'Daily evaluations'!$B$2:$B$36,"=p08_residual_momentum",'Daily evaluations'!$C$2:$C$36,"=d20270125"),"")</f>
      </c>
      <c r="CK154" s="8">
        <f>IF((0=1),SUMIFS('Daily evaluations'!$I$2:$I$36,'Daily evaluations'!$B$2:$B$36,"=p08_residual_momentum",'Daily evaluations'!$C$2:$C$36,"=d20270126"),"")</f>
      </c>
      <c r="CL154" s="8">
        <f>IF((0=1),SUMIFS('Daily evaluations'!$I$2:$I$36,'Daily evaluations'!$B$2:$B$36,"=p08_residual_momentum",'Daily evaluations'!$C$2:$C$36,"=d20270127"),"")</f>
      </c>
      <c r="CM154" s="8">
        <f>IF((0=1),SUMIFS('Daily evaluations'!$I$2:$I$36,'Daily evaluations'!$B$2:$B$36,"=p08_residual_momentum",'Daily evaluations'!$C$2:$C$36,"=d20270128"),"")</f>
      </c>
      <c r="CN154" s="8">
        <f>IF((0=1),SUMIFS('Daily evaluations'!$I$2:$I$36,'Daily evaluations'!$B$2:$B$36,"=p08_residual_momentum",'Daily evaluations'!$C$2:$C$36,"=d20270129"),"")</f>
      </c>
      <c r="CO154" s="8">
        <f>IF((0=1),SUMIFS('Daily evaluations'!$I$2:$I$36,'Daily evaluations'!$B$2:$B$36,"=p08_residual_momentum",'Daily evaluations'!$C$2:$C$36,"=d20270201"),"")</f>
      </c>
      <c r="CP154" s="8">
        <f>IF((0=1),SUMIFS('Daily evaluations'!$I$2:$I$36,'Daily evaluations'!$B$2:$B$36,"=p08_residual_momentum",'Daily evaluations'!$C$2:$C$36,"=d20270202"),"")</f>
      </c>
      <c r="CQ154" s="8">
        <f>IF((0=1),SUMIFS('Daily evaluations'!$I$2:$I$36,'Daily evaluations'!$B$2:$B$36,"=p08_residual_momentum",'Daily evaluations'!$C$2:$C$36,"=d20270203"),"")</f>
      </c>
      <c r="CR154" s="8">
        <f>IF((0=1),SUMIFS('Daily evaluations'!$I$2:$I$36,'Daily evaluations'!$B$2:$B$36,"=p08_residual_momentum",'Daily evaluations'!$C$2:$C$36,"=d20270204"),"")</f>
      </c>
      <c r="CS154" s="8">
        <f>IF((0=1),SUMIFS('Daily evaluations'!$I$2:$I$36,'Daily evaluations'!$B$2:$B$36,"=p08_residual_momentum",'Daily evaluations'!$C$2:$C$36,"=d20270205"),"")</f>
      </c>
      <c r="CT154" s="8">
        <f>IF((0=1),SUMIFS('Daily evaluations'!$I$2:$I$36,'Daily evaluations'!$B$2:$B$36,"=p08_residual_momentum",'Daily evaluations'!$C$2:$C$36,"=d20270208"),"")</f>
      </c>
      <c r="CU154" s="8">
        <f>IF((0=1),SUMIFS('Daily evaluations'!$I$2:$I$36,'Daily evaluations'!$B$2:$B$36,"=p08_residual_momentum",'Daily evaluations'!$C$2:$C$36,"=d20270209"),"")</f>
      </c>
      <c r="CV154" s="8">
        <f>IF((0=1),SUMIFS('Daily evaluations'!$I$2:$I$36,'Daily evaluations'!$B$2:$B$36,"=p08_residual_momentum",'Daily evaluations'!$C$2:$C$36,"=d20270210"),"")</f>
      </c>
      <c r="CW154" s="8">
        <f>IF((0=1),SUMIFS('Daily evaluations'!$I$2:$I$36,'Daily evaluations'!$B$2:$B$36,"=p08_residual_momentum",'Daily evaluations'!$C$2:$C$36,"=d20270211"),"")</f>
      </c>
      <c r="CX154" s="8">
        <f>IF((0=1),SUMIFS('Daily evaluations'!$I$2:$I$36,'Daily evaluations'!$B$2:$B$36,"=p08_residual_momentum",'Daily evaluations'!$C$2:$C$36,"=d20270212"),"")</f>
      </c>
    </row>
    <row r="155">
      <c r="A155" s="0" t="inlineStr">
        <is>
          <t xml:space="preserve">Information coefficient</t>
        </is>
      </c>
      <c r="B155" s="0" t="inlineStr">
        <is>
          <t xml:space="preserve">Overnight Return Persistence</t>
        </is>
      </c>
      <c r="C155" s="8">
        <f>IF((1=1),SUMIFS('Daily evaluations'!$I$2:$I$36,'Daily evaluations'!$B$2:$B$36,"=p09_overnight_persistence",'Daily evaluations'!$C$2:$C$36,"=d20260922"),"")</f>
        <v>0.0133</v>
      </c>
      <c r="D155" s="8">
        <f>IF((0=1),SUMIFS('Daily evaluations'!$I$2:$I$36,'Daily evaluations'!$B$2:$B$36,"=p09_overnight_persistence",'Daily evaluations'!$C$2:$C$36,"=d20260923"),"")</f>
      </c>
      <c r="E155" s="8">
        <f>IF((0=1),SUMIFS('Daily evaluations'!$I$2:$I$36,'Daily evaluations'!$B$2:$B$36,"=p09_overnight_persistence",'Daily evaluations'!$C$2:$C$36,"=d20260924"),"")</f>
      </c>
      <c r="F155" s="8">
        <f>IF((0=1),SUMIFS('Daily evaluations'!$I$2:$I$36,'Daily evaluations'!$B$2:$B$36,"=p09_overnight_persistence",'Daily evaluations'!$C$2:$C$36,"=d20260925"),"")</f>
      </c>
      <c r="G155" s="8">
        <f>IF((0=1),SUMIFS('Daily evaluations'!$I$2:$I$36,'Daily evaluations'!$B$2:$B$36,"=p09_overnight_persistence",'Daily evaluations'!$C$2:$C$36,"=d20260928"),"")</f>
      </c>
      <c r="H155" s="8">
        <f>IF((0=1),SUMIFS('Daily evaluations'!$I$2:$I$36,'Daily evaluations'!$B$2:$B$36,"=p09_overnight_persistence",'Daily evaluations'!$C$2:$C$36,"=d20260929"),"")</f>
      </c>
      <c r="I155" s="8">
        <f>IF((0=1),SUMIFS('Daily evaluations'!$I$2:$I$36,'Daily evaluations'!$B$2:$B$36,"=p09_overnight_persistence",'Daily evaluations'!$C$2:$C$36,"=d20260930"),"")</f>
      </c>
      <c r="J155" s="8">
        <f>IF((0=1),SUMIFS('Daily evaluations'!$I$2:$I$36,'Daily evaluations'!$B$2:$B$36,"=p09_overnight_persistence",'Daily evaluations'!$C$2:$C$36,"=d20261001"),"")</f>
      </c>
      <c r="K155" s="8">
        <f>IF((0=1),SUMIFS('Daily evaluations'!$I$2:$I$36,'Daily evaluations'!$B$2:$B$36,"=p09_overnight_persistence",'Daily evaluations'!$C$2:$C$36,"=d20261002"),"")</f>
      </c>
      <c r="L155" s="8">
        <f>IF((0=1),SUMIFS('Daily evaluations'!$I$2:$I$36,'Daily evaluations'!$B$2:$B$36,"=p09_overnight_persistence",'Daily evaluations'!$C$2:$C$36,"=d20261005"),"")</f>
      </c>
      <c r="M155" s="8">
        <f>IF((0=1),SUMIFS('Daily evaluations'!$I$2:$I$36,'Daily evaluations'!$B$2:$B$36,"=p09_overnight_persistence",'Daily evaluations'!$C$2:$C$36,"=d20261006"),"")</f>
      </c>
      <c r="N155" s="8">
        <f>IF((0=1),SUMIFS('Daily evaluations'!$I$2:$I$36,'Daily evaluations'!$B$2:$B$36,"=p09_overnight_persistence",'Daily evaluations'!$C$2:$C$36,"=d20261007"),"")</f>
      </c>
      <c r="O155" s="8">
        <f>IF((0=1),SUMIFS('Daily evaluations'!$I$2:$I$36,'Daily evaluations'!$B$2:$B$36,"=p09_overnight_persistence",'Daily evaluations'!$C$2:$C$36,"=d20261008"),"")</f>
      </c>
      <c r="P155" s="8">
        <f>IF((0=1),SUMIFS('Daily evaluations'!$I$2:$I$36,'Daily evaluations'!$B$2:$B$36,"=p09_overnight_persistence",'Daily evaluations'!$C$2:$C$36,"=d20261009"),"")</f>
      </c>
      <c r="Q155" s="8">
        <f>IF((0=1),SUMIFS('Daily evaluations'!$I$2:$I$36,'Daily evaluations'!$B$2:$B$36,"=p09_overnight_persistence",'Daily evaluations'!$C$2:$C$36,"=d20261012"),"")</f>
      </c>
      <c r="R155" s="8">
        <f>IF((0=1),SUMIFS('Daily evaluations'!$I$2:$I$36,'Daily evaluations'!$B$2:$B$36,"=p09_overnight_persistence",'Daily evaluations'!$C$2:$C$36,"=d20261013"),"")</f>
      </c>
      <c r="S155" s="8">
        <f>IF((0=1),SUMIFS('Daily evaluations'!$I$2:$I$36,'Daily evaluations'!$B$2:$B$36,"=p09_overnight_persistence",'Daily evaluations'!$C$2:$C$36,"=d20261014"),"")</f>
      </c>
      <c r="T155" s="8">
        <f>IF((0=1),SUMIFS('Daily evaluations'!$I$2:$I$36,'Daily evaluations'!$B$2:$B$36,"=p09_overnight_persistence",'Daily evaluations'!$C$2:$C$36,"=d20261015"),"")</f>
      </c>
      <c r="U155" s="8">
        <f>IF((0=1),SUMIFS('Daily evaluations'!$I$2:$I$36,'Daily evaluations'!$B$2:$B$36,"=p09_overnight_persistence",'Daily evaluations'!$C$2:$C$36,"=d20261016"),"")</f>
      </c>
      <c r="V155" s="8">
        <f>IF((0=1),SUMIFS('Daily evaluations'!$I$2:$I$36,'Daily evaluations'!$B$2:$B$36,"=p09_overnight_persistence",'Daily evaluations'!$C$2:$C$36,"=d20261019"),"")</f>
      </c>
      <c r="W155" s="8">
        <f>IF((0=1),SUMIFS('Daily evaluations'!$I$2:$I$36,'Daily evaluations'!$B$2:$B$36,"=p09_overnight_persistence",'Daily evaluations'!$C$2:$C$36,"=d20261020"),"")</f>
      </c>
      <c r="X155" s="8">
        <f>IF((0=1),SUMIFS('Daily evaluations'!$I$2:$I$36,'Daily evaluations'!$B$2:$B$36,"=p09_overnight_persistence",'Daily evaluations'!$C$2:$C$36,"=d20261021"),"")</f>
      </c>
      <c r="Y155" s="8">
        <f>IF((0=1),SUMIFS('Daily evaluations'!$I$2:$I$36,'Daily evaluations'!$B$2:$B$36,"=p09_overnight_persistence",'Daily evaluations'!$C$2:$C$36,"=d20261022"),"")</f>
      </c>
      <c r="Z155" s="8">
        <f>IF((0=1),SUMIFS('Daily evaluations'!$I$2:$I$36,'Daily evaluations'!$B$2:$B$36,"=p09_overnight_persistence",'Daily evaluations'!$C$2:$C$36,"=d20261023"),"")</f>
      </c>
      <c r="AA155" s="8">
        <f>IF((0=1),SUMIFS('Daily evaluations'!$I$2:$I$36,'Daily evaluations'!$B$2:$B$36,"=p09_overnight_persistence",'Daily evaluations'!$C$2:$C$36,"=d20261026"),"")</f>
      </c>
      <c r="AB155" s="8">
        <f>IF((0=1),SUMIFS('Daily evaluations'!$I$2:$I$36,'Daily evaluations'!$B$2:$B$36,"=p09_overnight_persistence",'Daily evaluations'!$C$2:$C$36,"=d20261027"),"")</f>
      </c>
      <c r="AC155" s="8">
        <f>IF((0=1),SUMIFS('Daily evaluations'!$I$2:$I$36,'Daily evaluations'!$B$2:$B$36,"=p09_overnight_persistence",'Daily evaluations'!$C$2:$C$36,"=d20261028"),"")</f>
      </c>
      <c r="AD155" s="8">
        <f>IF((0=1),SUMIFS('Daily evaluations'!$I$2:$I$36,'Daily evaluations'!$B$2:$B$36,"=p09_overnight_persistence",'Daily evaluations'!$C$2:$C$36,"=d20261029"),"")</f>
      </c>
      <c r="AE155" s="8">
        <f>IF((0=1),SUMIFS('Daily evaluations'!$I$2:$I$36,'Daily evaluations'!$B$2:$B$36,"=p09_overnight_persistence",'Daily evaluations'!$C$2:$C$36,"=d20261030"),"")</f>
      </c>
      <c r="AF155" s="8">
        <f>IF((0=1),SUMIFS('Daily evaluations'!$I$2:$I$36,'Daily evaluations'!$B$2:$B$36,"=p09_overnight_persistence",'Daily evaluations'!$C$2:$C$36,"=d20261102"),"")</f>
      </c>
      <c r="AG155" s="8">
        <f>IF((0=1),SUMIFS('Daily evaluations'!$I$2:$I$36,'Daily evaluations'!$B$2:$B$36,"=p09_overnight_persistence",'Daily evaluations'!$C$2:$C$36,"=d20261103"),"")</f>
      </c>
      <c r="AH155" s="8">
        <f>IF((0=1),SUMIFS('Daily evaluations'!$I$2:$I$36,'Daily evaluations'!$B$2:$B$36,"=p09_overnight_persistence",'Daily evaluations'!$C$2:$C$36,"=d20261104"),"")</f>
      </c>
      <c r="AI155" s="8">
        <f>IF((0=1),SUMIFS('Daily evaluations'!$I$2:$I$36,'Daily evaluations'!$B$2:$B$36,"=p09_overnight_persistence",'Daily evaluations'!$C$2:$C$36,"=d20261105"),"")</f>
      </c>
      <c r="AJ155" s="8">
        <f>IF((0=1),SUMIFS('Daily evaluations'!$I$2:$I$36,'Daily evaluations'!$B$2:$B$36,"=p09_overnight_persistence",'Daily evaluations'!$C$2:$C$36,"=d20261106"),"")</f>
      </c>
      <c r="AK155" s="8">
        <f>IF((0=1),SUMIFS('Daily evaluations'!$I$2:$I$36,'Daily evaluations'!$B$2:$B$36,"=p09_overnight_persistence",'Daily evaluations'!$C$2:$C$36,"=d20261109"),"")</f>
      </c>
      <c r="AL155" s="8">
        <f>IF((0=1),SUMIFS('Daily evaluations'!$I$2:$I$36,'Daily evaluations'!$B$2:$B$36,"=p09_overnight_persistence",'Daily evaluations'!$C$2:$C$36,"=d20261110"),"")</f>
      </c>
      <c r="AM155" s="8">
        <f>IF((0=1),SUMIFS('Daily evaluations'!$I$2:$I$36,'Daily evaluations'!$B$2:$B$36,"=p09_overnight_persistence",'Daily evaluations'!$C$2:$C$36,"=d20261111"),"")</f>
      </c>
      <c r="AN155" s="8">
        <f>IF((0=1),SUMIFS('Daily evaluations'!$I$2:$I$36,'Daily evaluations'!$B$2:$B$36,"=p09_overnight_persistence",'Daily evaluations'!$C$2:$C$36,"=d20261112"),"")</f>
      </c>
      <c r="AO155" s="8">
        <f>IF((0=1),SUMIFS('Daily evaluations'!$I$2:$I$36,'Daily evaluations'!$B$2:$B$36,"=p09_overnight_persistence",'Daily evaluations'!$C$2:$C$36,"=d20261113"),"")</f>
      </c>
      <c r="AP155" s="8">
        <f>IF((0=1),SUMIFS('Daily evaluations'!$I$2:$I$36,'Daily evaluations'!$B$2:$B$36,"=p09_overnight_persistence",'Daily evaluations'!$C$2:$C$36,"=d20261116"),"")</f>
      </c>
      <c r="AQ155" s="8">
        <f>IF((0=1),SUMIFS('Daily evaluations'!$I$2:$I$36,'Daily evaluations'!$B$2:$B$36,"=p09_overnight_persistence",'Daily evaluations'!$C$2:$C$36,"=d20261117"),"")</f>
      </c>
      <c r="AR155" s="8">
        <f>IF((0=1),SUMIFS('Daily evaluations'!$I$2:$I$36,'Daily evaluations'!$B$2:$B$36,"=p09_overnight_persistence",'Daily evaluations'!$C$2:$C$36,"=d20261118"),"")</f>
      </c>
      <c r="AS155" s="8">
        <f>IF((0=1),SUMIFS('Daily evaluations'!$I$2:$I$36,'Daily evaluations'!$B$2:$B$36,"=p09_overnight_persistence",'Daily evaluations'!$C$2:$C$36,"=d20261119"),"")</f>
      </c>
      <c r="AT155" s="8">
        <f>IF((0=1),SUMIFS('Daily evaluations'!$I$2:$I$36,'Daily evaluations'!$B$2:$B$36,"=p09_overnight_persistence",'Daily evaluations'!$C$2:$C$36,"=d20261120"),"")</f>
      </c>
      <c r="AU155" s="8">
        <f>IF((0=1),SUMIFS('Daily evaluations'!$I$2:$I$36,'Daily evaluations'!$B$2:$B$36,"=p09_overnight_persistence",'Daily evaluations'!$C$2:$C$36,"=d20261123"),"")</f>
      </c>
      <c r="AV155" s="8">
        <f>IF((0=1),SUMIFS('Daily evaluations'!$I$2:$I$36,'Daily evaluations'!$B$2:$B$36,"=p09_overnight_persistence",'Daily evaluations'!$C$2:$C$36,"=d20261124"),"")</f>
      </c>
      <c r="AW155" s="8">
        <f>IF((0=1),SUMIFS('Daily evaluations'!$I$2:$I$36,'Daily evaluations'!$B$2:$B$36,"=p09_overnight_persistence",'Daily evaluations'!$C$2:$C$36,"=d20261125"),"")</f>
      </c>
      <c r="AX155" s="8">
        <f>IF((0=1),SUMIFS('Daily evaluations'!$I$2:$I$36,'Daily evaluations'!$B$2:$B$36,"=p09_overnight_persistence",'Daily evaluations'!$C$2:$C$36,"=d20261127"),"")</f>
      </c>
      <c r="AY155" s="8">
        <f>IF((0=1),SUMIFS('Daily evaluations'!$I$2:$I$36,'Daily evaluations'!$B$2:$B$36,"=p09_overnight_persistence",'Daily evaluations'!$C$2:$C$36,"=d20261130"),"")</f>
      </c>
      <c r="AZ155" s="8">
        <f>IF((0=1),SUMIFS('Daily evaluations'!$I$2:$I$36,'Daily evaluations'!$B$2:$B$36,"=p09_overnight_persistence",'Daily evaluations'!$C$2:$C$36,"=d20261201"),"")</f>
      </c>
      <c r="BA155" s="8">
        <f>IF((0=1),SUMIFS('Daily evaluations'!$I$2:$I$36,'Daily evaluations'!$B$2:$B$36,"=p09_overnight_persistence",'Daily evaluations'!$C$2:$C$36,"=d20261202"),"")</f>
      </c>
      <c r="BB155" s="8">
        <f>IF((0=1),SUMIFS('Daily evaluations'!$I$2:$I$36,'Daily evaluations'!$B$2:$B$36,"=p09_overnight_persistence",'Daily evaluations'!$C$2:$C$36,"=d20261203"),"")</f>
      </c>
      <c r="BC155" s="8">
        <f>IF((0=1),SUMIFS('Daily evaluations'!$I$2:$I$36,'Daily evaluations'!$B$2:$B$36,"=p09_overnight_persistence",'Daily evaluations'!$C$2:$C$36,"=d20261204"),"")</f>
      </c>
      <c r="BD155" s="8">
        <f>IF((0=1),SUMIFS('Daily evaluations'!$I$2:$I$36,'Daily evaluations'!$B$2:$B$36,"=p09_overnight_persistence",'Daily evaluations'!$C$2:$C$36,"=d20261207"),"")</f>
      </c>
      <c r="BE155" s="8">
        <f>IF((0=1),SUMIFS('Daily evaluations'!$I$2:$I$36,'Daily evaluations'!$B$2:$B$36,"=p09_overnight_persistence",'Daily evaluations'!$C$2:$C$36,"=d20261208"),"")</f>
      </c>
      <c r="BF155" s="8">
        <f>IF((0=1),SUMIFS('Daily evaluations'!$I$2:$I$36,'Daily evaluations'!$B$2:$B$36,"=p09_overnight_persistence",'Daily evaluations'!$C$2:$C$36,"=d20261209"),"")</f>
      </c>
      <c r="BG155" s="8">
        <f>IF((0=1),SUMIFS('Daily evaluations'!$I$2:$I$36,'Daily evaluations'!$B$2:$B$36,"=p09_overnight_persistence",'Daily evaluations'!$C$2:$C$36,"=d20261210"),"")</f>
      </c>
      <c r="BH155" s="8">
        <f>IF((0=1),SUMIFS('Daily evaluations'!$I$2:$I$36,'Daily evaluations'!$B$2:$B$36,"=p09_overnight_persistence",'Daily evaluations'!$C$2:$C$36,"=d20261211"),"")</f>
      </c>
      <c r="BI155" s="8">
        <f>IF((0=1),SUMIFS('Daily evaluations'!$I$2:$I$36,'Daily evaluations'!$B$2:$B$36,"=p09_overnight_persistence",'Daily evaluations'!$C$2:$C$36,"=d20261214"),"")</f>
      </c>
      <c r="BJ155" s="8">
        <f>IF((0=1),SUMIFS('Daily evaluations'!$I$2:$I$36,'Daily evaluations'!$B$2:$B$36,"=p09_overnight_persistence",'Daily evaluations'!$C$2:$C$36,"=d20261215"),"")</f>
      </c>
      <c r="BK155" s="8">
        <f>IF((0=1),SUMIFS('Daily evaluations'!$I$2:$I$36,'Daily evaluations'!$B$2:$B$36,"=p09_overnight_persistence",'Daily evaluations'!$C$2:$C$36,"=d20261216"),"")</f>
      </c>
      <c r="BL155" s="8">
        <f>IF((0=1),SUMIFS('Daily evaluations'!$I$2:$I$36,'Daily evaluations'!$B$2:$B$36,"=p09_overnight_persistence",'Daily evaluations'!$C$2:$C$36,"=d20261217"),"")</f>
      </c>
      <c r="BM155" s="8">
        <f>IF((0=1),SUMIFS('Daily evaluations'!$I$2:$I$36,'Daily evaluations'!$B$2:$B$36,"=p09_overnight_persistence",'Daily evaluations'!$C$2:$C$36,"=d20261218"),"")</f>
      </c>
      <c r="BN155" s="8">
        <f>IF((0=1),SUMIFS('Daily evaluations'!$I$2:$I$36,'Daily evaluations'!$B$2:$B$36,"=p09_overnight_persistence",'Daily evaluations'!$C$2:$C$36,"=d20261221"),"")</f>
      </c>
      <c r="BO155" s="8">
        <f>IF((0=1),SUMIFS('Daily evaluations'!$I$2:$I$36,'Daily evaluations'!$B$2:$B$36,"=p09_overnight_persistence",'Daily evaluations'!$C$2:$C$36,"=d20261222"),"")</f>
      </c>
      <c r="BP155" s="8">
        <f>IF((0=1),SUMIFS('Daily evaluations'!$I$2:$I$36,'Daily evaluations'!$B$2:$B$36,"=p09_overnight_persistence",'Daily evaluations'!$C$2:$C$36,"=d20261223"),"")</f>
      </c>
      <c r="BQ155" s="8">
        <f>IF((0=1),SUMIFS('Daily evaluations'!$I$2:$I$36,'Daily evaluations'!$B$2:$B$36,"=p09_overnight_persistence",'Daily evaluations'!$C$2:$C$36,"=d20261224"),"")</f>
      </c>
      <c r="BR155" s="8">
        <f>IF((0=1),SUMIFS('Daily evaluations'!$I$2:$I$36,'Daily evaluations'!$B$2:$B$36,"=p09_overnight_persistence",'Daily evaluations'!$C$2:$C$36,"=d20261228"),"")</f>
      </c>
      <c r="BS155" s="8">
        <f>IF((0=1),SUMIFS('Daily evaluations'!$I$2:$I$36,'Daily evaluations'!$B$2:$B$36,"=p09_overnight_persistence",'Daily evaluations'!$C$2:$C$36,"=d20261229"),"")</f>
      </c>
      <c r="BT155" s="8">
        <f>IF((0=1),SUMIFS('Daily evaluations'!$I$2:$I$36,'Daily evaluations'!$B$2:$B$36,"=p09_overnight_persistence",'Daily evaluations'!$C$2:$C$36,"=d20261230"),"")</f>
      </c>
      <c r="BU155" s="8">
        <f>IF((0=1),SUMIFS('Daily evaluations'!$I$2:$I$36,'Daily evaluations'!$B$2:$B$36,"=p09_overnight_persistence",'Daily evaluations'!$C$2:$C$36,"=d20261231"),"")</f>
      </c>
      <c r="BV155" s="8">
        <f>IF((0=1),SUMIFS('Daily evaluations'!$I$2:$I$36,'Daily evaluations'!$B$2:$B$36,"=p09_overnight_persistence",'Daily evaluations'!$C$2:$C$36,"=d20270104"),"")</f>
      </c>
      <c r="BW155" s="8">
        <f>IF((0=1),SUMIFS('Daily evaluations'!$I$2:$I$36,'Daily evaluations'!$B$2:$B$36,"=p09_overnight_persistence",'Daily evaluations'!$C$2:$C$36,"=d20270105"),"")</f>
      </c>
      <c r="BX155" s="8">
        <f>IF((0=1),SUMIFS('Daily evaluations'!$I$2:$I$36,'Daily evaluations'!$B$2:$B$36,"=p09_overnight_persistence",'Daily evaluations'!$C$2:$C$36,"=d20270106"),"")</f>
      </c>
      <c r="BY155" s="8">
        <f>IF((0=1),SUMIFS('Daily evaluations'!$I$2:$I$36,'Daily evaluations'!$B$2:$B$36,"=p09_overnight_persistence",'Daily evaluations'!$C$2:$C$36,"=d20270107"),"")</f>
      </c>
      <c r="BZ155" s="8">
        <f>IF((0=1),SUMIFS('Daily evaluations'!$I$2:$I$36,'Daily evaluations'!$B$2:$B$36,"=p09_overnight_persistence",'Daily evaluations'!$C$2:$C$36,"=d20270108"),"")</f>
      </c>
      <c r="CA155" s="8">
        <f>IF((0=1),SUMIFS('Daily evaluations'!$I$2:$I$36,'Daily evaluations'!$B$2:$B$36,"=p09_overnight_persistence",'Daily evaluations'!$C$2:$C$36,"=d20270111"),"")</f>
      </c>
      <c r="CB155" s="8">
        <f>IF((0=1),SUMIFS('Daily evaluations'!$I$2:$I$36,'Daily evaluations'!$B$2:$B$36,"=p09_overnight_persistence",'Daily evaluations'!$C$2:$C$36,"=d20270112"),"")</f>
      </c>
      <c r="CC155" s="8">
        <f>IF((0=1),SUMIFS('Daily evaluations'!$I$2:$I$36,'Daily evaluations'!$B$2:$B$36,"=p09_overnight_persistence",'Daily evaluations'!$C$2:$C$36,"=d20270113"),"")</f>
      </c>
      <c r="CD155" s="8">
        <f>IF((0=1),SUMIFS('Daily evaluations'!$I$2:$I$36,'Daily evaluations'!$B$2:$B$36,"=p09_overnight_persistence",'Daily evaluations'!$C$2:$C$36,"=d20270114"),"")</f>
      </c>
      <c r="CE155" s="8">
        <f>IF((0=1),SUMIFS('Daily evaluations'!$I$2:$I$36,'Daily evaluations'!$B$2:$B$36,"=p09_overnight_persistence",'Daily evaluations'!$C$2:$C$36,"=d20270115"),"")</f>
      </c>
      <c r="CF155" s="8">
        <f>IF((0=1),SUMIFS('Daily evaluations'!$I$2:$I$36,'Daily evaluations'!$B$2:$B$36,"=p09_overnight_persistence",'Daily evaluations'!$C$2:$C$36,"=d20270119"),"")</f>
      </c>
      <c r="CG155" s="8">
        <f>IF((0=1),SUMIFS('Daily evaluations'!$I$2:$I$36,'Daily evaluations'!$B$2:$B$36,"=p09_overnight_persistence",'Daily evaluations'!$C$2:$C$36,"=d20270120"),"")</f>
      </c>
      <c r="CH155" s="8">
        <f>IF((0=1),SUMIFS('Daily evaluations'!$I$2:$I$36,'Daily evaluations'!$B$2:$B$36,"=p09_overnight_persistence",'Daily evaluations'!$C$2:$C$36,"=d20270121"),"")</f>
      </c>
      <c r="CI155" s="8">
        <f>IF((0=1),SUMIFS('Daily evaluations'!$I$2:$I$36,'Daily evaluations'!$B$2:$B$36,"=p09_overnight_persistence",'Daily evaluations'!$C$2:$C$36,"=d20270122"),"")</f>
      </c>
      <c r="CJ155" s="8">
        <f>IF((0=1),SUMIFS('Daily evaluations'!$I$2:$I$36,'Daily evaluations'!$B$2:$B$36,"=p09_overnight_persistence",'Daily evaluations'!$C$2:$C$36,"=d20270125"),"")</f>
      </c>
      <c r="CK155" s="8">
        <f>IF((0=1),SUMIFS('Daily evaluations'!$I$2:$I$36,'Daily evaluations'!$B$2:$B$36,"=p09_overnight_persistence",'Daily evaluations'!$C$2:$C$36,"=d20270126"),"")</f>
      </c>
      <c r="CL155" s="8">
        <f>IF((0=1),SUMIFS('Daily evaluations'!$I$2:$I$36,'Daily evaluations'!$B$2:$B$36,"=p09_overnight_persistence",'Daily evaluations'!$C$2:$C$36,"=d20270127"),"")</f>
      </c>
      <c r="CM155" s="8">
        <f>IF((0=1),SUMIFS('Daily evaluations'!$I$2:$I$36,'Daily evaluations'!$B$2:$B$36,"=p09_overnight_persistence",'Daily evaluations'!$C$2:$C$36,"=d20270128"),"")</f>
      </c>
      <c r="CN155" s="8">
        <f>IF((0=1),SUMIFS('Daily evaluations'!$I$2:$I$36,'Daily evaluations'!$B$2:$B$36,"=p09_overnight_persistence",'Daily evaluations'!$C$2:$C$36,"=d20270129"),"")</f>
      </c>
      <c r="CO155" s="8">
        <f>IF((0=1),SUMIFS('Daily evaluations'!$I$2:$I$36,'Daily evaluations'!$B$2:$B$36,"=p09_overnight_persistence",'Daily evaluations'!$C$2:$C$36,"=d20270201"),"")</f>
      </c>
      <c r="CP155" s="8">
        <f>IF((0=1),SUMIFS('Daily evaluations'!$I$2:$I$36,'Daily evaluations'!$B$2:$B$36,"=p09_overnight_persistence",'Daily evaluations'!$C$2:$C$36,"=d20270202"),"")</f>
      </c>
      <c r="CQ155" s="8">
        <f>IF((0=1),SUMIFS('Daily evaluations'!$I$2:$I$36,'Daily evaluations'!$B$2:$B$36,"=p09_overnight_persistence",'Daily evaluations'!$C$2:$C$36,"=d20270203"),"")</f>
      </c>
      <c r="CR155" s="8">
        <f>IF((0=1),SUMIFS('Daily evaluations'!$I$2:$I$36,'Daily evaluations'!$B$2:$B$36,"=p09_overnight_persistence",'Daily evaluations'!$C$2:$C$36,"=d20270204"),"")</f>
      </c>
      <c r="CS155" s="8">
        <f>IF((0=1),SUMIFS('Daily evaluations'!$I$2:$I$36,'Daily evaluations'!$B$2:$B$36,"=p09_overnight_persistence",'Daily evaluations'!$C$2:$C$36,"=d20270205"),"")</f>
      </c>
      <c r="CT155" s="8">
        <f>IF((0=1),SUMIFS('Daily evaluations'!$I$2:$I$36,'Daily evaluations'!$B$2:$B$36,"=p09_overnight_persistence",'Daily evaluations'!$C$2:$C$36,"=d20270208"),"")</f>
      </c>
      <c r="CU155" s="8">
        <f>IF((0=1),SUMIFS('Daily evaluations'!$I$2:$I$36,'Daily evaluations'!$B$2:$B$36,"=p09_overnight_persistence",'Daily evaluations'!$C$2:$C$36,"=d20270209"),"")</f>
      </c>
      <c r="CV155" s="8">
        <f>IF((0=1),SUMIFS('Daily evaluations'!$I$2:$I$36,'Daily evaluations'!$B$2:$B$36,"=p09_overnight_persistence",'Daily evaluations'!$C$2:$C$36,"=d20270210"),"")</f>
      </c>
      <c r="CW155" s="8">
        <f>IF((0=1),SUMIFS('Daily evaluations'!$I$2:$I$36,'Daily evaluations'!$B$2:$B$36,"=p09_overnight_persistence",'Daily evaluations'!$C$2:$C$36,"=d20270211"),"")</f>
      </c>
      <c r="CX155" s="8">
        <f>IF((0=1),SUMIFS('Daily evaluations'!$I$2:$I$36,'Daily evaluations'!$B$2:$B$36,"=p09_overnight_persistence",'Daily evaluations'!$C$2:$C$36,"=d20270212"),"")</f>
      </c>
    </row>
    <row r="156">
      <c r="A156" s="0" t="inlineStr">
        <is>
          <t xml:space="preserve">Information coefficient</t>
        </is>
      </c>
      <c r="B156" s="0" t="inlineStr">
        <is>
          <t xml:space="preserve">52-Week-High Anchoring</t>
        </is>
      </c>
      <c r="C156" s="8">
        <f>IF((1=1),SUMIFS('Daily evaluations'!$I$2:$I$36,'Daily evaluations'!$B$2:$B$36,"=p10_52wk_high",'Daily evaluations'!$C$2:$C$36,"=d20260922"),"")</f>
        <v>0.149</v>
      </c>
      <c r="D156" s="8">
        <f>IF((0=1),SUMIFS('Daily evaluations'!$I$2:$I$36,'Daily evaluations'!$B$2:$B$36,"=p10_52wk_high",'Daily evaluations'!$C$2:$C$36,"=d20260923"),"")</f>
      </c>
      <c r="E156" s="8">
        <f>IF((0=1),SUMIFS('Daily evaluations'!$I$2:$I$36,'Daily evaluations'!$B$2:$B$36,"=p10_52wk_high",'Daily evaluations'!$C$2:$C$36,"=d20260924"),"")</f>
      </c>
      <c r="F156" s="8">
        <f>IF((0=1),SUMIFS('Daily evaluations'!$I$2:$I$36,'Daily evaluations'!$B$2:$B$36,"=p10_52wk_high",'Daily evaluations'!$C$2:$C$36,"=d20260925"),"")</f>
      </c>
      <c r="G156" s="8">
        <f>IF((0=1),SUMIFS('Daily evaluations'!$I$2:$I$36,'Daily evaluations'!$B$2:$B$36,"=p10_52wk_high",'Daily evaluations'!$C$2:$C$36,"=d20260928"),"")</f>
      </c>
      <c r="H156" s="8">
        <f>IF((0=1),SUMIFS('Daily evaluations'!$I$2:$I$36,'Daily evaluations'!$B$2:$B$36,"=p10_52wk_high",'Daily evaluations'!$C$2:$C$36,"=d20260929"),"")</f>
      </c>
      <c r="I156" s="8">
        <f>IF((0=1),SUMIFS('Daily evaluations'!$I$2:$I$36,'Daily evaluations'!$B$2:$B$36,"=p10_52wk_high",'Daily evaluations'!$C$2:$C$36,"=d20260930"),"")</f>
      </c>
      <c r="J156" s="8">
        <f>IF((0=1),SUMIFS('Daily evaluations'!$I$2:$I$36,'Daily evaluations'!$B$2:$B$36,"=p10_52wk_high",'Daily evaluations'!$C$2:$C$36,"=d20261001"),"")</f>
      </c>
      <c r="K156" s="8">
        <f>IF((0=1),SUMIFS('Daily evaluations'!$I$2:$I$36,'Daily evaluations'!$B$2:$B$36,"=p10_52wk_high",'Daily evaluations'!$C$2:$C$36,"=d20261002"),"")</f>
      </c>
      <c r="L156" s="8">
        <f>IF((0=1),SUMIFS('Daily evaluations'!$I$2:$I$36,'Daily evaluations'!$B$2:$B$36,"=p10_52wk_high",'Daily evaluations'!$C$2:$C$36,"=d20261005"),"")</f>
      </c>
      <c r="M156" s="8">
        <f>IF((0=1),SUMIFS('Daily evaluations'!$I$2:$I$36,'Daily evaluations'!$B$2:$B$36,"=p10_52wk_high",'Daily evaluations'!$C$2:$C$36,"=d20261006"),"")</f>
      </c>
      <c r="N156" s="8">
        <f>IF((0=1),SUMIFS('Daily evaluations'!$I$2:$I$36,'Daily evaluations'!$B$2:$B$36,"=p10_52wk_high",'Daily evaluations'!$C$2:$C$36,"=d20261007"),"")</f>
      </c>
      <c r="O156" s="8">
        <f>IF((0=1),SUMIFS('Daily evaluations'!$I$2:$I$36,'Daily evaluations'!$B$2:$B$36,"=p10_52wk_high",'Daily evaluations'!$C$2:$C$36,"=d20261008"),"")</f>
      </c>
      <c r="P156" s="8">
        <f>IF((0=1),SUMIFS('Daily evaluations'!$I$2:$I$36,'Daily evaluations'!$B$2:$B$36,"=p10_52wk_high",'Daily evaluations'!$C$2:$C$36,"=d20261009"),"")</f>
      </c>
      <c r="Q156" s="8">
        <f>IF((0=1),SUMIFS('Daily evaluations'!$I$2:$I$36,'Daily evaluations'!$B$2:$B$36,"=p10_52wk_high",'Daily evaluations'!$C$2:$C$36,"=d20261012"),"")</f>
      </c>
      <c r="R156" s="8">
        <f>IF((0=1),SUMIFS('Daily evaluations'!$I$2:$I$36,'Daily evaluations'!$B$2:$B$36,"=p10_52wk_high",'Daily evaluations'!$C$2:$C$36,"=d20261013"),"")</f>
      </c>
      <c r="S156" s="8">
        <f>IF((0=1),SUMIFS('Daily evaluations'!$I$2:$I$36,'Daily evaluations'!$B$2:$B$36,"=p10_52wk_high",'Daily evaluations'!$C$2:$C$36,"=d20261014"),"")</f>
      </c>
      <c r="T156" s="8">
        <f>IF((0=1),SUMIFS('Daily evaluations'!$I$2:$I$36,'Daily evaluations'!$B$2:$B$36,"=p10_52wk_high",'Daily evaluations'!$C$2:$C$36,"=d20261015"),"")</f>
      </c>
      <c r="U156" s="8">
        <f>IF((0=1),SUMIFS('Daily evaluations'!$I$2:$I$36,'Daily evaluations'!$B$2:$B$36,"=p10_52wk_high",'Daily evaluations'!$C$2:$C$36,"=d20261016"),"")</f>
      </c>
      <c r="V156" s="8">
        <f>IF((0=1),SUMIFS('Daily evaluations'!$I$2:$I$36,'Daily evaluations'!$B$2:$B$36,"=p10_52wk_high",'Daily evaluations'!$C$2:$C$36,"=d20261019"),"")</f>
      </c>
      <c r="W156" s="8">
        <f>IF((0=1),SUMIFS('Daily evaluations'!$I$2:$I$36,'Daily evaluations'!$B$2:$B$36,"=p10_52wk_high",'Daily evaluations'!$C$2:$C$36,"=d20261020"),"")</f>
      </c>
      <c r="X156" s="8">
        <f>IF((0=1),SUMIFS('Daily evaluations'!$I$2:$I$36,'Daily evaluations'!$B$2:$B$36,"=p10_52wk_high",'Daily evaluations'!$C$2:$C$36,"=d20261021"),"")</f>
      </c>
      <c r="Y156" s="8">
        <f>IF((0=1),SUMIFS('Daily evaluations'!$I$2:$I$36,'Daily evaluations'!$B$2:$B$36,"=p10_52wk_high",'Daily evaluations'!$C$2:$C$36,"=d20261022"),"")</f>
      </c>
      <c r="Z156" s="8">
        <f>IF((0=1),SUMIFS('Daily evaluations'!$I$2:$I$36,'Daily evaluations'!$B$2:$B$36,"=p10_52wk_high",'Daily evaluations'!$C$2:$C$36,"=d20261023"),"")</f>
      </c>
      <c r="AA156" s="8">
        <f>IF((0=1),SUMIFS('Daily evaluations'!$I$2:$I$36,'Daily evaluations'!$B$2:$B$36,"=p10_52wk_high",'Daily evaluations'!$C$2:$C$36,"=d20261026"),"")</f>
      </c>
      <c r="AB156" s="8">
        <f>IF((0=1),SUMIFS('Daily evaluations'!$I$2:$I$36,'Daily evaluations'!$B$2:$B$36,"=p10_52wk_high",'Daily evaluations'!$C$2:$C$36,"=d20261027"),"")</f>
      </c>
      <c r="AC156" s="8">
        <f>IF((0=1),SUMIFS('Daily evaluations'!$I$2:$I$36,'Daily evaluations'!$B$2:$B$36,"=p10_52wk_high",'Daily evaluations'!$C$2:$C$36,"=d20261028"),"")</f>
      </c>
      <c r="AD156" s="8">
        <f>IF((0=1),SUMIFS('Daily evaluations'!$I$2:$I$36,'Daily evaluations'!$B$2:$B$36,"=p10_52wk_high",'Daily evaluations'!$C$2:$C$36,"=d20261029"),"")</f>
      </c>
      <c r="AE156" s="8">
        <f>IF((0=1),SUMIFS('Daily evaluations'!$I$2:$I$36,'Daily evaluations'!$B$2:$B$36,"=p10_52wk_high",'Daily evaluations'!$C$2:$C$36,"=d20261030"),"")</f>
      </c>
      <c r="AF156" s="8">
        <f>IF((0=1),SUMIFS('Daily evaluations'!$I$2:$I$36,'Daily evaluations'!$B$2:$B$36,"=p10_52wk_high",'Daily evaluations'!$C$2:$C$36,"=d20261102"),"")</f>
      </c>
      <c r="AG156" s="8">
        <f>IF((0=1),SUMIFS('Daily evaluations'!$I$2:$I$36,'Daily evaluations'!$B$2:$B$36,"=p10_52wk_high",'Daily evaluations'!$C$2:$C$36,"=d20261103"),"")</f>
      </c>
      <c r="AH156" s="8">
        <f>IF((0=1),SUMIFS('Daily evaluations'!$I$2:$I$36,'Daily evaluations'!$B$2:$B$36,"=p10_52wk_high",'Daily evaluations'!$C$2:$C$36,"=d20261104"),"")</f>
      </c>
      <c r="AI156" s="8">
        <f>IF((0=1),SUMIFS('Daily evaluations'!$I$2:$I$36,'Daily evaluations'!$B$2:$B$36,"=p10_52wk_high",'Daily evaluations'!$C$2:$C$36,"=d20261105"),"")</f>
      </c>
      <c r="AJ156" s="8">
        <f>IF((0=1),SUMIFS('Daily evaluations'!$I$2:$I$36,'Daily evaluations'!$B$2:$B$36,"=p10_52wk_high",'Daily evaluations'!$C$2:$C$36,"=d20261106"),"")</f>
      </c>
      <c r="AK156" s="8">
        <f>IF((0=1),SUMIFS('Daily evaluations'!$I$2:$I$36,'Daily evaluations'!$B$2:$B$36,"=p10_52wk_high",'Daily evaluations'!$C$2:$C$36,"=d20261109"),"")</f>
      </c>
      <c r="AL156" s="8">
        <f>IF((0=1),SUMIFS('Daily evaluations'!$I$2:$I$36,'Daily evaluations'!$B$2:$B$36,"=p10_52wk_high",'Daily evaluations'!$C$2:$C$36,"=d20261110"),"")</f>
      </c>
      <c r="AM156" s="8">
        <f>IF((0=1),SUMIFS('Daily evaluations'!$I$2:$I$36,'Daily evaluations'!$B$2:$B$36,"=p10_52wk_high",'Daily evaluations'!$C$2:$C$36,"=d20261111"),"")</f>
      </c>
      <c r="AN156" s="8">
        <f>IF((0=1),SUMIFS('Daily evaluations'!$I$2:$I$36,'Daily evaluations'!$B$2:$B$36,"=p10_52wk_high",'Daily evaluations'!$C$2:$C$36,"=d20261112"),"")</f>
      </c>
      <c r="AO156" s="8">
        <f>IF((0=1),SUMIFS('Daily evaluations'!$I$2:$I$36,'Daily evaluations'!$B$2:$B$36,"=p10_52wk_high",'Daily evaluations'!$C$2:$C$36,"=d20261113"),"")</f>
      </c>
      <c r="AP156" s="8">
        <f>IF((0=1),SUMIFS('Daily evaluations'!$I$2:$I$36,'Daily evaluations'!$B$2:$B$36,"=p10_52wk_high",'Daily evaluations'!$C$2:$C$36,"=d20261116"),"")</f>
      </c>
      <c r="AQ156" s="8">
        <f>IF((0=1),SUMIFS('Daily evaluations'!$I$2:$I$36,'Daily evaluations'!$B$2:$B$36,"=p10_52wk_high",'Daily evaluations'!$C$2:$C$36,"=d20261117"),"")</f>
      </c>
      <c r="AR156" s="8">
        <f>IF((0=1),SUMIFS('Daily evaluations'!$I$2:$I$36,'Daily evaluations'!$B$2:$B$36,"=p10_52wk_high",'Daily evaluations'!$C$2:$C$36,"=d20261118"),"")</f>
      </c>
      <c r="AS156" s="8">
        <f>IF((0=1),SUMIFS('Daily evaluations'!$I$2:$I$36,'Daily evaluations'!$B$2:$B$36,"=p10_52wk_high",'Daily evaluations'!$C$2:$C$36,"=d20261119"),"")</f>
      </c>
      <c r="AT156" s="8">
        <f>IF((0=1),SUMIFS('Daily evaluations'!$I$2:$I$36,'Daily evaluations'!$B$2:$B$36,"=p10_52wk_high",'Daily evaluations'!$C$2:$C$36,"=d20261120"),"")</f>
      </c>
      <c r="AU156" s="8">
        <f>IF((0=1),SUMIFS('Daily evaluations'!$I$2:$I$36,'Daily evaluations'!$B$2:$B$36,"=p10_52wk_high",'Daily evaluations'!$C$2:$C$36,"=d20261123"),"")</f>
      </c>
      <c r="AV156" s="8">
        <f>IF((0=1),SUMIFS('Daily evaluations'!$I$2:$I$36,'Daily evaluations'!$B$2:$B$36,"=p10_52wk_high",'Daily evaluations'!$C$2:$C$36,"=d20261124"),"")</f>
      </c>
      <c r="AW156" s="8">
        <f>IF((0=1),SUMIFS('Daily evaluations'!$I$2:$I$36,'Daily evaluations'!$B$2:$B$36,"=p10_52wk_high",'Daily evaluations'!$C$2:$C$36,"=d20261125"),"")</f>
      </c>
      <c r="AX156" s="8">
        <f>IF((0=1),SUMIFS('Daily evaluations'!$I$2:$I$36,'Daily evaluations'!$B$2:$B$36,"=p10_52wk_high",'Daily evaluations'!$C$2:$C$36,"=d20261127"),"")</f>
      </c>
      <c r="AY156" s="8">
        <f>IF((0=1),SUMIFS('Daily evaluations'!$I$2:$I$36,'Daily evaluations'!$B$2:$B$36,"=p10_52wk_high",'Daily evaluations'!$C$2:$C$36,"=d20261130"),"")</f>
      </c>
      <c r="AZ156" s="8">
        <f>IF((0=1),SUMIFS('Daily evaluations'!$I$2:$I$36,'Daily evaluations'!$B$2:$B$36,"=p10_52wk_high",'Daily evaluations'!$C$2:$C$36,"=d20261201"),"")</f>
      </c>
      <c r="BA156" s="8">
        <f>IF((0=1),SUMIFS('Daily evaluations'!$I$2:$I$36,'Daily evaluations'!$B$2:$B$36,"=p10_52wk_high",'Daily evaluations'!$C$2:$C$36,"=d20261202"),"")</f>
      </c>
      <c r="BB156" s="8">
        <f>IF((0=1),SUMIFS('Daily evaluations'!$I$2:$I$36,'Daily evaluations'!$B$2:$B$36,"=p10_52wk_high",'Daily evaluations'!$C$2:$C$36,"=d20261203"),"")</f>
      </c>
      <c r="BC156" s="8">
        <f>IF((0=1),SUMIFS('Daily evaluations'!$I$2:$I$36,'Daily evaluations'!$B$2:$B$36,"=p10_52wk_high",'Daily evaluations'!$C$2:$C$36,"=d20261204"),"")</f>
      </c>
      <c r="BD156" s="8">
        <f>IF((0=1),SUMIFS('Daily evaluations'!$I$2:$I$36,'Daily evaluations'!$B$2:$B$36,"=p10_52wk_high",'Daily evaluations'!$C$2:$C$36,"=d20261207"),"")</f>
      </c>
      <c r="BE156" s="8">
        <f>IF((0=1),SUMIFS('Daily evaluations'!$I$2:$I$36,'Daily evaluations'!$B$2:$B$36,"=p10_52wk_high",'Daily evaluations'!$C$2:$C$36,"=d20261208"),"")</f>
      </c>
      <c r="BF156" s="8">
        <f>IF((0=1),SUMIFS('Daily evaluations'!$I$2:$I$36,'Daily evaluations'!$B$2:$B$36,"=p10_52wk_high",'Daily evaluations'!$C$2:$C$36,"=d20261209"),"")</f>
      </c>
      <c r="BG156" s="8">
        <f>IF((0=1),SUMIFS('Daily evaluations'!$I$2:$I$36,'Daily evaluations'!$B$2:$B$36,"=p10_52wk_high",'Daily evaluations'!$C$2:$C$36,"=d20261210"),"")</f>
      </c>
      <c r="BH156" s="8">
        <f>IF((0=1),SUMIFS('Daily evaluations'!$I$2:$I$36,'Daily evaluations'!$B$2:$B$36,"=p10_52wk_high",'Daily evaluations'!$C$2:$C$36,"=d20261211"),"")</f>
      </c>
      <c r="BI156" s="8">
        <f>IF((0=1),SUMIFS('Daily evaluations'!$I$2:$I$36,'Daily evaluations'!$B$2:$B$36,"=p10_52wk_high",'Daily evaluations'!$C$2:$C$36,"=d20261214"),"")</f>
      </c>
      <c r="BJ156" s="8">
        <f>IF((0=1),SUMIFS('Daily evaluations'!$I$2:$I$36,'Daily evaluations'!$B$2:$B$36,"=p10_52wk_high",'Daily evaluations'!$C$2:$C$36,"=d20261215"),"")</f>
      </c>
      <c r="BK156" s="8">
        <f>IF((0=1),SUMIFS('Daily evaluations'!$I$2:$I$36,'Daily evaluations'!$B$2:$B$36,"=p10_52wk_high",'Daily evaluations'!$C$2:$C$36,"=d20261216"),"")</f>
      </c>
      <c r="BL156" s="8">
        <f>IF((0=1),SUMIFS('Daily evaluations'!$I$2:$I$36,'Daily evaluations'!$B$2:$B$36,"=p10_52wk_high",'Daily evaluations'!$C$2:$C$36,"=d20261217"),"")</f>
      </c>
      <c r="BM156" s="8">
        <f>IF((0=1),SUMIFS('Daily evaluations'!$I$2:$I$36,'Daily evaluations'!$B$2:$B$36,"=p10_52wk_high",'Daily evaluations'!$C$2:$C$36,"=d20261218"),"")</f>
      </c>
      <c r="BN156" s="8">
        <f>IF((0=1),SUMIFS('Daily evaluations'!$I$2:$I$36,'Daily evaluations'!$B$2:$B$36,"=p10_52wk_high",'Daily evaluations'!$C$2:$C$36,"=d20261221"),"")</f>
      </c>
      <c r="BO156" s="8">
        <f>IF((0=1),SUMIFS('Daily evaluations'!$I$2:$I$36,'Daily evaluations'!$B$2:$B$36,"=p10_52wk_high",'Daily evaluations'!$C$2:$C$36,"=d20261222"),"")</f>
      </c>
      <c r="BP156" s="8">
        <f>IF((0=1),SUMIFS('Daily evaluations'!$I$2:$I$36,'Daily evaluations'!$B$2:$B$36,"=p10_52wk_high",'Daily evaluations'!$C$2:$C$36,"=d20261223"),"")</f>
      </c>
      <c r="BQ156" s="8">
        <f>IF((0=1),SUMIFS('Daily evaluations'!$I$2:$I$36,'Daily evaluations'!$B$2:$B$36,"=p10_52wk_high",'Daily evaluations'!$C$2:$C$36,"=d20261224"),"")</f>
      </c>
      <c r="BR156" s="8">
        <f>IF((0=1),SUMIFS('Daily evaluations'!$I$2:$I$36,'Daily evaluations'!$B$2:$B$36,"=p10_52wk_high",'Daily evaluations'!$C$2:$C$36,"=d20261228"),"")</f>
      </c>
      <c r="BS156" s="8">
        <f>IF((0=1),SUMIFS('Daily evaluations'!$I$2:$I$36,'Daily evaluations'!$B$2:$B$36,"=p10_52wk_high",'Daily evaluations'!$C$2:$C$36,"=d20261229"),"")</f>
      </c>
      <c r="BT156" s="8">
        <f>IF((0=1),SUMIFS('Daily evaluations'!$I$2:$I$36,'Daily evaluations'!$B$2:$B$36,"=p10_52wk_high",'Daily evaluations'!$C$2:$C$36,"=d20261230"),"")</f>
      </c>
      <c r="BU156" s="8">
        <f>IF((0=1),SUMIFS('Daily evaluations'!$I$2:$I$36,'Daily evaluations'!$B$2:$B$36,"=p10_52wk_high",'Daily evaluations'!$C$2:$C$36,"=d20261231"),"")</f>
      </c>
      <c r="BV156" s="8">
        <f>IF((0=1),SUMIFS('Daily evaluations'!$I$2:$I$36,'Daily evaluations'!$B$2:$B$36,"=p10_52wk_high",'Daily evaluations'!$C$2:$C$36,"=d20270104"),"")</f>
      </c>
      <c r="BW156" s="8">
        <f>IF((0=1),SUMIFS('Daily evaluations'!$I$2:$I$36,'Daily evaluations'!$B$2:$B$36,"=p10_52wk_high",'Daily evaluations'!$C$2:$C$36,"=d20270105"),"")</f>
      </c>
      <c r="BX156" s="8">
        <f>IF((0=1),SUMIFS('Daily evaluations'!$I$2:$I$36,'Daily evaluations'!$B$2:$B$36,"=p10_52wk_high",'Daily evaluations'!$C$2:$C$36,"=d20270106"),"")</f>
      </c>
      <c r="BY156" s="8">
        <f>IF((0=1),SUMIFS('Daily evaluations'!$I$2:$I$36,'Daily evaluations'!$B$2:$B$36,"=p10_52wk_high",'Daily evaluations'!$C$2:$C$36,"=d20270107"),"")</f>
      </c>
      <c r="BZ156" s="8">
        <f>IF((0=1),SUMIFS('Daily evaluations'!$I$2:$I$36,'Daily evaluations'!$B$2:$B$36,"=p10_52wk_high",'Daily evaluations'!$C$2:$C$36,"=d20270108"),"")</f>
      </c>
      <c r="CA156" s="8">
        <f>IF((0=1),SUMIFS('Daily evaluations'!$I$2:$I$36,'Daily evaluations'!$B$2:$B$36,"=p10_52wk_high",'Daily evaluations'!$C$2:$C$36,"=d20270111"),"")</f>
      </c>
      <c r="CB156" s="8">
        <f>IF((0=1),SUMIFS('Daily evaluations'!$I$2:$I$36,'Daily evaluations'!$B$2:$B$36,"=p10_52wk_high",'Daily evaluations'!$C$2:$C$36,"=d20270112"),"")</f>
      </c>
      <c r="CC156" s="8">
        <f>IF((0=1),SUMIFS('Daily evaluations'!$I$2:$I$36,'Daily evaluations'!$B$2:$B$36,"=p10_52wk_high",'Daily evaluations'!$C$2:$C$36,"=d20270113"),"")</f>
      </c>
      <c r="CD156" s="8">
        <f>IF((0=1),SUMIFS('Daily evaluations'!$I$2:$I$36,'Daily evaluations'!$B$2:$B$36,"=p10_52wk_high",'Daily evaluations'!$C$2:$C$36,"=d20270114"),"")</f>
      </c>
      <c r="CE156" s="8">
        <f>IF((0=1),SUMIFS('Daily evaluations'!$I$2:$I$36,'Daily evaluations'!$B$2:$B$36,"=p10_52wk_high",'Daily evaluations'!$C$2:$C$36,"=d20270115"),"")</f>
      </c>
      <c r="CF156" s="8">
        <f>IF((0=1),SUMIFS('Daily evaluations'!$I$2:$I$36,'Daily evaluations'!$B$2:$B$36,"=p10_52wk_high",'Daily evaluations'!$C$2:$C$36,"=d20270119"),"")</f>
      </c>
      <c r="CG156" s="8">
        <f>IF((0=1),SUMIFS('Daily evaluations'!$I$2:$I$36,'Daily evaluations'!$B$2:$B$36,"=p10_52wk_high",'Daily evaluations'!$C$2:$C$36,"=d20270120"),"")</f>
      </c>
      <c r="CH156" s="8">
        <f>IF((0=1),SUMIFS('Daily evaluations'!$I$2:$I$36,'Daily evaluations'!$B$2:$B$36,"=p10_52wk_high",'Daily evaluations'!$C$2:$C$36,"=d20270121"),"")</f>
      </c>
      <c r="CI156" s="8">
        <f>IF((0=1),SUMIFS('Daily evaluations'!$I$2:$I$36,'Daily evaluations'!$B$2:$B$36,"=p10_52wk_high",'Daily evaluations'!$C$2:$C$36,"=d20270122"),"")</f>
      </c>
      <c r="CJ156" s="8">
        <f>IF((0=1),SUMIFS('Daily evaluations'!$I$2:$I$36,'Daily evaluations'!$B$2:$B$36,"=p10_52wk_high",'Daily evaluations'!$C$2:$C$36,"=d20270125"),"")</f>
      </c>
      <c r="CK156" s="8">
        <f>IF((0=1),SUMIFS('Daily evaluations'!$I$2:$I$36,'Daily evaluations'!$B$2:$B$36,"=p10_52wk_high",'Daily evaluations'!$C$2:$C$36,"=d20270126"),"")</f>
      </c>
      <c r="CL156" s="8">
        <f>IF((0=1),SUMIFS('Daily evaluations'!$I$2:$I$36,'Daily evaluations'!$B$2:$B$36,"=p10_52wk_high",'Daily evaluations'!$C$2:$C$36,"=d20270127"),"")</f>
      </c>
      <c r="CM156" s="8">
        <f>IF((0=1),SUMIFS('Daily evaluations'!$I$2:$I$36,'Daily evaluations'!$B$2:$B$36,"=p10_52wk_high",'Daily evaluations'!$C$2:$C$36,"=d20270128"),"")</f>
      </c>
      <c r="CN156" s="8">
        <f>IF((0=1),SUMIFS('Daily evaluations'!$I$2:$I$36,'Daily evaluations'!$B$2:$B$36,"=p10_52wk_high",'Daily evaluations'!$C$2:$C$36,"=d20270129"),"")</f>
      </c>
      <c r="CO156" s="8">
        <f>IF((0=1),SUMIFS('Daily evaluations'!$I$2:$I$36,'Daily evaluations'!$B$2:$B$36,"=p10_52wk_high",'Daily evaluations'!$C$2:$C$36,"=d20270201"),"")</f>
      </c>
      <c r="CP156" s="8">
        <f>IF((0=1),SUMIFS('Daily evaluations'!$I$2:$I$36,'Daily evaluations'!$B$2:$B$36,"=p10_52wk_high",'Daily evaluations'!$C$2:$C$36,"=d20270202"),"")</f>
      </c>
      <c r="CQ156" s="8">
        <f>IF((0=1),SUMIFS('Daily evaluations'!$I$2:$I$36,'Daily evaluations'!$B$2:$B$36,"=p10_52wk_high",'Daily evaluations'!$C$2:$C$36,"=d20270203"),"")</f>
      </c>
      <c r="CR156" s="8">
        <f>IF((0=1),SUMIFS('Daily evaluations'!$I$2:$I$36,'Daily evaluations'!$B$2:$B$36,"=p10_52wk_high",'Daily evaluations'!$C$2:$C$36,"=d20270204"),"")</f>
      </c>
      <c r="CS156" s="8">
        <f>IF((0=1),SUMIFS('Daily evaluations'!$I$2:$I$36,'Daily evaluations'!$B$2:$B$36,"=p10_52wk_high",'Daily evaluations'!$C$2:$C$36,"=d20270205"),"")</f>
      </c>
      <c r="CT156" s="8">
        <f>IF((0=1),SUMIFS('Daily evaluations'!$I$2:$I$36,'Daily evaluations'!$B$2:$B$36,"=p10_52wk_high",'Daily evaluations'!$C$2:$C$36,"=d20270208"),"")</f>
      </c>
      <c r="CU156" s="8">
        <f>IF((0=1),SUMIFS('Daily evaluations'!$I$2:$I$36,'Daily evaluations'!$B$2:$B$36,"=p10_52wk_high",'Daily evaluations'!$C$2:$C$36,"=d20270209"),"")</f>
      </c>
      <c r="CV156" s="8">
        <f>IF((0=1),SUMIFS('Daily evaluations'!$I$2:$I$36,'Daily evaluations'!$B$2:$B$36,"=p10_52wk_high",'Daily evaluations'!$C$2:$C$36,"=d20270210"),"")</f>
      </c>
      <c r="CW156" s="8">
        <f>IF((0=1),SUMIFS('Daily evaluations'!$I$2:$I$36,'Daily evaluations'!$B$2:$B$36,"=p10_52wk_high",'Daily evaluations'!$C$2:$C$36,"=d20270211"),"")</f>
      </c>
      <c r="CX156" s="8">
        <f>IF((0=1),SUMIFS('Daily evaluations'!$I$2:$I$36,'Daily evaluations'!$B$2:$B$36,"=p10_52wk_high",'Daily evaluations'!$C$2:$C$36,"=d20270212"),"")</f>
      </c>
    </row>
    <row r="157">
      <c r="A157" s="0" t="inlineStr">
        <is>
          <t xml:space="preserve">Information coefficient</t>
        </is>
      </c>
      <c r="B157" s="0" t="inlineStr">
        <is>
          <t xml:space="preserve">Random 1</t>
        </is>
      </c>
      <c r="C157" s="8">
        <f>IF((1=1),SUMIFS('Daily evaluations'!$I$2:$I$36,'Daily evaluations'!$B$2:$B$36,"=random_01",'Daily evaluations'!$C$2:$C$36,"=d20260922"),"")</f>
        <v>0.0364</v>
      </c>
      <c r="D157" s="8">
        <f>IF((0=1),SUMIFS('Daily evaluations'!$I$2:$I$36,'Daily evaluations'!$B$2:$B$36,"=random_01",'Daily evaluations'!$C$2:$C$36,"=d20260923"),"")</f>
      </c>
      <c r="E157" s="8">
        <f>IF((0=1),SUMIFS('Daily evaluations'!$I$2:$I$36,'Daily evaluations'!$B$2:$B$36,"=random_01",'Daily evaluations'!$C$2:$C$36,"=d20260924"),"")</f>
      </c>
      <c r="F157" s="8">
        <f>IF((0=1),SUMIFS('Daily evaluations'!$I$2:$I$36,'Daily evaluations'!$B$2:$B$36,"=random_01",'Daily evaluations'!$C$2:$C$36,"=d20260925"),"")</f>
      </c>
      <c r="G157" s="8">
        <f>IF((0=1),SUMIFS('Daily evaluations'!$I$2:$I$36,'Daily evaluations'!$B$2:$B$36,"=random_01",'Daily evaluations'!$C$2:$C$36,"=d20260928"),"")</f>
      </c>
      <c r="H157" s="8">
        <f>IF((0=1),SUMIFS('Daily evaluations'!$I$2:$I$36,'Daily evaluations'!$B$2:$B$36,"=random_01",'Daily evaluations'!$C$2:$C$36,"=d20260929"),"")</f>
      </c>
      <c r="I157" s="8">
        <f>IF((0=1),SUMIFS('Daily evaluations'!$I$2:$I$36,'Daily evaluations'!$B$2:$B$36,"=random_01",'Daily evaluations'!$C$2:$C$36,"=d20260930"),"")</f>
      </c>
      <c r="J157" s="8">
        <f>IF((0=1),SUMIFS('Daily evaluations'!$I$2:$I$36,'Daily evaluations'!$B$2:$B$36,"=random_01",'Daily evaluations'!$C$2:$C$36,"=d20261001"),"")</f>
      </c>
      <c r="K157" s="8">
        <f>IF((0=1),SUMIFS('Daily evaluations'!$I$2:$I$36,'Daily evaluations'!$B$2:$B$36,"=random_01",'Daily evaluations'!$C$2:$C$36,"=d20261002"),"")</f>
      </c>
      <c r="L157" s="8">
        <f>IF((0=1),SUMIFS('Daily evaluations'!$I$2:$I$36,'Daily evaluations'!$B$2:$B$36,"=random_01",'Daily evaluations'!$C$2:$C$36,"=d20261005"),"")</f>
      </c>
      <c r="M157" s="8">
        <f>IF((0=1),SUMIFS('Daily evaluations'!$I$2:$I$36,'Daily evaluations'!$B$2:$B$36,"=random_01",'Daily evaluations'!$C$2:$C$36,"=d20261006"),"")</f>
      </c>
      <c r="N157" s="8">
        <f>IF((0=1),SUMIFS('Daily evaluations'!$I$2:$I$36,'Daily evaluations'!$B$2:$B$36,"=random_01",'Daily evaluations'!$C$2:$C$36,"=d20261007"),"")</f>
      </c>
      <c r="O157" s="8">
        <f>IF((0=1),SUMIFS('Daily evaluations'!$I$2:$I$36,'Daily evaluations'!$B$2:$B$36,"=random_01",'Daily evaluations'!$C$2:$C$36,"=d20261008"),"")</f>
      </c>
      <c r="P157" s="8">
        <f>IF((0=1),SUMIFS('Daily evaluations'!$I$2:$I$36,'Daily evaluations'!$B$2:$B$36,"=random_01",'Daily evaluations'!$C$2:$C$36,"=d20261009"),"")</f>
      </c>
      <c r="Q157" s="8">
        <f>IF((0=1),SUMIFS('Daily evaluations'!$I$2:$I$36,'Daily evaluations'!$B$2:$B$36,"=random_01",'Daily evaluations'!$C$2:$C$36,"=d20261012"),"")</f>
      </c>
      <c r="R157" s="8">
        <f>IF((0=1),SUMIFS('Daily evaluations'!$I$2:$I$36,'Daily evaluations'!$B$2:$B$36,"=random_01",'Daily evaluations'!$C$2:$C$36,"=d20261013"),"")</f>
      </c>
      <c r="S157" s="8">
        <f>IF((0=1),SUMIFS('Daily evaluations'!$I$2:$I$36,'Daily evaluations'!$B$2:$B$36,"=random_01",'Daily evaluations'!$C$2:$C$36,"=d20261014"),"")</f>
      </c>
      <c r="T157" s="8">
        <f>IF((0=1),SUMIFS('Daily evaluations'!$I$2:$I$36,'Daily evaluations'!$B$2:$B$36,"=random_01",'Daily evaluations'!$C$2:$C$36,"=d20261015"),"")</f>
      </c>
      <c r="U157" s="8">
        <f>IF((0=1),SUMIFS('Daily evaluations'!$I$2:$I$36,'Daily evaluations'!$B$2:$B$36,"=random_01",'Daily evaluations'!$C$2:$C$36,"=d20261016"),"")</f>
      </c>
      <c r="V157" s="8">
        <f>IF((0=1),SUMIFS('Daily evaluations'!$I$2:$I$36,'Daily evaluations'!$B$2:$B$36,"=random_01",'Daily evaluations'!$C$2:$C$36,"=d20261019"),"")</f>
      </c>
      <c r="W157" s="8">
        <f>IF((0=1),SUMIFS('Daily evaluations'!$I$2:$I$36,'Daily evaluations'!$B$2:$B$36,"=random_01",'Daily evaluations'!$C$2:$C$36,"=d20261020"),"")</f>
      </c>
      <c r="X157" s="8">
        <f>IF((0=1),SUMIFS('Daily evaluations'!$I$2:$I$36,'Daily evaluations'!$B$2:$B$36,"=random_01",'Daily evaluations'!$C$2:$C$36,"=d20261021"),"")</f>
      </c>
      <c r="Y157" s="8">
        <f>IF((0=1),SUMIFS('Daily evaluations'!$I$2:$I$36,'Daily evaluations'!$B$2:$B$36,"=random_01",'Daily evaluations'!$C$2:$C$36,"=d20261022"),"")</f>
      </c>
      <c r="Z157" s="8">
        <f>IF((0=1),SUMIFS('Daily evaluations'!$I$2:$I$36,'Daily evaluations'!$B$2:$B$36,"=random_01",'Daily evaluations'!$C$2:$C$36,"=d20261023"),"")</f>
      </c>
      <c r="AA157" s="8">
        <f>IF((0=1),SUMIFS('Daily evaluations'!$I$2:$I$36,'Daily evaluations'!$B$2:$B$36,"=random_01",'Daily evaluations'!$C$2:$C$36,"=d20261026"),"")</f>
      </c>
      <c r="AB157" s="8">
        <f>IF((0=1),SUMIFS('Daily evaluations'!$I$2:$I$36,'Daily evaluations'!$B$2:$B$36,"=random_01",'Daily evaluations'!$C$2:$C$36,"=d20261027"),"")</f>
      </c>
      <c r="AC157" s="8">
        <f>IF((0=1),SUMIFS('Daily evaluations'!$I$2:$I$36,'Daily evaluations'!$B$2:$B$36,"=random_01",'Daily evaluations'!$C$2:$C$36,"=d20261028"),"")</f>
      </c>
      <c r="AD157" s="8">
        <f>IF((0=1),SUMIFS('Daily evaluations'!$I$2:$I$36,'Daily evaluations'!$B$2:$B$36,"=random_01",'Daily evaluations'!$C$2:$C$36,"=d20261029"),"")</f>
      </c>
      <c r="AE157" s="8">
        <f>IF((0=1),SUMIFS('Daily evaluations'!$I$2:$I$36,'Daily evaluations'!$B$2:$B$36,"=random_01",'Daily evaluations'!$C$2:$C$36,"=d20261030"),"")</f>
      </c>
      <c r="AF157" s="8">
        <f>IF((0=1),SUMIFS('Daily evaluations'!$I$2:$I$36,'Daily evaluations'!$B$2:$B$36,"=random_01",'Daily evaluations'!$C$2:$C$36,"=d20261102"),"")</f>
      </c>
      <c r="AG157" s="8">
        <f>IF((0=1),SUMIFS('Daily evaluations'!$I$2:$I$36,'Daily evaluations'!$B$2:$B$36,"=random_01",'Daily evaluations'!$C$2:$C$36,"=d20261103"),"")</f>
      </c>
      <c r="AH157" s="8">
        <f>IF((0=1),SUMIFS('Daily evaluations'!$I$2:$I$36,'Daily evaluations'!$B$2:$B$36,"=random_01",'Daily evaluations'!$C$2:$C$36,"=d20261104"),"")</f>
      </c>
      <c r="AI157" s="8">
        <f>IF((0=1),SUMIFS('Daily evaluations'!$I$2:$I$36,'Daily evaluations'!$B$2:$B$36,"=random_01",'Daily evaluations'!$C$2:$C$36,"=d20261105"),"")</f>
      </c>
      <c r="AJ157" s="8">
        <f>IF((0=1),SUMIFS('Daily evaluations'!$I$2:$I$36,'Daily evaluations'!$B$2:$B$36,"=random_01",'Daily evaluations'!$C$2:$C$36,"=d20261106"),"")</f>
      </c>
      <c r="AK157" s="8">
        <f>IF((0=1),SUMIFS('Daily evaluations'!$I$2:$I$36,'Daily evaluations'!$B$2:$B$36,"=random_01",'Daily evaluations'!$C$2:$C$36,"=d20261109"),"")</f>
      </c>
      <c r="AL157" s="8">
        <f>IF((0=1),SUMIFS('Daily evaluations'!$I$2:$I$36,'Daily evaluations'!$B$2:$B$36,"=random_01",'Daily evaluations'!$C$2:$C$36,"=d20261110"),"")</f>
      </c>
      <c r="AM157" s="8">
        <f>IF((0=1),SUMIFS('Daily evaluations'!$I$2:$I$36,'Daily evaluations'!$B$2:$B$36,"=random_01",'Daily evaluations'!$C$2:$C$36,"=d20261111"),"")</f>
      </c>
      <c r="AN157" s="8">
        <f>IF((0=1),SUMIFS('Daily evaluations'!$I$2:$I$36,'Daily evaluations'!$B$2:$B$36,"=random_01",'Daily evaluations'!$C$2:$C$36,"=d20261112"),"")</f>
      </c>
      <c r="AO157" s="8">
        <f>IF((0=1),SUMIFS('Daily evaluations'!$I$2:$I$36,'Daily evaluations'!$B$2:$B$36,"=random_01",'Daily evaluations'!$C$2:$C$36,"=d20261113"),"")</f>
      </c>
      <c r="AP157" s="8">
        <f>IF((0=1),SUMIFS('Daily evaluations'!$I$2:$I$36,'Daily evaluations'!$B$2:$B$36,"=random_01",'Daily evaluations'!$C$2:$C$36,"=d20261116"),"")</f>
      </c>
      <c r="AQ157" s="8">
        <f>IF((0=1),SUMIFS('Daily evaluations'!$I$2:$I$36,'Daily evaluations'!$B$2:$B$36,"=random_01",'Daily evaluations'!$C$2:$C$36,"=d20261117"),"")</f>
      </c>
      <c r="AR157" s="8">
        <f>IF((0=1),SUMIFS('Daily evaluations'!$I$2:$I$36,'Daily evaluations'!$B$2:$B$36,"=random_01",'Daily evaluations'!$C$2:$C$36,"=d20261118"),"")</f>
      </c>
      <c r="AS157" s="8">
        <f>IF((0=1),SUMIFS('Daily evaluations'!$I$2:$I$36,'Daily evaluations'!$B$2:$B$36,"=random_01",'Daily evaluations'!$C$2:$C$36,"=d20261119"),"")</f>
      </c>
      <c r="AT157" s="8">
        <f>IF((0=1),SUMIFS('Daily evaluations'!$I$2:$I$36,'Daily evaluations'!$B$2:$B$36,"=random_01",'Daily evaluations'!$C$2:$C$36,"=d20261120"),"")</f>
      </c>
      <c r="AU157" s="8">
        <f>IF((0=1),SUMIFS('Daily evaluations'!$I$2:$I$36,'Daily evaluations'!$B$2:$B$36,"=random_01",'Daily evaluations'!$C$2:$C$36,"=d20261123"),"")</f>
      </c>
      <c r="AV157" s="8">
        <f>IF((0=1),SUMIFS('Daily evaluations'!$I$2:$I$36,'Daily evaluations'!$B$2:$B$36,"=random_01",'Daily evaluations'!$C$2:$C$36,"=d20261124"),"")</f>
      </c>
      <c r="AW157" s="8">
        <f>IF((0=1),SUMIFS('Daily evaluations'!$I$2:$I$36,'Daily evaluations'!$B$2:$B$36,"=random_01",'Daily evaluations'!$C$2:$C$36,"=d20261125"),"")</f>
      </c>
      <c r="AX157" s="8">
        <f>IF((0=1),SUMIFS('Daily evaluations'!$I$2:$I$36,'Daily evaluations'!$B$2:$B$36,"=random_01",'Daily evaluations'!$C$2:$C$36,"=d20261127"),"")</f>
      </c>
      <c r="AY157" s="8">
        <f>IF((0=1),SUMIFS('Daily evaluations'!$I$2:$I$36,'Daily evaluations'!$B$2:$B$36,"=random_01",'Daily evaluations'!$C$2:$C$36,"=d20261130"),"")</f>
      </c>
      <c r="AZ157" s="8">
        <f>IF((0=1),SUMIFS('Daily evaluations'!$I$2:$I$36,'Daily evaluations'!$B$2:$B$36,"=random_01",'Daily evaluations'!$C$2:$C$36,"=d20261201"),"")</f>
      </c>
      <c r="BA157" s="8">
        <f>IF((0=1),SUMIFS('Daily evaluations'!$I$2:$I$36,'Daily evaluations'!$B$2:$B$36,"=random_01",'Daily evaluations'!$C$2:$C$36,"=d20261202"),"")</f>
      </c>
      <c r="BB157" s="8">
        <f>IF((0=1),SUMIFS('Daily evaluations'!$I$2:$I$36,'Daily evaluations'!$B$2:$B$36,"=random_01",'Daily evaluations'!$C$2:$C$36,"=d20261203"),"")</f>
      </c>
      <c r="BC157" s="8">
        <f>IF((0=1),SUMIFS('Daily evaluations'!$I$2:$I$36,'Daily evaluations'!$B$2:$B$36,"=random_01",'Daily evaluations'!$C$2:$C$36,"=d20261204"),"")</f>
      </c>
      <c r="BD157" s="8">
        <f>IF((0=1),SUMIFS('Daily evaluations'!$I$2:$I$36,'Daily evaluations'!$B$2:$B$36,"=random_01",'Daily evaluations'!$C$2:$C$36,"=d20261207"),"")</f>
      </c>
      <c r="BE157" s="8">
        <f>IF((0=1),SUMIFS('Daily evaluations'!$I$2:$I$36,'Daily evaluations'!$B$2:$B$36,"=random_01",'Daily evaluations'!$C$2:$C$36,"=d20261208"),"")</f>
      </c>
      <c r="BF157" s="8">
        <f>IF((0=1),SUMIFS('Daily evaluations'!$I$2:$I$36,'Daily evaluations'!$B$2:$B$36,"=random_01",'Daily evaluations'!$C$2:$C$36,"=d20261209"),"")</f>
      </c>
      <c r="BG157" s="8">
        <f>IF((0=1),SUMIFS('Daily evaluations'!$I$2:$I$36,'Daily evaluations'!$B$2:$B$36,"=random_01",'Daily evaluations'!$C$2:$C$36,"=d20261210"),"")</f>
      </c>
      <c r="BH157" s="8">
        <f>IF((0=1),SUMIFS('Daily evaluations'!$I$2:$I$36,'Daily evaluations'!$B$2:$B$36,"=random_01",'Daily evaluations'!$C$2:$C$36,"=d20261211"),"")</f>
      </c>
      <c r="BI157" s="8">
        <f>IF((0=1),SUMIFS('Daily evaluations'!$I$2:$I$36,'Daily evaluations'!$B$2:$B$36,"=random_01",'Daily evaluations'!$C$2:$C$36,"=d20261214"),"")</f>
      </c>
      <c r="BJ157" s="8">
        <f>IF((0=1),SUMIFS('Daily evaluations'!$I$2:$I$36,'Daily evaluations'!$B$2:$B$36,"=random_01",'Daily evaluations'!$C$2:$C$36,"=d20261215"),"")</f>
      </c>
      <c r="BK157" s="8">
        <f>IF((0=1),SUMIFS('Daily evaluations'!$I$2:$I$36,'Daily evaluations'!$B$2:$B$36,"=random_01",'Daily evaluations'!$C$2:$C$36,"=d20261216"),"")</f>
      </c>
      <c r="BL157" s="8">
        <f>IF((0=1),SUMIFS('Daily evaluations'!$I$2:$I$36,'Daily evaluations'!$B$2:$B$36,"=random_01",'Daily evaluations'!$C$2:$C$36,"=d20261217"),"")</f>
      </c>
      <c r="BM157" s="8">
        <f>IF((0=1),SUMIFS('Daily evaluations'!$I$2:$I$36,'Daily evaluations'!$B$2:$B$36,"=random_01",'Daily evaluations'!$C$2:$C$36,"=d20261218"),"")</f>
      </c>
      <c r="BN157" s="8">
        <f>IF((0=1),SUMIFS('Daily evaluations'!$I$2:$I$36,'Daily evaluations'!$B$2:$B$36,"=random_01",'Daily evaluations'!$C$2:$C$36,"=d20261221"),"")</f>
      </c>
      <c r="BO157" s="8">
        <f>IF((0=1),SUMIFS('Daily evaluations'!$I$2:$I$36,'Daily evaluations'!$B$2:$B$36,"=random_01",'Daily evaluations'!$C$2:$C$36,"=d20261222"),"")</f>
      </c>
      <c r="BP157" s="8">
        <f>IF((0=1),SUMIFS('Daily evaluations'!$I$2:$I$36,'Daily evaluations'!$B$2:$B$36,"=random_01",'Daily evaluations'!$C$2:$C$36,"=d20261223"),"")</f>
      </c>
      <c r="BQ157" s="8">
        <f>IF((0=1),SUMIFS('Daily evaluations'!$I$2:$I$36,'Daily evaluations'!$B$2:$B$36,"=random_01",'Daily evaluations'!$C$2:$C$36,"=d20261224"),"")</f>
      </c>
      <c r="BR157" s="8">
        <f>IF((0=1),SUMIFS('Daily evaluations'!$I$2:$I$36,'Daily evaluations'!$B$2:$B$36,"=random_01",'Daily evaluations'!$C$2:$C$36,"=d20261228"),"")</f>
      </c>
      <c r="BS157" s="8">
        <f>IF((0=1),SUMIFS('Daily evaluations'!$I$2:$I$36,'Daily evaluations'!$B$2:$B$36,"=random_01",'Daily evaluations'!$C$2:$C$36,"=d20261229"),"")</f>
      </c>
      <c r="BT157" s="8">
        <f>IF((0=1),SUMIFS('Daily evaluations'!$I$2:$I$36,'Daily evaluations'!$B$2:$B$36,"=random_01",'Daily evaluations'!$C$2:$C$36,"=d20261230"),"")</f>
      </c>
      <c r="BU157" s="8">
        <f>IF((0=1),SUMIFS('Daily evaluations'!$I$2:$I$36,'Daily evaluations'!$B$2:$B$36,"=random_01",'Daily evaluations'!$C$2:$C$36,"=d20261231"),"")</f>
      </c>
      <c r="BV157" s="8">
        <f>IF((0=1),SUMIFS('Daily evaluations'!$I$2:$I$36,'Daily evaluations'!$B$2:$B$36,"=random_01",'Daily evaluations'!$C$2:$C$36,"=d20270104"),"")</f>
      </c>
      <c r="BW157" s="8">
        <f>IF((0=1),SUMIFS('Daily evaluations'!$I$2:$I$36,'Daily evaluations'!$B$2:$B$36,"=random_01",'Daily evaluations'!$C$2:$C$36,"=d20270105"),"")</f>
      </c>
      <c r="BX157" s="8">
        <f>IF((0=1),SUMIFS('Daily evaluations'!$I$2:$I$36,'Daily evaluations'!$B$2:$B$36,"=random_01",'Daily evaluations'!$C$2:$C$36,"=d20270106"),"")</f>
      </c>
      <c r="BY157" s="8">
        <f>IF((0=1),SUMIFS('Daily evaluations'!$I$2:$I$36,'Daily evaluations'!$B$2:$B$36,"=random_01",'Daily evaluations'!$C$2:$C$36,"=d20270107"),"")</f>
      </c>
      <c r="BZ157" s="8">
        <f>IF((0=1),SUMIFS('Daily evaluations'!$I$2:$I$36,'Daily evaluations'!$B$2:$B$36,"=random_01",'Daily evaluations'!$C$2:$C$36,"=d20270108"),"")</f>
      </c>
      <c r="CA157" s="8">
        <f>IF((0=1),SUMIFS('Daily evaluations'!$I$2:$I$36,'Daily evaluations'!$B$2:$B$36,"=random_01",'Daily evaluations'!$C$2:$C$36,"=d20270111"),"")</f>
      </c>
      <c r="CB157" s="8">
        <f>IF((0=1),SUMIFS('Daily evaluations'!$I$2:$I$36,'Daily evaluations'!$B$2:$B$36,"=random_01",'Daily evaluations'!$C$2:$C$36,"=d20270112"),"")</f>
      </c>
      <c r="CC157" s="8">
        <f>IF((0=1),SUMIFS('Daily evaluations'!$I$2:$I$36,'Daily evaluations'!$B$2:$B$36,"=random_01",'Daily evaluations'!$C$2:$C$36,"=d20270113"),"")</f>
      </c>
      <c r="CD157" s="8">
        <f>IF((0=1),SUMIFS('Daily evaluations'!$I$2:$I$36,'Daily evaluations'!$B$2:$B$36,"=random_01",'Daily evaluations'!$C$2:$C$36,"=d20270114"),"")</f>
      </c>
      <c r="CE157" s="8">
        <f>IF((0=1),SUMIFS('Daily evaluations'!$I$2:$I$36,'Daily evaluations'!$B$2:$B$36,"=random_01",'Daily evaluations'!$C$2:$C$36,"=d20270115"),"")</f>
      </c>
      <c r="CF157" s="8">
        <f>IF((0=1),SUMIFS('Daily evaluations'!$I$2:$I$36,'Daily evaluations'!$B$2:$B$36,"=random_01",'Daily evaluations'!$C$2:$C$36,"=d20270119"),"")</f>
      </c>
      <c r="CG157" s="8">
        <f>IF((0=1),SUMIFS('Daily evaluations'!$I$2:$I$36,'Daily evaluations'!$B$2:$B$36,"=random_01",'Daily evaluations'!$C$2:$C$36,"=d20270120"),"")</f>
      </c>
      <c r="CH157" s="8">
        <f>IF((0=1),SUMIFS('Daily evaluations'!$I$2:$I$36,'Daily evaluations'!$B$2:$B$36,"=random_01",'Daily evaluations'!$C$2:$C$36,"=d20270121"),"")</f>
      </c>
      <c r="CI157" s="8">
        <f>IF((0=1),SUMIFS('Daily evaluations'!$I$2:$I$36,'Daily evaluations'!$B$2:$B$36,"=random_01",'Daily evaluations'!$C$2:$C$36,"=d20270122"),"")</f>
      </c>
      <c r="CJ157" s="8">
        <f>IF((0=1),SUMIFS('Daily evaluations'!$I$2:$I$36,'Daily evaluations'!$B$2:$B$36,"=random_01",'Daily evaluations'!$C$2:$C$36,"=d20270125"),"")</f>
      </c>
      <c r="CK157" s="8">
        <f>IF((0=1),SUMIFS('Daily evaluations'!$I$2:$I$36,'Daily evaluations'!$B$2:$B$36,"=random_01",'Daily evaluations'!$C$2:$C$36,"=d20270126"),"")</f>
      </c>
      <c r="CL157" s="8">
        <f>IF((0=1),SUMIFS('Daily evaluations'!$I$2:$I$36,'Daily evaluations'!$B$2:$B$36,"=random_01",'Daily evaluations'!$C$2:$C$36,"=d20270127"),"")</f>
      </c>
      <c r="CM157" s="8">
        <f>IF((0=1),SUMIFS('Daily evaluations'!$I$2:$I$36,'Daily evaluations'!$B$2:$B$36,"=random_01",'Daily evaluations'!$C$2:$C$36,"=d20270128"),"")</f>
      </c>
      <c r="CN157" s="8">
        <f>IF((0=1),SUMIFS('Daily evaluations'!$I$2:$I$36,'Daily evaluations'!$B$2:$B$36,"=random_01",'Daily evaluations'!$C$2:$C$36,"=d20270129"),"")</f>
      </c>
      <c r="CO157" s="8">
        <f>IF((0=1),SUMIFS('Daily evaluations'!$I$2:$I$36,'Daily evaluations'!$B$2:$B$36,"=random_01",'Daily evaluations'!$C$2:$C$36,"=d20270201"),"")</f>
      </c>
      <c r="CP157" s="8">
        <f>IF((0=1),SUMIFS('Daily evaluations'!$I$2:$I$36,'Daily evaluations'!$B$2:$B$36,"=random_01",'Daily evaluations'!$C$2:$C$36,"=d20270202"),"")</f>
      </c>
      <c r="CQ157" s="8">
        <f>IF((0=1),SUMIFS('Daily evaluations'!$I$2:$I$36,'Daily evaluations'!$B$2:$B$36,"=random_01",'Daily evaluations'!$C$2:$C$36,"=d20270203"),"")</f>
      </c>
      <c r="CR157" s="8">
        <f>IF((0=1),SUMIFS('Daily evaluations'!$I$2:$I$36,'Daily evaluations'!$B$2:$B$36,"=random_01",'Daily evaluations'!$C$2:$C$36,"=d20270204"),"")</f>
      </c>
      <c r="CS157" s="8">
        <f>IF((0=1),SUMIFS('Daily evaluations'!$I$2:$I$36,'Daily evaluations'!$B$2:$B$36,"=random_01",'Daily evaluations'!$C$2:$C$36,"=d20270205"),"")</f>
      </c>
      <c r="CT157" s="8">
        <f>IF((0=1),SUMIFS('Daily evaluations'!$I$2:$I$36,'Daily evaluations'!$B$2:$B$36,"=random_01",'Daily evaluations'!$C$2:$C$36,"=d20270208"),"")</f>
      </c>
      <c r="CU157" s="8">
        <f>IF((0=1),SUMIFS('Daily evaluations'!$I$2:$I$36,'Daily evaluations'!$B$2:$B$36,"=random_01",'Daily evaluations'!$C$2:$C$36,"=d20270209"),"")</f>
      </c>
      <c r="CV157" s="8">
        <f>IF((0=1),SUMIFS('Daily evaluations'!$I$2:$I$36,'Daily evaluations'!$B$2:$B$36,"=random_01",'Daily evaluations'!$C$2:$C$36,"=d20270210"),"")</f>
      </c>
      <c r="CW157" s="8">
        <f>IF((0=1),SUMIFS('Daily evaluations'!$I$2:$I$36,'Daily evaluations'!$B$2:$B$36,"=random_01",'Daily evaluations'!$C$2:$C$36,"=d20270211"),"")</f>
      </c>
      <c r="CX157" s="8">
        <f>IF((0=1),SUMIFS('Daily evaluations'!$I$2:$I$36,'Daily evaluations'!$B$2:$B$36,"=random_01",'Daily evaluations'!$C$2:$C$36,"=d20270212"),"")</f>
      </c>
    </row>
    <row r="158">
      <c r="A158" s="0" t="inlineStr">
        <is>
          <t xml:space="preserve">Information coefficient</t>
        </is>
      </c>
      <c r="B158" s="0" t="inlineStr">
        <is>
          <t xml:space="preserve">Random 2</t>
        </is>
      </c>
      <c r="C158" s="8">
        <f>IF((1=1),SUMIFS('Daily evaluations'!$I$2:$I$36,'Daily evaluations'!$B$2:$B$36,"=random_02",'Daily evaluations'!$C$2:$C$36,"=d20260922"),"")</f>
        <v>0.0008</v>
      </c>
      <c r="D158" s="8">
        <f>IF((0=1),SUMIFS('Daily evaluations'!$I$2:$I$36,'Daily evaluations'!$B$2:$B$36,"=random_02",'Daily evaluations'!$C$2:$C$36,"=d20260923"),"")</f>
      </c>
      <c r="E158" s="8">
        <f>IF((0=1),SUMIFS('Daily evaluations'!$I$2:$I$36,'Daily evaluations'!$B$2:$B$36,"=random_02",'Daily evaluations'!$C$2:$C$36,"=d20260924"),"")</f>
      </c>
      <c r="F158" s="8">
        <f>IF((0=1),SUMIFS('Daily evaluations'!$I$2:$I$36,'Daily evaluations'!$B$2:$B$36,"=random_02",'Daily evaluations'!$C$2:$C$36,"=d20260925"),"")</f>
      </c>
      <c r="G158" s="8">
        <f>IF((0=1),SUMIFS('Daily evaluations'!$I$2:$I$36,'Daily evaluations'!$B$2:$B$36,"=random_02",'Daily evaluations'!$C$2:$C$36,"=d20260928"),"")</f>
      </c>
      <c r="H158" s="8">
        <f>IF((0=1),SUMIFS('Daily evaluations'!$I$2:$I$36,'Daily evaluations'!$B$2:$B$36,"=random_02",'Daily evaluations'!$C$2:$C$36,"=d20260929"),"")</f>
      </c>
      <c r="I158" s="8">
        <f>IF((0=1),SUMIFS('Daily evaluations'!$I$2:$I$36,'Daily evaluations'!$B$2:$B$36,"=random_02",'Daily evaluations'!$C$2:$C$36,"=d20260930"),"")</f>
      </c>
      <c r="J158" s="8">
        <f>IF((0=1),SUMIFS('Daily evaluations'!$I$2:$I$36,'Daily evaluations'!$B$2:$B$36,"=random_02",'Daily evaluations'!$C$2:$C$36,"=d20261001"),"")</f>
      </c>
      <c r="K158" s="8">
        <f>IF((0=1),SUMIFS('Daily evaluations'!$I$2:$I$36,'Daily evaluations'!$B$2:$B$36,"=random_02",'Daily evaluations'!$C$2:$C$36,"=d20261002"),"")</f>
      </c>
      <c r="L158" s="8">
        <f>IF((0=1),SUMIFS('Daily evaluations'!$I$2:$I$36,'Daily evaluations'!$B$2:$B$36,"=random_02",'Daily evaluations'!$C$2:$C$36,"=d20261005"),"")</f>
      </c>
      <c r="M158" s="8">
        <f>IF((0=1),SUMIFS('Daily evaluations'!$I$2:$I$36,'Daily evaluations'!$B$2:$B$36,"=random_02",'Daily evaluations'!$C$2:$C$36,"=d20261006"),"")</f>
      </c>
      <c r="N158" s="8">
        <f>IF((0=1),SUMIFS('Daily evaluations'!$I$2:$I$36,'Daily evaluations'!$B$2:$B$36,"=random_02",'Daily evaluations'!$C$2:$C$36,"=d20261007"),"")</f>
      </c>
      <c r="O158" s="8">
        <f>IF((0=1),SUMIFS('Daily evaluations'!$I$2:$I$36,'Daily evaluations'!$B$2:$B$36,"=random_02",'Daily evaluations'!$C$2:$C$36,"=d20261008"),"")</f>
      </c>
      <c r="P158" s="8">
        <f>IF((0=1),SUMIFS('Daily evaluations'!$I$2:$I$36,'Daily evaluations'!$B$2:$B$36,"=random_02",'Daily evaluations'!$C$2:$C$36,"=d20261009"),"")</f>
      </c>
      <c r="Q158" s="8">
        <f>IF((0=1),SUMIFS('Daily evaluations'!$I$2:$I$36,'Daily evaluations'!$B$2:$B$36,"=random_02",'Daily evaluations'!$C$2:$C$36,"=d20261012"),"")</f>
      </c>
      <c r="R158" s="8">
        <f>IF((0=1),SUMIFS('Daily evaluations'!$I$2:$I$36,'Daily evaluations'!$B$2:$B$36,"=random_02",'Daily evaluations'!$C$2:$C$36,"=d20261013"),"")</f>
      </c>
      <c r="S158" s="8">
        <f>IF((0=1),SUMIFS('Daily evaluations'!$I$2:$I$36,'Daily evaluations'!$B$2:$B$36,"=random_02",'Daily evaluations'!$C$2:$C$36,"=d20261014"),"")</f>
      </c>
      <c r="T158" s="8">
        <f>IF((0=1),SUMIFS('Daily evaluations'!$I$2:$I$36,'Daily evaluations'!$B$2:$B$36,"=random_02",'Daily evaluations'!$C$2:$C$36,"=d20261015"),"")</f>
      </c>
      <c r="U158" s="8">
        <f>IF((0=1),SUMIFS('Daily evaluations'!$I$2:$I$36,'Daily evaluations'!$B$2:$B$36,"=random_02",'Daily evaluations'!$C$2:$C$36,"=d20261016"),"")</f>
      </c>
      <c r="V158" s="8">
        <f>IF((0=1),SUMIFS('Daily evaluations'!$I$2:$I$36,'Daily evaluations'!$B$2:$B$36,"=random_02",'Daily evaluations'!$C$2:$C$36,"=d20261019"),"")</f>
      </c>
      <c r="W158" s="8">
        <f>IF((0=1),SUMIFS('Daily evaluations'!$I$2:$I$36,'Daily evaluations'!$B$2:$B$36,"=random_02",'Daily evaluations'!$C$2:$C$36,"=d20261020"),"")</f>
      </c>
      <c r="X158" s="8">
        <f>IF((0=1),SUMIFS('Daily evaluations'!$I$2:$I$36,'Daily evaluations'!$B$2:$B$36,"=random_02",'Daily evaluations'!$C$2:$C$36,"=d20261021"),"")</f>
      </c>
      <c r="Y158" s="8">
        <f>IF((0=1),SUMIFS('Daily evaluations'!$I$2:$I$36,'Daily evaluations'!$B$2:$B$36,"=random_02",'Daily evaluations'!$C$2:$C$36,"=d20261022"),"")</f>
      </c>
      <c r="Z158" s="8">
        <f>IF((0=1),SUMIFS('Daily evaluations'!$I$2:$I$36,'Daily evaluations'!$B$2:$B$36,"=random_02",'Daily evaluations'!$C$2:$C$36,"=d20261023"),"")</f>
      </c>
      <c r="AA158" s="8">
        <f>IF((0=1),SUMIFS('Daily evaluations'!$I$2:$I$36,'Daily evaluations'!$B$2:$B$36,"=random_02",'Daily evaluations'!$C$2:$C$36,"=d20261026"),"")</f>
      </c>
      <c r="AB158" s="8">
        <f>IF((0=1),SUMIFS('Daily evaluations'!$I$2:$I$36,'Daily evaluations'!$B$2:$B$36,"=random_02",'Daily evaluations'!$C$2:$C$36,"=d20261027"),"")</f>
      </c>
      <c r="AC158" s="8">
        <f>IF((0=1),SUMIFS('Daily evaluations'!$I$2:$I$36,'Daily evaluations'!$B$2:$B$36,"=random_02",'Daily evaluations'!$C$2:$C$36,"=d20261028"),"")</f>
      </c>
      <c r="AD158" s="8">
        <f>IF((0=1),SUMIFS('Daily evaluations'!$I$2:$I$36,'Daily evaluations'!$B$2:$B$36,"=random_02",'Daily evaluations'!$C$2:$C$36,"=d20261029"),"")</f>
      </c>
      <c r="AE158" s="8">
        <f>IF((0=1),SUMIFS('Daily evaluations'!$I$2:$I$36,'Daily evaluations'!$B$2:$B$36,"=random_02",'Daily evaluations'!$C$2:$C$36,"=d20261030"),"")</f>
      </c>
      <c r="AF158" s="8">
        <f>IF((0=1),SUMIFS('Daily evaluations'!$I$2:$I$36,'Daily evaluations'!$B$2:$B$36,"=random_02",'Daily evaluations'!$C$2:$C$36,"=d20261102"),"")</f>
      </c>
      <c r="AG158" s="8">
        <f>IF((0=1),SUMIFS('Daily evaluations'!$I$2:$I$36,'Daily evaluations'!$B$2:$B$36,"=random_02",'Daily evaluations'!$C$2:$C$36,"=d20261103"),"")</f>
      </c>
      <c r="AH158" s="8">
        <f>IF((0=1),SUMIFS('Daily evaluations'!$I$2:$I$36,'Daily evaluations'!$B$2:$B$36,"=random_02",'Daily evaluations'!$C$2:$C$36,"=d20261104"),"")</f>
      </c>
      <c r="AI158" s="8">
        <f>IF((0=1),SUMIFS('Daily evaluations'!$I$2:$I$36,'Daily evaluations'!$B$2:$B$36,"=random_02",'Daily evaluations'!$C$2:$C$36,"=d20261105"),"")</f>
      </c>
      <c r="AJ158" s="8">
        <f>IF((0=1),SUMIFS('Daily evaluations'!$I$2:$I$36,'Daily evaluations'!$B$2:$B$36,"=random_02",'Daily evaluations'!$C$2:$C$36,"=d20261106"),"")</f>
      </c>
      <c r="AK158" s="8">
        <f>IF((0=1),SUMIFS('Daily evaluations'!$I$2:$I$36,'Daily evaluations'!$B$2:$B$36,"=random_02",'Daily evaluations'!$C$2:$C$36,"=d20261109"),"")</f>
      </c>
      <c r="AL158" s="8">
        <f>IF((0=1),SUMIFS('Daily evaluations'!$I$2:$I$36,'Daily evaluations'!$B$2:$B$36,"=random_02",'Daily evaluations'!$C$2:$C$36,"=d20261110"),"")</f>
      </c>
      <c r="AM158" s="8">
        <f>IF((0=1),SUMIFS('Daily evaluations'!$I$2:$I$36,'Daily evaluations'!$B$2:$B$36,"=random_02",'Daily evaluations'!$C$2:$C$36,"=d20261111"),"")</f>
      </c>
      <c r="AN158" s="8">
        <f>IF((0=1),SUMIFS('Daily evaluations'!$I$2:$I$36,'Daily evaluations'!$B$2:$B$36,"=random_02",'Daily evaluations'!$C$2:$C$36,"=d20261112"),"")</f>
      </c>
      <c r="AO158" s="8">
        <f>IF((0=1),SUMIFS('Daily evaluations'!$I$2:$I$36,'Daily evaluations'!$B$2:$B$36,"=random_02",'Daily evaluations'!$C$2:$C$36,"=d20261113"),"")</f>
      </c>
      <c r="AP158" s="8">
        <f>IF((0=1),SUMIFS('Daily evaluations'!$I$2:$I$36,'Daily evaluations'!$B$2:$B$36,"=random_02",'Daily evaluations'!$C$2:$C$36,"=d20261116"),"")</f>
      </c>
      <c r="AQ158" s="8">
        <f>IF((0=1),SUMIFS('Daily evaluations'!$I$2:$I$36,'Daily evaluations'!$B$2:$B$36,"=random_02",'Daily evaluations'!$C$2:$C$36,"=d20261117"),"")</f>
      </c>
      <c r="AR158" s="8">
        <f>IF((0=1),SUMIFS('Daily evaluations'!$I$2:$I$36,'Daily evaluations'!$B$2:$B$36,"=random_02",'Daily evaluations'!$C$2:$C$36,"=d20261118"),"")</f>
      </c>
      <c r="AS158" s="8">
        <f>IF((0=1),SUMIFS('Daily evaluations'!$I$2:$I$36,'Daily evaluations'!$B$2:$B$36,"=random_02",'Daily evaluations'!$C$2:$C$36,"=d20261119"),"")</f>
      </c>
      <c r="AT158" s="8">
        <f>IF((0=1),SUMIFS('Daily evaluations'!$I$2:$I$36,'Daily evaluations'!$B$2:$B$36,"=random_02",'Daily evaluations'!$C$2:$C$36,"=d20261120"),"")</f>
      </c>
      <c r="AU158" s="8">
        <f>IF((0=1),SUMIFS('Daily evaluations'!$I$2:$I$36,'Daily evaluations'!$B$2:$B$36,"=random_02",'Daily evaluations'!$C$2:$C$36,"=d20261123"),"")</f>
      </c>
      <c r="AV158" s="8">
        <f>IF((0=1),SUMIFS('Daily evaluations'!$I$2:$I$36,'Daily evaluations'!$B$2:$B$36,"=random_02",'Daily evaluations'!$C$2:$C$36,"=d20261124"),"")</f>
      </c>
      <c r="AW158" s="8">
        <f>IF((0=1),SUMIFS('Daily evaluations'!$I$2:$I$36,'Daily evaluations'!$B$2:$B$36,"=random_02",'Daily evaluations'!$C$2:$C$36,"=d20261125"),"")</f>
      </c>
      <c r="AX158" s="8">
        <f>IF((0=1),SUMIFS('Daily evaluations'!$I$2:$I$36,'Daily evaluations'!$B$2:$B$36,"=random_02",'Daily evaluations'!$C$2:$C$36,"=d20261127"),"")</f>
      </c>
      <c r="AY158" s="8">
        <f>IF((0=1),SUMIFS('Daily evaluations'!$I$2:$I$36,'Daily evaluations'!$B$2:$B$36,"=random_02",'Daily evaluations'!$C$2:$C$36,"=d20261130"),"")</f>
      </c>
      <c r="AZ158" s="8">
        <f>IF((0=1),SUMIFS('Daily evaluations'!$I$2:$I$36,'Daily evaluations'!$B$2:$B$36,"=random_02",'Daily evaluations'!$C$2:$C$36,"=d20261201"),"")</f>
      </c>
      <c r="BA158" s="8">
        <f>IF((0=1),SUMIFS('Daily evaluations'!$I$2:$I$36,'Daily evaluations'!$B$2:$B$36,"=random_02",'Daily evaluations'!$C$2:$C$36,"=d20261202"),"")</f>
      </c>
      <c r="BB158" s="8">
        <f>IF((0=1),SUMIFS('Daily evaluations'!$I$2:$I$36,'Daily evaluations'!$B$2:$B$36,"=random_02",'Daily evaluations'!$C$2:$C$36,"=d20261203"),"")</f>
      </c>
      <c r="BC158" s="8">
        <f>IF((0=1),SUMIFS('Daily evaluations'!$I$2:$I$36,'Daily evaluations'!$B$2:$B$36,"=random_02",'Daily evaluations'!$C$2:$C$36,"=d20261204"),"")</f>
      </c>
      <c r="BD158" s="8">
        <f>IF((0=1),SUMIFS('Daily evaluations'!$I$2:$I$36,'Daily evaluations'!$B$2:$B$36,"=random_02",'Daily evaluations'!$C$2:$C$36,"=d20261207"),"")</f>
      </c>
      <c r="BE158" s="8">
        <f>IF((0=1),SUMIFS('Daily evaluations'!$I$2:$I$36,'Daily evaluations'!$B$2:$B$36,"=random_02",'Daily evaluations'!$C$2:$C$36,"=d20261208"),"")</f>
      </c>
      <c r="BF158" s="8">
        <f>IF((0=1),SUMIFS('Daily evaluations'!$I$2:$I$36,'Daily evaluations'!$B$2:$B$36,"=random_02",'Daily evaluations'!$C$2:$C$36,"=d20261209"),"")</f>
      </c>
      <c r="BG158" s="8">
        <f>IF((0=1),SUMIFS('Daily evaluations'!$I$2:$I$36,'Daily evaluations'!$B$2:$B$36,"=random_02",'Daily evaluations'!$C$2:$C$36,"=d20261210"),"")</f>
      </c>
      <c r="BH158" s="8">
        <f>IF((0=1),SUMIFS('Daily evaluations'!$I$2:$I$36,'Daily evaluations'!$B$2:$B$36,"=random_02",'Daily evaluations'!$C$2:$C$36,"=d20261211"),"")</f>
      </c>
      <c r="BI158" s="8">
        <f>IF((0=1),SUMIFS('Daily evaluations'!$I$2:$I$36,'Daily evaluations'!$B$2:$B$36,"=random_02",'Daily evaluations'!$C$2:$C$36,"=d20261214"),"")</f>
      </c>
      <c r="BJ158" s="8">
        <f>IF((0=1),SUMIFS('Daily evaluations'!$I$2:$I$36,'Daily evaluations'!$B$2:$B$36,"=random_02",'Daily evaluations'!$C$2:$C$36,"=d20261215"),"")</f>
      </c>
      <c r="BK158" s="8">
        <f>IF((0=1),SUMIFS('Daily evaluations'!$I$2:$I$36,'Daily evaluations'!$B$2:$B$36,"=random_02",'Daily evaluations'!$C$2:$C$36,"=d20261216"),"")</f>
      </c>
      <c r="BL158" s="8">
        <f>IF((0=1),SUMIFS('Daily evaluations'!$I$2:$I$36,'Daily evaluations'!$B$2:$B$36,"=random_02",'Daily evaluations'!$C$2:$C$36,"=d20261217"),"")</f>
      </c>
      <c r="BM158" s="8">
        <f>IF((0=1),SUMIFS('Daily evaluations'!$I$2:$I$36,'Daily evaluations'!$B$2:$B$36,"=random_02",'Daily evaluations'!$C$2:$C$36,"=d20261218"),"")</f>
      </c>
      <c r="BN158" s="8">
        <f>IF((0=1),SUMIFS('Daily evaluations'!$I$2:$I$36,'Daily evaluations'!$B$2:$B$36,"=random_02",'Daily evaluations'!$C$2:$C$36,"=d20261221"),"")</f>
      </c>
      <c r="BO158" s="8">
        <f>IF((0=1),SUMIFS('Daily evaluations'!$I$2:$I$36,'Daily evaluations'!$B$2:$B$36,"=random_02",'Daily evaluations'!$C$2:$C$36,"=d20261222"),"")</f>
      </c>
      <c r="BP158" s="8">
        <f>IF((0=1),SUMIFS('Daily evaluations'!$I$2:$I$36,'Daily evaluations'!$B$2:$B$36,"=random_02",'Daily evaluations'!$C$2:$C$36,"=d20261223"),"")</f>
      </c>
      <c r="BQ158" s="8">
        <f>IF((0=1),SUMIFS('Daily evaluations'!$I$2:$I$36,'Daily evaluations'!$B$2:$B$36,"=random_02",'Daily evaluations'!$C$2:$C$36,"=d20261224"),"")</f>
      </c>
      <c r="BR158" s="8">
        <f>IF((0=1),SUMIFS('Daily evaluations'!$I$2:$I$36,'Daily evaluations'!$B$2:$B$36,"=random_02",'Daily evaluations'!$C$2:$C$36,"=d20261228"),"")</f>
      </c>
      <c r="BS158" s="8">
        <f>IF((0=1),SUMIFS('Daily evaluations'!$I$2:$I$36,'Daily evaluations'!$B$2:$B$36,"=random_02",'Daily evaluations'!$C$2:$C$36,"=d20261229"),"")</f>
      </c>
      <c r="BT158" s="8">
        <f>IF((0=1),SUMIFS('Daily evaluations'!$I$2:$I$36,'Daily evaluations'!$B$2:$B$36,"=random_02",'Daily evaluations'!$C$2:$C$36,"=d20261230"),"")</f>
      </c>
      <c r="BU158" s="8">
        <f>IF((0=1),SUMIFS('Daily evaluations'!$I$2:$I$36,'Daily evaluations'!$B$2:$B$36,"=random_02",'Daily evaluations'!$C$2:$C$36,"=d20261231"),"")</f>
      </c>
      <c r="BV158" s="8">
        <f>IF((0=1),SUMIFS('Daily evaluations'!$I$2:$I$36,'Daily evaluations'!$B$2:$B$36,"=random_02",'Daily evaluations'!$C$2:$C$36,"=d20270104"),"")</f>
      </c>
      <c r="BW158" s="8">
        <f>IF((0=1),SUMIFS('Daily evaluations'!$I$2:$I$36,'Daily evaluations'!$B$2:$B$36,"=random_02",'Daily evaluations'!$C$2:$C$36,"=d20270105"),"")</f>
      </c>
      <c r="BX158" s="8">
        <f>IF((0=1),SUMIFS('Daily evaluations'!$I$2:$I$36,'Daily evaluations'!$B$2:$B$36,"=random_02",'Daily evaluations'!$C$2:$C$36,"=d20270106"),"")</f>
      </c>
      <c r="BY158" s="8">
        <f>IF((0=1),SUMIFS('Daily evaluations'!$I$2:$I$36,'Daily evaluations'!$B$2:$B$36,"=random_02",'Daily evaluations'!$C$2:$C$36,"=d20270107"),"")</f>
      </c>
      <c r="BZ158" s="8">
        <f>IF((0=1),SUMIFS('Daily evaluations'!$I$2:$I$36,'Daily evaluations'!$B$2:$B$36,"=random_02",'Daily evaluations'!$C$2:$C$36,"=d20270108"),"")</f>
      </c>
      <c r="CA158" s="8">
        <f>IF((0=1),SUMIFS('Daily evaluations'!$I$2:$I$36,'Daily evaluations'!$B$2:$B$36,"=random_02",'Daily evaluations'!$C$2:$C$36,"=d20270111"),"")</f>
      </c>
      <c r="CB158" s="8">
        <f>IF((0=1),SUMIFS('Daily evaluations'!$I$2:$I$36,'Daily evaluations'!$B$2:$B$36,"=random_02",'Daily evaluations'!$C$2:$C$36,"=d20270112"),"")</f>
      </c>
      <c r="CC158" s="8">
        <f>IF((0=1),SUMIFS('Daily evaluations'!$I$2:$I$36,'Daily evaluations'!$B$2:$B$36,"=random_02",'Daily evaluations'!$C$2:$C$36,"=d20270113"),"")</f>
      </c>
      <c r="CD158" s="8">
        <f>IF((0=1),SUMIFS('Daily evaluations'!$I$2:$I$36,'Daily evaluations'!$B$2:$B$36,"=random_02",'Daily evaluations'!$C$2:$C$36,"=d20270114"),"")</f>
      </c>
      <c r="CE158" s="8">
        <f>IF((0=1),SUMIFS('Daily evaluations'!$I$2:$I$36,'Daily evaluations'!$B$2:$B$36,"=random_02",'Daily evaluations'!$C$2:$C$36,"=d20270115"),"")</f>
      </c>
      <c r="CF158" s="8">
        <f>IF((0=1),SUMIFS('Daily evaluations'!$I$2:$I$36,'Daily evaluations'!$B$2:$B$36,"=random_02",'Daily evaluations'!$C$2:$C$36,"=d20270119"),"")</f>
      </c>
      <c r="CG158" s="8">
        <f>IF((0=1),SUMIFS('Daily evaluations'!$I$2:$I$36,'Daily evaluations'!$B$2:$B$36,"=random_02",'Daily evaluations'!$C$2:$C$36,"=d20270120"),"")</f>
      </c>
      <c r="CH158" s="8">
        <f>IF((0=1),SUMIFS('Daily evaluations'!$I$2:$I$36,'Daily evaluations'!$B$2:$B$36,"=random_02",'Daily evaluations'!$C$2:$C$36,"=d20270121"),"")</f>
      </c>
      <c r="CI158" s="8">
        <f>IF((0=1),SUMIFS('Daily evaluations'!$I$2:$I$36,'Daily evaluations'!$B$2:$B$36,"=random_02",'Daily evaluations'!$C$2:$C$36,"=d20270122"),"")</f>
      </c>
      <c r="CJ158" s="8">
        <f>IF((0=1),SUMIFS('Daily evaluations'!$I$2:$I$36,'Daily evaluations'!$B$2:$B$36,"=random_02",'Daily evaluations'!$C$2:$C$36,"=d20270125"),"")</f>
      </c>
      <c r="CK158" s="8">
        <f>IF((0=1),SUMIFS('Daily evaluations'!$I$2:$I$36,'Daily evaluations'!$B$2:$B$36,"=random_02",'Daily evaluations'!$C$2:$C$36,"=d20270126"),"")</f>
      </c>
      <c r="CL158" s="8">
        <f>IF((0=1),SUMIFS('Daily evaluations'!$I$2:$I$36,'Daily evaluations'!$B$2:$B$36,"=random_02",'Daily evaluations'!$C$2:$C$36,"=d20270127"),"")</f>
      </c>
      <c r="CM158" s="8">
        <f>IF((0=1),SUMIFS('Daily evaluations'!$I$2:$I$36,'Daily evaluations'!$B$2:$B$36,"=random_02",'Daily evaluations'!$C$2:$C$36,"=d20270128"),"")</f>
      </c>
      <c r="CN158" s="8">
        <f>IF((0=1),SUMIFS('Daily evaluations'!$I$2:$I$36,'Daily evaluations'!$B$2:$B$36,"=random_02",'Daily evaluations'!$C$2:$C$36,"=d20270129"),"")</f>
      </c>
      <c r="CO158" s="8">
        <f>IF((0=1),SUMIFS('Daily evaluations'!$I$2:$I$36,'Daily evaluations'!$B$2:$B$36,"=random_02",'Daily evaluations'!$C$2:$C$36,"=d20270201"),"")</f>
      </c>
      <c r="CP158" s="8">
        <f>IF((0=1),SUMIFS('Daily evaluations'!$I$2:$I$36,'Daily evaluations'!$B$2:$B$36,"=random_02",'Daily evaluations'!$C$2:$C$36,"=d20270202"),"")</f>
      </c>
      <c r="CQ158" s="8">
        <f>IF((0=1),SUMIFS('Daily evaluations'!$I$2:$I$36,'Daily evaluations'!$B$2:$B$36,"=random_02",'Daily evaluations'!$C$2:$C$36,"=d20270203"),"")</f>
      </c>
      <c r="CR158" s="8">
        <f>IF((0=1),SUMIFS('Daily evaluations'!$I$2:$I$36,'Daily evaluations'!$B$2:$B$36,"=random_02",'Daily evaluations'!$C$2:$C$36,"=d20270204"),"")</f>
      </c>
      <c r="CS158" s="8">
        <f>IF((0=1),SUMIFS('Daily evaluations'!$I$2:$I$36,'Daily evaluations'!$B$2:$B$36,"=random_02",'Daily evaluations'!$C$2:$C$36,"=d20270205"),"")</f>
      </c>
      <c r="CT158" s="8">
        <f>IF((0=1),SUMIFS('Daily evaluations'!$I$2:$I$36,'Daily evaluations'!$B$2:$B$36,"=random_02",'Daily evaluations'!$C$2:$C$36,"=d20270208"),"")</f>
      </c>
      <c r="CU158" s="8">
        <f>IF((0=1),SUMIFS('Daily evaluations'!$I$2:$I$36,'Daily evaluations'!$B$2:$B$36,"=random_02",'Daily evaluations'!$C$2:$C$36,"=d20270209"),"")</f>
      </c>
      <c r="CV158" s="8">
        <f>IF((0=1),SUMIFS('Daily evaluations'!$I$2:$I$36,'Daily evaluations'!$B$2:$B$36,"=random_02",'Daily evaluations'!$C$2:$C$36,"=d20270210"),"")</f>
      </c>
      <c r="CW158" s="8">
        <f>IF((0=1),SUMIFS('Daily evaluations'!$I$2:$I$36,'Daily evaluations'!$B$2:$B$36,"=random_02",'Daily evaluations'!$C$2:$C$36,"=d20270211"),"")</f>
      </c>
      <c r="CX158" s="8">
        <f>IF((0=1),SUMIFS('Daily evaluations'!$I$2:$I$36,'Daily evaluations'!$B$2:$B$36,"=random_02",'Daily evaluations'!$C$2:$C$36,"=d20270212"),"")</f>
      </c>
    </row>
    <row r="159">
      <c r="A159" s="0" t="inlineStr">
        <is>
          <t xml:space="preserve">Information coefficient</t>
        </is>
      </c>
      <c r="B159" s="0" t="inlineStr">
        <is>
          <t xml:space="preserve">Random 3</t>
        </is>
      </c>
      <c r="C159" s="8">
        <f>IF((1=1),SUMIFS('Daily evaluations'!$I$2:$I$36,'Daily evaluations'!$B$2:$B$36,"=random_03",'Daily evaluations'!$C$2:$C$36,"=d20260922"),"")</f>
        <v>0.0242</v>
      </c>
      <c r="D159" s="8">
        <f>IF((0=1),SUMIFS('Daily evaluations'!$I$2:$I$36,'Daily evaluations'!$B$2:$B$36,"=random_03",'Daily evaluations'!$C$2:$C$36,"=d20260923"),"")</f>
      </c>
      <c r="E159" s="8">
        <f>IF((0=1),SUMIFS('Daily evaluations'!$I$2:$I$36,'Daily evaluations'!$B$2:$B$36,"=random_03",'Daily evaluations'!$C$2:$C$36,"=d20260924"),"")</f>
      </c>
      <c r="F159" s="8">
        <f>IF((0=1),SUMIFS('Daily evaluations'!$I$2:$I$36,'Daily evaluations'!$B$2:$B$36,"=random_03",'Daily evaluations'!$C$2:$C$36,"=d20260925"),"")</f>
      </c>
      <c r="G159" s="8">
        <f>IF((0=1),SUMIFS('Daily evaluations'!$I$2:$I$36,'Daily evaluations'!$B$2:$B$36,"=random_03",'Daily evaluations'!$C$2:$C$36,"=d20260928"),"")</f>
      </c>
      <c r="H159" s="8">
        <f>IF((0=1),SUMIFS('Daily evaluations'!$I$2:$I$36,'Daily evaluations'!$B$2:$B$36,"=random_03",'Daily evaluations'!$C$2:$C$36,"=d20260929"),"")</f>
      </c>
      <c r="I159" s="8">
        <f>IF((0=1),SUMIFS('Daily evaluations'!$I$2:$I$36,'Daily evaluations'!$B$2:$B$36,"=random_03",'Daily evaluations'!$C$2:$C$36,"=d20260930"),"")</f>
      </c>
      <c r="J159" s="8">
        <f>IF((0=1),SUMIFS('Daily evaluations'!$I$2:$I$36,'Daily evaluations'!$B$2:$B$36,"=random_03",'Daily evaluations'!$C$2:$C$36,"=d20261001"),"")</f>
      </c>
      <c r="K159" s="8">
        <f>IF((0=1),SUMIFS('Daily evaluations'!$I$2:$I$36,'Daily evaluations'!$B$2:$B$36,"=random_03",'Daily evaluations'!$C$2:$C$36,"=d20261002"),"")</f>
      </c>
      <c r="L159" s="8">
        <f>IF((0=1),SUMIFS('Daily evaluations'!$I$2:$I$36,'Daily evaluations'!$B$2:$B$36,"=random_03",'Daily evaluations'!$C$2:$C$36,"=d20261005"),"")</f>
      </c>
      <c r="M159" s="8">
        <f>IF((0=1),SUMIFS('Daily evaluations'!$I$2:$I$36,'Daily evaluations'!$B$2:$B$36,"=random_03",'Daily evaluations'!$C$2:$C$36,"=d20261006"),"")</f>
      </c>
      <c r="N159" s="8">
        <f>IF((0=1),SUMIFS('Daily evaluations'!$I$2:$I$36,'Daily evaluations'!$B$2:$B$36,"=random_03",'Daily evaluations'!$C$2:$C$36,"=d20261007"),"")</f>
      </c>
      <c r="O159" s="8">
        <f>IF((0=1),SUMIFS('Daily evaluations'!$I$2:$I$36,'Daily evaluations'!$B$2:$B$36,"=random_03",'Daily evaluations'!$C$2:$C$36,"=d20261008"),"")</f>
      </c>
      <c r="P159" s="8">
        <f>IF((0=1),SUMIFS('Daily evaluations'!$I$2:$I$36,'Daily evaluations'!$B$2:$B$36,"=random_03",'Daily evaluations'!$C$2:$C$36,"=d20261009"),"")</f>
      </c>
      <c r="Q159" s="8">
        <f>IF((0=1),SUMIFS('Daily evaluations'!$I$2:$I$36,'Daily evaluations'!$B$2:$B$36,"=random_03",'Daily evaluations'!$C$2:$C$36,"=d20261012"),"")</f>
      </c>
      <c r="R159" s="8">
        <f>IF((0=1),SUMIFS('Daily evaluations'!$I$2:$I$36,'Daily evaluations'!$B$2:$B$36,"=random_03",'Daily evaluations'!$C$2:$C$36,"=d20261013"),"")</f>
      </c>
      <c r="S159" s="8">
        <f>IF((0=1),SUMIFS('Daily evaluations'!$I$2:$I$36,'Daily evaluations'!$B$2:$B$36,"=random_03",'Daily evaluations'!$C$2:$C$36,"=d20261014"),"")</f>
      </c>
      <c r="T159" s="8">
        <f>IF((0=1),SUMIFS('Daily evaluations'!$I$2:$I$36,'Daily evaluations'!$B$2:$B$36,"=random_03",'Daily evaluations'!$C$2:$C$36,"=d20261015"),"")</f>
      </c>
      <c r="U159" s="8">
        <f>IF((0=1),SUMIFS('Daily evaluations'!$I$2:$I$36,'Daily evaluations'!$B$2:$B$36,"=random_03",'Daily evaluations'!$C$2:$C$36,"=d20261016"),"")</f>
      </c>
      <c r="V159" s="8">
        <f>IF((0=1),SUMIFS('Daily evaluations'!$I$2:$I$36,'Daily evaluations'!$B$2:$B$36,"=random_03",'Daily evaluations'!$C$2:$C$36,"=d20261019"),"")</f>
      </c>
      <c r="W159" s="8">
        <f>IF((0=1),SUMIFS('Daily evaluations'!$I$2:$I$36,'Daily evaluations'!$B$2:$B$36,"=random_03",'Daily evaluations'!$C$2:$C$36,"=d20261020"),"")</f>
      </c>
      <c r="X159" s="8">
        <f>IF((0=1),SUMIFS('Daily evaluations'!$I$2:$I$36,'Daily evaluations'!$B$2:$B$36,"=random_03",'Daily evaluations'!$C$2:$C$36,"=d20261021"),"")</f>
      </c>
      <c r="Y159" s="8">
        <f>IF((0=1),SUMIFS('Daily evaluations'!$I$2:$I$36,'Daily evaluations'!$B$2:$B$36,"=random_03",'Daily evaluations'!$C$2:$C$36,"=d20261022"),"")</f>
      </c>
      <c r="Z159" s="8">
        <f>IF((0=1),SUMIFS('Daily evaluations'!$I$2:$I$36,'Daily evaluations'!$B$2:$B$36,"=random_03",'Daily evaluations'!$C$2:$C$36,"=d20261023"),"")</f>
      </c>
      <c r="AA159" s="8">
        <f>IF((0=1),SUMIFS('Daily evaluations'!$I$2:$I$36,'Daily evaluations'!$B$2:$B$36,"=random_03",'Daily evaluations'!$C$2:$C$36,"=d20261026"),"")</f>
      </c>
      <c r="AB159" s="8">
        <f>IF((0=1),SUMIFS('Daily evaluations'!$I$2:$I$36,'Daily evaluations'!$B$2:$B$36,"=random_03",'Daily evaluations'!$C$2:$C$36,"=d20261027"),"")</f>
      </c>
      <c r="AC159" s="8">
        <f>IF((0=1),SUMIFS('Daily evaluations'!$I$2:$I$36,'Daily evaluations'!$B$2:$B$36,"=random_03",'Daily evaluations'!$C$2:$C$36,"=d20261028"),"")</f>
      </c>
      <c r="AD159" s="8">
        <f>IF((0=1),SUMIFS('Daily evaluations'!$I$2:$I$36,'Daily evaluations'!$B$2:$B$36,"=random_03",'Daily evaluations'!$C$2:$C$36,"=d20261029"),"")</f>
      </c>
      <c r="AE159" s="8">
        <f>IF((0=1),SUMIFS('Daily evaluations'!$I$2:$I$36,'Daily evaluations'!$B$2:$B$36,"=random_03",'Daily evaluations'!$C$2:$C$36,"=d20261030"),"")</f>
      </c>
      <c r="AF159" s="8">
        <f>IF((0=1),SUMIFS('Daily evaluations'!$I$2:$I$36,'Daily evaluations'!$B$2:$B$36,"=random_03",'Daily evaluations'!$C$2:$C$36,"=d20261102"),"")</f>
      </c>
      <c r="AG159" s="8">
        <f>IF((0=1),SUMIFS('Daily evaluations'!$I$2:$I$36,'Daily evaluations'!$B$2:$B$36,"=random_03",'Daily evaluations'!$C$2:$C$36,"=d20261103"),"")</f>
      </c>
      <c r="AH159" s="8">
        <f>IF((0=1),SUMIFS('Daily evaluations'!$I$2:$I$36,'Daily evaluations'!$B$2:$B$36,"=random_03",'Daily evaluations'!$C$2:$C$36,"=d20261104"),"")</f>
      </c>
      <c r="AI159" s="8">
        <f>IF((0=1),SUMIFS('Daily evaluations'!$I$2:$I$36,'Daily evaluations'!$B$2:$B$36,"=random_03",'Daily evaluations'!$C$2:$C$36,"=d20261105"),"")</f>
      </c>
      <c r="AJ159" s="8">
        <f>IF((0=1),SUMIFS('Daily evaluations'!$I$2:$I$36,'Daily evaluations'!$B$2:$B$36,"=random_03",'Daily evaluations'!$C$2:$C$36,"=d20261106"),"")</f>
      </c>
      <c r="AK159" s="8">
        <f>IF((0=1),SUMIFS('Daily evaluations'!$I$2:$I$36,'Daily evaluations'!$B$2:$B$36,"=random_03",'Daily evaluations'!$C$2:$C$36,"=d20261109"),"")</f>
      </c>
      <c r="AL159" s="8">
        <f>IF((0=1),SUMIFS('Daily evaluations'!$I$2:$I$36,'Daily evaluations'!$B$2:$B$36,"=random_03",'Daily evaluations'!$C$2:$C$36,"=d20261110"),"")</f>
      </c>
      <c r="AM159" s="8">
        <f>IF((0=1),SUMIFS('Daily evaluations'!$I$2:$I$36,'Daily evaluations'!$B$2:$B$36,"=random_03",'Daily evaluations'!$C$2:$C$36,"=d20261111"),"")</f>
      </c>
      <c r="AN159" s="8">
        <f>IF((0=1),SUMIFS('Daily evaluations'!$I$2:$I$36,'Daily evaluations'!$B$2:$B$36,"=random_03",'Daily evaluations'!$C$2:$C$36,"=d20261112"),"")</f>
      </c>
      <c r="AO159" s="8">
        <f>IF((0=1),SUMIFS('Daily evaluations'!$I$2:$I$36,'Daily evaluations'!$B$2:$B$36,"=random_03",'Daily evaluations'!$C$2:$C$36,"=d20261113"),"")</f>
      </c>
      <c r="AP159" s="8">
        <f>IF((0=1),SUMIFS('Daily evaluations'!$I$2:$I$36,'Daily evaluations'!$B$2:$B$36,"=random_03",'Daily evaluations'!$C$2:$C$36,"=d20261116"),"")</f>
      </c>
      <c r="AQ159" s="8">
        <f>IF((0=1),SUMIFS('Daily evaluations'!$I$2:$I$36,'Daily evaluations'!$B$2:$B$36,"=random_03",'Daily evaluations'!$C$2:$C$36,"=d20261117"),"")</f>
      </c>
      <c r="AR159" s="8">
        <f>IF((0=1),SUMIFS('Daily evaluations'!$I$2:$I$36,'Daily evaluations'!$B$2:$B$36,"=random_03",'Daily evaluations'!$C$2:$C$36,"=d20261118"),"")</f>
      </c>
      <c r="AS159" s="8">
        <f>IF((0=1),SUMIFS('Daily evaluations'!$I$2:$I$36,'Daily evaluations'!$B$2:$B$36,"=random_03",'Daily evaluations'!$C$2:$C$36,"=d20261119"),"")</f>
      </c>
      <c r="AT159" s="8">
        <f>IF((0=1),SUMIFS('Daily evaluations'!$I$2:$I$36,'Daily evaluations'!$B$2:$B$36,"=random_03",'Daily evaluations'!$C$2:$C$36,"=d20261120"),"")</f>
      </c>
      <c r="AU159" s="8">
        <f>IF((0=1),SUMIFS('Daily evaluations'!$I$2:$I$36,'Daily evaluations'!$B$2:$B$36,"=random_03",'Daily evaluations'!$C$2:$C$36,"=d20261123"),"")</f>
      </c>
      <c r="AV159" s="8">
        <f>IF((0=1),SUMIFS('Daily evaluations'!$I$2:$I$36,'Daily evaluations'!$B$2:$B$36,"=random_03",'Daily evaluations'!$C$2:$C$36,"=d20261124"),"")</f>
      </c>
      <c r="AW159" s="8">
        <f>IF((0=1),SUMIFS('Daily evaluations'!$I$2:$I$36,'Daily evaluations'!$B$2:$B$36,"=random_03",'Daily evaluations'!$C$2:$C$36,"=d20261125"),"")</f>
      </c>
      <c r="AX159" s="8">
        <f>IF((0=1),SUMIFS('Daily evaluations'!$I$2:$I$36,'Daily evaluations'!$B$2:$B$36,"=random_03",'Daily evaluations'!$C$2:$C$36,"=d20261127"),"")</f>
      </c>
      <c r="AY159" s="8">
        <f>IF((0=1),SUMIFS('Daily evaluations'!$I$2:$I$36,'Daily evaluations'!$B$2:$B$36,"=random_03",'Daily evaluations'!$C$2:$C$36,"=d20261130"),"")</f>
      </c>
      <c r="AZ159" s="8">
        <f>IF((0=1),SUMIFS('Daily evaluations'!$I$2:$I$36,'Daily evaluations'!$B$2:$B$36,"=random_03",'Daily evaluations'!$C$2:$C$36,"=d20261201"),"")</f>
      </c>
      <c r="BA159" s="8">
        <f>IF((0=1),SUMIFS('Daily evaluations'!$I$2:$I$36,'Daily evaluations'!$B$2:$B$36,"=random_03",'Daily evaluations'!$C$2:$C$36,"=d20261202"),"")</f>
      </c>
      <c r="BB159" s="8">
        <f>IF((0=1),SUMIFS('Daily evaluations'!$I$2:$I$36,'Daily evaluations'!$B$2:$B$36,"=random_03",'Daily evaluations'!$C$2:$C$36,"=d20261203"),"")</f>
      </c>
      <c r="BC159" s="8">
        <f>IF((0=1),SUMIFS('Daily evaluations'!$I$2:$I$36,'Daily evaluations'!$B$2:$B$36,"=random_03",'Daily evaluations'!$C$2:$C$36,"=d20261204"),"")</f>
      </c>
      <c r="BD159" s="8">
        <f>IF((0=1),SUMIFS('Daily evaluations'!$I$2:$I$36,'Daily evaluations'!$B$2:$B$36,"=random_03",'Daily evaluations'!$C$2:$C$36,"=d20261207"),"")</f>
      </c>
      <c r="BE159" s="8">
        <f>IF((0=1),SUMIFS('Daily evaluations'!$I$2:$I$36,'Daily evaluations'!$B$2:$B$36,"=random_03",'Daily evaluations'!$C$2:$C$36,"=d20261208"),"")</f>
      </c>
      <c r="BF159" s="8">
        <f>IF((0=1),SUMIFS('Daily evaluations'!$I$2:$I$36,'Daily evaluations'!$B$2:$B$36,"=random_03",'Daily evaluations'!$C$2:$C$36,"=d20261209"),"")</f>
      </c>
      <c r="BG159" s="8">
        <f>IF((0=1),SUMIFS('Daily evaluations'!$I$2:$I$36,'Daily evaluations'!$B$2:$B$36,"=random_03",'Daily evaluations'!$C$2:$C$36,"=d20261210"),"")</f>
      </c>
      <c r="BH159" s="8">
        <f>IF((0=1),SUMIFS('Daily evaluations'!$I$2:$I$36,'Daily evaluations'!$B$2:$B$36,"=random_03",'Daily evaluations'!$C$2:$C$36,"=d20261211"),"")</f>
      </c>
      <c r="BI159" s="8">
        <f>IF((0=1),SUMIFS('Daily evaluations'!$I$2:$I$36,'Daily evaluations'!$B$2:$B$36,"=random_03",'Daily evaluations'!$C$2:$C$36,"=d20261214"),"")</f>
      </c>
      <c r="BJ159" s="8">
        <f>IF((0=1),SUMIFS('Daily evaluations'!$I$2:$I$36,'Daily evaluations'!$B$2:$B$36,"=random_03",'Daily evaluations'!$C$2:$C$36,"=d20261215"),"")</f>
      </c>
      <c r="BK159" s="8">
        <f>IF((0=1),SUMIFS('Daily evaluations'!$I$2:$I$36,'Daily evaluations'!$B$2:$B$36,"=random_03",'Daily evaluations'!$C$2:$C$36,"=d20261216"),"")</f>
      </c>
      <c r="BL159" s="8">
        <f>IF((0=1),SUMIFS('Daily evaluations'!$I$2:$I$36,'Daily evaluations'!$B$2:$B$36,"=random_03",'Daily evaluations'!$C$2:$C$36,"=d20261217"),"")</f>
      </c>
      <c r="BM159" s="8">
        <f>IF((0=1),SUMIFS('Daily evaluations'!$I$2:$I$36,'Daily evaluations'!$B$2:$B$36,"=random_03",'Daily evaluations'!$C$2:$C$36,"=d20261218"),"")</f>
      </c>
      <c r="BN159" s="8">
        <f>IF((0=1),SUMIFS('Daily evaluations'!$I$2:$I$36,'Daily evaluations'!$B$2:$B$36,"=random_03",'Daily evaluations'!$C$2:$C$36,"=d20261221"),"")</f>
      </c>
      <c r="BO159" s="8">
        <f>IF((0=1),SUMIFS('Daily evaluations'!$I$2:$I$36,'Daily evaluations'!$B$2:$B$36,"=random_03",'Daily evaluations'!$C$2:$C$36,"=d20261222"),"")</f>
      </c>
      <c r="BP159" s="8">
        <f>IF((0=1),SUMIFS('Daily evaluations'!$I$2:$I$36,'Daily evaluations'!$B$2:$B$36,"=random_03",'Daily evaluations'!$C$2:$C$36,"=d20261223"),"")</f>
      </c>
      <c r="BQ159" s="8">
        <f>IF((0=1),SUMIFS('Daily evaluations'!$I$2:$I$36,'Daily evaluations'!$B$2:$B$36,"=random_03",'Daily evaluations'!$C$2:$C$36,"=d20261224"),"")</f>
      </c>
      <c r="BR159" s="8">
        <f>IF((0=1),SUMIFS('Daily evaluations'!$I$2:$I$36,'Daily evaluations'!$B$2:$B$36,"=random_03",'Daily evaluations'!$C$2:$C$36,"=d20261228"),"")</f>
      </c>
      <c r="BS159" s="8">
        <f>IF((0=1),SUMIFS('Daily evaluations'!$I$2:$I$36,'Daily evaluations'!$B$2:$B$36,"=random_03",'Daily evaluations'!$C$2:$C$36,"=d20261229"),"")</f>
      </c>
      <c r="BT159" s="8">
        <f>IF((0=1),SUMIFS('Daily evaluations'!$I$2:$I$36,'Daily evaluations'!$B$2:$B$36,"=random_03",'Daily evaluations'!$C$2:$C$36,"=d20261230"),"")</f>
      </c>
      <c r="BU159" s="8">
        <f>IF((0=1),SUMIFS('Daily evaluations'!$I$2:$I$36,'Daily evaluations'!$B$2:$B$36,"=random_03",'Daily evaluations'!$C$2:$C$36,"=d20261231"),"")</f>
      </c>
      <c r="BV159" s="8">
        <f>IF((0=1),SUMIFS('Daily evaluations'!$I$2:$I$36,'Daily evaluations'!$B$2:$B$36,"=random_03",'Daily evaluations'!$C$2:$C$36,"=d20270104"),"")</f>
      </c>
      <c r="BW159" s="8">
        <f>IF((0=1),SUMIFS('Daily evaluations'!$I$2:$I$36,'Daily evaluations'!$B$2:$B$36,"=random_03",'Daily evaluations'!$C$2:$C$36,"=d20270105"),"")</f>
      </c>
      <c r="BX159" s="8">
        <f>IF((0=1),SUMIFS('Daily evaluations'!$I$2:$I$36,'Daily evaluations'!$B$2:$B$36,"=random_03",'Daily evaluations'!$C$2:$C$36,"=d20270106"),"")</f>
      </c>
      <c r="BY159" s="8">
        <f>IF((0=1),SUMIFS('Daily evaluations'!$I$2:$I$36,'Daily evaluations'!$B$2:$B$36,"=random_03",'Daily evaluations'!$C$2:$C$36,"=d20270107"),"")</f>
      </c>
      <c r="BZ159" s="8">
        <f>IF((0=1),SUMIFS('Daily evaluations'!$I$2:$I$36,'Daily evaluations'!$B$2:$B$36,"=random_03",'Daily evaluations'!$C$2:$C$36,"=d20270108"),"")</f>
      </c>
      <c r="CA159" s="8">
        <f>IF((0=1),SUMIFS('Daily evaluations'!$I$2:$I$36,'Daily evaluations'!$B$2:$B$36,"=random_03",'Daily evaluations'!$C$2:$C$36,"=d20270111"),"")</f>
      </c>
      <c r="CB159" s="8">
        <f>IF((0=1),SUMIFS('Daily evaluations'!$I$2:$I$36,'Daily evaluations'!$B$2:$B$36,"=random_03",'Daily evaluations'!$C$2:$C$36,"=d20270112"),"")</f>
      </c>
      <c r="CC159" s="8">
        <f>IF((0=1),SUMIFS('Daily evaluations'!$I$2:$I$36,'Daily evaluations'!$B$2:$B$36,"=random_03",'Daily evaluations'!$C$2:$C$36,"=d20270113"),"")</f>
      </c>
      <c r="CD159" s="8">
        <f>IF((0=1),SUMIFS('Daily evaluations'!$I$2:$I$36,'Daily evaluations'!$B$2:$B$36,"=random_03",'Daily evaluations'!$C$2:$C$36,"=d20270114"),"")</f>
      </c>
      <c r="CE159" s="8">
        <f>IF((0=1),SUMIFS('Daily evaluations'!$I$2:$I$36,'Daily evaluations'!$B$2:$B$36,"=random_03",'Daily evaluations'!$C$2:$C$36,"=d20270115"),"")</f>
      </c>
      <c r="CF159" s="8">
        <f>IF((0=1),SUMIFS('Daily evaluations'!$I$2:$I$36,'Daily evaluations'!$B$2:$B$36,"=random_03",'Daily evaluations'!$C$2:$C$36,"=d20270119"),"")</f>
      </c>
      <c r="CG159" s="8">
        <f>IF((0=1),SUMIFS('Daily evaluations'!$I$2:$I$36,'Daily evaluations'!$B$2:$B$36,"=random_03",'Daily evaluations'!$C$2:$C$36,"=d20270120"),"")</f>
      </c>
      <c r="CH159" s="8">
        <f>IF((0=1),SUMIFS('Daily evaluations'!$I$2:$I$36,'Daily evaluations'!$B$2:$B$36,"=random_03",'Daily evaluations'!$C$2:$C$36,"=d20270121"),"")</f>
      </c>
      <c r="CI159" s="8">
        <f>IF((0=1),SUMIFS('Daily evaluations'!$I$2:$I$36,'Daily evaluations'!$B$2:$B$36,"=random_03",'Daily evaluations'!$C$2:$C$36,"=d20270122"),"")</f>
      </c>
      <c r="CJ159" s="8">
        <f>IF((0=1),SUMIFS('Daily evaluations'!$I$2:$I$36,'Daily evaluations'!$B$2:$B$36,"=random_03",'Daily evaluations'!$C$2:$C$36,"=d20270125"),"")</f>
      </c>
      <c r="CK159" s="8">
        <f>IF((0=1),SUMIFS('Daily evaluations'!$I$2:$I$36,'Daily evaluations'!$B$2:$B$36,"=random_03",'Daily evaluations'!$C$2:$C$36,"=d20270126"),"")</f>
      </c>
      <c r="CL159" s="8">
        <f>IF((0=1),SUMIFS('Daily evaluations'!$I$2:$I$36,'Daily evaluations'!$B$2:$B$36,"=random_03",'Daily evaluations'!$C$2:$C$36,"=d20270127"),"")</f>
      </c>
      <c r="CM159" s="8">
        <f>IF((0=1),SUMIFS('Daily evaluations'!$I$2:$I$36,'Daily evaluations'!$B$2:$B$36,"=random_03",'Daily evaluations'!$C$2:$C$36,"=d20270128"),"")</f>
      </c>
      <c r="CN159" s="8">
        <f>IF((0=1),SUMIFS('Daily evaluations'!$I$2:$I$36,'Daily evaluations'!$B$2:$B$36,"=random_03",'Daily evaluations'!$C$2:$C$36,"=d20270129"),"")</f>
      </c>
      <c r="CO159" s="8">
        <f>IF((0=1),SUMIFS('Daily evaluations'!$I$2:$I$36,'Daily evaluations'!$B$2:$B$36,"=random_03",'Daily evaluations'!$C$2:$C$36,"=d20270201"),"")</f>
      </c>
      <c r="CP159" s="8">
        <f>IF((0=1),SUMIFS('Daily evaluations'!$I$2:$I$36,'Daily evaluations'!$B$2:$B$36,"=random_03",'Daily evaluations'!$C$2:$C$36,"=d20270202"),"")</f>
      </c>
      <c r="CQ159" s="8">
        <f>IF((0=1),SUMIFS('Daily evaluations'!$I$2:$I$36,'Daily evaluations'!$B$2:$B$36,"=random_03",'Daily evaluations'!$C$2:$C$36,"=d20270203"),"")</f>
      </c>
      <c r="CR159" s="8">
        <f>IF((0=1),SUMIFS('Daily evaluations'!$I$2:$I$36,'Daily evaluations'!$B$2:$B$36,"=random_03",'Daily evaluations'!$C$2:$C$36,"=d20270204"),"")</f>
      </c>
      <c r="CS159" s="8">
        <f>IF((0=1),SUMIFS('Daily evaluations'!$I$2:$I$36,'Daily evaluations'!$B$2:$B$36,"=random_03",'Daily evaluations'!$C$2:$C$36,"=d20270205"),"")</f>
      </c>
      <c r="CT159" s="8">
        <f>IF((0=1),SUMIFS('Daily evaluations'!$I$2:$I$36,'Daily evaluations'!$B$2:$B$36,"=random_03",'Daily evaluations'!$C$2:$C$36,"=d20270208"),"")</f>
      </c>
      <c r="CU159" s="8">
        <f>IF((0=1),SUMIFS('Daily evaluations'!$I$2:$I$36,'Daily evaluations'!$B$2:$B$36,"=random_03",'Daily evaluations'!$C$2:$C$36,"=d20270209"),"")</f>
      </c>
      <c r="CV159" s="8">
        <f>IF((0=1),SUMIFS('Daily evaluations'!$I$2:$I$36,'Daily evaluations'!$B$2:$B$36,"=random_03",'Daily evaluations'!$C$2:$C$36,"=d20270210"),"")</f>
      </c>
      <c r="CW159" s="8">
        <f>IF((0=1),SUMIFS('Daily evaluations'!$I$2:$I$36,'Daily evaluations'!$B$2:$B$36,"=random_03",'Daily evaluations'!$C$2:$C$36,"=d20270211"),"")</f>
      </c>
      <c r="CX159" s="8">
        <f>IF((0=1),SUMIFS('Daily evaluations'!$I$2:$I$36,'Daily evaluations'!$B$2:$B$36,"=random_03",'Daily evaluations'!$C$2:$C$36,"=d20270212"),"")</f>
      </c>
    </row>
    <row r="160">
      <c r="A160" s="0" t="inlineStr">
        <is>
          <t xml:space="preserve">Information coefficient</t>
        </is>
      </c>
      <c r="B160" s="0" t="inlineStr">
        <is>
          <t xml:space="preserve">Random 4</t>
        </is>
      </c>
      <c r="C160" s="8">
        <f>IF((1=1),SUMIFS('Daily evaluations'!$I$2:$I$36,'Daily evaluations'!$B$2:$B$36,"=random_04",'Daily evaluations'!$C$2:$C$36,"=d20260922"),"")</f>
        <v>-0.0556</v>
      </c>
      <c r="D160" s="8">
        <f>IF((0=1),SUMIFS('Daily evaluations'!$I$2:$I$36,'Daily evaluations'!$B$2:$B$36,"=random_04",'Daily evaluations'!$C$2:$C$36,"=d20260923"),"")</f>
      </c>
      <c r="E160" s="8">
        <f>IF((0=1),SUMIFS('Daily evaluations'!$I$2:$I$36,'Daily evaluations'!$B$2:$B$36,"=random_04",'Daily evaluations'!$C$2:$C$36,"=d20260924"),"")</f>
      </c>
      <c r="F160" s="8">
        <f>IF((0=1),SUMIFS('Daily evaluations'!$I$2:$I$36,'Daily evaluations'!$B$2:$B$36,"=random_04",'Daily evaluations'!$C$2:$C$36,"=d20260925"),"")</f>
      </c>
      <c r="G160" s="8">
        <f>IF((0=1),SUMIFS('Daily evaluations'!$I$2:$I$36,'Daily evaluations'!$B$2:$B$36,"=random_04",'Daily evaluations'!$C$2:$C$36,"=d20260928"),"")</f>
      </c>
      <c r="H160" s="8">
        <f>IF((0=1),SUMIFS('Daily evaluations'!$I$2:$I$36,'Daily evaluations'!$B$2:$B$36,"=random_04",'Daily evaluations'!$C$2:$C$36,"=d20260929"),"")</f>
      </c>
      <c r="I160" s="8">
        <f>IF((0=1),SUMIFS('Daily evaluations'!$I$2:$I$36,'Daily evaluations'!$B$2:$B$36,"=random_04",'Daily evaluations'!$C$2:$C$36,"=d20260930"),"")</f>
      </c>
      <c r="J160" s="8">
        <f>IF((0=1),SUMIFS('Daily evaluations'!$I$2:$I$36,'Daily evaluations'!$B$2:$B$36,"=random_04",'Daily evaluations'!$C$2:$C$36,"=d20261001"),"")</f>
      </c>
      <c r="K160" s="8">
        <f>IF((0=1),SUMIFS('Daily evaluations'!$I$2:$I$36,'Daily evaluations'!$B$2:$B$36,"=random_04",'Daily evaluations'!$C$2:$C$36,"=d20261002"),"")</f>
      </c>
      <c r="L160" s="8">
        <f>IF((0=1),SUMIFS('Daily evaluations'!$I$2:$I$36,'Daily evaluations'!$B$2:$B$36,"=random_04",'Daily evaluations'!$C$2:$C$36,"=d20261005"),"")</f>
      </c>
      <c r="M160" s="8">
        <f>IF((0=1),SUMIFS('Daily evaluations'!$I$2:$I$36,'Daily evaluations'!$B$2:$B$36,"=random_04",'Daily evaluations'!$C$2:$C$36,"=d20261006"),"")</f>
      </c>
      <c r="N160" s="8">
        <f>IF((0=1),SUMIFS('Daily evaluations'!$I$2:$I$36,'Daily evaluations'!$B$2:$B$36,"=random_04",'Daily evaluations'!$C$2:$C$36,"=d20261007"),"")</f>
      </c>
      <c r="O160" s="8">
        <f>IF((0=1),SUMIFS('Daily evaluations'!$I$2:$I$36,'Daily evaluations'!$B$2:$B$36,"=random_04",'Daily evaluations'!$C$2:$C$36,"=d20261008"),"")</f>
      </c>
      <c r="P160" s="8">
        <f>IF((0=1),SUMIFS('Daily evaluations'!$I$2:$I$36,'Daily evaluations'!$B$2:$B$36,"=random_04",'Daily evaluations'!$C$2:$C$36,"=d20261009"),"")</f>
      </c>
      <c r="Q160" s="8">
        <f>IF((0=1),SUMIFS('Daily evaluations'!$I$2:$I$36,'Daily evaluations'!$B$2:$B$36,"=random_04",'Daily evaluations'!$C$2:$C$36,"=d20261012"),"")</f>
      </c>
      <c r="R160" s="8">
        <f>IF((0=1),SUMIFS('Daily evaluations'!$I$2:$I$36,'Daily evaluations'!$B$2:$B$36,"=random_04",'Daily evaluations'!$C$2:$C$36,"=d20261013"),"")</f>
      </c>
      <c r="S160" s="8">
        <f>IF((0=1),SUMIFS('Daily evaluations'!$I$2:$I$36,'Daily evaluations'!$B$2:$B$36,"=random_04",'Daily evaluations'!$C$2:$C$36,"=d20261014"),"")</f>
      </c>
      <c r="T160" s="8">
        <f>IF((0=1),SUMIFS('Daily evaluations'!$I$2:$I$36,'Daily evaluations'!$B$2:$B$36,"=random_04",'Daily evaluations'!$C$2:$C$36,"=d20261015"),"")</f>
      </c>
      <c r="U160" s="8">
        <f>IF((0=1),SUMIFS('Daily evaluations'!$I$2:$I$36,'Daily evaluations'!$B$2:$B$36,"=random_04",'Daily evaluations'!$C$2:$C$36,"=d20261016"),"")</f>
      </c>
      <c r="V160" s="8">
        <f>IF((0=1),SUMIFS('Daily evaluations'!$I$2:$I$36,'Daily evaluations'!$B$2:$B$36,"=random_04",'Daily evaluations'!$C$2:$C$36,"=d20261019"),"")</f>
      </c>
      <c r="W160" s="8">
        <f>IF((0=1),SUMIFS('Daily evaluations'!$I$2:$I$36,'Daily evaluations'!$B$2:$B$36,"=random_04",'Daily evaluations'!$C$2:$C$36,"=d20261020"),"")</f>
      </c>
      <c r="X160" s="8">
        <f>IF((0=1),SUMIFS('Daily evaluations'!$I$2:$I$36,'Daily evaluations'!$B$2:$B$36,"=random_04",'Daily evaluations'!$C$2:$C$36,"=d20261021"),"")</f>
      </c>
      <c r="Y160" s="8">
        <f>IF((0=1),SUMIFS('Daily evaluations'!$I$2:$I$36,'Daily evaluations'!$B$2:$B$36,"=random_04",'Daily evaluations'!$C$2:$C$36,"=d20261022"),"")</f>
      </c>
      <c r="Z160" s="8">
        <f>IF((0=1),SUMIFS('Daily evaluations'!$I$2:$I$36,'Daily evaluations'!$B$2:$B$36,"=random_04",'Daily evaluations'!$C$2:$C$36,"=d20261023"),"")</f>
      </c>
      <c r="AA160" s="8">
        <f>IF((0=1),SUMIFS('Daily evaluations'!$I$2:$I$36,'Daily evaluations'!$B$2:$B$36,"=random_04",'Daily evaluations'!$C$2:$C$36,"=d20261026"),"")</f>
      </c>
      <c r="AB160" s="8">
        <f>IF((0=1),SUMIFS('Daily evaluations'!$I$2:$I$36,'Daily evaluations'!$B$2:$B$36,"=random_04",'Daily evaluations'!$C$2:$C$36,"=d20261027"),"")</f>
      </c>
      <c r="AC160" s="8">
        <f>IF((0=1),SUMIFS('Daily evaluations'!$I$2:$I$36,'Daily evaluations'!$B$2:$B$36,"=random_04",'Daily evaluations'!$C$2:$C$36,"=d20261028"),"")</f>
      </c>
      <c r="AD160" s="8">
        <f>IF((0=1),SUMIFS('Daily evaluations'!$I$2:$I$36,'Daily evaluations'!$B$2:$B$36,"=random_04",'Daily evaluations'!$C$2:$C$36,"=d20261029"),"")</f>
      </c>
      <c r="AE160" s="8">
        <f>IF((0=1),SUMIFS('Daily evaluations'!$I$2:$I$36,'Daily evaluations'!$B$2:$B$36,"=random_04",'Daily evaluations'!$C$2:$C$36,"=d20261030"),"")</f>
      </c>
      <c r="AF160" s="8">
        <f>IF((0=1),SUMIFS('Daily evaluations'!$I$2:$I$36,'Daily evaluations'!$B$2:$B$36,"=random_04",'Daily evaluations'!$C$2:$C$36,"=d20261102"),"")</f>
      </c>
      <c r="AG160" s="8">
        <f>IF((0=1),SUMIFS('Daily evaluations'!$I$2:$I$36,'Daily evaluations'!$B$2:$B$36,"=random_04",'Daily evaluations'!$C$2:$C$36,"=d20261103"),"")</f>
      </c>
      <c r="AH160" s="8">
        <f>IF((0=1),SUMIFS('Daily evaluations'!$I$2:$I$36,'Daily evaluations'!$B$2:$B$36,"=random_04",'Daily evaluations'!$C$2:$C$36,"=d20261104"),"")</f>
      </c>
      <c r="AI160" s="8">
        <f>IF((0=1),SUMIFS('Daily evaluations'!$I$2:$I$36,'Daily evaluations'!$B$2:$B$36,"=random_04",'Daily evaluations'!$C$2:$C$36,"=d20261105"),"")</f>
      </c>
      <c r="AJ160" s="8">
        <f>IF((0=1),SUMIFS('Daily evaluations'!$I$2:$I$36,'Daily evaluations'!$B$2:$B$36,"=random_04",'Daily evaluations'!$C$2:$C$36,"=d20261106"),"")</f>
      </c>
      <c r="AK160" s="8">
        <f>IF((0=1),SUMIFS('Daily evaluations'!$I$2:$I$36,'Daily evaluations'!$B$2:$B$36,"=random_04",'Daily evaluations'!$C$2:$C$36,"=d20261109"),"")</f>
      </c>
      <c r="AL160" s="8">
        <f>IF((0=1),SUMIFS('Daily evaluations'!$I$2:$I$36,'Daily evaluations'!$B$2:$B$36,"=random_04",'Daily evaluations'!$C$2:$C$36,"=d20261110"),"")</f>
      </c>
      <c r="AM160" s="8">
        <f>IF((0=1),SUMIFS('Daily evaluations'!$I$2:$I$36,'Daily evaluations'!$B$2:$B$36,"=random_04",'Daily evaluations'!$C$2:$C$36,"=d20261111"),"")</f>
      </c>
      <c r="AN160" s="8">
        <f>IF((0=1),SUMIFS('Daily evaluations'!$I$2:$I$36,'Daily evaluations'!$B$2:$B$36,"=random_04",'Daily evaluations'!$C$2:$C$36,"=d20261112"),"")</f>
      </c>
      <c r="AO160" s="8">
        <f>IF((0=1),SUMIFS('Daily evaluations'!$I$2:$I$36,'Daily evaluations'!$B$2:$B$36,"=random_04",'Daily evaluations'!$C$2:$C$36,"=d20261113"),"")</f>
      </c>
      <c r="AP160" s="8">
        <f>IF((0=1),SUMIFS('Daily evaluations'!$I$2:$I$36,'Daily evaluations'!$B$2:$B$36,"=random_04",'Daily evaluations'!$C$2:$C$36,"=d20261116"),"")</f>
      </c>
      <c r="AQ160" s="8">
        <f>IF((0=1),SUMIFS('Daily evaluations'!$I$2:$I$36,'Daily evaluations'!$B$2:$B$36,"=random_04",'Daily evaluations'!$C$2:$C$36,"=d20261117"),"")</f>
      </c>
      <c r="AR160" s="8">
        <f>IF((0=1),SUMIFS('Daily evaluations'!$I$2:$I$36,'Daily evaluations'!$B$2:$B$36,"=random_04",'Daily evaluations'!$C$2:$C$36,"=d20261118"),"")</f>
      </c>
      <c r="AS160" s="8">
        <f>IF((0=1),SUMIFS('Daily evaluations'!$I$2:$I$36,'Daily evaluations'!$B$2:$B$36,"=random_04",'Daily evaluations'!$C$2:$C$36,"=d20261119"),"")</f>
      </c>
      <c r="AT160" s="8">
        <f>IF((0=1),SUMIFS('Daily evaluations'!$I$2:$I$36,'Daily evaluations'!$B$2:$B$36,"=random_04",'Daily evaluations'!$C$2:$C$36,"=d20261120"),"")</f>
      </c>
      <c r="AU160" s="8">
        <f>IF((0=1),SUMIFS('Daily evaluations'!$I$2:$I$36,'Daily evaluations'!$B$2:$B$36,"=random_04",'Daily evaluations'!$C$2:$C$36,"=d20261123"),"")</f>
      </c>
      <c r="AV160" s="8">
        <f>IF((0=1),SUMIFS('Daily evaluations'!$I$2:$I$36,'Daily evaluations'!$B$2:$B$36,"=random_04",'Daily evaluations'!$C$2:$C$36,"=d20261124"),"")</f>
      </c>
      <c r="AW160" s="8">
        <f>IF((0=1),SUMIFS('Daily evaluations'!$I$2:$I$36,'Daily evaluations'!$B$2:$B$36,"=random_04",'Daily evaluations'!$C$2:$C$36,"=d20261125"),"")</f>
      </c>
      <c r="AX160" s="8">
        <f>IF((0=1),SUMIFS('Daily evaluations'!$I$2:$I$36,'Daily evaluations'!$B$2:$B$36,"=random_04",'Daily evaluations'!$C$2:$C$36,"=d20261127"),"")</f>
      </c>
      <c r="AY160" s="8">
        <f>IF((0=1),SUMIFS('Daily evaluations'!$I$2:$I$36,'Daily evaluations'!$B$2:$B$36,"=random_04",'Daily evaluations'!$C$2:$C$36,"=d20261130"),"")</f>
      </c>
      <c r="AZ160" s="8">
        <f>IF((0=1),SUMIFS('Daily evaluations'!$I$2:$I$36,'Daily evaluations'!$B$2:$B$36,"=random_04",'Daily evaluations'!$C$2:$C$36,"=d20261201"),"")</f>
      </c>
      <c r="BA160" s="8">
        <f>IF((0=1),SUMIFS('Daily evaluations'!$I$2:$I$36,'Daily evaluations'!$B$2:$B$36,"=random_04",'Daily evaluations'!$C$2:$C$36,"=d20261202"),"")</f>
      </c>
      <c r="BB160" s="8">
        <f>IF((0=1),SUMIFS('Daily evaluations'!$I$2:$I$36,'Daily evaluations'!$B$2:$B$36,"=random_04",'Daily evaluations'!$C$2:$C$36,"=d20261203"),"")</f>
      </c>
      <c r="BC160" s="8">
        <f>IF((0=1),SUMIFS('Daily evaluations'!$I$2:$I$36,'Daily evaluations'!$B$2:$B$36,"=random_04",'Daily evaluations'!$C$2:$C$36,"=d20261204"),"")</f>
      </c>
      <c r="BD160" s="8">
        <f>IF((0=1),SUMIFS('Daily evaluations'!$I$2:$I$36,'Daily evaluations'!$B$2:$B$36,"=random_04",'Daily evaluations'!$C$2:$C$36,"=d20261207"),"")</f>
      </c>
      <c r="BE160" s="8">
        <f>IF((0=1),SUMIFS('Daily evaluations'!$I$2:$I$36,'Daily evaluations'!$B$2:$B$36,"=random_04",'Daily evaluations'!$C$2:$C$36,"=d20261208"),"")</f>
      </c>
      <c r="BF160" s="8">
        <f>IF((0=1),SUMIFS('Daily evaluations'!$I$2:$I$36,'Daily evaluations'!$B$2:$B$36,"=random_04",'Daily evaluations'!$C$2:$C$36,"=d20261209"),"")</f>
      </c>
      <c r="BG160" s="8">
        <f>IF((0=1),SUMIFS('Daily evaluations'!$I$2:$I$36,'Daily evaluations'!$B$2:$B$36,"=random_04",'Daily evaluations'!$C$2:$C$36,"=d20261210"),"")</f>
      </c>
      <c r="BH160" s="8">
        <f>IF((0=1),SUMIFS('Daily evaluations'!$I$2:$I$36,'Daily evaluations'!$B$2:$B$36,"=random_04",'Daily evaluations'!$C$2:$C$36,"=d20261211"),"")</f>
      </c>
      <c r="BI160" s="8">
        <f>IF((0=1),SUMIFS('Daily evaluations'!$I$2:$I$36,'Daily evaluations'!$B$2:$B$36,"=random_04",'Daily evaluations'!$C$2:$C$36,"=d20261214"),"")</f>
      </c>
      <c r="BJ160" s="8">
        <f>IF((0=1),SUMIFS('Daily evaluations'!$I$2:$I$36,'Daily evaluations'!$B$2:$B$36,"=random_04",'Daily evaluations'!$C$2:$C$36,"=d20261215"),"")</f>
      </c>
      <c r="BK160" s="8">
        <f>IF((0=1),SUMIFS('Daily evaluations'!$I$2:$I$36,'Daily evaluations'!$B$2:$B$36,"=random_04",'Daily evaluations'!$C$2:$C$36,"=d20261216"),"")</f>
      </c>
      <c r="BL160" s="8">
        <f>IF((0=1),SUMIFS('Daily evaluations'!$I$2:$I$36,'Daily evaluations'!$B$2:$B$36,"=random_04",'Daily evaluations'!$C$2:$C$36,"=d20261217"),"")</f>
      </c>
      <c r="BM160" s="8">
        <f>IF((0=1),SUMIFS('Daily evaluations'!$I$2:$I$36,'Daily evaluations'!$B$2:$B$36,"=random_04",'Daily evaluations'!$C$2:$C$36,"=d20261218"),"")</f>
      </c>
      <c r="BN160" s="8">
        <f>IF((0=1),SUMIFS('Daily evaluations'!$I$2:$I$36,'Daily evaluations'!$B$2:$B$36,"=random_04",'Daily evaluations'!$C$2:$C$36,"=d20261221"),"")</f>
      </c>
      <c r="BO160" s="8">
        <f>IF((0=1),SUMIFS('Daily evaluations'!$I$2:$I$36,'Daily evaluations'!$B$2:$B$36,"=random_04",'Daily evaluations'!$C$2:$C$36,"=d20261222"),"")</f>
      </c>
      <c r="BP160" s="8">
        <f>IF((0=1),SUMIFS('Daily evaluations'!$I$2:$I$36,'Daily evaluations'!$B$2:$B$36,"=random_04",'Daily evaluations'!$C$2:$C$36,"=d20261223"),"")</f>
      </c>
      <c r="BQ160" s="8">
        <f>IF((0=1),SUMIFS('Daily evaluations'!$I$2:$I$36,'Daily evaluations'!$B$2:$B$36,"=random_04",'Daily evaluations'!$C$2:$C$36,"=d20261224"),"")</f>
      </c>
      <c r="BR160" s="8">
        <f>IF((0=1),SUMIFS('Daily evaluations'!$I$2:$I$36,'Daily evaluations'!$B$2:$B$36,"=random_04",'Daily evaluations'!$C$2:$C$36,"=d20261228"),"")</f>
      </c>
      <c r="BS160" s="8">
        <f>IF((0=1),SUMIFS('Daily evaluations'!$I$2:$I$36,'Daily evaluations'!$B$2:$B$36,"=random_04",'Daily evaluations'!$C$2:$C$36,"=d20261229"),"")</f>
      </c>
      <c r="BT160" s="8">
        <f>IF((0=1),SUMIFS('Daily evaluations'!$I$2:$I$36,'Daily evaluations'!$B$2:$B$36,"=random_04",'Daily evaluations'!$C$2:$C$36,"=d20261230"),"")</f>
      </c>
      <c r="BU160" s="8">
        <f>IF((0=1),SUMIFS('Daily evaluations'!$I$2:$I$36,'Daily evaluations'!$B$2:$B$36,"=random_04",'Daily evaluations'!$C$2:$C$36,"=d20261231"),"")</f>
      </c>
      <c r="BV160" s="8">
        <f>IF((0=1),SUMIFS('Daily evaluations'!$I$2:$I$36,'Daily evaluations'!$B$2:$B$36,"=random_04",'Daily evaluations'!$C$2:$C$36,"=d20270104"),"")</f>
      </c>
      <c r="BW160" s="8">
        <f>IF((0=1),SUMIFS('Daily evaluations'!$I$2:$I$36,'Daily evaluations'!$B$2:$B$36,"=random_04",'Daily evaluations'!$C$2:$C$36,"=d20270105"),"")</f>
      </c>
      <c r="BX160" s="8">
        <f>IF((0=1),SUMIFS('Daily evaluations'!$I$2:$I$36,'Daily evaluations'!$B$2:$B$36,"=random_04",'Daily evaluations'!$C$2:$C$36,"=d20270106"),"")</f>
      </c>
      <c r="BY160" s="8">
        <f>IF((0=1),SUMIFS('Daily evaluations'!$I$2:$I$36,'Daily evaluations'!$B$2:$B$36,"=random_04",'Daily evaluations'!$C$2:$C$36,"=d20270107"),"")</f>
      </c>
      <c r="BZ160" s="8">
        <f>IF((0=1),SUMIFS('Daily evaluations'!$I$2:$I$36,'Daily evaluations'!$B$2:$B$36,"=random_04",'Daily evaluations'!$C$2:$C$36,"=d20270108"),"")</f>
      </c>
      <c r="CA160" s="8">
        <f>IF((0=1),SUMIFS('Daily evaluations'!$I$2:$I$36,'Daily evaluations'!$B$2:$B$36,"=random_04",'Daily evaluations'!$C$2:$C$36,"=d20270111"),"")</f>
      </c>
      <c r="CB160" s="8">
        <f>IF((0=1),SUMIFS('Daily evaluations'!$I$2:$I$36,'Daily evaluations'!$B$2:$B$36,"=random_04",'Daily evaluations'!$C$2:$C$36,"=d20270112"),"")</f>
      </c>
      <c r="CC160" s="8">
        <f>IF((0=1),SUMIFS('Daily evaluations'!$I$2:$I$36,'Daily evaluations'!$B$2:$B$36,"=random_04",'Daily evaluations'!$C$2:$C$36,"=d20270113"),"")</f>
      </c>
      <c r="CD160" s="8">
        <f>IF((0=1),SUMIFS('Daily evaluations'!$I$2:$I$36,'Daily evaluations'!$B$2:$B$36,"=random_04",'Daily evaluations'!$C$2:$C$36,"=d20270114"),"")</f>
      </c>
      <c r="CE160" s="8">
        <f>IF((0=1),SUMIFS('Daily evaluations'!$I$2:$I$36,'Daily evaluations'!$B$2:$B$36,"=random_04",'Daily evaluations'!$C$2:$C$36,"=d20270115"),"")</f>
      </c>
      <c r="CF160" s="8">
        <f>IF((0=1),SUMIFS('Daily evaluations'!$I$2:$I$36,'Daily evaluations'!$B$2:$B$36,"=random_04",'Daily evaluations'!$C$2:$C$36,"=d20270119"),"")</f>
      </c>
      <c r="CG160" s="8">
        <f>IF((0=1),SUMIFS('Daily evaluations'!$I$2:$I$36,'Daily evaluations'!$B$2:$B$36,"=random_04",'Daily evaluations'!$C$2:$C$36,"=d20270120"),"")</f>
      </c>
      <c r="CH160" s="8">
        <f>IF((0=1),SUMIFS('Daily evaluations'!$I$2:$I$36,'Daily evaluations'!$B$2:$B$36,"=random_04",'Daily evaluations'!$C$2:$C$36,"=d20270121"),"")</f>
      </c>
      <c r="CI160" s="8">
        <f>IF((0=1),SUMIFS('Daily evaluations'!$I$2:$I$36,'Daily evaluations'!$B$2:$B$36,"=random_04",'Daily evaluations'!$C$2:$C$36,"=d20270122"),"")</f>
      </c>
      <c r="CJ160" s="8">
        <f>IF((0=1),SUMIFS('Daily evaluations'!$I$2:$I$36,'Daily evaluations'!$B$2:$B$36,"=random_04",'Daily evaluations'!$C$2:$C$36,"=d20270125"),"")</f>
      </c>
      <c r="CK160" s="8">
        <f>IF((0=1),SUMIFS('Daily evaluations'!$I$2:$I$36,'Daily evaluations'!$B$2:$B$36,"=random_04",'Daily evaluations'!$C$2:$C$36,"=d20270126"),"")</f>
      </c>
      <c r="CL160" s="8">
        <f>IF((0=1),SUMIFS('Daily evaluations'!$I$2:$I$36,'Daily evaluations'!$B$2:$B$36,"=random_04",'Daily evaluations'!$C$2:$C$36,"=d20270127"),"")</f>
      </c>
      <c r="CM160" s="8">
        <f>IF((0=1),SUMIFS('Daily evaluations'!$I$2:$I$36,'Daily evaluations'!$B$2:$B$36,"=random_04",'Daily evaluations'!$C$2:$C$36,"=d20270128"),"")</f>
      </c>
      <c r="CN160" s="8">
        <f>IF((0=1),SUMIFS('Daily evaluations'!$I$2:$I$36,'Daily evaluations'!$B$2:$B$36,"=random_04",'Daily evaluations'!$C$2:$C$36,"=d20270129"),"")</f>
      </c>
      <c r="CO160" s="8">
        <f>IF((0=1),SUMIFS('Daily evaluations'!$I$2:$I$36,'Daily evaluations'!$B$2:$B$36,"=random_04",'Daily evaluations'!$C$2:$C$36,"=d20270201"),"")</f>
      </c>
      <c r="CP160" s="8">
        <f>IF((0=1),SUMIFS('Daily evaluations'!$I$2:$I$36,'Daily evaluations'!$B$2:$B$36,"=random_04",'Daily evaluations'!$C$2:$C$36,"=d20270202"),"")</f>
      </c>
      <c r="CQ160" s="8">
        <f>IF((0=1),SUMIFS('Daily evaluations'!$I$2:$I$36,'Daily evaluations'!$B$2:$B$36,"=random_04",'Daily evaluations'!$C$2:$C$36,"=d20270203"),"")</f>
      </c>
      <c r="CR160" s="8">
        <f>IF((0=1),SUMIFS('Daily evaluations'!$I$2:$I$36,'Daily evaluations'!$B$2:$B$36,"=random_04",'Daily evaluations'!$C$2:$C$36,"=d20270204"),"")</f>
      </c>
      <c r="CS160" s="8">
        <f>IF((0=1),SUMIFS('Daily evaluations'!$I$2:$I$36,'Daily evaluations'!$B$2:$B$36,"=random_04",'Daily evaluations'!$C$2:$C$36,"=d20270205"),"")</f>
      </c>
      <c r="CT160" s="8">
        <f>IF((0=1),SUMIFS('Daily evaluations'!$I$2:$I$36,'Daily evaluations'!$B$2:$B$36,"=random_04",'Daily evaluations'!$C$2:$C$36,"=d20270208"),"")</f>
      </c>
      <c r="CU160" s="8">
        <f>IF((0=1),SUMIFS('Daily evaluations'!$I$2:$I$36,'Daily evaluations'!$B$2:$B$36,"=random_04",'Daily evaluations'!$C$2:$C$36,"=d20270209"),"")</f>
      </c>
      <c r="CV160" s="8">
        <f>IF((0=1),SUMIFS('Daily evaluations'!$I$2:$I$36,'Daily evaluations'!$B$2:$B$36,"=random_04",'Daily evaluations'!$C$2:$C$36,"=d20270210"),"")</f>
      </c>
      <c r="CW160" s="8">
        <f>IF((0=1),SUMIFS('Daily evaluations'!$I$2:$I$36,'Daily evaluations'!$B$2:$B$36,"=random_04",'Daily evaluations'!$C$2:$C$36,"=d20270211"),"")</f>
      </c>
      <c r="CX160" s="8">
        <f>IF((0=1),SUMIFS('Daily evaluations'!$I$2:$I$36,'Daily evaluations'!$B$2:$B$36,"=random_04",'Daily evaluations'!$C$2:$C$36,"=d20270212"),"")</f>
      </c>
    </row>
    <row r="161">
      <c r="A161" s="0" t="inlineStr">
        <is>
          <t xml:space="preserve">Information coefficient</t>
        </is>
      </c>
      <c r="B161" s="0" t="inlineStr">
        <is>
          <t xml:space="preserve">Random 5</t>
        </is>
      </c>
      <c r="C161" s="8">
        <f>IF((1=1),SUMIFS('Daily evaluations'!$I$2:$I$36,'Daily evaluations'!$B$2:$B$36,"=random_05",'Daily evaluations'!$C$2:$C$36,"=d20260922"),"")</f>
        <v>0.0179</v>
      </c>
      <c r="D161" s="8">
        <f>IF((0=1),SUMIFS('Daily evaluations'!$I$2:$I$36,'Daily evaluations'!$B$2:$B$36,"=random_05",'Daily evaluations'!$C$2:$C$36,"=d20260923"),"")</f>
      </c>
      <c r="E161" s="8">
        <f>IF((0=1),SUMIFS('Daily evaluations'!$I$2:$I$36,'Daily evaluations'!$B$2:$B$36,"=random_05",'Daily evaluations'!$C$2:$C$36,"=d20260924"),"")</f>
      </c>
      <c r="F161" s="8">
        <f>IF((0=1),SUMIFS('Daily evaluations'!$I$2:$I$36,'Daily evaluations'!$B$2:$B$36,"=random_05",'Daily evaluations'!$C$2:$C$36,"=d20260925"),"")</f>
      </c>
      <c r="G161" s="8">
        <f>IF((0=1),SUMIFS('Daily evaluations'!$I$2:$I$36,'Daily evaluations'!$B$2:$B$36,"=random_05",'Daily evaluations'!$C$2:$C$36,"=d20260928"),"")</f>
      </c>
      <c r="H161" s="8">
        <f>IF((0=1),SUMIFS('Daily evaluations'!$I$2:$I$36,'Daily evaluations'!$B$2:$B$36,"=random_05",'Daily evaluations'!$C$2:$C$36,"=d20260929"),"")</f>
      </c>
      <c r="I161" s="8">
        <f>IF((0=1),SUMIFS('Daily evaluations'!$I$2:$I$36,'Daily evaluations'!$B$2:$B$36,"=random_05",'Daily evaluations'!$C$2:$C$36,"=d20260930"),"")</f>
      </c>
      <c r="J161" s="8">
        <f>IF((0=1),SUMIFS('Daily evaluations'!$I$2:$I$36,'Daily evaluations'!$B$2:$B$36,"=random_05",'Daily evaluations'!$C$2:$C$36,"=d20261001"),"")</f>
      </c>
      <c r="K161" s="8">
        <f>IF((0=1),SUMIFS('Daily evaluations'!$I$2:$I$36,'Daily evaluations'!$B$2:$B$36,"=random_05",'Daily evaluations'!$C$2:$C$36,"=d20261002"),"")</f>
      </c>
      <c r="L161" s="8">
        <f>IF((0=1),SUMIFS('Daily evaluations'!$I$2:$I$36,'Daily evaluations'!$B$2:$B$36,"=random_05",'Daily evaluations'!$C$2:$C$36,"=d20261005"),"")</f>
      </c>
      <c r="M161" s="8">
        <f>IF((0=1),SUMIFS('Daily evaluations'!$I$2:$I$36,'Daily evaluations'!$B$2:$B$36,"=random_05",'Daily evaluations'!$C$2:$C$36,"=d20261006"),"")</f>
      </c>
      <c r="N161" s="8">
        <f>IF((0=1),SUMIFS('Daily evaluations'!$I$2:$I$36,'Daily evaluations'!$B$2:$B$36,"=random_05",'Daily evaluations'!$C$2:$C$36,"=d20261007"),"")</f>
      </c>
      <c r="O161" s="8">
        <f>IF((0=1),SUMIFS('Daily evaluations'!$I$2:$I$36,'Daily evaluations'!$B$2:$B$36,"=random_05",'Daily evaluations'!$C$2:$C$36,"=d20261008"),"")</f>
      </c>
      <c r="P161" s="8">
        <f>IF((0=1),SUMIFS('Daily evaluations'!$I$2:$I$36,'Daily evaluations'!$B$2:$B$36,"=random_05",'Daily evaluations'!$C$2:$C$36,"=d20261009"),"")</f>
      </c>
      <c r="Q161" s="8">
        <f>IF((0=1),SUMIFS('Daily evaluations'!$I$2:$I$36,'Daily evaluations'!$B$2:$B$36,"=random_05",'Daily evaluations'!$C$2:$C$36,"=d20261012"),"")</f>
      </c>
      <c r="R161" s="8">
        <f>IF((0=1),SUMIFS('Daily evaluations'!$I$2:$I$36,'Daily evaluations'!$B$2:$B$36,"=random_05",'Daily evaluations'!$C$2:$C$36,"=d20261013"),"")</f>
      </c>
      <c r="S161" s="8">
        <f>IF((0=1),SUMIFS('Daily evaluations'!$I$2:$I$36,'Daily evaluations'!$B$2:$B$36,"=random_05",'Daily evaluations'!$C$2:$C$36,"=d20261014"),"")</f>
      </c>
      <c r="T161" s="8">
        <f>IF((0=1),SUMIFS('Daily evaluations'!$I$2:$I$36,'Daily evaluations'!$B$2:$B$36,"=random_05",'Daily evaluations'!$C$2:$C$36,"=d20261015"),"")</f>
      </c>
      <c r="U161" s="8">
        <f>IF((0=1),SUMIFS('Daily evaluations'!$I$2:$I$36,'Daily evaluations'!$B$2:$B$36,"=random_05",'Daily evaluations'!$C$2:$C$36,"=d20261016"),"")</f>
      </c>
      <c r="V161" s="8">
        <f>IF((0=1),SUMIFS('Daily evaluations'!$I$2:$I$36,'Daily evaluations'!$B$2:$B$36,"=random_05",'Daily evaluations'!$C$2:$C$36,"=d20261019"),"")</f>
      </c>
      <c r="W161" s="8">
        <f>IF((0=1),SUMIFS('Daily evaluations'!$I$2:$I$36,'Daily evaluations'!$B$2:$B$36,"=random_05",'Daily evaluations'!$C$2:$C$36,"=d20261020"),"")</f>
      </c>
      <c r="X161" s="8">
        <f>IF((0=1),SUMIFS('Daily evaluations'!$I$2:$I$36,'Daily evaluations'!$B$2:$B$36,"=random_05",'Daily evaluations'!$C$2:$C$36,"=d20261021"),"")</f>
      </c>
      <c r="Y161" s="8">
        <f>IF((0=1),SUMIFS('Daily evaluations'!$I$2:$I$36,'Daily evaluations'!$B$2:$B$36,"=random_05",'Daily evaluations'!$C$2:$C$36,"=d20261022"),"")</f>
      </c>
      <c r="Z161" s="8">
        <f>IF((0=1),SUMIFS('Daily evaluations'!$I$2:$I$36,'Daily evaluations'!$B$2:$B$36,"=random_05",'Daily evaluations'!$C$2:$C$36,"=d20261023"),"")</f>
      </c>
      <c r="AA161" s="8">
        <f>IF((0=1),SUMIFS('Daily evaluations'!$I$2:$I$36,'Daily evaluations'!$B$2:$B$36,"=random_05",'Daily evaluations'!$C$2:$C$36,"=d20261026"),"")</f>
      </c>
      <c r="AB161" s="8">
        <f>IF((0=1),SUMIFS('Daily evaluations'!$I$2:$I$36,'Daily evaluations'!$B$2:$B$36,"=random_05",'Daily evaluations'!$C$2:$C$36,"=d20261027"),"")</f>
      </c>
      <c r="AC161" s="8">
        <f>IF((0=1),SUMIFS('Daily evaluations'!$I$2:$I$36,'Daily evaluations'!$B$2:$B$36,"=random_05",'Daily evaluations'!$C$2:$C$36,"=d20261028"),"")</f>
      </c>
      <c r="AD161" s="8">
        <f>IF((0=1),SUMIFS('Daily evaluations'!$I$2:$I$36,'Daily evaluations'!$B$2:$B$36,"=random_05",'Daily evaluations'!$C$2:$C$36,"=d20261029"),"")</f>
      </c>
      <c r="AE161" s="8">
        <f>IF((0=1),SUMIFS('Daily evaluations'!$I$2:$I$36,'Daily evaluations'!$B$2:$B$36,"=random_05",'Daily evaluations'!$C$2:$C$36,"=d20261030"),"")</f>
      </c>
      <c r="AF161" s="8">
        <f>IF((0=1),SUMIFS('Daily evaluations'!$I$2:$I$36,'Daily evaluations'!$B$2:$B$36,"=random_05",'Daily evaluations'!$C$2:$C$36,"=d20261102"),"")</f>
      </c>
      <c r="AG161" s="8">
        <f>IF((0=1),SUMIFS('Daily evaluations'!$I$2:$I$36,'Daily evaluations'!$B$2:$B$36,"=random_05",'Daily evaluations'!$C$2:$C$36,"=d20261103"),"")</f>
      </c>
      <c r="AH161" s="8">
        <f>IF((0=1),SUMIFS('Daily evaluations'!$I$2:$I$36,'Daily evaluations'!$B$2:$B$36,"=random_05",'Daily evaluations'!$C$2:$C$36,"=d20261104"),"")</f>
      </c>
      <c r="AI161" s="8">
        <f>IF((0=1),SUMIFS('Daily evaluations'!$I$2:$I$36,'Daily evaluations'!$B$2:$B$36,"=random_05",'Daily evaluations'!$C$2:$C$36,"=d20261105"),"")</f>
      </c>
      <c r="AJ161" s="8">
        <f>IF((0=1),SUMIFS('Daily evaluations'!$I$2:$I$36,'Daily evaluations'!$B$2:$B$36,"=random_05",'Daily evaluations'!$C$2:$C$36,"=d20261106"),"")</f>
      </c>
      <c r="AK161" s="8">
        <f>IF((0=1),SUMIFS('Daily evaluations'!$I$2:$I$36,'Daily evaluations'!$B$2:$B$36,"=random_05",'Daily evaluations'!$C$2:$C$36,"=d20261109"),"")</f>
      </c>
      <c r="AL161" s="8">
        <f>IF((0=1),SUMIFS('Daily evaluations'!$I$2:$I$36,'Daily evaluations'!$B$2:$B$36,"=random_05",'Daily evaluations'!$C$2:$C$36,"=d20261110"),"")</f>
      </c>
      <c r="AM161" s="8">
        <f>IF((0=1),SUMIFS('Daily evaluations'!$I$2:$I$36,'Daily evaluations'!$B$2:$B$36,"=random_05",'Daily evaluations'!$C$2:$C$36,"=d20261111"),"")</f>
      </c>
      <c r="AN161" s="8">
        <f>IF((0=1),SUMIFS('Daily evaluations'!$I$2:$I$36,'Daily evaluations'!$B$2:$B$36,"=random_05",'Daily evaluations'!$C$2:$C$36,"=d20261112"),"")</f>
      </c>
      <c r="AO161" s="8">
        <f>IF((0=1),SUMIFS('Daily evaluations'!$I$2:$I$36,'Daily evaluations'!$B$2:$B$36,"=random_05",'Daily evaluations'!$C$2:$C$36,"=d20261113"),"")</f>
      </c>
      <c r="AP161" s="8">
        <f>IF((0=1),SUMIFS('Daily evaluations'!$I$2:$I$36,'Daily evaluations'!$B$2:$B$36,"=random_05",'Daily evaluations'!$C$2:$C$36,"=d20261116"),"")</f>
      </c>
      <c r="AQ161" s="8">
        <f>IF((0=1),SUMIFS('Daily evaluations'!$I$2:$I$36,'Daily evaluations'!$B$2:$B$36,"=random_05",'Daily evaluations'!$C$2:$C$36,"=d20261117"),"")</f>
      </c>
      <c r="AR161" s="8">
        <f>IF((0=1),SUMIFS('Daily evaluations'!$I$2:$I$36,'Daily evaluations'!$B$2:$B$36,"=random_05",'Daily evaluations'!$C$2:$C$36,"=d20261118"),"")</f>
      </c>
      <c r="AS161" s="8">
        <f>IF((0=1),SUMIFS('Daily evaluations'!$I$2:$I$36,'Daily evaluations'!$B$2:$B$36,"=random_05",'Daily evaluations'!$C$2:$C$36,"=d20261119"),"")</f>
      </c>
      <c r="AT161" s="8">
        <f>IF((0=1),SUMIFS('Daily evaluations'!$I$2:$I$36,'Daily evaluations'!$B$2:$B$36,"=random_05",'Daily evaluations'!$C$2:$C$36,"=d20261120"),"")</f>
      </c>
      <c r="AU161" s="8">
        <f>IF((0=1),SUMIFS('Daily evaluations'!$I$2:$I$36,'Daily evaluations'!$B$2:$B$36,"=random_05",'Daily evaluations'!$C$2:$C$36,"=d20261123"),"")</f>
      </c>
      <c r="AV161" s="8">
        <f>IF((0=1),SUMIFS('Daily evaluations'!$I$2:$I$36,'Daily evaluations'!$B$2:$B$36,"=random_05",'Daily evaluations'!$C$2:$C$36,"=d20261124"),"")</f>
      </c>
      <c r="AW161" s="8">
        <f>IF((0=1),SUMIFS('Daily evaluations'!$I$2:$I$36,'Daily evaluations'!$B$2:$B$36,"=random_05",'Daily evaluations'!$C$2:$C$36,"=d20261125"),"")</f>
      </c>
      <c r="AX161" s="8">
        <f>IF((0=1),SUMIFS('Daily evaluations'!$I$2:$I$36,'Daily evaluations'!$B$2:$B$36,"=random_05",'Daily evaluations'!$C$2:$C$36,"=d20261127"),"")</f>
      </c>
      <c r="AY161" s="8">
        <f>IF((0=1),SUMIFS('Daily evaluations'!$I$2:$I$36,'Daily evaluations'!$B$2:$B$36,"=random_05",'Daily evaluations'!$C$2:$C$36,"=d20261130"),"")</f>
      </c>
      <c r="AZ161" s="8">
        <f>IF((0=1),SUMIFS('Daily evaluations'!$I$2:$I$36,'Daily evaluations'!$B$2:$B$36,"=random_05",'Daily evaluations'!$C$2:$C$36,"=d20261201"),"")</f>
      </c>
      <c r="BA161" s="8">
        <f>IF((0=1),SUMIFS('Daily evaluations'!$I$2:$I$36,'Daily evaluations'!$B$2:$B$36,"=random_05",'Daily evaluations'!$C$2:$C$36,"=d20261202"),"")</f>
      </c>
      <c r="BB161" s="8">
        <f>IF((0=1),SUMIFS('Daily evaluations'!$I$2:$I$36,'Daily evaluations'!$B$2:$B$36,"=random_05",'Daily evaluations'!$C$2:$C$36,"=d20261203"),"")</f>
      </c>
      <c r="BC161" s="8">
        <f>IF((0=1),SUMIFS('Daily evaluations'!$I$2:$I$36,'Daily evaluations'!$B$2:$B$36,"=random_05",'Daily evaluations'!$C$2:$C$36,"=d20261204"),"")</f>
      </c>
      <c r="BD161" s="8">
        <f>IF((0=1),SUMIFS('Daily evaluations'!$I$2:$I$36,'Daily evaluations'!$B$2:$B$36,"=random_05",'Daily evaluations'!$C$2:$C$36,"=d20261207"),"")</f>
      </c>
      <c r="BE161" s="8">
        <f>IF((0=1),SUMIFS('Daily evaluations'!$I$2:$I$36,'Daily evaluations'!$B$2:$B$36,"=random_05",'Daily evaluations'!$C$2:$C$36,"=d20261208"),"")</f>
      </c>
      <c r="BF161" s="8">
        <f>IF((0=1),SUMIFS('Daily evaluations'!$I$2:$I$36,'Daily evaluations'!$B$2:$B$36,"=random_05",'Daily evaluations'!$C$2:$C$36,"=d20261209"),"")</f>
      </c>
      <c r="BG161" s="8">
        <f>IF((0=1),SUMIFS('Daily evaluations'!$I$2:$I$36,'Daily evaluations'!$B$2:$B$36,"=random_05",'Daily evaluations'!$C$2:$C$36,"=d20261210"),"")</f>
      </c>
      <c r="BH161" s="8">
        <f>IF((0=1),SUMIFS('Daily evaluations'!$I$2:$I$36,'Daily evaluations'!$B$2:$B$36,"=random_05",'Daily evaluations'!$C$2:$C$36,"=d20261211"),"")</f>
      </c>
      <c r="BI161" s="8">
        <f>IF((0=1),SUMIFS('Daily evaluations'!$I$2:$I$36,'Daily evaluations'!$B$2:$B$36,"=random_05",'Daily evaluations'!$C$2:$C$36,"=d20261214"),"")</f>
      </c>
      <c r="BJ161" s="8">
        <f>IF((0=1),SUMIFS('Daily evaluations'!$I$2:$I$36,'Daily evaluations'!$B$2:$B$36,"=random_05",'Daily evaluations'!$C$2:$C$36,"=d20261215"),"")</f>
      </c>
      <c r="BK161" s="8">
        <f>IF((0=1),SUMIFS('Daily evaluations'!$I$2:$I$36,'Daily evaluations'!$B$2:$B$36,"=random_05",'Daily evaluations'!$C$2:$C$36,"=d20261216"),"")</f>
      </c>
      <c r="BL161" s="8">
        <f>IF((0=1),SUMIFS('Daily evaluations'!$I$2:$I$36,'Daily evaluations'!$B$2:$B$36,"=random_05",'Daily evaluations'!$C$2:$C$36,"=d20261217"),"")</f>
      </c>
      <c r="BM161" s="8">
        <f>IF((0=1),SUMIFS('Daily evaluations'!$I$2:$I$36,'Daily evaluations'!$B$2:$B$36,"=random_05",'Daily evaluations'!$C$2:$C$36,"=d20261218"),"")</f>
      </c>
      <c r="BN161" s="8">
        <f>IF((0=1),SUMIFS('Daily evaluations'!$I$2:$I$36,'Daily evaluations'!$B$2:$B$36,"=random_05",'Daily evaluations'!$C$2:$C$36,"=d20261221"),"")</f>
      </c>
      <c r="BO161" s="8">
        <f>IF((0=1),SUMIFS('Daily evaluations'!$I$2:$I$36,'Daily evaluations'!$B$2:$B$36,"=random_05",'Daily evaluations'!$C$2:$C$36,"=d20261222"),"")</f>
      </c>
      <c r="BP161" s="8">
        <f>IF((0=1),SUMIFS('Daily evaluations'!$I$2:$I$36,'Daily evaluations'!$B$2:$B$36,"=random_05",'Daily evaluations'!$C$2:$C$36,"=d20261223"),"")</f>
      </c>
      <c r="BQ161" s="8">
        <f>IF((0=1),SUMIFS('Daily evaluations'!$I$2:$I$36,'Daily evaluations'!$B$2:$B$36,"=random_05",'Daily evaluations'!$C$2:$C$36,"=d20261224"),"")</f>
      </c>
      <c r="BR161" s="8">
        <f>IF((0=1),SUMIFS('Daily evaluations'!$I$2:$I$36,'Daily evaluations'!$B$2:$B$36,"=random_05",'Daily evaluations'!$C$2:$C$36,"=d20261228"),"")</f>
      </c>
      <c r="BS161" s="8">
        <f>IF((0=1),SUMIFS('Daily evaluations'!$I$2:$I$36,'Daily evaluations'!$B$2:$B$36,"=random_05",'Daily evaluations'!$C$2:$C$36,"=d20261229"),"")</f>
      </c>
      <c r="BT161" s="8">
        <f>IF((0=1),SUMIFS('Daily evaluations'!$I$2:$I$36,'Daily evaluations'!$B$2:$B$36,"=random_05",'Daily evaluations'!$C$2:$C$36,"=d20261230"),"")</f>
      </c>
      <c r="BU161" s="8">
        <f>IF((0=1),SUMIFS('Daily evaluations'!$I$2:$I$36,'Daily evaluations'!$B$2:$B$36,"=random_05",'Daily evaluations'!$C$2:$C$36,"=d20261231"),"")</f>
      </c>
      <c r="BV161" s="8">
        <f>IF((0=1),SUMIFS('Daily evaluations'!$I$2:$I$36,'Daily evaluations'!$B$2:$B$36,"=random_05",'Daily evaluations'!$C$2:$C$36,"=d20270104"),"")</f>
      </c>
      <c r="BW161" s="8">
        <f>IF((0=1),SUMIFS('Daily evaluations'!$I$2:$I$36,'Daily evaluations'!$B$2:$B$36,"=random_05",'Daily evaluations'!$C$2:$C$36,"=d20270105"),"")</f>
      </c>
      <c r="BX161" s="8">
        <f>IF((0=1),SUMIFS('Daily evaluations'!$I$2:$I$36,'Daily evaluations'!$B$2:$B$36,"=random_05",'Daily evaluations'!$C$2:$C$36,"=d20270106"),"")</f>
      </c>
      <c r="BY161" s="8">
        <f>IF((0=1),SUMIFS('Daily evaluations'!$I$2:$I$36,'Daily evaluations'!$B$2:$B$36,"=random_05",'Daily evaluations'!$C$2:$C$36,"=d20270107"),"")</f>
      </c>
      <c r="BZ161" s="8">
        <f>IF((0=1),SUMIFS('Daily evaluations'!$I$2:$I$36,'Daily evaluations'!$B$2:$B$36,"=random_05",'Daily evaluations'!$C$2:$C$36,"=d20270108"),"")</f>
      </c>
      <c r="CA161" s="8">
        <f>IF((0=1),SUMIFS('Daily evaluations'!$I$2:$I$36,'Daily evaluations'!$B$2:$B$36,"=random_05",'Daily evaluations'!$C$2:$C$36,"=d20270111"),"")</f>
      </c>
      <c r="CB161" s="8">
        <f>IF((0=1),SUMIFS('Daily evaluations'!$I$2:$I$36,'Daily evaluations'!$B$2:$B$36,"=random_05",'Daily evaluations'!$C$2:$C$36,"=d20270112"),"")</f>
      </c>
      <c r="CC161" s="8">
        <f>IF((0=1),SUMIFS('Daily evaluations'!$I$2:$I$36,'Daily evaluations'!$B$2:$B$36,"=random_05",'Daily evaluations'!$C$2:$C$36,"=d20270113"),"")</f>
      </c>
      <c r="CD161" s="8">
        <f>IF((0=1),SUMIFS('Daily evaluations'!$I$2:$I$36,'Daily evaluations'!$B$2:$B$36,"=random_05",'Daily evaluations'!$C$2:$C$36,"=d20270114"),"")</f>
      </c>
      <c r="CE161" s="8">
        <f>IF((0=1),SUMIFS('Daily evaluations'!$I$2:$I$36,'Daily evaluations'!$B$2:$B$36,"=random_05",'Daily evaluations'!$C$2:$C$36,"=d20270115"),"")</f>
      </c>
      <c r="CF161" s="8">
        <f>IF((0=1),SUMIFS('Daily evaluations'!$I$2:$I$36,'Daily evaluations'!$B$2:$B$36,"=random_05",'Daily evaluations'!$C$2:$C$36,"=d20270119"),"")</f>
      </c>
      <c r="CG161" s="8">
        <f>IF((0=1),SUMIFS('Daily evaluations'!$I$2:$I$36,'Daily evaluations'!$B$2:$B$36,"=random_05",'Daily evaluations'!$C$2:$C$36,"=d20270120"),"")</f>
      </c>
      <c r="CH161" s="8">
        <f>IF((0=1),SUMIFS('Daily evaluations'!$I$2:$I$36,'Daily evaluations'!$B$2:$B$36,"=random_05",'Daily evaluations'!$C$2:$C$36,"=d20270121"),"")</f>
      </c>
      <c r="CI161" s="8">
        <f>IF((0=1),SUMIFS('Daily evaluations'!$I$2:$I$36,'Daily evaluations'!$B$2:$B$36,"=random_05",'Daily evaluations'!$C$2:$C$36,"=d20270122"),"")</f>
      </c>
      <c r="CJ161" s="8">
        <f>IF((0=1),SUMIFS('Daily evaluations'!$I$2:$I$36,'Daily evaluations'!$B$2:$B$36,"=random_05",'Daily evaluations'!$C$2:$C$36,"=d20270125"),"")</f>
      </c>
      <c r="CK161" s="8">
        <f>IF((0=1),SUMIFS('Daily evaluations'!$I$2:$I$36,'Daily evaluations'!$B$2:$B$36,"=random_05",'Daily evaluations'!$C$2:$C$36,"=d20270126"),"")</f>
      </c>
      <c r="CL161" s="8">
        <f>IF((0=1),SUMIFS('Daily evaluations'!$I$2:$I$36,'Daily evaluations'!$B$2:$B$36,"=random_05",'Daily evaluations'!$C$2:$C$36,"=d20270127"),"")</f>
      </c>
      <c r="CM161" s="8">
        <f>IF((0=1),SUMIFS('Daily evaluations'!$I$2:$I$36,'Daily evaluations'!$B$2:$B$36,"=random_05",'Daily evaluations'!$C$2:$C$36,"=d20270128"),"")</f>
      </c>
      <c r="CN161" s="8">
        <f>IF((0=1),SUMIFS('Daily evaluations'!$I$2:$I$36,'Daily evaluations'!$B$2:$B$36,"=random_05",'Daily evaluations'!$C$2:$C$36,"=d20270129"),"")</f>
      </c>
      <c r="CO161" s="8">
        <f>IF((0=1),SUMIFS('Daily evaluations'!$I$2:$I$36,'Daily evaluations'!$B$2:$B$36,"=random_05",'Daily evaluations'!$C$2:$C$36,"=d20270201"),"")</f>
      </c>
      <c r="CP161" s="8">
        <f>IF((0=1),SUMIFS('Daily evaluations'!$I$2:$I$36,'Daily evaluations'!$B$2:$B$36,"=random_05",'Daily evaluations'!$C$2:$C$36,"=d20270202"),"")</f>
      </c>
      <c r="CQ161" s="8">
        <f>IF((0=1),SUMIFS('Daily evaluations'!$I$2:$I$36,'Daily evaluations'!$B$2:$B$36,"=random_05",'Daily evaluations'!$C$2:$C$36,"=d20270203"),"")</f>
      </c>
      <c r="CR161" s="8">
        <f>IF((0=1),SUMIFS('Daily evaluations'!$I$2:$I$36,'Daily evaluations'!$B$2:$B$36,"=random_05",'Daily evaluations'!$C$2:$C$36,"=d20270204"),"")</f>
      </c>
      <c r="CS161" s="8">
        <f>IF((0=1),SUMIFS('Daily evaluations'!$I$2:$I$36,'Daily evaluations'!$B$2:$B$36,"=random_05",'Daily evaluations'!$C$2:$C$36,"=d20270205"),"")</f>
      </c>
      <c r="CT161" s="8">
        <f>IF((0=1),SUMIFS('Daily evaluations'!$I$2:$I$36,'Daily evaluations'!$B$2:$B$36,"=random_05",'Daily evaluations'!$C$2:$C$36,"=d20270208"),"")</f>
      </c>
      <c r="CU161" s="8">
        <f>IF((0=1),SUMIFS('Daily evaluations'!$I$2:$I$36,'Daily evaluations'!$B$2:$B$36,"=random_05",'Daily evaluations'!$C$2:$C$36,"=d20270209"),"")</f>
      </c>
      <c r="CV161" s="8">
        <f>IF((0=1),SUMIFS('Daily evaluations'!$I$2:$I$36,'Daily evaluations'!$B$2:$B$36,"=random_05",'Daily evaluations'!$C$2:$C$36,"=d20270210"),"")</f>
      </c>
      <c r="CW161" s="8">
        <f>IF((0=1),SUMIFS('Daily evaluations'!$I$2:$I$36,'Daily evaluations'!$B$2:$B$36,"=random_05",'Daily evaluations'!$C$2:$C$36,"=d20270211"),"")</f>
      </c>
      <c r="CX161" s="8">
        <f>IF((0=1),SUMIFS('Daily evaluations'!$I$2:$I$36,'Daily evaluations'!$B$2:$B$36,"=random_05",'Daily evaluations'!$C$2:$C$36,"=d20270212"),"")</f>
      </c>
    </row>
    <row r="162">
      <c r="A162" s="0" t="inlineStr">
        <is>
          <t xml:space="preserve">Information coefficient</t>
        </is>
      </c>
      <c r="B162" s="0" t="inlineStr">
        <is>
          <t xml:space="preserve">Random 6</t>
        </is>
      </c>
      <c r="C162" s="8">
        <f>IF((1=1),SUMIFS('Daily evaluations'!$I$2:$I$36,'Daily evaluations'!$B$2:$B$36,"=random_06",'Daily evaluations'!$C$2:$C$36,"=d20260922"),"")</f>
        <v>-0.0092</v>
      </c>
      <c r="D162" s="8">
        <f>IF((0=1),SUMIFS('Daily evaluations'!$I$2:$I$36,'Daily evaluations'!$B$2:$B$36,"=random_06",'Daily evaluations'!$C$2:$C$36,"=d20260923"),"")</f>
      </c>
      <c r="E162" s="8">
        <f>IF((0=1),SUMIFS('Daily evaluations'!$I$2:$I$36,'Daily evaluations'!$B$2:$B$36,"=random_06",'Daily evaluations'!$C$2:$C$36,"=d20260924"),"")</f>
      </c>
      <c r="F162" s="8">
        <f>IF((0=1),SUMIFS('Daily evaluations'!$I$2:$I$36,'Daily evaluations'!$B$2:$B$36,"=random_06",'Daily evaluations'!$C$2:$C$36,"=d20260925"),"")</f>
      </c>
      <c r="G162" s="8">
        <f>IF((0=1),SUMIFS('Daily evaluations'!$I$2:$I$36,'Daily evaluations'!$B$2:$B$36,"=random_06",'Daily evaluations'!$C$2:$C$36,"=d20260928"),"")</f>
      </c>
      <c r="H162" s="8">
        <f>IF((0=1),SUMIFS('Daily evaluations'!$I$2:$I$36,'Daily evaluations'!$B$2:$B$36,"=random_06",'Daily evaluations'!$C$2:$C$36,"=d20260929"),"")</f>
      </c>
      <c r="I162" s="8">
        <f>IF((0=1),SUMIFS('Daily evaluations'!$I$2:$I$36,'Daily evaluations'!$B$2:$B$36,"=random_06",'Daily evaluations'!$C$2:$C$36,"=d20260930"),"")</f>
      </c>
      <c r="J162" s="8">
        <f>IF((0=1),SUMIFS('Daily evaluations'!$I$2:$I$36,'Daily evaluations'!$B$2:$B$36,"=random_06",'Daily evaluations'!$C$2:$C$36,"=d20261001"),"")</f>
      </c>
      <c r="K162" s="8">
        <f>IF((0=1),SUMIFS('Daily evaluations'!$I$2:$I$36,'Daily evaluations'!$B$2:$B$36,"=random_06",'Daily evaluations'!$C$2:$C$36,"=d20261002"),"")</f>
      </c>
      <c r="L162" s="8">
        <f>IF((0=1),SUMIFS('Daily evaluations'!$I$2:$I$36,'Daily evaluations'!$B$2:$B$36,"=random_06",'Daily evaluations'!$C$2:$C$36,"=d20261005"),"")</f>
      </c>
      <c r="M162" s="8">
        <f>IF((0=1),SUMIFS('Daily evaluations'!$I$2:$I$36,'Daily evaluations'!$B$2:$B$36,"=random_06",'Daily evaluations'!$C$2:$C$36,"=d20261006"),"")</f>
      </c>
      <c r="N162" s="8">
        <f>IF((0=1),SUMIFS('Daily evaluations'!$I$2:$I$36,'Daily evaluations'!$B$2:$B$36,"=random_06",'Daily evaluations'!$C$2:$C$36,"=d20261007"),"")</f>
      </c>
      <c r="O162" s="8">
        <f>IF((0=1),SUMIFS('Daily evaluations'!$I$2:$I$36,'Daily evaluations'!$B$2:$B$36,"=random_06",'Daily evaluations'!$C$2:$C$36,"=d20261008"),"")</f>
      </c>
      <c r="P162" s="8">
        <f>IF((0=1),SUMIFS('Daily evaluations'!$I$2:$I$36,'Daily evaluations'!$B$2:$B$36,"=random_06",'Daily evaluations'!$C$2:$C$36,"=d20261009"),"")</f>
      </c>
      <c r="Q162" s="8">
        <f>IF((0=1),SUMIFS('Daily evaluations'!$I$2:$I$36,'Daily evaluations'!$B$2:$B$36,"=random_06",'Daily evaluations'!$C$2:$C$36,"=d20261012"),"")</f>
      </c>
      <c r="R162" s="8">
        <f>IF((0=1),SUMIFS('Daily evaluations'!$I$2:$I$36,'Daily evaluations'!$B$2:$B$36,"=random_06",'Daily evaluations'!$C$2:$C$36,"=d20261013"),"")</f>
      </c>
      <c r="S162" s="8">
        <f>IF((0=1),SUMIFS('Daily evaluations'!$I$2:$I$36,'Daily evaluations'!$B$2:$B$36,"=random_06",'Daily evaluations'!$C$2:$C$36,"=d20261014"),"")</f>
      </c>
      <c r="T162" s="8">
        <f>IF((0=1),SUMIFS('Daily evaluations'!$I$2:$I$36,'Daily evaluations'!$B$2:$B$36,"=random_06",'Daily evaluations'!$C$2:$C$36,"=d20261015"),"")</f>
      </c>
      <c r="U162" s="8">
        <f>IF((0=1),SUMIFS('Daily evaluations'!$I$2:$I$36,'Daily evaluations'!$B$2:$B$36,"=random_06",'Daily evaluations'!$C$2:$C$36,"=d20261016"),"")</f>
      </c>
      <c r="V162" s="8">
        <f>IF((0=1),SUMIFS('Daily evaluations'!$I$2:$I$36,'Daily evaluations'!$B$2:$B$36,"=random_06",'Daily evaluations'!$C$2:$C$36,"=d20261019"),"")</f>
      </c>
      <c r="W162" s="8">
        <f>IF((0=1),SUMIFS('Daily evaluations'!$I$2:$I$36,'Daily evaluations'!$B$2:$B$36,"=random_06",'Daily evaluations'!$C$2:$C$36,"=d20261020"),"")</f>
      </c>
      <c r="X162" s="8">
        <f>IF((0=1),SUMIFS('Daily evaluations'!$I$2:$I$36,'Daily evaluations'!$B$2:$B$36,"=random_06",'Daily evaluations'!$C$2:$C$36,"=d20261021"),"")</f>
      </c>
      <c r="Y162" s="8">
        <f>IF((0=1),SUMIFS('Daily evaluations'!$I$2:$I$36,'Daily evaluations'!$B$2:$B$36,"=random_06",'Daily evaluations'!$C$2:$C$36,"=d20261022"),"")</f>
      </c>
      <c r="Z162" s="8">
        <f>IF((0=1),SUMIFS('Daily evaluations'!$I$2:$I$36,'Daily evaluations'!$B$2:$B$36,"=random_06",'Daily evaluations'!$C$2:$C$36,"=d20261023"),"")</f>
      </c>
      <c r="AA162" s="8">
        <f>IF((0=1),SUMIFS('Daily evaluations'!$I$2:$I$36,'Daily evaluations'!$B$2:$B$36,"=random_06",'Daily evaluations'!$C$2:$C$36,"=d20261026"),"")</f>
      </c>
      <c r="AB162" s="8">
        <f>IF((0=1),SUMIFS('Daily evaluations'!$I$2:$I$36,'Daily evaluations'!$B$2:$B$36,"=random_06",'Daily evaluations'!$C$2:$C$36,"=d20261027"),"")</f>
      </c>
      <c r="AC162" s="8">
        <f>IF((0=1),SUMIFS('Daily evaluations'!$I$2:$I$36,'Daily evaluations'!$B$2:$B$36,"=random_06",'Daily evaluations'!$C$2:$C$36,"=d20261028"),"")</f>
      </c>
      <c r="AD162" s="8">
        <f>IF((0=1),SUMIFS('Daily evaluations'!$I$2:$I$36,'Daily evaluations'!$B$2:$B$36,"=random_06",'Daily evaluations'!$C$2:$C$36,"=d20261029"),"")</f>
      </c>
      <c r="AE162" s="8">
        <f>IF((0=1),SUMIFS('Daily evaluations'!$I$2:$I$36,'Daily evaluations'!$B$2:$B$36,"=random_06",'Daily evaluations'!$C$2:$C$36,"=d20261030"),"")</f>
      </c>
      <c r="AF162" s="8">
        <f>IF((0=1),SUMIFS('Daily evaluations'!$I$2:$I$36,'Daily evaluations'!$B$2:$B$36,"=random_06",'Daily evaluations'!$C$2:$C$36,"=d20261102"),"")</f>
      </c>
      <c r="AG162" s="8">
        <f>IF((0=1),SUMIFS('Daily evaluations'!$I$2:$I$36,'Daily evaluations'!$B$2:$B$36,"=random_06",'Daily evaluations'!$C$2:$C$36,"=d20261103"),"")</f>
      </c>
      <c r="AH162" s="8">
        <f>IF((0=1),SUMIFS('Daily evaluations'!$I$2:$I$36,'Daily evaluations'!$B$2:$B$36,"=random_06",'Daily evaluations'!$C$2:$C$36,"=d20261104"),"")</f>
      </c>
      <c r="AI162" s="8">
        <f>IF((0=1),SUMIFS('Daily evaluations'!$I$2:$I$36,'Daily evaluations'!$B$2:$B$36,"=random_06",'Daily evaluations'!$C$2:$C$36,"=d20261105"),"")</f>
      </c>
      <c r="AJ162" s="8">
        <f>IF((0=1),SUMIFS('Daily evaluations'!$I$2:$I$36,'Daily evaluations'!$B$2:$B$36,"=random_06",'Daily evaluations'!$C$2:$C$36,"=d20261106"),"")</f>
      </c>
      <c r="AK162" s="8">
        <f>IF((0=1),SUMIFS('Daily evaluations'!$I$2:$I$36,'Daily evaluations'!$B$2:$B$36,"=random_06",'Daily evaluations'!$C$2:$C$36,"=d20261109"),"")</f>
      </c>
      <c r="AL162" s="8">
        <f>IF((0=1),SUMIFS('Daily evaluations'!$I$2:$I$36,'Daily evaluations'!$B$2:$B$36,"=random_06",'Daily evaluations'!$C$2:$C$36,"=d20261110"),"")</f>
      </c>
      <c r="AM162" s="8">
        <f>IF((0=1),SUMIFS('Daily evaluations'!$I$2:$I$36,'Daily evaluations'!$B$2:$B$36,"=random_06",'Daily evaluations'!$C$2:$C$36,"=d20261111"),"")</f>
      </c>
      <c r="AN162" s="8">
        <f>IF((0=1),SUMIFS('Daily evaluations'!$I$2:$I$36,'Daily evaluations'!$B$2:$B$36,"=random_06",'Daily evaluations'!$C$2:$C$36,"=d20261112"),"")</f>
      </c>
      <c r="AO162" s="8">
        <f>IF((0=1),SUMIFS('Daily evaluations'!$I$2:$I$36,'Daily evaluations'!$B$2:$B$36,"=random_06",'Daily evaluations'!$C$2:$C$36,"=d20261113"),"")</f>
      </c>
      <c r="AP162" s="8">
        <f>IF((0=1),SUMIFS('Daily evaluations'!$I$2:$I$36,'Daily evaluations'!$B$2:$B$36,"=random_06",'Daily evaluations'!$C$2:$C$36,"=d20261116"),"")</f>
      </c>
      <c r="AQ162" s="8">
        <f>IF((0=1),SUMIFS('Daily evaluations'!$I$2:$I$36,'Daily evaluations'!$B$2:$B$36,"=random_06",'Daily evaluations'!$C$2:$C$36,"=d20261117"),"")</f>
      </c>
      <c r="AR162" s="8">
        <f>IF((0=1),SUMIFS('Daily evaluations'!$I$2:$I$36,'Daily evaluations'!$B$2:$B$36,"=random_06",'Daily evaluations'!$C$2:$C$36,"=d20261118"),"")</f>
      </c>
      <c r="AS162" s="8">
        <f>IF((0=1),SUMIFS('Daily evaluations'!$I$2:$I$36,'Daily evaluations'!$B$2:$B$36,"=random_06",'Daily evaluations'!$C$2:$C$36,"=d20261119"),"")</f>
      </c>
      <c r="AT162" s="8">
        <f>IF((0=1),SUMIFS('Daily evaluations'!$I$2:$I$36,'Daily evaluations'!$B$2:$B$36,"=random_06",'Daily evaluations'!$C$2:$C$36,"=d20261120"),"")</f>
      </c>
      <c r="AU162" s="8">
        <f>IF((0=1),SUMIFS('Daily evaluations'!$I$2:$I$36,'Daily evaluations'!$B$2:$B$36,"=random_06",'Daily evaluations'!$C$2:$C$36,"=d20261123"),"")</f>
      </c>
      <c r="AV162" s="8">
        <f>IF((0=1),SUMIFS('Daily evaluations'!$I$2:$I$36,'Daily evaluations'!$B$2:$B$36,"=random_06",'Daily evaluations'!$C$2:$C$36,"=d20261124"),"")</f>
      </c>
      <c r="AW162" s="8">
        <f>IF((0=1),SUMIFS('Daily evaluations'!$I$2:$I$36,'Daily evaluations'!$B$2:$B$36,"=random_06",'Daily evaluations'!$C$2:$C$36,"=d20261125"),"")</f>
      </c>
      <c r="AX162" s="8">
        <f>IF((0=1),SUMIFS('Daily evaluations'!$I$2:$I$36,'Daily evaluations'!$B$2:$B$36,"=random_06",'Daily evaluations'!$C$2:$C$36,"=d20261127"),"")</f>
      </c>
      <c r="AY162" s="8">
        <f>IF((0=1),SUMIFS('Daily evaluations'!$I$2:$I$36,'Daily evaluations'!$B$2:$B$36,"=random_06",'Daily evaluations'!$C$2:$C$36,"=d20261130"),"")</f>
      </c>
      <c r="AZ162" s="8">
        <f>IF((0=1),SUMIFS('Daily evaluations'!$I$2:$I$36,'Daily evaluations'!$B$2:$B$36,"=random_06",'Daily evaluations'!$C$2:$C$36,"=d20261201"),"")</f>
      </c>
      <c r="BA162" s="8">
        <f>IF((0=1),SUMIFS('Daily evaluations'!$I$2:$I$36,'Daily evaluations'!$B$2:$B$36,"=random_06",'Daily evaluations'!$C$2:$C$36,"=d20261202"),"")</f>
      </c>
      <c r="BB162" s="8">
        <f>IF((0=1),SUMIFS('Daily evaluations'!$I$2:$I$36,'Daily evaluations'!$B$2:$B$36,"=random_06",'Daily evaluations'!$C$2:$C$36,"=d20261203"),"")</f>
      </c>
      <c r="BC162" s="8">
        <f>IF((0=1),SUMIFS('Daily evaluations'!$I$2:$I$36,'Daily evaluations'!$B$2:$B$36,"=random_06",'Daily evaluations'!$C$2:$C$36,"=d20261204"),"")</f>
      </c>
      <c r="BD162" s="8">
        <f>IF((0=1),SUMIFS('Daily evaluations'!$I$2:$I$36,'Daily evaluations'!$B$2:$B$36,"=random_06",'Daily evaluations'!$C$2:$C$36,"=d20261207"),"")</f>
      </c>
      <c r="BE162" s="8">
        <f>IF((0=1),SUMIFS('Daily evaluations'!$I$2:$I$36,'Daily evaluations'!$B$2:$B$36,"=random_06",'Daily evaluations'!$C$2:$C$36,"=d20261208"),"")</f>
      </c>
      <c r="BF162" s="8">
        <f>IF((0=1),SUMIFS('Daily evaluations'!$I$2:$I$36,'Daily evaluations'!$B$2:$B$36,"=random_06",'Daily evaluations'!$C$2:$C$36,"=d20261209"),"")</f>
      </c>
      <c r="BG162" s="8">
        <f>IF((0=1),SUMIFS('Daily evaluations'!$I$2:$I$36,'Daily evaluations'!$B$2:$B$36,"=random_06",'Daily evaluations'!$C$2:$C$36,"=d20261210"),"")</f>
      </c>
      <c r="BH162" s="8">
        <f>IF((0=1),SUMIFS('Daily evaluations'!$I$2:$I$36,'Daily evaluations'!$B$2:$B$36,"=random_06",'Daily evaluations'!$C$2:$C$36,"=d20261211"),"")</f>
      </c>
      <c r="BI162" s="8">
        <f>IF((0=1),SUMIFS('Daily evaluations'!$I$2:$I$36,'Daily evaluations'!$B$2:$B$36,"=random_06",'Daily evaluations'!$C$2:$C$36,"=d20261214"),"")</f>
      </c>
      <c r="BJ162" s="8">
        <f>IF((0=1),SUMIFS('Daily evaluations'!$I$2:$I$36,'Daily evaluations'!$B$2:$B$36,"=random_06",'Daily evaluations'!$C$2:$C$36,"=d20261215"),"")</f>
      </c>
      <c r="BK162" s="8">
        <f>IF((0=1),SUMIFS('Daily evaluations'!$I$2:$I$36,'Daily evaluations'!$B$2:$B$36,"=random_06",'Daily evaluations'!$C$2:$C$36,"=d20261216"),"")</f>
      </c>
      <c r="BL162" s="8">
        <f>IF((0=1),SUMIFS('Daily evaluations'!$I$2:$I$36,'Daily evaluations'!$B$2:$B$36,"=random_06",'Daily evaluations'!$C$2:$C$36,"=d20261217"),"")</f>
      </c>
      <c r="BM162" s="8">
        <f>IF((0=1),SUMIFS('Daily evaluations'!$I$2:$I$36,'Daily evaluations'!$B$2:$B$36,"=random_06",'Daily evaluations'!$C$2:$C$36,"=d20261218"),"")</f>
      </c>
      <c r="BN162" s="8">
        <f>IF((0=1),SUMIFS('Daily evaluations'!$I$2:$I$36,'Daily evaluations'!$B$2:$B$36,"=random_06",'Daily evaluations'!$C$2:$C$36,"=d20261221"),"")</f>
      </c>
      <c r="BO162" s="8">
        <f>IF((0=1),SUMIFS('Daily evaluations'!$I$2:$I$36,'Daily evaluations'!$B$2:$B$36,"=random_06",'Daily evaluations'!$C$2:$C$36,"=d20261222"),"")</f>
      </c>
      <c r="BP162" s="8">
        <f>IF((0=1),SUMIFS('Daily evaluations'!$I$2:$I$36,'Daily evaluations'!$B$2:$B$36,"=random_06",'Daily evaluations'!$C$2:$C$36,"=d20261223"),"")</f>
      </c>
      <c r="BQ162" s="8">
        <f>IF((0=1),SUMIFS('Daily evaluations'!$I$2:$I$36,'Daily evaluations'!$B$2:$B$36,"=random_06",'Daily evaluations'!$C$2:$C$36,"=d20261224"),"")</f>
      </c>
      <c r="BR162" s="8">
        <f>IF((0=1),SUMIFS('Daily evaluations'!$I$2:$I$36,'Daily evaluations'!$B$2:$B$36,"=random_06",'Daily evaluations'!$C$2:$C$36,"=d20261228"),"")</f>
      </c>
      <c r="BS162" s="8">
        <f>IF((0=1),SUMIFS('Daily evaluations'!$I$2:$I$36,'Daily evaluations'!$B$2:$B$36,"=random_06",'Daily evaluations'!$C$2:$C$36,"=d20261229"),"")</f>
      </c>
      <c r="BT162" s="8">
        <f>IF((0=1),SUMIFS('Daily evaluations'!$I$2:$I$36,'Daily evaluations'!$B$2:$B$36,"=random_06",'Daily evaluations'!$C$2:$C$36,"=d20261230"),"")</f>
      </c>
      <c r="BU162" s="8">
        <f>IF((0=1),SUMIFS('Daily evaluations'!$I$2:$I$36,'Daily evaluations'!$B$2:$B$36,"=random_06",'Daily evaluations'!$C$2:$C$36,"=d20261231"),"")</f>
      </c>
      <c r="BV162" s="8">
        <f>IF((0=1),SUMIFS('Daily evaluations'!$I$2:$I$36,'Daily evaluations'!$B$2:$B$36,"=random_06",'Daily evaluations'!$C$2:$C$36,"=d20270104"),"")</f>
      </c>
      <c r="BW162" s="8">
        <f>IF((0=1),SUMIFS('Daily evaluations'!$I$2:$I$36,'Daily evaluations'!$B$2:$B$36,"=random_06",'Daily evaluations'!$C$2:$C$36,"=d20270105"),"")</f>
      </c>
      <c r="BX162" s="8">
        <f>IF((0=1),SUMIFS('Daily evaluations'!$I$2:$I$36,'Daily evaluations'!$B$2:$B$36,"=random_06",'Daily evaluations'!$C$2:$C$36,"=d20270106"),"")</f>
      </c>
      <c r="BY162" s="8">
        <f>IF((0=1),SUMIFS('Daily evaluations'!$I$2:$I$36,'Daily evaluations'!$B$2:$B$36,"=random_06",'Daily evaluations'!$C$2:$C$36,"=d20270107"),"")</f>
      </c>
      <c r="BZ162" s="8">
        <f>IF((0=1),SUMIFS('Daily evaluations'!$I$2:$I$36,'Daily evaluations'!$B$2:$B$36,"=random_06",'Daily evaluations'!$C$2:$C$36,"=d20270108"),"")</f>
      </c>
      <c r="CA162" s="8">
        <f>IF((0=1),SUMIFS('Daily evaluations'!$I$2:$I$36,'Daily evaluations'!$B$2:$B$36,"=random_06",'Daily evaluations'!$C$2:$C$36,"=d20270111"),"")</f>
      </c>
      <c r="CB162" s="8">
        <f>IF((0=1),SUMIFS('Daily evaluations'!$I$2:$I$36,'Daily evaluations'!$B$2:$B$36,"=random_06",'Daily evaluations'!$C$2:$C$36,"=d20270112"),"")</f>
      </c>
      <c r="CC162" s="8">
        <f>IF((0=1),SUMIFS('Daily evaluations'!$I$2:$I$36,'Daily evaluations'!$B$2:$B$36,"=random_06",'Daily evaluations'!$C$2:$C$36,"=d20270113"),"")</f>
      </c>
      <c r="CD162" s="8">
        <f>IF((0=1),SUMIFS('Daily evaluations'!$I$2:$I$36,'Daily evaluations'!$B$2:$B$36,"=random_06",'Daily evaluations'!$C$2:$C$36,"=d20270114"),"")</f>
      </c>
      <c r="CE162" s="8">
        <f>IF((0=1),SUMIFS('Daily evaluations'!$I$2:$I$36,'Daily evaluations'!$B$2:$B$36,"=random_06",'Daily evaluations'!$C$2:$C$36,"=d20270115"),"")</f>
      </c>
      <c r="CF162" s="8">
        <f>IF((0=1),SUMIFS('Daily evaluations'!$I$2:$I$36,'Daily evaluations'!$B$2:$B$36,"=random_06",'Daily evaluations'!$C$2:$C$36,"=d20270119"),"")</f>
      </c>
      <c r="CG162" s="8">
        <f>IF((0=1),SUMIFS('Daily evaluations'!$I$2:$I$36,'Daily evaluations'!$B$2:$B$36,"=random_06",'Daily evaluations'!$C$2:$C$36,"=d20270120"),"")</f>
      </c>
      <c r="CH162" s="8">
        <f>IF((0=1),SUMIFS('Daily evaluations'!$I$2:$I$36,'Daily evaluations'!$B$2:$B$36,"=random_06",'Daily evaluations'!$C$2:$C$36,"=d20270121"),"")</f>
      </c>
      <c r="CI162" s="8">
        <f>IF((0=1),SUMIFS('Daily evaluations'!$I$2:$I$36,'Daily evaluations'!$B$2:$B$36,"=random_06",'Daily evaluations'!$C$2:$C$36,"=d20270122"),"")</f>
      </c>
      <c r="CJ162" s="8">
        <f>IF((0=1),SUMIFS('Daily evaluations'!$I$2:$I$36,'Daily evaluations'!$B$2:$B$36,"=random_06",'Daily evaluations'!$C$2:$C$36,"=d20270125"),"")</f>
      </c>
      <c r="CK162" s="8">
        <f>IF((0=1),SUMIFS('Daily evaluations'!$I$2:$I$36,'Daily evaluations'!$B$2:$B$36,"=random_06",'Daily evaluations'!$C$2:$C$36,"=d20270126"),"")</f>
      </c>
      <c r="CL162" s="8">
        <f>IF((0=1),SUMIFS('Daily evaluations'!$I$2:$I$36,'Daily evaluations'!$B$2:$B$36,"=random_06",'Daily evaluations'!$C$2:$C$36,"=d20270127"),"")</f>
      </c>
      <c r="CM162" s="8">
        <f>IF((0=1),SUMIFS('Daily evaluations'!$I$2:$I$36,'Daily evaluations'!$B$2:$B$36,"=random_06",'Daily evaluations'!$C$2:$C$36,"=d20270128"),"")</f>
      </c>
      <c r="CN162" s="8">
        <f>IF((0=1),SUMIFS('Daily evaluations'!$I$2:$I$36,'Daily evaluations'!$B$2:$B$36,"=random_06",'Daily evaluations'!$C$2:$C$36,"=d20270129"),"")</f>
      </c>
      <c r="CO162" s="8">
        <f>IF((0=1),SUMIFS('Daily evaluations'!$I$2:$I$36,'Daily evaluations'!$B$2:$B$36,"=random_06",'Daily evaluations'!$C$2:$C$36,"=d20270201"),"")</f>
      </c>
      <c r="CP162" s="8">
        <f>IF((0=1),SUMIFS('Daily evaluations'!$I$2:$I$36,'Daily evaluations'!$B$2:$B$36,"=random_06",'Daily evaluations'!$C$2:$C$36,"=d20270202"),"")</f>
      </c>
      <c r="CQ162" s="8">
        <f>IF((0=1),SUMIFS('Daily evaluations'!$I$2:$I$36,'Daily evaluations'!$B$2:$B$36,"=random_06",'Daily evaluations'!$C$2:$C$36,"=d20270203"),"")</f>
      </c>
      <c r="CR162" s="8">
        <f>IF((0=1),SUMIFS('Daily evaluations'!$I$2:$I$36,'Daily evaluations'!$B$2:$B$36,"=random_06",'Daily evaluations'!$C$2:$C$36,"=d20270204"),"")</f>
      </c>
      <c r="CS162" s="8">
        <f>IF((0=1),SUMIFS('Daily evaluations'!$I$2:$I$36,'Daily evaluations'!$B$2:$B$36,"=random_06",'Daily evaluations'!$C$2:$C$36,"=d20270205"),"")</f>
      </c>
      <c r="CT162" s="8">
        <f>IF((0=1),SUMIFS('Daily evaluations'!$I$2:$I$36,'Daily evaluations'!$B$2:$B$36,"=random_06",'Daily evaluations'!$C$2:$C$36,"=d20270208"),"")</f>
      </c>
      <c r="CU162" s="8">
        <f>IF((0=1),SUMIFS('Daily evaluations'!$I$2:$I$36,'Daily evaluations'!$B$2:$B$36,"=random_06",'Daily evaluations'!$C$2:$C$36,"=d20270209"),"")</f>
      </c>
      <c r="CV162" s="8">
        <f>IF((0=1),SUMIFS('Daily evaluations'!$I$2:$I$36,'Daily evaluations'!$B$2:$B$36,"=random_06",'Daily evaluations'!$C$2:$C$36,"=d20270210"),"")</f>
      </c>
      <c r="CW162" s="8">
        <f>IF((0=1),SUMIFS('Daily evaluations'!$I$2:$I$36,'Daily evaluations'!$B$2:$B$36,"=random_06",'Daily evaluations'!$C$2:$C$36,"=d20270211"),"")</f>
      </c>
      <c r="CX162" s="8">
        <f>IF((0=1),SUMIFS('Daily evaluations'!$I$2:$I$36,'Daily evaluations'!$B$2:$B$36,"=random_06",'Daily evaluations'!$C$2:$C$36,"=d20270212"),"")</f>
      </c>
    </row>
    <row r="163">
      <c r="A163" s="0" t="inlineStr">
        <is>
          <t xml:space="preserve">Information coefficient</t>
        </is>
      </c>
      <c r="B163" s="0" t="inlineStr">
        <is>
          <t xml:space="preserve">Random 7</t>
        </is>
      </c>
      <c r="C163" s="8">
        <f>IF((1=1),SUMIFS('Daily evaluations'!$I$2:$I$36,'Daily evaluations'!$B$2:$B$36,"=random_07",'Daily evaluations'!$C$2:$C$36,"=d20260922"),"")</f>
        <v>0.0337</v>
      </c>
      <c r="D163" s="8">
        <f>IF((0=1),SUMIFS('Daily evaluations'!$I$2:$I$36,'Daily evaluations'!$B$2:$B$36,"=random_07",'Daily evaluations'!$C$2:$C$36,"=d20260923"),"")</f>
      </c>
      <c r="E163" s="8">
        <f>IF((0=1),SUMIFS('Daily evaluations'!$I$2:$I$36,'Daily evaluations'!$B$2:$B$36,"=random_07",'Daily evaluations'!$C$2:$C$36,"=d20260924"),"")</f>
      </c>
      <c r="F163" s="8">
        <f>IF((0=1),SUMIFS('Daily evaluations'!$I$2:$I$36,'Daily evaluations'!$B$2:$B$36,"=random_07",'Daily evaluations'!$C$2:$C$36,"=d20260925"),"")</f>
      </c>
      <c r="G163" s="8">
        <f>IF((0=1),SUMIFS('Daily evaluations'!$I$2:$I$36,'Daily evaluations'!$B$2:$B$36,"=random_07",'Daily evaluations'!$C$2:$C$36,"=d20260928"),"")</f>
      </c>
      <c r="H163" s="8">
        <f>IF((0=1),SUMIFS('Daily evaluations'!$I$2:$I$36,'Daily evaluations'!$B$2:$B$36,"=random_07",'Daily evaluations'!$C$2:$C$36,"=d20260929"),"")</f>
      </c>
      <c r="I163" s="8">
        <f>IF((0=1),SUMIFS('Daily evaluations'!$I$2:$I$36,'Daily evaluations'!$B$2:$B$36,"=random_07",'Daily evaluations'!$C$2:$C$36,"=d20260930"),"")</f>
      </c>
      <c r="J163" s="8">
        <f>IF((0=1),SUMIFS('Daily evaluations'!$I$2:$I$36,'Daily evaluations'!$B$2:$B$36,"=random_07",'Daily evaluations'!$C$2:$C$36,"=d20261001"),"")</f>
      </c>
      <c r="K163" s="8">
        <f>IF((0=1),SUMIFS('Daily evaluations'!$I$2:$I$36,'Daily evaluations'!$B$2:$B$36,"=random_07",'Daily evaluations'!$C$2:$C$36,"=d20261002"),"")</f>
      </c>
      <c r="L163" s="8">
        <f>IF((0=1),SUMIFS('Daily evaluations'!$I$2:$I$36,'Daily evaluations'!$B$2:$B$36,"=random_07",'Daily evaluations'!$C$2:$C$36,"=d20261005"),"")</f>
      </c>
      <c r="M163" s="8">
        <f>IF((0=1),SUMIFS('Daily evaluations'!$I$2:$I$36,'Daily evaluations'!$B$2:$B$36,"=random_07",'Daily evaluations'!$C$2:$C$36,"=d20261006"),"")</f>
      </c>
      <c r="N163" s="8">
        <f>IF((0=1),SUMIFS('Daily evaluations'!$I$2:$I$36,'Daily evaluations'!$B$2:$B$36,"=random_07",'Daily evaluations'!$C$2:$C$36,"=d20261007"),"")</f>
      </c>
      <c r="O163" s="8">
        <f>IF((0=1),SUMIFS('Daily evaluations'!$I$2:$I$36,'Daily evaluations'!$B$2:$B$36,"=random_07",'Daily evaluations'!$C$2:$C$36,"=d20261008"),"")</f>
      </c>
      <c r="P163" s="8">
        <f>IF((0=1),SUMIFS('Daily evaluations'!$I$2:$I$36,'Daily evaluations'!$B$2:$B$36,"=random_07",'Daily evaluations'!$C$2:$C$36,"=d20261009"),"")</f>
      </c>
      <c r="Q163" s="8">
        <f>IF((0=1),SUMIFS('Daily evaluations'!$I$2:$I$36,'Daily evaluations'!$B$2:$B$36,"=random_07",'Daily evaluations'!$C$2:$C$36,"=d20261012"),"")</f>
      </c>
      <c r="R163" s="8">
        <f>IF((0=1),SUMIFS('Daily evaluations'!$I$2:$I$36,'Daily evaluations'!$B$2:$B$36,"=random_07",'Daily evaluations'!$C$2:$C$36,"=d20261013"),"")</f>
      </c>
      <c r="S163" s="8">
        <f>IF((0=1),SUMIFS('Daily evaluations'!$I$2:$I$36,'Daily evaluations'!$B$2:$B$36,"=random_07",'Daily evaluations'!$C$2:$C$36,"=d20261014"),"")</f>
      </c>
      <c r="T163" s="8">
        <f>IF((0=1),SUMIFS('Daily evaluations'!$I$2:$I$36,'Daily evaluations'!$B$2:$B$36,"=random_07",'Daily evaluations'!$C$2:$C$36,"=d20261015"),"")</f>
      </c>
      <c r="U163" s="8">
        <f>IF((0=1),SUMIFS('Daily evaluations'!$I$2:$I$36,'Daily evaluations'!$B$2:$B$36,"=random_07",'Daily evaluations'!$C$2:$C$36,"=d20261016"),"")</f>
      </c>
      <c r="V163" s="8">
        <f>IF((0=1),SUMIFS('Daily evaluations'!$I$2:$I$36,'Daily evaluations'!$B$2:$B$36,"=random_07",'Daily evaluations'!$C$2:$C$36,"=d20261019"),"")</f>
      </c>
      <c r="W163" s="8">
        <f>IF((0=1),SUMIFS('Daily evaluations'!$I$2:$I$36,'Daily evaluations'!$B$2:$B$36,"=random_07",'Daily evaluations'!$C$2:$C$36,"=d20261020"),"")</f>
      </c>
      <c r="X163" s="8">
        <f>IF((0=1),SUMIFS('Daily evaluations'!$I$2:$I$36,'Daily evaluations'!$B$2:$B$36,"=random_07",'Daily evaluations'!$C$2:$C$36,"=d20261021"),"")</f>
      </c>
      <c r="Y163" s="8">
        <f>IF((0=1),SUMIFS('Daily evaluations'!$I$2:$I$36,'Daily evaluations'!$B$2:$B$36,"=random_07",'Daily evaluations'!$C$2:$C$36,"=d20261022"),"")</f>
      </c>
      <c r="Z163" s="8">
        <f>IF((0=1),SUMIFS('Daily evaluations'!$I$2:$I$36,'Daily evaluations'!$B$2:$B$36,"=random_07",'Daily evaluations'!$C$2:$C$36,"=d20261023"),"")</f>
      </c>
      <c r="AA163" s="8">
        <f>IF((0=1),SUMIFS('Daily evaluations'!$I$2:$I$36,'Daily evaluations'!$B$2:$B$36,"=random_07",'Daily evaluations'!$C$2:$C$36,"=d20261026"),"")</f>
      </c>
      <c r="AB163" s="8">
        <f>IF((0=1),SUMIFS('Daily evaluations'!$I$2:$I$36,'Daily evaluations'!$B$2:$B$36,"=random_07",'Daily evaluations'!$C$2:$C$36,"=d20261027"),"")</f>
      </c>
      <c r="AC163" s="8">
        <f>IF((0=1),SUMIFS('Daily evaluations'!$I$2:$I$36,'Daily evaluations'!$B$2:$B$36,"=random_07",'Daily evaluations'!$C$2:$C$36,"=d20261028"),"")</f>
      </c>
      <c r="AD163" s="8">
        <f>IF((0=1),SUMIFS('Daily evaluations'!$I$2:$I$36,'Daily evaluations'!$B$2:$B$36,"=random_07",'Daily evaluations'!$C$2:$C$36,"=d20261029"),"")</f>
      </c>
      <c r="AE163" s="8">
        <f>IF((0=1),SUMIFS('Daily evaluations'!$I$2:$I$36,'Daily evaluations'!$B$2:$B$36,"=random_07",'Daily evaluations'!$C$2:$C$36,"=d20261030"),"")</f>
      </c>
      <c r="AF163" s="8">
        <f>IF((0=1),SUMIFS('Daily evaluations'!$I$2:$I$36,'Daily evaluations'!$B$2:$B$36,"=random_07",'Daily evaluations'!$C$2:$C$36,"=d20261102"),"")</f>
      </c>
      <c r="AG163" s="8">
        <f>IF((0=1),SUMIFS('Daily evaluations'!$I$2:$I$36,'Daily evaluations'!$B$2:$B$36,"=random_07",'Daily evaluations'!$C$2:$C$36,"=d20261103"),"")</f>
      </c>
      <c r="AH163" s="8">
        <f>IF((0=1),SUMIFS('Daily evaluations'!$I$2:$I$36,'Daily evaluations'!$B$2:$B$36,"=random_07",'Daily evaluations'!$C$2:$C$36,"=d20261104"),"")</f>
      </c>
      <c r="AI163" s="8">
        <f>IF((0=1),SUMIFS('Daily evaluations'!$I$2:$I$36,'Daily evaluations'!$B$2:$B$36,"=random_07",'Daily evaluations'!$C$2:$C$36,"=d20261105"),"")</f>
      </c>
      <c r="AJ163" s="8">
        <f>IF((0=1),SUMIFS('Daily evaluations'!$I$2:$I$36,'Daily evaluations'!$B$2:$B$36,"=random_07",'Daily evaluations'!$C$2:$C$36,"=d20261106"),"")</f>
      </c>
      <c r="AK163" s="8">
        <f>IF((0=1),SUMIFS('Daily evaluations'!$I$2:$I$36,'Daily evaluations'!$B$2:$B$36,"=random_07",'Daily evaluations'!$C$2:$C$36,"=d20261109"),"")</f>
      </c>
      <c r="AL163" s="8">
        <f>IF((0=1),SUMIFS('Daily evaluations'!$I$2:$I$36,'Daily evaluations'!$B$2:$B$36,"=random_07",'Daily evaluations'!$C$2:$C$36,"=d20261110"),"")</f>
      </c>
      <c r="AM163" s="8">
        <f>IF((0=1),SUMIFS('Daily evaluations'!$I$2:$I$36,'Daily evaluations'!$B$2:$B$36,"=random_07",'Daily evaluations'!$C$2:$C$36,"=d20261111"),"")</f>
      </c>
      <c r="AN163" s="8">
        <f>IF((0=1),SUMIFS('Daily evaluations'!$I$2:$I$36,'Daily evaluations'!$B$2:$B$36,"=random_07",'Daily evaluations'!$C$2:$C$36,"=d20261112"),"")</f>
      </c>
      <c r="AO163" s="8">
        <f>IF((0=1),SUMIFS('Daily evaluations'!$I$2:$I$36,'Daily evaluations'!$B$2:$B$36,"=random_07",'Daily evaluations'!$C$2:$C$36,"=d20261113"),"")</f>
      </c>
      <c r="AP163" s="8">
        <f>IF((0=1),SUMIFS('Daily evaluations'!$I$2:$I$36,'Daily evaluations'!$B$2:$B$36,"=random_07",'Daily evaluations'!$C$2:$C$36,"=d20261116"),"")</f>
      </c>
      <c r="AQ163" s="8">
        <f>IF((0=1),SUMIFS('Daily evaluations'!$I$2:$I$36,'Daily evaluations'!$B$2:$B$36,"=random_07",'Daily evaluations'!$C$2:$C$36,"=d20261117"),"")</f>
      </c>
      <c r="AR163" s="8">
        <f>IF((0=1),SUMIFS('Daily evaluations'!$I$2:$I$36,'Daily evaluations'!$B$2:$B$36,"=random_07",'Daily evaluations'!$C$2:$C$36,"=d20261118"),"")</f>
      </c>
      <c r="AS163" s="8">
        <f>IF((0=1),SUMIFS('Daily evaluations'!$I$2:$I$36,'Daily evaluations'!$B$2:$B$36,"=random_07",'Daily evaluations'!$C$2:$C$36,"=d20261119"),"")</f>
      </c>
      <c r="AT163" s="8">
        <f>IF((0=1),SUMIFS('Daily evaluations'!$I$2:$I$36,'Daily evaluations'!$B$2:$B$36,"=random_07",'Daily evaluations'!$C$2:$C$36,"=d20261120"),"")</f>
      </c>
      <c r="AU163" s="8">
        <f>IF((0=1),SUMIFS('Daily evaluations'!$I$2:$I$36,'Daily evaluations'!$B$2:$B$36,"=random_07",'Daily evaluations'!$C$2:$C$36,"=d20261123"),"")</f>
      </c>
      <c r="AV163" s="8">
        <f>IF((0=1),SUMIFS('Daily evaluations'!$I$2:$I$36,'Daily evaluations'!$B$2:$B$36,"=random_07",'Daily evaluations'!$C$2:$C$36,"=d20261124"),"")</f>
      </c>
      <c r="AW163" s="8">
        <f>IF((0=1),SUMIFS('Daily evaluations'!$I$2:$I$36,'Daily evaluations'!$B$2:$B$36,"=random_07",'Daily evaluations'!$C$2:$C$36,"=d20261125"),"")</f>
      </c>
      <c r="AX163" s="8">
        <f>IF((0=1),SUMIFS('Daily evaluations'!$I$2:$I$36,'Daily evaluations'!$B$2:$B$36,"=random_07",'Daily evaluations'!$C$2:$C$36,"=d20261127"),"")</f>
      </c>
      <c r="AY163" s="8">
        <f>IF((0=1),SUMIFS('Daily evaluations'!$I$2:$I$36,'Daily evaluations'!$B$2:$B$36,"=random_07",'Daily evaluations'!$C$2:$C$36,"=d20261130"),"")</f>
      </c>
      <c r="AZ163" s="8">
        <f>IF((0=1),SUMIFS('Daily evaluations'!$I$2:$I$36,'Daily evaluations'!$B$2:$B$36,"=random_07",'Daily evaluations'!$C$2:$C$36,"=d20261201"),"")</f>
      </c>
      <c r="BA163" s="8">
        <f>IF((0=1),SUMIFS('Daily evaluations'!$I$2:$I$36,'Daily evaluations'!$B$2:$B$36,"=random_07",'Daily evaluations'!$C$2:$C$36,"=d20261202"),"")</f>
      </c>
      <c r="BB163" s="8">
        <f>IF((0=1),SUMIFS('Daily evaluations'!$I$2:$I$36,'Daily evaluations'!$B$2:$B$36,"=random_07",'Daily evaluations'!$C$2:$C$36,"=d20261203"),"")</f>
      </c>
      <c r="BC163" s="8">
        <f>IF((0=1),SUMIFS('Daily evaluations'!$I$2:$I$36,'Daily evaluations'!$B$2:$B$36,"=random_07",'Daily evaluations'!$C$2:$C$36,"=d20261204"),"")</f>
      </c>
      <c r="BD163" s="8">
        <f>IF((0=1),SUMIFS('Daily evaluations'!$I$2:$I$36,'Daily evaluations'!$B$2:$B$36,"=random_07",'Daily evaluations'!$C$2:$C$36,"=d20261207"),"")</f>
      </c>
      <c r="BE163" s="8">
        <f>IF((0=1),SUMIFS('Daily evaluations'!$I$2:$I$36,'Daily evaluations'!$B$2:$B$36,"=random_07",'Daily evaluations'!$C$2:$C$36,"=d20261208"),"")</f>
      </c>
      <c r="BF163" s="8">
        <f>IF((0=1),SUMIFS('Daily evaluations'!$I$2:$I$36,'Daily evaluations'!$B$2:$B$36,"=random_07",'Daily evaluations'!$C$2:$C$36,"=d20261209"),"")</f>
      </c>
      <c r="BG163" s="8">
        <f>IF((0=1),SUMIFS('Daily evaluations'!$I$2:$I$36,'Daily evaluations'!$B$2:$B$36,"=random_07",'Daily evaluations'!$C$2:$C$36,"=d20261210"),"")</f>
      </c>
      <c r="BH163" s="8">
        <f>IF((0=1),SUMIFS('Daily evaluations'!$I$2:$I$36,'Daily evaluations'!$B$2:$B$36,"=random_07",'Daily evaluations'!$C$2:$C$36,"=d20261211"),"")</f>
      </c>
      <c r="BI163" s="8">
        <f>IF((0=1),SUMIFS('Daily evaluations'!$I$2:$I$36,'Daily evaluations'!$B$2:$B$36,"=random_07",'Daily evaluations'!$C$2:$C$36,"=d20261214"),"")</f>
      </c>
      <c r="BJ163" s="8">
        <f>IF((0=1),SUMIFS('Daily evaluations'!$I$2:$I$36,'Daily evaluations'!$B$2:$B$36,"=random_07",'Daily evaluations'!$C$2:$C$36,"=d20261215"),"")</f>
      </c>
      <c r="BK163" s="8">
        <f>IF((0=1),SUMIFS('Daily evaluations'!$I$2:$I$36,'Daily evaluations'!$B$2:$B$36,"=random_07",'Daily evaluations'!$C$2:$C$36,"=d20261216"),"")</f>
      </c>
      <c r="BL163" s="8">
        <f>IF((0=1),SUMIFS('Daily evaluations'!$I$2:$I$36,'Daily evaluations'!$B$2:$B$36,"=random_07",'Daily evaluations'!$C$2:$C$36,"=d20261217"),"")</f>
      </c>
      <c r="BM163" s="8">
        <f>IF((0=1),SUMIFS('Daily evaluations'!$I$2:$I$36,'Daily evaluations'!$B$2:$B$36,"=random_07",'Daily evaluations'!$C$2:$C$36,"=d20261218"),"")</f>
      </c>
      <c r="BN163" s="8">
        <f>IF((0=1),SUMIFS('Daily evaluations'!$I$2:$I$36,'Daily evaluations'!$B$2:$B$36,"=random_07",'Daily evaluations'!$C$2:$C$36,"=d20261221"),"")</f>
      </c>
      <c r="BO163" s="8">
        <f>IF((0=1),SUMIFS('Daily evaluations'!$I$2:$I$36,'Daily evaluations'!$B$2:$B$36,"=random_07",'Daily evaluations'!$C$2:$C$36,"=d20261222"),"")</f>
      </c>
      <c r="BP163" s="8">
        <f>IF((0=1),SUMIFS('Daily evaluations'!$I$2:$I$36,'Daily evaluations'!$B$2:$B$36,"=random_07",'Daily evaluations'!$C$2:$C$36,"=d20261223"),"")</f>
      </c>
      <c r="BQ163" s="8">
        <f>IF((0=1),SUMIFS('Daily evaluations'!$I$2:$I$36,'Daily evaluations'!$B$2:$B$36,"=random_07",'Daily evaluations'!$C$2:$C$36,"=d20261224"),"")</f>
      </c>
      <c r="BR163" s="8">
        <f>IF((0=1),SUMIFS('Daily evaluations'!$I$2:$I$36,'Daily evaluations'!$B$2:$B$36,"=random_07",'Daily evaluations'!$C$2:$C$36,"=d20261228"),"")</f>
      </c>
      <c r="BS163" s="8">
        <f>IF((0=1),SUMIFS('Daily evaluations'!$I$2:$I$36,'Daily evaluations'!$B$2:$B$36,"=random_07",'Daily evaluations'!$C$2:$C$36,"=d20261229"),"")</f>
      </c>
      <c r="BT163" s="8">
        <f>IF((0=1),SUMIFS('Daily evaluations'!$I$2:$I$36,'Daily evaluations'!$B$2:$B$36,"=random_07",'Daily evaluations'!$C$2:$C$36,"=d20261230"),"")</f>
      </c>
      <c r="BU163" s="8">
        <f>IF((0=1),SUMIFS('Daily evaluations'!$I$2:$I$36,'Daily evaluations'!$B$2:$B$36,"=random_07",'Daily evaluations'!$C$2:$C$36,"=d20261231"),"")</f>
      </c>
      <c r="BV163" s="8">
        <f>IF((0=1),SUMIFS('Daily evaluations'!$I$2:$I$36,'Daily evaluations'!$B$2:$B$36,"=random_07",'Daily evaluations'!$C$2:$C$36,"=d20270104"),"")</f>
      </c>
      <c r="BW163" s="8">
        <f>IF((0=1),SUMIFS('Daily evaluations'!$I$2:$I$36,'Daily evaluations'!$B$2:$B$36,"=random_07",'Daily evaluations'!$C$2:$C$36,"=d20270105"),"")</f>
      </c>
      <c r="BX163" s="8">
        <f>IF((0=1),SUMIFS('Daily evaluations'!$I$2:$I$36,'Daily evaluations'!$B$2:$B$36,"=random_07",'Daily evaluations'!$C$2:$C$36,"=d20270106"),"")</f>
      </c>
      <c r="BY163" s="8">
        <f>IF((0=1),SUMIFS('Daily evaluations'!$I$2:$I$36,'Daily evaluations'!$B$2:$B$36,"=random_07",'Daily evaluations'!$C$2:$C$36,"=d20270107"),"")</f>
      </c>
      <c r="BZ163" s="8">
        <f>IF((0=1),SUMIFS('Daily evaluations'!$I$2:$I$36,'Daily evaluations'!$B$2:$B$36,"=random_07",'Daily evaluations'!$C$2:$C$36,"=d20270108"),"")</f>
      </c>
      <c r="CA163" s="8">
        <f>IF((0=1),SUMIFS('Daily evaluations'!$I$2:$I$36,'Daily evaluations'!$B$2:$B$36,"=random_07",'Daily evaluations'!$C$2:$C$36,"=d20270111"),"")</f>
      </c>
      <c r="CB163" s="8">
        <f>IF((0=1),SUMIFS('Daily evaluations'!$I$2:$I$36,'Daily evaluations'!$B$2:$B$36,"=random_07",'Daily evaluations'!$C$2:$C$36,"=d20270112"),"")</f>
      </c>
      <c r="CC163" s="8">
        <f>IF((0=1),SUMIFS('Daily evaluations'!$I$2:$I$36,'Daily evaluations'!$B$2:$B$36,"=random_07",'Daily evaluations'!$C$2:$C$36,"=d20270113"),"")</f>
      </c>
      <c r="CD163" s="8">
        <f>IF((0=1),SUMIFS('Daily evaluations'!$I$2:$I$36,'Daily evaluations'!$B$2:$B$36,"=random_07",'Daily evaluations'!$C$2:$C$36,"=d20270114"),"")</f>
      </c>
      <c r="CE163" s="8">
        <f>IF((0=1),SUMIFS('Daily evaluations'!$I$2:$I$36,'Daily evaluations'!$B$2:$B$36,"=random_07",'Daily evaluations'!$C$2:$C$36,"=d20270115"),"")</f>
      </c>
      <c r="CF163" s="8">
        <f>IF((0=1),SUMIFS('Daily evaluations'!$I$2:$I$36,'Daily evaluations'!$B$2:$B$36,"=random_07",'Daily evaluations'!$C$2:$C$36,"=d20270119"),"")</f>
      </c>
      <c r="CG163" s="8">
        <f>IF((0=1),SUMIFS('Daily evaluations'!$I$2:$I$36,'Daily evaluations'!$B$2:$B$36,"=random_07",'Daily evaluations'!$C$2:$C$36,"=d20270120"),"")</f>
      </c>
      <c r="CH163" s="8">
        <f>IF((0=1),SUMIFS('Daily evaluations'!$I$2:$I$36,'Daily evaluations'!$B$2:$B$36,"=random_07",'Daily evaluations'!$C$2:$C$36,"=d20270121"),"")</f>
      </c>
      <c r="CI163" s="8">
        <f>IF((0=1),SUMIFS('Daily evaluations'!$I$2:$I$36,'Daily evaluations'!$B$2:$B$36,"=random_07",'Daily evaluations'!$C$2:$C$36,"=d20270122"),"")</f>
      </c>
      <c r="CJ163" s="8">
        <f>IF((0=1),SUMIFS('Daily evaluations'!$I$2:$I$36,'Daily evaluations'!$B$2:$B$36,"=random_07",'Daily evaluations'!$C$2:$C$36,"=d20270125"),"")</f>
      </c>
      <c r="CK163" s="8">
        <f>IF((0=1),SUMIFS('Daily evaluations'!$I$2:$I$36,'Daily evaluations'!$B$2:$B$36,"=random_07",'Daily evaluations'!$C$2:$C$36,"=d20270126"),"")</f>
      </c>
      <c r="CL163" s="8">
        <f>IF((0=1),SUMIFS('Daily evaluations'!$I$2:$I$36,'Daily evaluations'!$B$2:$B$36,"=random_07",'Daily evaluations'!$C$2:$C$36,"=d20270127"),"")</f>
      </c>
      <c r="CM163" s="8">
        <f>IF((0=1),SUMIFS('Daily evaluations'!$I$2:$I$36,'Daily evaluations'!$B$2:$B$36,"=random_07",'Daily evaluations'!$C$2:$C$36,"=d20270128"),"")</f>
      </c>
      <c r="CN163" s="8">
        <f>IF((0=1),SUMIFS('Daily evaluations'!$I$2:$I$36,'Daily evaluations'!$B$2:$B$36,"=random_07",'Daily evaluations'!$C$2:$C$36,"=d20270129"),"")</f>
      </c>
      <c r="CO163" s="8">
        <f>IF((0=1),SUMIFS('Daily evaluations'!$I$2:$I$36,'Daily evaluations'!$B$2:$B$36,"=random_07",'Daily evaluations'!$C$2:$C$36,"=d20270201"),"")</f>
      </c>
      <c r="CP163" s="8">
        <f>IF((0=1),SUMIFS('Daily evaluations'!$I$2:$I$36,'Daily evaluations'!$B$2:$B$36,"=random_07",'Daily evaluations'!$C$2:$C$36,"=d20270202"),"")</f>
      </c>
      <c r="CQ163" s="8">
        <f>IF((0=1),SUMIFS('Daily evaluations'!$I$2:$I$36,'Daily evaluations'!$B$2:$B$36,"=random_07",'Daily evaluations'!$C$2:$C$36,"=d20270203"),"")</f>
      </c>
      <c r="CR163" s="8">
        <f>IF((0=1),SUMIFS('Daily evaluations'!$I$2:$I$36,'Daily evaluations'!$B$2:$B$36,"=random_07",'Daily evaluations'!$C$2:$C$36,"=d20270204"),"")</f>
      </c>
      <c r="CS163" s="8">
        <f>IF((0=1),SUMIFS('Daily evaluations'!$I$2:$I$36,'Daily evaluations'!$B$2:$B$36,"=random_07",'Daily evaluations'!$C$2:$C$36,"=d20270205"),"")</f>
      </c>
      <c r="CT163" s="8">
        <f>IF((0=1),SUMIFS('Daily evaluations'!$I$2:$I$36,'Daily evaluations'!$B$2:$B$36,"=random_07",'Daily evaluations'!$C$2:$C$36,"=d20270208"),"")</f>
      </c>
      <c r="CU163" s="8">
        <f>IF((0=1),SUMIFS('Daily evaluations'!$I$2:$I$36,'Daily evaluations'!$B$2:$B$36,"=random_07",'Daily evaluations'!$C$2:$C$36,"=d20270209"),"")</f>
      </c>
      <c r="CV163" s="8">
        <f>IF((0=1),SUMIFS('Daily evaluations'!$I$2:$I$36,'Daily evaluations'!$B$2:$B$36,"=random_07",'Daily evaluations'!$C$2:$C$36,"=d20270210"),"")</f>
      </c>
      <c r="CW163" s="8">
        <f>IF((0=1),SUMIFS('Daily evaluations'!$I$2:$I$36,'Daily evaluations'!$B$2:$B$36,"=random_07",'Daily evaluations'!$C$2:$C$36,"=d20270211"),"")</f>
      </c>
      <c r="CX163" s="8">
        <f>IF((0=1),SUMIFS('Daily evaluations'!$I$2:$I$36,'Daily evaluations'!$B$2:$B$36,"=random_07",'Daily evaluations'!$C$2:$C$36,"=d20270212"),"")</f>
      </c>
    </row>
    <row r="164">
      <c r="A164" s="0" t="inlineStr">
        <is>
          <t xml:space="preserve">Information coefficient</t>
        </is>
      </c>
      <c r="B164" s="0" t="inlineStr">
        <is>
          <t xml:space="preserve">Random 8</t>
        </is>
      </c>
      <c r="C164" s="8">
        <f>IF((1=1),SUMIFS('Daily evaluations'!$I$2:$I$36,'Daily evaluations'!$B$2:$B$36,"=random_08",'Daily evaluations'!$C$2:$C$36,"=d20260922"),"")</f>
        <v>-0.021</v>
      </c>
      <c r="D164" s="8">
        <f>IF((0=1),SUMIFS('Daily evaluations'!$I$2:$I$36,'Daily evaluations'!$B$2:$B$36,"=random_08",'Daily evaluations'!$C$2:$C$36,"=d20260923"),"")</f>
      </c>
      <c r="E164" s="8">
        <f>IF((0=1),SUMIFS('Daily evaluations'!$I$2:$I$36,'Daily evaluations'!$B$2:$B$36,"=random_08",'Daily evaluations'!$C$2:$C$36,"=d20260924"),"")</f>
      </c>
      <c r="F164" s="8">
        <f>IF((0=1),SUMIFS('Daily evaluations'!$I$2:$I$36,'Daily evaluations'!$B$2:$B$36,"=random_08",'Daily evaluations'!$C$2:$C$36,"=d20260925"),"")</f>
      </c>
      <c r="G164" s="8">
        <f>IF((0=1),SUMIFS('Daily evaluations'!$I$2:$I$36,'Daily evaluations'!$B$2:$B$36,"=random_08",'Daily evaluations'!$C$2:$C$36,"=d20260928"),"")</f>
      </c>
      <c r="H164" s="8">
        <f>IF((0=1),SUMIFS('Daily evaluations'!$I$2:$I$36,'Daily evaluations'!$B$2:$B$36,"=random_08",'Daily evaluations'!$C$2:$C$36,"=d20260929"),"")</f>
      </c>
      <c r="I164" s="8">
        <f>IF((0=1),SUMIFS('Daily evaluations'!$I$2:$I$36,'Daily evaluations'!$B$2:$B$36,"=random_08",'Daily evaluations'!$C$2:$C$36,"=d20260930"),"")</f>
      </c>
      <c r="J164" s="8">
        <f>IF((0=1),SUMIFS('Daily evaluations'!$I$2:$I$36,'Daily evaluations'!$B$2:$B$36,"=random_08",'Daily evaluations'!$C$2:$C$36,"=d20261001"),"")</f>
      </c>
      <c r="K164" s="8">
        <f>IF((0=1),SUMIFS('Daily evaluations'!$I$2:$I$36,'Daily evaluations'!$B$2:$B$36,"=random_08",'Daily evaluations'!$C$2:$C$36,"=d20261002"),"")</f>
      </c>
      <c r="L164" s="8">
        <f>IF((0=1),SUMIFS('Daily evaluations'!$I$2:$I$36,'Daily evaluations'!$B$2:$B$36,"=random_08",'Daily evaluations'!$C$2:$C$36,"=d20261005"),"")</f>
      </c>
      <c r="M164" s="8">
        <f>IF((0=1),SUMIFS('Daily evaluations'!$I$2:$I$36,'Daily evaluations'!$B$2:$B$36,"=random_08",'Daily evaluations'!$C$2:$C$36,"=d20261006"),"")</f>
      </c>
      <c r="N164" s="8">
        <f>IF((0=1),SUMIFS('Daily evaluations'!$I$2:$I$36,'Daily evaluations'!$B$2:$B$36,"=random_08",'Daily evaluations'!$C$2:$C$36,"=d20261007"),"")</f>
      </c>
      <c r="O164" s="8">
        <f>IF((0=1),SUMIFS('Daily evaluations'!$I$2:$I$36,'Daily evaluations'!$B$2:$B$36,"=random_08",'Daily evaluations'!$C$2:$C$36,"=d20261008"),"")</f>
      </c>
      <c r="P164" s="8">
        <f>IF((0=1),SUMIFS('Daily evaluations'!$I$2:$I$36,'Daily evaluations'!$B$2:$B$36,"=random_08",'Daily evaluations'!$C$2:$C$36,"=d20261009"),"")</f>
      </c>
      <c r="Q164" s="8">
        <f>IF((0=1),SUMIFS('Daily evaluations'!$I$2:$I$36,'Daily evaluations'!$B$2:$B$36,"=random_08",'Daily evaluations'!$C$2:$C$36,"=d20261012"),"")</f>
      </c>
      <c r="R164" s="8">
        <f>IF((0=1),SUMIFS('Daily evaluations'!$I$2:$I$36,'Daily evaluations'!$B$2:$B$36,"=random_08",'Daily evaluations'!$C$2:$C$36,"=d20261013"),"")</f>
      </c>
      <c r="S164" s="8">
        <f>IF((0=1),SUMIFS('Daily evaluations'!$I$2:$I$36,'Daily evaluations'!$B$2:$B$36,"=random_08",'Daily evaluations'!$C$2:$C$36,"=d20261014"),"")</f>
      </c>
      <c r="T164" s="8">
        <f>IF((0=1),SUMIFS('Daily evaluations'!$I$2:$I$36,'Daily evaluations'!$B$2:$B$36,"=random_08",'Daily evaluations'!$C$2:$C$36,"=d20261015"),"")</f>
      </c>
      <c r="U164" s="8">
        <f>IF((0=1),SUMIFS('Daily evaluations'!$I$2:$I$36,'Daily evaluations'!$B$2:$B$36,"=random_08",'Daily evaluations'!$C$2:$C$36,"=d20261016"),"")</f>
      </c>
      <c r="V164" s="8">
        <f>IF((0=1),SUMIFS('Daily evaluations'!$I$2:$I$36,'Daily evaluations'!$B$2:$B$36,"=random_08",'Daily evaluations'!$C$2:$C$36,"=d20261019"),"")</f>
      </c>
      <c r="W164" s="8">
        <f>IF((0=1),SUMIFS('Daily evaluations'!$I$2:$I$36,'Daily evaluations'!$B$2:$B$36,"=random_08",'Daily evaluations'!$C$2:$C$36,"=d20261020"),"")</f>
      </c>
      <c r="X164" s="8">
        <f>IF((0=1),SUMIFS('Daily evaluations'!$I$2:$I$36,'Daily evaluations'!$B$2:$B$36,"=random_08",'Daily evaluations'!$C$2:$C$36,"=d20261021"),"")</f>
      </c>
      <c r="Y164" s="8">
        <f>IF((0=1),SUMIFS('Daily evaluations'!$I$2:$I$36,'Daily evaluations'!$B$2:$B$36,"=random_08",'Daily evaluations'!$C$2:$C$36,"=d20261022"),"")</f>
      </c>
      <c r="Z164" s="8">
        <f>IF((0=1),SUMIFS('Daily evaluations'!$I$2:$I$36,'Daily evaluations'!$B$2:$B$36,"=random_08",'Daily evaluations'!$C$2:$C$36,"=d20261023"),"")</f>
      </c>
      <c r="AA164" s="8">
        <f>IF((0=1),SUMIFS('Daily evaluations'!$I$2:$I$36,'Daily evaluations'!$B$2:$B$36,"=random_08",'Daily evaluations'!$C$2:$C$36,"=d20261026"),"")</f>
      </c>
      <c r="AB164" s="8">
        <f>IF((0=1),SUMIFS('Daily evaluations'!$I$2:$I$36,'Daily evaluations'!$B$2:$B$36,"=random_08",'Daily evaluations'!$C$2:$C$36,"=d20261027"),"")</f>
      </c>
      <c r="AC164" s="8">
        <f>IF((0=1),SUMIFS('Daily evaluations'!$I$2:$I$36,'Daily evaluations'!$B$2:$B$36,"=random_08",'Daily evaluations'!$C$2:$C$36,"=d20261028"),"")</f>
      </c>
      <c r="AD164" s="8">
        <f>IF((0=1),SUMIFS('Daily evaluations'!$I$2:$I$36,'Daily evaluations'!$B$2:$B$36,"=random_08",'Daily evaluations'!$C$2:$C$36,"=d20261029"),"")</f>
      </c>
      <c r="AE164" s="8">
        <f>IF((0=1),SUMIFS('Daily evaluations'!$I$2:$I$36,'Daily evaluations'!$B$2:$B$36,"=random_08",'Daily evaluations'!$C$2:$C$36,"=d20261030"),"")</f>
      </c>
      <c r="AF164" s="8">
        <f>IF((0=1),SUMIFS('Daily evaluations'!$I$2:$I$36,'Daily evaluations'!$B$2:$B$36,"=random_08",'Daily evaluations'!$C$2:$C$36,"=d20261102"),"")</f>
      </c>
      <c r="AG164" s="8">
        <f>IF((0=1),SUMIFS('Daily evaluations'!$I$2:$I$36,'Daily evaluations'!$B$2:$B$36,"=random_08",'Daily evaluations'!$C$2:$C$36,"=d20261103"),"")</f>
      </c>
      <c r="AH164" s="8">
        <f>IF((0=1),SUMIFS('Daily evaluations'!$I$2:$I$36,'Daily evaluations'!$B$2:$B$36,"=random_08",'Daily evaluations'!$C$2:$C$36,"=d20261104"),"")</f>
      </c>
      <c r="AI164" s="8">
        <f>IF((0=1),SUMIFS('Daily evaluations'!$I$2:$I$36,'Daily evaluations'!$B$2:$B$36,"=random_08",'Daily evaluations'!$C$2:$C$36,"=d20261105"),"")</f>
      </c>
      <c r="AJ164" s="8">
        <f>IF((0=1),SUMIFS('Daily evaluations'!$I$2:$I$36,'Daily evaluations'!$B$2:$B$36,"=random_08",'Daily evaluations'!$C$2:$C$36,"=d20261106"),"")</f>
      </c>
      <c r="AK164" s="8">
        <f>IF((0=1),SUMIFS('Daily evaluations'!$I$2:$I$36,'Daily evaluations'!$B$2:$B$36,"=random_08",'Daily evaluations'!$C$2:$C$36,"=d20261109"),"")</f>
      </c>
      <c r="AL164" s="8">
        <f>IF((0=1),SUMIFS('Daily evaluations'!$I$2:$I$36,'Daily evaluations'!$B$2:$B$36,"=random_08",'Daily evaluations'!$C$2:$C$36,"=d20261110"),"")</f>
      </c>
      <c r="AM164" s="8">
        <f>IF((0=1),SUMIFS('Daily evaluations'!$I$2:$I$36,'Daily evaluations'!$B$2:$B$36,"=random_08",'Daily evaluations'!$C$2:$C$36,"=d20261111"),"")</f>
      </c>
      <c r="AN164" s="8">
        <f>IF((0=1),SUMIFS('Daily evaluations'!$I$2:$I$36,'Daily evaluations'!$B$2:$B$36,"=random_08",'Daily evaluations'!$C$2:$C$36,"=d20261112"),"")</f>
      </c>
      <c r="AO164" s="8">
        <f>IF((0=1),SUMIFS('Daily evaluations'!$I$2:$I$36,'Daily evaluations'!$B$2:$B$36,"=random_08",'Daily evaluations'!$C$2:$C$36,"=d20261113"),"")</f>
      </c>
      <c r="AP164" s="8">
        <f>IF((0=1),SUMIFS('Daily evaluations'!$I$2:$I$36,'Daily evaluations'!$B$2:$B$36,"=random_08",'Daily evaluations'!$C$2:$C$36,"=d20261116"),"")</f>
      </c>
      <c r="AQ164" s="8">
        <f>IF((0=1),SUMIFS('Daily evaluations'!$I$2:$I$36,'Daily evaluations'!$B$2:$B$36,"=random_08",'Daily evaluations'!$C$2:$C$36,"=d20261117"),"")</f>
      </c>
      <c r="AR164" s="8">
        <f>IF((0=1),SUMIFS('Daily evaluations'!$I$2:$I$36,'Daily evaluations'!$B$2:$B$36,"=random_08",'Daily evaluations'!$C$2:$C$36,"=d20261118"),"")</f>
      </c>
      <c r="AS164" s="8">
        <f>IF((0=1),SUMIFS('Daily evaluations'!$I$2:$I$36,'Daily evaluations'!$B$2:$B$36,"=random_08",'Daily evaluations'!$C$2:$C$36,"=d20261119"),"")</f>
      </c>
      <c r="AT164" s="8">
        <f>IF((0=1),SUMIFS('Daily evaluations'!$I$2:$I$36,'Daily evaluations'!$B$2:$B$36,"=random_08",'Daily evaluations'!$C$2:$C$36,"=d20261120"),"")</f>
      </c>
      <c r="AU164" s="8">
        <f>IF((0=1),SUMIFS('Daily evaluations'!$I$2:$I$36,'Daily evaluations'!$B$2:$B$36,"=random_08",'Daily evaluations'!$C$2:$C$36,"=d20261123"),"")</f>
      </c>
      <c r="AV164" s="8">
        <f>IF((0=1),SUMIFS('Daily evaluations'!$I$2:$I$36,'Daily evaluations'!$B$2:$B$36,"=random_08",'Daily evaluations'!$C$2:$C$36,"=d20261124"),"")</f>
      </c>
      <c r="AW164" s="8">
        <f>IF((0=1),SUMIFS('Daily evaluations'!$I$2:$I$36,'Daily evaluations'!$B$2:$B$36,"=random_08",'Daily evaluations'!$C$2:$C$36,"=d20261125"),"")</f>
      </c>
      <c r="AX164" s="8">
        <f>IF((0=1),SUMIFS('Daily evaluations'!$I$2:$I$36,'Daily evaluations'!$B$2:$B$36,"=random_08",'Daily evaluations'!$C$2:$C$36,"=d20261127"),"")</f>
      </c>
      <c r="AY164" s="8">
        <f>IF((0=1),SUMIFS('Daily evaluations'!$I$2:$I$36,'Daily evaluations'!$B$2:$B$36,"=random_08",'Daily evaluations'!$C$2:$C$36,"=d20261130"),"")</f>
      </c>
      <c r="AZ164" s="8">
        <f>IF((0=1),SUMIFS('Daily evaluations'!$I$2:$I$36,'Daily evaluations'!$B$2:$B$36,"=random_08",'Daily evaluations'!$C$2:$C$36,"=d20261201"),"")</f>
      </c>
      <c r="BA164" s="8">
        <f>IF((0=1),SUMIFS('Daily evaluations'!$I$2:$I$36,'Daily evaluations'!$B$2:$B$36,"=random_08",'Daily evaluations'!$C$2:$C$36,"=d20261202"),"")</f>
      </c>
      <c r="BB164" s="8">
        <f>IF((0=1),SUMIFS('Daily evaluations'!$I$2:$I$36,'Daily evaluations'!$B$2:$B$36,"=random_08",'Daily evaluations'!$C$2:$C$36,"=d20261203"),"")</f>
      </c>
      <c r="BC164" s="8">
        <f>IF((0=1),SUMIFS('Daily evaluations'!$I$2:$I$36,'Daily evaluations'!$B$2:$B$36,"=random_08",'Daily evaluations'!$C$2:$C$36,"=d20261204"),"")</f>
      </c>
      <c r="BD164" s="8">
        <f>IF((0=1),SUMIFS('Daily evaluations'!$I$2:$I$36,'Daily evaluations'!$B$2:$B$36,"=random_08",'Daily evaluations'!$C$2:$C$36,"=d20261207"),"")</f>
      </c>
      <c r="BE164" s="8">
        <f>IF((0=1),SUMIFS('Daily evaluations'!$I$2:$I$36,'Daily evaluations'!$B$2:$B$36,"=random_08",'Daily evaluations'!$C$2:$C$36,"=d20261208"),"")</f>
      </c>
      <c r="BF164" s="8">
        <f>IF((0=1),SUMIFS('Daily evaluations'!$I$2:$I$36,'Daily evaluations'!$B$2:$B$36,"=random_08",'Daily evaluations'!$C$2:$C$36,"=d20261209"),"")</f>
      </c>
      <c r="BG164" s="8">
        <f>IF((0=1),SUMIFS('Daily evaluations'!$I$2:$I$36,'Daily evaluations'!$B$2:$B$36,"=random_08",'Daily evaluations'!$C$2:$C$36,"=d20261210"),"")</f>
      </c>
      <c r="BH164" s="8">
        <f>IF((0=1),SUMIFS('Daily evaluations'!$I$2:$I$36,'Daily evaluations'!$B$2:$B$36,"=random_08",'Daily evaluations'!$C$2:$C$36,"=d20261211"),"")</f>
      </c>
      <c r="BI164" s="8">
        <f>IF((0=1),SUMIFS('Daily evaluations'!$I$2:$I$36,'Daily evaluations'!$B$2:$B$36,"=random_08",'Daily evaluations'!$C$2:$C$36,"=d20261214"),"")</f>
      </c>
      <c r="BJ164" s="8">
        <f>IF((0=1),SUMIFS('Daily evaluations'!$I$2:$I$36,'Daily evaluations'!$B$2:$B$36,"=random_08",'Daily evaluations'!$C$2:$C$36,"=d20261215"),"")</f>
      </c>
      <c r="BK164" s="8">
        <f>IF((0=1),SUMIFS('Daily evaluations'!$I$2:$I$36,'Daily evaluations'!$B$2:$B$36,"=random_08",'Daily evaluations'!$C$2:$C$36,"=d20261216"),"")</f>
      </c>
      <c r="BL164" s="8">
        <f>IF((0=1),SUMIFS('Daily evaluations'!$I$2:$I$36,'Daily evaluations'!$B$2:$B$36,"=random_08",'Daily evaluations'!$C$2:$C$36,"=d20261217"),"")</f>
      </c>
      <c r="BM164" s="8">
        <f>IF((0=1),SUMIFS('Daily evaluations'!$I$2:$I$36,'Daily evaluations'!$B$2:$B$36,"=random_08",'Daily evaluations'!$C$2:$C$36,"=d20261218"),"")</f>
      </c>
      <c r="BN164" s="8">
        <f>IF((0=1),SUMIFS('Daily evaluations'!$I$2:$I$36,'Daily evaluations'!$B$2:$B$36,"=random_08",'Daily evaluations'!$C$2:$C$36,"=d20261221"),"")</f>
      </c>
      <c r="BO164" s="8">
        <f>IF((0=1),SUMIFS('Daily evaluations'!$I$2:$I$36,'Daily evaluations'!$B$2:$B$36,"=random_08",'Daily evaluations'!$C$2:$C$36,"=d20261222"),"")</f>
      </c>
      <c r="BP164" s="8">
        <f>IF((0=1),SUMIFS('Daily evaluations'!$I$2:$I$36,'Daily evaluations'!$B$2:$B$36,"=random_08",'Daily evaluations'!$C$2:$C$36,"=d20261223"),"")</f>
      </c>
      <c r="BQ164" s="8">
        <f>IF((0=1),SUMIFS('Daily evaluations'!$I$2:$I$36,'Daily evaluations'!$B$2:$B$36,"=random_08",'Daily evaluations'!$C$2:$C$36,"=d20261224"),"")</f>
      </c>
      <c r="BR164" s="8">
        <f>IF((0=1),SUMIFS('Daily evaluations'!$I$2:$I$36,'Daily evaluations'!$B$2:$B$36,"=random_08",'Daily evaluations'!$C$2:$C$36,"=d20261228"),"")</f>
      </c>
      <c r="BS164" s="8">
        <f>IF((0=1),SUMIFS('Daily evaluations'!$I$2:$I$36,'Daily evaluations'!$B$2:$B$36,"=random_08",'Daily evaluations'!$C$2:$C$36,"=d20261229"),"")</f>
      </c>
      <c r="BT164" s="8">
        <f>IF((0=1),SUMIFS('Daily evaluations'!$I$2:$I$36,'Daily evaluations'!$B$2:$B$36,"=random_08",'Daily evaluations'!$C$2:$C$36,"=d20261230"),"")</f>
      </c>
      <c r="BU164" s="8">
        <f>IF((0=1),SUMIFS('Daily evaluations'!$I$2:$I$36,'Daily evaluations'!$B$2:$B$36,"=random_08",'Daily evaluations'!$C$2:$C$36,"=d20261231"),"")</f>
      </c>
      <c r="BV164" s="8">
        <f>IF((0=1),SUMIFS('Daily evaluations'!$I$2:$I$36,'Daily evaluations'!$B$2:$B$36,"=random_08",'Daily evaluations'!$C$2:$C$36,"=d20270104"),"")</f>
      </c>
      <c r="BW164" s="8">
        <f>IF((0=1),SUMIFS('Daily evaluations'!$I$2:$I$36,'Daily evaluations'!$B$2:$B$36,"=random_08",'Daily evaluations'!$C$2:$C$36,"=d20270105"),"")</f>
      </c>
      <c r="BX164" s="8">
        <f>IF((0=1),SUMIFS('Daily evaluations'!$I$2:$I$36,'Daily evaluations'!$B$2:$B$36,"=random_08",'Daily evaluations'!$C$2:$C$36,"=d20270106"),"")</f>
      </c>
      <c r="BY164" s="8">
        <f>IF((0=1),SUMIFS('Daily evaluations'!$I$2:$I$36,'Daily evaluations'!$B$2:$B$36,"=random_08",'Daily evaluations'!$C$2:$C$36,"=d20270107"),"")</f>
      </c>
      <c r="BZ164" s="8">
        <f>IF((0=1),SUMIFS('Daily evaluations'!$I$2:$I$36,'Daily evaluations'!$B$2:$B$36,"=random_08",'Daily evaluations'!$C$2:$C$36,"=d20270108"),"")</f>
      </c>
      <c r="CA164" s="8">
        <f>IF((0=1),SUMIFS('Daily evaluations'!$I$2:$I$36,'Daily evaluations'!$B$2:$B$36,"=random_08",'Daily evaluations'!$C$2:$C$36,"=d20270111"),"")</f>
      </c>
      <c r="CB164" s="8">
        <f>IF((0=1),SUMIFS('Daily evaluations'!$I$2:$I$36,'Daily evaluations'!$B$2:$B$36,"=random_08",'Daily evaluations'!$C$2:$C$36,"=d20270112"),"")</f>
      </c>
      <c r="CC164" s="8">
        <f>IF((0=1),SUMIFS('Daily evaluations'!$I$2:$I$36,'Daily evaluations'!$B$2:$B$36,"=random_08",'Daily evaluations'!$C$2:$C$36,"=d20270113"),"")</f>
      </c>
      <c r="CD164" s="8">
        <f>IF((0=1),SUMIFS('Daily evaluations'!$I$2:$I$36,'Daily evaluations'!$B$2:$B$36,"=random_08",'Daily evaluations'!$C$2:$C$36,"=d20270114"),"")</f>
      </c>
      <c r="CE164" s="8">
        <f>IF((0=1),SUMIFS('Daily evaluations'!$I$2:$I$36,'Daily evaluations'!$B$2:$B$36,"=random_08",'Daily evaluations'!$C$2:$C$36,"=d20270115"),"")</f>
      </c>
      <c r="CF164" s="8">
        <f>IF((0=1),SUMIFS('Daily evaluations'!$I$2:$I$36,'Daily evaluations'!$B$2:$B$36,"=random_08",'Daily evaluations'!$C$2:$C$36,"=d20270119"),"")</f>
      </c>
      <c r="CG164" s="8">
        <f>IF((0=1),SUMIFS('Daily evaluations'!$I$2:$I$36,'Daily evaluations'!$B$2:$B$36,"=random_08",'Daily evaluations'!$C$2:$C$36,"=d20270120"),"")</f>
      </c>
      <c r="CH164" s="8">
        <f>IF((0=1),SUMIFS('Daily evaluations'!$I$2:$I$36,'Daily evaluations'!$B$2:$B$36,"=random_08",'Daily evaluations'!$C$2:$C$36,"=d20270121"),"")</f>
      </c>
      <c r="CI164" s="8">
        <f>IF((0=1),SUMIFS('Daily evaluations'!$I$2:$I$36,'Daily evaluations'!$B$2:$B$36,"=random_08",'Daily evaluations'!$C$2:$C$36,"=d20270122"),"")</f>
      </c>
      <c r="CJ164" s="8">
        <f>IF((0=1),SUMIFS('Daily evaluations'!$I$2:$I$36,'Daily evaluations'!$B$2:$B$36,"=random_08",'Daily evaluations'!$C$2:$C$36,"=d20270125"),"")</f>
      </c>
      <c r="CK164" s="8">
        <f>IF((0=1),SUMIFS('Daily evaluations'!$I$2:$I$36,'Daily evaluations'!$B$2:$B$36,"=random_08",'Daily evaluations'!$C$2:$C$36,"=d20270126"),"")</f>
      </c>
      <c r="CL164" s="8">
        <f>IF((0=1),SUMIFS('Daily evaluations'!$I$2:$I$36,'Daily evaluations'!$B$2:$B$36,"=random_08",'Daily evaluations'!$C$2:$C$36,"=d20270127"),"")</f>
      </c>
      <c r="CM164" s="8">
        <f>IF((0=1),SUMIFS('Daily evaluations'!$I$2:$I$36,'Daily evaluations'!$B$2:$B$36,"=random_08",'Daily evaluations'!$C$2:$C$36,"=d20270128"),"")</f>
      </c>
      <c r="CN164" s="8">
        <f>IF((0=1),SUMIFS('Daily evaluations'!$I$2:$I$36,'Daily evaluations'!$B$2:$B$36,"=random_08",'Daily evaluations'!$C$2:$C$36,"=d20270129"),"")</f>
      </c>
      <c r="CO164" s="8">
        <f>IF((0=1),SUMIFS('Daily evaluations'!$I$2:$I$36,'Daily evaluations'!$B$2:$B$36,"=random_08",'Daily evaluations'!$C$2:$C$36,"=d20270201"),"")</f>
      </c>
      <c r="CP164" s="8">
        <f>IF((0=1),SUMIFS('Daily evaluations'!$I$2:$I$36,'Daily evaluations'!$B$2:$B$36,"=random_08",'Daily evaluations'!$C$2:$C$36,"=d20270202"),"")</f>
      </c>
      <c r="CQ164" s="8">
        <f>IF((0=1),SUMIFS('Daily evaluations'!$I$2:$I$36,'Daily evaluations'!$B$2:$B$36,"=random_08",'Daily evaluations'!$C$2:$C$36,"=d20270203"),"")</f>
      </c>
      <c r="CR164" s="8">
        <f>IF((0=1),SUMIFS('Daily evaluations'!$I$2:$I$36,'Daily evaluations'!$B$2:$B$36,"=random_08",'Daily evaluations'!$C$2:$C$36,"=d20270204"),"")</f>
      </c>
      <c r="CS164" s="8">
        <f>IF((0=1),SUMIFS('Daily evaluations'!$I$2:$I$36,'Daily evaluations'!$B$2:$B$36,"=random_08",'Daily evaluations'!$C$2:$C$36,"=d20270205"),"")</f>
      </c>
      <c r="CT164" s="8">
        <f>IF((0=1),SUMIFS('Daily evaluations'!$I$2:$I$36,'Daily evaluations'!$B$2:$B$36,"=random_08",'Daily evaluations'!$C$2:$C$36,"=d20270208"),"")</f>
      </c>
      <c r="CU164" s="8">
        <f>IF((0=1),SUMIFS('Daily evaluations'!$I$2:$I$36,'Daily evaluations'!$B$2:$B$36,"=random_08",'Daily evaluations'!$C$2:$C$36,"=d20270209"),"")</f>
      </c>
      <c r="CV164" s="8">
        <f>IF((0=1),SUMIFS('Daily evaluations'!$I$2:$I$36,'Daily evaluations'!$B$2:$B$36,"=random_08",'Daily evaluations'!$C$2:$C$36,"=d20270210"),"")</f>
      </c>
      <c r="CW164" s="8">
        <f>IF((0=1),SUMIFS('Daily evaluations'!$I$2:$I$36,'Daily evaluations'!$B$2:$B$36,"=random_08",'Daily evaluations'!$C$2:$C$36,"=d20270211"),"")</f>
      </c>
      <c r="CX164" s="8">
        <f>IF((0=1),SUMIFS('Daily evaluations'!$I$2:$I$36,'Daily evaluations'!$B$2:$B$36,"=random_08",'Daily evaluations'!$C$2:$C$36,"=d20270212"),"")</f>
      </c>
    </row>
    <row r="165">
      <c r="A165" s="0" t="inlineStr">
        <is>
          <t xml:space="preserve">Information coefficient</t>
        </is>
      </c>
      <c r="B165" s="0" t="inlineStr">
        <is>
          <t xml:space="preserve">Random 9</t>
        </is>
      </c>
      <c r="C165" s="8">
        <f>IF((1=1),SUMIFS('Daily evaluations'!$I$2:$I$36,'Daily evaluations'!$B$2:$B$36,"=random_09",'Daily evaluations'!$C$2:$C$36,"=d20260922"),"")</f>
        <v>0.057</v>
      </c>
      <c r="D165" s="8">
        <f>IF((0=1),SUMIFS('Daily evaluations'!$I$2:$I$36,'Daily evaluations'!$B$2:$B$36,"=random_09",'Daily evaluations'!$C$2:$C$36,"=d20260923"),"")</f>
      </c>
      <c r="E165" s="8">
        <f>IF((0=1),SUMIFS('Daily evaluations'!$I$2:$I$36,'Daily evaluations'!$B$2:$B$36,"=random_09",'Daily evaluations'!$C$2:$C$36,"=d20260924"),"")</f>
      </c>
      <c r="F165" s="8">
        <f>IF((0=1),SUMIFS('Daily evaluations'!$I$2:$I$36,'Daily evaluations'!$B$2:$B$36,"=random_09",'Daily evaluations'!$C$2:$C$36,"=d20260925"),"")</f>
      </c>
      <c r="G165" s="8">
        <f>IF((0=1),SUMIFS('Daily evaluations'!$I$2:$I$36,'Daily evaluations'!$B$2:$B$36,"=random_09",'Daily evaluations'!$C$2:$C$36,"=d20260928"),"")</f>
      </c>
      <c r="H165" s="8">
        <f>IF((0=1),SUMIFS('Daily evaluations'!$I$2:$I$36,'Daily evaluations'!$B$2:$B$36,"=random_09",'Daily evaluations'!$C$2:$C$36,"=d20260929"),"")</f>
      </c>
      <c r="I165" s="8">
        <f>IF((0=1),SUMIFS('Daily evaluations'!$I$2:$I$36,'Daily evaluations'!$B$2:$B$36,"=random_09",'Daily evaluations'!$C$2:$C$36,"=d20260930"),"")</f>
      </c>
      <c r="J165" s="8">
        <f>IF((0=1),SUMIFS('Daily evaluations'!$I$2:$I$36,'Daily evaluations'!$B$2:$B$36,"=random_09",'Daily evaluations'!$C$2:$C$36,"=d20261001"),"")</f>
      </c>
      <c r="K165" s="8">
        <f>IF((0=1),SUMIFS('Daily evaluations'!$I$2:$I$36,'Daily evaluations'!$B$2:$B$36,"=random_09",'Daily evaluations'!$C$2:$C$36,"=d20261002"),"")</f>
      </c>
      <c r="L165" s="8">
        <f>IF((0=1),SUMIFS('Daily evaluations'!$I$2:$I$36,'Daily evaluations'!$B$2:$B$36,"=random_09",'Daily evaluations'!$C$2:$C$36,"=d20261005"),"")</f>
      </c>
      <c r="M165" s="8">
        <f>IF((0=1),SUMIFS('Daily evaluations'!$I$2:$I$36,'Daily evaluations'!$B$2:$B$36,"=random_09",'Daily evaluations'!$C$2:$C$36,"=d20261006"),"")</f>
      </c>
      <c r="N165" s="8">
        <f>IF((0=1),SUMIFS('Daily evaluations'!$I$2:$I$36,'Daily evaluations'!$B$2:$B$36,"=random_09",'Daily evaluations'!$C$2:$C$36,"=d20261007"),"")</f>
      </c>
      <c r="O165" s="8">
        <f>IF((0=1),SUMIFS('Daily evaluations'!$I$2:$I$36,'Daily evaluations'!$B$2:$B$36,"=random_09",'Daily evaluations'!$C$2:$C$36,"=d20261008"),"")</f>
      </c>
      <c r="P165" s="8">
        <f>IF((0=1),SUMIFS('Daily evaluations'!$I$2:$I$36,'Daily evaluations'!$B$2:$B$36,"=random_09",'Daily evaluations'!$C$2:$C$36,"=d20261009"),"")</f>
      </c>
      <c r="Q165" s="8">
        <f>IF((0=1),SUMIFS('Daily evaluations'!$I$2:$I$36,'Daily evaluations'!$B$2:$B$36,"=random_09",'Daily evaluations'!$C$2:$C$36,"=d20261012"),"")</f>
      </c>
      <c r="R165" s="8">
        <f>IF((0=1),SUMIFS('Daily evaluations'!$I$2:$I$36,'Daily evaluations'!$B$2:$B$36,"=random_09",'Daily evaluations'!$C$2:$C$36,"=d20261013"),"")</f>
      </c>
      <c r="S165" s="8">
        <f>IF((0=1),SUMIFS('Daily evaluations'!$I$2:$I$36,'Daily evaluations'!$B$2:$B$36,"=random_09",'Daily evaluations'!$C$2:$C$36,"=d20261014"),"")</f>
      </c>
      <c r="T165" s="8">
        <f>IF((0=1),SUMIFS('Daily evaluations'!$I$2:$I$36,'Daily evaluations'!$B$2:$B$36,"=random_09",'Daily evaluations'!$C$2:$C$36,"=d20261015"),"")</f>
      </c>
      <c r="U165" s="8">
        <f>IF((0=1),SUMIFS('Daily evaluations'!$I$2:$I$36,'Daily evaluations'!$B$2:$B$36,"=random_09",'Daily evaluations'!$C$2:$C$36,"=d20261016"),"")</f>
      </c>
      <c r="V165" s="8">
        <f>IF((0=1),SUMIFS('Daily evaluations'!$I$2:$I$36,'Daily evaluations'!$B$2:$B$36,"=random_09",'Daily evaluations'!$C$2:$C$36,"=d20261019"),"")</f>
      </c>
      <c r="W165" s="8">
        <f>IF((0=1),SUMIFS('Daily evaluations'!$I$2:$I$36,'Daily evaluations'!$B$2:$B$36,"=random_09",'Daily evaluations'!$C$2:$C$36,"=d20261020"),"")</f>
      </c>
      <c r="X165" s="8">
        <f>IF((0=1),SUMIFS('Daily evaluations'!$I$2:$I$36,'Daily evaluations'!$B$2:$B$36,"=random_09",'Daily evaluations'!$C$2:$C$36,"=d20261021"),"")</f>
      </c>
      <c r="Y165" s="8">
        <f>IF((0=1),SUMIFS('Daily evaluations'!$I$2:$I$36,'Daily evaluations'!$B$2:$B$36,"=random_09",'Daily evaluations'!$C$2:$C$36,"=d20261022"),"")</f>
      </c>
      <c r="Z165" s="8">
        <f>IF((0=1),SUMIFS('Daily evaluations'!$I$2:$I$36,'Daily evaluations'!$B$2:$B$36,"=random_09",'Daily evaluations'!$C$2:$C$36,"=d20261023"),"")</f>
      </c>
      <c r="AA165" s="8">
        <f>IF((0=1),SUMIFS('Daily evaluations'!$I$2:$I$36,'Daily evaluations'!$B$2:$B$36,"=random_09",'Daily evaluations'!$C$2:$C$36,"=d20261026"),"")</f>
      </c>
      <c r="AB165" s="8">
        <f>IF((0=1),SUMIFS('Daily evaluations'!$I$2:$I$36,'Daily evaluations'!$B$2:$B$36,"=random_09",'Daily evaluations'!$C$2:$C$36,"=d20261027"),"")</f>
      </c>
      <c r="AC165" s="8">
        <f>IF((0=1),SUMIFS('Daily evaluations'!$I$2:$I$36,'Daily evaluations'!$B$2:$B$36,"=random_09",'Daily evaluations'!$C$2:$C$36,"=d20261028"),"")</f>
      </c>
      <c r="AD165" s="8">
        <f>IF((0=1),SUMIFS('Daily evaluations'!$I$2:$I$36,'Daily evaluations'!$B$2:$B$36,"=random_09",'Daily evaluations'!$C$2:$C$36,"=d20261029"),"")</f>
      </c>
      <c r="AE165" s="8">
        <f>IF((0=1),SUMIFS('Daily evaluations'!$I$2:$I$36,'Daily evaluations'!$B$2:$B$36,"=random_09",'Daily evaluations'!$C$2:$C$36,"=d20261030"),"")</f>
      </c>
      <c r="AF165" s="8">
        <f>IF((0=1),SUMIFS('Daily evaluations'!$I$2:$I$36,'Daily evaluations'!$B$2:$B$36,"=random_09",'Daily evaluations'!$C$2:$C$36,"=d20261102"),"")</f>
      </c>
      <c r="AG165" s="8">
        <f>IF((0=1),SUMIFS('Daily evaluations'!$I$2:$I$36,'Daily evaluations'!$B$2:$B$36,"=random_09",'Daily evaluations'!$C$2:$C$36,"=d20261103"),"")</f>
      </c>
      <c r="AH165" s="8">
        <f>IF((0=1),SUMIFS('Daily evaluations'!$I$2:$I$36,'Daily evaluations'!$B$2:$B$36,"=random_09",'Daily evaluations'!$C$2:$C$36,"=d20261104"),"")</f>
      </c>
      <c r="AI165" s="8">
        <f>IF((0=1),SUMIFS('Daily evaluations'!$I$2:$I$36,'Daily evaluations'!$B$2:$B$36,"=random_09",'Daily evaluations'!$C$2:$C$36,"=d20261105"),"")</f>
      </c>
      <c r="AJ165" s="8">
        <f>IF((0=1),SUMIFS('Daily evaluations'!$I$2:$I$36,'Daily evaluations'!$B$2:$B$36,"=random_09",'Daily evaluations'!$C$2:$C$36,"=d20261106"),"")</f>
      </c>
      <c r="AK165" s="8">
        <f>IF((0=1),SUMIFS('Daily evaluations'!$I$2:$I$36,'Daily evaluations'!$B$2:$B$36,"=random_09",'Daily evaluations'!$C$2:$C$36,"=d20261109"),"")</f>
      </c>
      <c r="AL165" s="8">
        <f>IF((0=1),SUMIFS('Daily evaluations'!$I$2:$I$36,'Daily evaluations'!$B$2:$B$36,"=random_09",'Daily evaluations'!$C$2:$C$36,"=d20261110"),"")</f>
      </c>
      <c r="AM165" s="8">
        <f>IF((0=1),SUMIFS('Daily evaluations'!$I$2:$I$36,'Daily evaluations'!$B$2:$B$36,"=random_09",'Daily evaluations'!$C$2:$C$36,"=d20261111"),"")</f>
      </c>
      <c r="AN165" s="8">
        <f>IF((0=1),SUMIFS('Daily evaluations'!$I$2:$I$36,'Daily evaluations'!$B$2:$B$36,"=random_09",'Daily evaluations'!$C$2:$C$36,"=d20261112"),"")</f>
      </c>
      <c r="AO165" s="8">
        <f>IF((0=1),SUMIFS('Daily evaluations'!$I$2:$I$36,'Daily evaluations'!$B$2:$B$36,"=random_09",'Daily evaluations'!$C$2:$C$36,"=d20261113"),"")</f>
      </c>
      <c r="AP165" s="8">
        <f>IF((0=1),SUMIFS('Daily evaluations'!$I$2:$I$36,'Daily evaluations'!$B$2:$B$36,"=random_09",'Daily evaluations'!$C$2:$C$36,"=d20261116"),"")</f>
      </c>
      <c r="AQ165" s="8">
        <f>IF((0=1),SUMIFS('Daily evaluations'!$I$2:$I$36,'Daily evaluations'!$B$2:$B$36,"=random_09",'Daily evaluations'!$C$2:$C$36,"=d20261117"),"")</f>
      </c>
      <c r="AR165" s="8">
        <f>IF((0=1),SUMIFS('Daily evaluations'!$I$2:$I$36,'Daily evaluations'!$B$2:$B$36,"=random_09",'Daily evaluations'!$C$2:$C$36,"=d20261118"),"")</f>
      </c>
      <c r="AS165" s="8">
        <f>IF((0=1),SUMIFS('Daily evaluations'!$I$2:$I$36,'Daily evaluations'!$B$2:$B$36,"=random_09",'Daily evaluations'!$C$2:$C$36,"=d20261119"),"")</f>
      </c>
      <c r="AT165" s="8">
        <f>IF((0=1),SUMIFS('Daily evaluations'!$I$2:$I$36,'Daily evaluations'!$B$2:$B$36,"=random_09",'Daily evaluations'!$C$2:$C$36,"=d20261120"),"")</f>
      </c>
      <c r="AU165" s="8">
        <f>IF((0=1),SUMIFS('Daily evaluations'!$I$2:$I$36,'Daily evaluations'!$B$2:$B$36,"=random_09",'Daily evaluations'!$C$2:$C$36,"=d20261123"),"")</f>
      </c>
      <c r="AV165" s="8">
        <f>IF((0=1),SUMIFS('Daily evaluations'!$I$2:$I$36,'Daily evaluations'!$B$2:$B$36,"=random_09",'Daily evaluations'!$C$2:$C$36,"=d20261124"),"")</f>
      </c>
      <c r="AW165" s="8">
        <f>IF((0=1),SUMIFS('Daily evaluations'!$I$2:$I$36,'Daily evaluations'!$B$2:$B$36,"=random_09",'Daily evaluations'!$C$2:$C$36,"=d20261125"),"")</f>
      </c>
      <c r="AX165" s="8">
        <f>IF((0=1),SUMIFS('Daily evaluations'!$I$2:$I$36,'Daily evaluations'!$B$2:$B$36,"=random_09",'Daily evaluations'!$C$2:$C$36,"=d20261127"),"")</f>
      </c>
      <c r="AY165" s="8">
        <f>IF((0=1),SUMIFS('Daily evaluations'!$I$2:$I$36,'Daily evaluations'!$B$2:$B$36,"=random_09",'Daily evaluations'!$C$2:$C$36,"=d20261130"),"")</f>
      </c>
      <c r="AZ165" s="8">
        <f>IF((0=1),SUMIFS('Daily evaluations'!$I$2:$I$36,'Daily evaluations'!$B$2:$B$36,"=random_09",'Daily evaluations'!$C$2:$C$36,"=d20261201"),"")</f>
      </c>
      <c r="BA165" s="8">
        <f>IF((0=1),SUMIFS('Daily evaluations'!$I$2:$I$36,'Daily evaluations'!$B$2:$B$36,"=random_09",'Daily evaluations'!$C$2:$C$36,"=d20261202"),"")</f>
      </c>
      <c r="BB165" s="8">
        <f>IF((0=1),SUMIFS('Daily evaluations'!$I$2:$I$36,'Daily evaluations'!$B$2:$B$36,"=random_09",'Daily evaluations'!$C$2:$C$36,"=d20261203"),"")</f>
      </c>
      <c r="BC165" s="8">
        <f>IF((0=1),SUMIFS('Daily evaluations'!$I$2:$I$36,'Daily evaluations'!$B$2:$B$36,"=random_09",'Daily evaluations'!$C$2:$C$36,"=d20261204"),"")</f>
      </c>
      <c r="BD165" s="8">
        <f>IF((0=1),SUMIFS('Daily evaluations'!$I$2:$I$36,'Daily evaluations'!$B$2:$B$36,"=random_09",'Daily evaluations'!$C$2:$C$36,"=d20261207"),"")</f>
      </c>
      <c r="BE165" s="8">
        <f>IF((0=1),SUMIFS('Daily evaluations'!$I$2:$I$36,'Daily evaluations'!$B$2:$B$36,"=random_09",'Daily evaluations'!$C$2:$C$36,"=d20261208"),"")</f>
      </c>
      <c r="BF165" s="8">
        <f>IF((0=1),SUMIFS('Daily evaluations'!$I$2:$I$36,'Daily evaluations'!$B$2:$B$36,"=random_09",'Daily evaluations'!$C$2:$C$36,"=d20261209"),"")</f>
      </c>
      <c r="BG165" s="8">
        <f>IF((0=1),SUMIFS('Daily evaluations'!$I$2:$I$36,'Daily evaluations'!$B$2:$B$36,"=random_09",'Daily evaluations'!$C$2:$C$36,"=d20261210"),"")</f>
      </c>
      <c r="BH165" s="8">
        <f>IF((0=1),SUMIFS('Daily evaluations'!$I$2:$I$36,'Daily evaluations'!$B$2:$B$36,"=random_09",'Daily evaluations'!$C$2:$C$36,"=d20261211"),"")</f>
      </c>
      <c r="BI165" s="8">
        <f>IF((0=1),SUMIFS('Daily evaluations'!$I$2:$I$36,'Daily evaluations'!$B$2:$B$36,"=random_09",'Daily evaluations'!$C$2:$C$36,"=d20261214"),"")</f>
      </c>
      <c r="BJ165" s="8">
        <f>IF((0=1),SUMIFS('Daily evaluations'!$I$2:$I$36,'Daily evaluations'!$B$2:$B$36,"=random_09",'Daily evaluations'!$C$2:$C$36,"=d20261215"),"")</f>
      </c>
      <c r="BK165" s="8">
        <f>IF((0=1),SUMIFS('Daily evaluations'!$I$2:$I$36,'Daily evaluations'!$B$2:$B$36,"=random_09",'Daily evaluations'!$C$2:$C$36,"=d20261216"),"")</f>
      </c>
      <c r="BL165" s="8">
        <f>IF((0=1),SUMIFS('Daily evaluations'!$I$2:$I$36,'Daily evaluations'!$B$2:$B$36,"=random_09",'Daily evaluations'!$C$2:$C$36,"=d20261217"),"")</f>
      </c>
      <c r="BM165" s="8">
        <f>IF((0=1),SUMIFS('Daily evaluations'!$I$2:$I$36,'Daily evaluations'!$B$2:$B$36,"=random_09",'Daily evaluations'!$C$2:$C$36,"=d20261218"),"")</f>
      </c>
      <c r="BN165" s="8">
        <f>IF((0=1),SUMIFS('Daily evaluations'!$I$2:$I$36,'Daily evaluations'!$B$2:$B$36,"=random_09",'Daily evaluations'!$C$2:$C$36,"=d20261221"),"")</f>
      </c>
      <c r="BO165" s="8">
        <f>IF((0=1),SUMIFS('Daily evaluations'!$I$2:$I$36,'Daily evaluations'!$B$2:$B$36,"=random_09",'Daily evaluations'!$C$2:$C$36,"=d20261222"),"")</f>
      </c>
      <c r="BP165" s="8">
        <f>IF((0=1),SUMIFS('Daily evaluations'!$I$2:$I$36,'Daily evaluations'!$B$2:$B$36,"=random_09",'Daily evaluations'!$C$2:$C$36,"=d20261223"),"")</f>
      </c>
      <c r="BQ165" s="8">
        <f>IF((0=1),SUMIFS('Daily evaluations'!$I$2:$I$36,'Daily evaluations'!$B$2:$B$36,"=random_09",'Daily evaluations'!$C$2:$C$36,"=d20261224"),"")</f>
      </c>
      <c r="BR165" s="8">
        <f>IF((0=1),SUMIFS('Daily evaluations'!$I$2:$I$36,'Daily evaluations'!$B$2:$B$36,"=random_09",'Daily evaluations'!$C$2:$C$36,"=d20261228"),"")</f>
      </c>
      <c r="BS165" s="8">
        <f>IF((0=1),SUMIFS('Daily evaluations'!$I$2:$I$36,'Daily evaluations'!$B$2:$B$36,"=random_09",'Daily evaluations'!$C$2:$C$36,"=d20261229"),"")</f>
      </c>
      <c r="BT165" s="8">
        <f>IF((0=1),SUMIFS('Daily evaluations'!$I$2:$I$36,'Daily evaluations'!$B$2:$B$36,"=random_09",'Daily evaluations'!$C$2:$C$36,"=d20261230"),"")</f>
      </c>
      <c r="BU165" s="8">
        <f>IF((0=1),SUMIFS('Daily evaluations'!$I$2:$I$36,'Daily evaluations'!$B$2:$B$36,"=random_09",'Daily evaluations'!$C$2:$C$36,"=d20261231"),"")</f>
      </c>
      <c r="BV165" s="8">
        <f>IF((0=1),SUMIFS('Daily evaluations'!$I$2:$I$36,'Daily evaluations'!$B$2:$B$36,"=random_09",'Daily evaluations'!$C$2:$C$36,"=d20270104"),"")</f>
      </c>
      <c r="BW165" s="8">
        <f>IF((0=1),SUMIFS('Daily evaluations'!$I$2:$I$36,'Daily evaluations'!$B$2:$B$36,"=random_09",'Daily evaluations'!$C$2:$C$36,"=d20270105"),"")</f>
      </c>
      <c r="BX165" s="8">
        <f>IF((0=1),SUMIFS('Daily evaluations'!$I$2:$I$36,'Daily evaluations'!$B$2:$B$36,"=random_09",'Daily evaluations'!$C$2:$C$36,"=d20270106"),"")</f>
      </c>
      <c r="BY165" s="8">
        <f>IF((0=1),SUMIFS('Daily evaluations'!$I$2:$I$36,'Daily evaluations'!$B$2:$B$36,"=random_09",'Daily evaluations'!$C$2:$C$36,"=d20270107"),"")</f>
      </c>
      <c r="BZ165" s="8">
        <f>IF((0=1),SUMIFS('Daily evaluations'!$I$2:$I$36,'Daily evaluations'!$B$2:$B$36,"=random_09",'Daily evaluations'!$C$2:$C$36,"=d20270108"),"")</f>
      </c>
      <c r="CA165" s="8">
        <f>IF((0=1),SUMIFS('Daily evaluations'!$I$2:$I$36,'Daily evaluations'!$B$2:$B$36,"=random_09",'Daily evaluations'!$C$2:$C$36,"=d20270111"),"")</f>
      </c>
      <c r="CB165" s="8">
        <f>IF((0=1),SUMIFS('Daily evaluations'!$I$2:$I$36,'Daily evaluations'!$B$2:$B$36,"=random_09",'Daily evaluations'!$C$2:$C$36,"=d20270112"),"")</f>
      </c>
      <c r="CC165" s="8">
        <f>IF((0=1),SUMIFS('Daily evaluations'!$I$2:$I$36,'Daily evaluations'!$B$2:$B$36,"=random_09",'Daily evaluations'!$C$2:$C$36,"=d20270113"),"")</f>
      </c>
      <c r="CD165" s="8">
        <f>IF((0=1),SUMIFS('Daily evaluations'!$I$2:$I$36,'Daily evaluations'!$B$2:$B$36,"=random_09",'Daily evaluations'!$C$2:$C$36,"=d20270114"),"")</f>
      </c>
      <c r="CE165" s="8">
        <f>IF((0=1),SUMIFS('Daily evaluations'!$I$2:$I$36,'Daily evaluations'!$B$2:$B$36,"=random_09",'Daily evaluations'!$C$2:$C$36,"=d20270115"),"")</f>
      </c>
      <c r="CF165" s="8">
        <f>IF((0=1),SUMIFS('Daily evaluations'!$I$2:$I$36,'Daily evaluations'!$B$2:$B$36,"=random_09",'Daily evaluations'!$C$2:$C$36,"=d20270119"),"")</f>
      </c>
      <c r="CG165" s="8">
        <f>IF((0=1),SUMIFS('Daily evaluations'!$I$2:$I$36,'Daily evaluations'!$B$2:$B$36,"=random_09",'Daily evaluations'!$C$2:$C$36,"=d20270120"),"")</f>
      </c>
      <c r="CH165" s="8">
        <f>IF((0=1),SUMIFS('Daily evaluations'!$I$2:$I$36,'Daily evaluations'!$B$2:$B$36,"=random_09",'Daily evaluations'!$C$2:$C$36,"=d20270121"),"")</f>
      </c>
      <c r="CI165" s="8">
        <f>IF((0=1),SUMIFS('Daily evaluations'!$I$2:$I$36,'Daily evaluations'!$B$2:$B$36,"=random_09",'Daily evaluations'!$C$2:$C$36,"=d20270122"),"")</f>
      </c>
      <c r="CJ165" s="8">
        <f>IF((0=1),SUMIFS('Daily evaluations'!$I$2:$I$36,'Daily evaluations'!$B$2:$B$36,"=random_09",'Daily evaluations'!$C$2:$C$36,"=d20270125"),"")</f>
      </c>
      <c r="CK165" s="8">
        <f>IF((0=1),SUMIFS('Daily evaluations'!$I$2:$I$36,'Daily evaluations'!$B$2:$B$36,"=random_09",'Daily evaluations'!$C$2:$C$36,"=d20270126"),"")</f>
      </c>
      <c r="CL165" s="8">
        <f>IF((0=1),SUMIFS('Daily evaluations'!$I$2:$I$36,'Daily evaluations'!$B$2:$B$36,"=random_09",'Daily evaluations'!$C$2:$C$36,"=d20270127"),"")</f>
      </c>
      <c r="CM165" s="8">
        <f>IF((0=1),SUMIFS('Daily evaluations'!$I$2:$I$36,'Daily evaluations'!$B$2:$B$36,"=random_09",'Daily evaluations'!$C$2:$C$36,"=d20270128"),"")</f>
      </c>
      <c r="CN165" s="8">
        <f>IF((0=1),SUMIFS('Daily evaluations'!$I$2:$I$36,'Daily evaluations'!$B$2:$B$36,"=random_09",'Daily evaluations'!$C$2:$C$36,"=d20270129"),"")</f>
      </c>
      <c r="CO165" s="8">
        <f>IF((0=1),SUMIFS('Daily evaluations'!$I$2:$I$36,'Daily evaluations'!$B$2:$B$36,"=random_09",'Daily evaluations'!$C$2:$C$36,"=d20270201"),"")</f>
      </c>
      <c r="CP165" s="8">
        <f>IF((0=1),SUMIFS('Daily evaluations'!$I$2:$I$36,'Daily evaluations'!$B$2:$B$36,"=random_09",'Daily evaluations'!$C$2:$C$36,"=d20270202"),"")</f>
      </c>
      <c r="CQ165" s="8">
        <f>IF((0=1),SUMIFS('Daily evaluations'!$I$2:$I$36,'Daily evaluations'!$B$2:$B$36,"=random_09",'Daily evaluations'!$C$2:$C$36,"=d20270203"),"")</f>
      </c>
      <c r="CR165" s="8">
        <f>IF((0=1),SUMIFS('Daily evaluations'!$I$2:$I$36,'Daily evaluations'!$B$2:$B$36,"=random_09",'Daily evaluations'!$C$2:$C$36,"=d20270204"),"")</f>
      </c>
      <c r="CS165" s="8">
        <f>IF((0=1),SUMIFS('Daily evaluations'!$I$2:$I$36,'Daily evaluations'!$B$2:$B$36,"=random_09",'Daily evaluations'!$C$2:$C$36,"=d20270205"),"")</f>
      </c>
      <c r="CT165" s="8">
        <f>IF((0=1),SUMIFS('Daily evaluations'!$I$2:$I$36,'Daily evaluations'!$B$2:$B$36,"=random_09",'Daily evaluations'!$C$2:$C$36,"=d20270208"),"")</f>
      </c>
      <c r="CU165" s="8">
        <f>IF((0=1),SUMIFS('Daily evaluations'!$I$2:$I$36,'Daily evaluations'!$B$2:$B$36,"=random_09",'Daily evaluations'!$C$2:$C$36,"=d20270209"),"")</f>
      </c>
      <c r="CV165" s="8">
        <f>IF((0=1),SUMIFS('Daily evaluations'!$I$2:$I$36,'Daily evaluations'!$B$2:$B$36,"=random_09",'Daily evaluations'!$C$2:$C$36,"=d20270210"),"")</f>
      </c>
      <c r="CW165" s="8">
        <f>IF((0=1),SUMIFS('Daily evaluations'!$I$2:$I$36,'Daily evaluations'!$B$2:$B$36,"=random_09",'Daily evaluations'!$C$2:$C$36,"=d20270211"),"")</f>
      </c>
      <c r="CX165" s="8">
        <f>IF((0=1),SUMIFS('Daily evaluations'!$I$2:$I$36,'Daily evaluations'!$B$2:$B$36,"=random_09",'Daily evaluations'!$C$2:$C$36,"=d20270212"),"")</f>
      </c>
    </row>
    <row r="166">
      <c r="A166" s="0" t="inlineStr">
        <is>
          <t xml:space="preserve">Information coefficient</t>
        </is>
      </c>
      <c r="B166" s="0" t="inlineStr">
        <is>
          <t xml:space="preserve">Random 10</t>
        </is>
      </c>
      <c r="C166" s="8">
        <f>IF((1=1),SUMIFS('Daily evaluations'!$I$2:$I$36,'Daily evaluations'!$B$2:$B$36,"=random_10",'Daily evaluations'!$C$2:$C$36,"=d20260922"),"")</f>
        <v>-0.0459</v>
      </c>
      <c r="D166" s="8">
        <f>IF((0=1),SUMIFS('Daily evaluations'!$I$2:$I$36,'Daily evaluations'!$B$2:$B$36,"=random_10",'Daily evaluations'!$C$2:$C$36,"=d20260923"),"")</f>
      </c>
      <c r="E166" s="8">
        <f>IF((0=1),SUMIFS('Daily evaluations'!$I$2:$I$36,'Daily evaluations'!$B$2:$B$36,"=random_10",'Daily evaluations'!$C$2:$C$36,"=d20260924"),"")</f>
      </c>
      <c r="F166" s="8">
        <f>IF((0=1),SUMIFS('Daily evaluations'!$I$2:$I$36,'Daily evaluations'!$B$2:$B$36,"=random_10",'Daily evaluations'!$C$2:$C$36,"=d20260925"),"")</f>
      </c>
      <c r="G166" s="8">
        <f>IF((0=1),SUMIFS('Daily evaluations'!$I$2:$I$36,'Daily evaluations'!$B$2:$B$36,"=random_10",'Daily evaluations'!$C$2:$C$36,"=d20260928"),"")</f>
      </c>
      <c r="H166" s="8">
        <f>IF((0=1),SUMIFS('Daily evaluations'!$I$2:$I$36,'Daily evaluations'!$B$2:$B$36,"=random_10",'Daily evaluations'!$C$2:$C$36,"=d20260929"),"")</f>
      </c>
      <c r="I166" s="8">
        <f>IF((0=1),SUMIFS('Daily evaluations'!$I$2:$I$36,'Daily evaluations'!$B$2:$B$36,"=random_10",'Daily evaluations'!$C$2:$C$36,"=d20260930"),"")</f>
      </c>
      <c r="J166" s="8">
        <f>IF((0=1),SUMIFS('Daily evaluations'!$I$2:$I$36,'Daily evaluations'!$B$2:$B$36,"=random_10",'Daily evaluations'!$C$2:$C$36,"=d20261001"),"")</f>
      </c>
      <c r="K166" s="8">
        <f>IF((0=1),SUMIFS('Daily evaluations'!$I$2:$I$36,'Daily evaluations'!$B$2:$B$36,"=random_10",'Daily evaluations'!$C$2:$C$36,"=d20261002"),"")</f>
      </c>
      <c r="L166" s="8">
        <f>IF((0=1),SUMIFS('Daily evaluations'!$I$2:$I$36,'Daily evaluations'!$B$2:$B$36,"=random_10",'Daily evaluations'!$C$2:$C$36,"=d20261005"),"")</f>
      </c>
      <c r="M166" s="8">
        <f>IF((0=1),SUMIFS('Daily evaluations'!$I$2:$I$36,'Daily evaluations'!$B$2:$B$36,"=random_10",'Daily evaluations'!$C$2:$C$36,"=d20261006"),"")</f>
      </c>
      <c r="N166" s="8">
        <f>IF((0=1),SUMIFS('Daily evaluations'!$I$2:$I$36,'Daily evaluations'!$B$2:$B$36,"=random_10",'Daily evaluations'!$C$2:$C$36,"=d20261007"),"")</f>
      </c>
      <c r="O166" s="8">
        <f>IF((0=1),SUMIFS('Daily evaluations'!$I$2:$I$36,'Daily evaluations'!$B$2:$B$36,"=random_10",'Daily evaluations'!$C$2:$C$36,"=d20261008"),"")</f>
      </c>
      <c r="P166" s="8">
        <f>IF((0=1),SUMIFS('Daily evaluations'!$I$2:$I$36,'Daily evaluations'!$B$2:$B$36,"=random_10",'Daily evaluations'!$C$2:$C$36,"=d20261009"),"")</f>
      </c>
      <c r="Q166" s="8">
        <f>IF((0=1),SUMIFS('Daily evaluations'!$I$2:$I$36,'Daily evaluations'!$B$2:$B$36,"=random_10",'Daily evaluations'!$C$2:$C$36,"=d20261012"),"")</f>
      </c>
      <c r="R166" s="8">
        <f>IF((0=1),SUMIFS('Daily evaluations'!$I$2:$I$36,'Daily evaluations'!$B$2:$B$36,"=random_10",'Daily evaluations'!$C$2:$C$36,"=d20261013"),"")</f>
      </c>
      <c r="S166" s="8">
        <f>IF((0=1),SUMIFS('Daily evaluations'!$I$2:$I$36,'Daily evaluations'!$B$2:$B$36,"=random_10",'Daily evaluations'!$C$2:$C$36,"=d20261014"),"")</f>
      </c>
      <c r="T166" s="8">
        <f>IF((0=1),SUMIFS('Daily evaluations'!$I$2:$I$36,'Daily evaluations'!$B$2:$B$36,"=random_10",'Daily evaluations'!$C$2:$C$36,"=d20261015"),"")</f>
      </c>
      <c r="U166" s="8">
        <f>IF((0=1),SUMIFS('Daily evaluations'!$I$2:$I$36,'Daily evaluations'!$B$2:$B$36,"=random_10",'Daily evaluations'!$C$2:$C$36,"=d20261016"),"")</f>
      </c>
      <c r="V166" s="8">
        <f>IF((0=1),SUMIFS('Daily evaluations'!$I$2:$I$36,'Daily evaluations'!$B$2:$B$36,"=random_10",'Daily evaluations'!$C$2:$C$36,"=d20261019"),"")</f>
      </c>
      <c r="W166" s="8">
        <f>IF((0=1),SUMIFS('Daily evaluations'!$I$2:$I$36,'Daily evaluations'!$B$2:$B$36,"=random_10",'Daily evaluations'!$C$2:$C$36,"=d20261020"),"")</f>
      </c>
      <c r="X166" s="8">
        <f>IF((0=1),SUMIFS('Daily evaluations'!$I$2:$I$36,'Daily evaluations'!$B$2:$B$36,"=random_10",'Daily evaluations'!$C$2:$C$36,"=d20261021"),"")</f>
      </c>
      <c r="Y166" s="8">
        <f>IF((0=1),SUMIFS('Daily evaluations'!$I$2:$I$36,'Daily evaluations'!$B$2:$B$36,"=random_10",'Daily evaluations'!$C$2:$C$36,"=d20261022"),"")</f>
      </c>
      <c r="Z166" s="8">
        <f>IF((0=1),SUMIFS('Daily evaluations'!$I$2:$I$36,'Daily evaluations'!$B$2:$B$36,"=random_10",'Daily evaluations'!$C$2:$C$36,"=d20261023"),"")</f>
      </c>
      <c r="AA166" s="8">
        <f>IF((0=1),SUMIFS('Daily evaluations'!$I$2:$I$36,'Daily evaluations'!$B$2:$B$36,"=random_10",'Daily evaluations'!$C$2:$C$36,"=d20261026"),"")</f>
      </c>
      <c r="AB166" s="8">
        <f>IF((0=1),SUMIFS('Daily evaluations'!$I$2:$I$36,'Daily evaluations'!$B$2:$B$36,"=random_10",'Daily evaluations'!$C$2:$C$36,"=d20261027"),"")</f>
      </c>
      <c r="AC166" s="8">
        <f>IF((0=1),SUMIFS('Daily evaluations'!$I$2:$I$36,'Daily evaluations'!$B$2:$B$36,"=random_10",'Daily evaluations'!$C$2:$C$36,"=d20261028"),"")</f>
      </c>
      <c r="AD166" s="8">
        <f>IF((0=1),SUMIFS('Daily evaluations'!$I$2:$I$36,'Daily evaluations'!$B$2:$B$36,"=random_10",'Daily evaluations'!$C$2:$C$36,"=d20261029"),"")</f>
      </c>
      <c r="AE166" s="8">
        <f>IF((0=1),SUMIFS('Daily evaluations'!$I$2:$I$36,'Daily evaluations'!$B$2:$B$36,"=random_10",'Daily evaluations'!$C$2:$C$36,"=d20261030"),"")</f>
      </c>
      <c r="AF166" s="8">
        <f>IF((0=1),SUMIFS('Daily evaluations'!$I$2:$I$36,'Daily evaluations'!$B$2:$B$36,"=random_10",'Daily evaluations'!$C$2:$C$36,"=d20261102"),"")</f>
      </c>
      <c r="AG166" s="8">
        <f>IF((0=1),SUMIFS('Daily evaluations'!$I$2:$I$36,'Daily evaluations'!$B$2:$B$36,"=random_10",'Daily evaluations'!$C$2:$C$36,"=d20261103"),"")</f>
      </c>
      <c r="AH166" s="8">
        <f>IF((0=1),SUMIFS('Daily evaluations'!$I$2:$I$36,'Daily evaluations'!$B$2:$B$36,"=random_10",'Daily evaluations'!$C$2:$C$36,"=d20261104"),"")</f>
      </c>
      <c r="AI166" s="8">
        <f>IF((0=1),SUMIFS('Daily evaluations'!$I$2:$I$36,'Daily evaluations'!$B$2:$B$36,"=random_10",'Daily evaluations'!$C$2:$C$36,"=d20261105"),"")</f>
      </c>
      <c r="AJ166" s="8">
        <f>IF((0=1),SUMIFS('Daily evaluations'!$I$2:$I$36,'Daily evaluations'!$B$2:$B$36,"=random_10",'Daily evaluations'!$C$2:$C$36,"=d20261106"),"")</f>
      </c>
      <c r="AK166" s="8">
        <f>IF((0=1),SUMIFS('Daily evaluations'!$I$2:$I$36,'Daily evaluations'!$B$2:$B$36,"=random_10",'Daily evaluations'!$C$2:$C$36,"=d20261109"),"")</f>
      </c>
      <c r="AL166" s="8">
        <f>IF((0=1),SUMIFS('Daily evaluations'!$I$2:$I$36,'Daily evaluations'!$B$2:$B$36,"=random_10",'Daily evaluations'!$C$2:$C$36,"=d20261110"),"")</f>
      </c>
      <c r="AM166" s="8">
        <f>IF((0=1),SUMIFS('Daily evaluations'!$I$2:$I$36,'Daily evaluations'!$B$2:$B$36,"=random_10",'Daily evaluations'!$C$2:$C$36,"=d20261111"),"")</f>
      </c>
      <c r="AN166" s="8">
        <f>IF((0=1),SUMIFS('Daily evaluations'!$I$2:$I$36,'Daily evaluations'!$B$2:$B$36,"=random_10",'Daily evaluations'!$C$2:$C$36,"=d20261112"),"")</f>
      </c>
      <c r="AO166" s="8">
        <f>IF((0=1),SUMIFS('Daily evaluations'!$I$2:$I$36,'Daily evaluations'!$B$2:$B$36,"=random_10",'Daily evaluations'!$C$2:$C$36,"=d20261113"),"")</f>
      </c>
      <c r="AP166" s="8">
        <f>IF((0=1),SUMIFS('Daily evaluations'!$I$2:$I$36,'Daily evaluations'!$B$2:$B$36,"=random_10",'Daily evaluations'!$C$2:$C$36,"=d20261116"),"")</f>
      </c>
      <c r="AQ166" s="8">
        <f>IF((0=1),SUMIFS('Daily evaluations'!$I$2:$I$36,'Daily evaluations'!$B$2:$B$36,"=random_10",'Daily evaluations'!$C$2:$C$36,"=d20261117"),"")</f>
      </c>
      <c r="AR166" s="8">
        <f>IF((0=1),SUMIFS('Daily evaluations'!$I$2:$I$36,'Daily evaluations'!$B$2:$B$36,"=random_10",'Daily evaluations'!$C$2:$C$36,"=d20261118"),"")</f>
      </c>
      <c r="AS166" s="8">
        <f>IF((0=1),SUMIFS('Daily evaluations'!$I$2:$I$36,'Daily evaluations'!$B$2:$B$36,"=random_10",'Daily evaluations'!$C$2:$C$36,"=d20261119"),"")</f>
      </c>
      <c r="AT166" s="8">
        <f>IF((0=1),SUMIFS('Daily evaluations'!$I$2:$I$36,'Daily evaluations'!$B$2:$B$36,"=random_10",'Daily evaluations'!$C$2:$C$36,"=d20261120"),"")</f>
      </c>
      <c r="AU166" s="8">
        <f>IF((0=1),SUMIFS('Daily evaluations'!$I$2:$I$36,'Daily evaluations'!$B$2:$B$36,"=random_10",'Daily evaluations'!$C$2:$C$36,"=d20261123"),"")</f>
      </c>
      <c r="AV166" s="8">
        <f>IF((0=1),SUMIFS('Daily evaluations'!$I$2:$I$36,'Daily evaluations'!$B$2:$B$36,"=random_10",'Daily evaluations'!$C$2:$C$36,"=d20261124"),"")</f>
      </c>
      <c r="AW166" s="8">
        <f>IF((0=1),SUMIFS('Daily evaluations'!$I$2:$I$36,'Daily evaluations'!$B$2:$B$36,"=random_10",'Daily evaluations'!$C$2:$C$36,"=d20261125"),"")</f>
      </c>
      <c r="AX166" s="8">
        <f>IF((0=1),SUMIFS('Daily evaluations'!$I$2:$I$36,'Daily evaluations'!$B$2:$B$36,"=random_10",'Daily evaluations'!$C$2:$C$36,"=d20261127"),"")</f>
      </c>
      <c r="AY166" s="8">
        <f>IF((0=1),SUMIFS('Daily evaluations'!$I$2:$I$36,'Daily evaluations'!$B$2:$B$36,"=random_10",'Daily evaluations'!$C$2:$C$36,"=d20261130"),"")</f>
      </c>
      <c r="AZ166" s="8">
        <f>IF((0=1),SUMIFS('Daily evaluations'!$I$2:$I$36,'Daily evaluations'!$B$2:$B$36,"=random_10",'Daily evaluations'!$C$2:$C$36,"=d20261201"),"")</f>
      </c>
      <c r="BA166" s="8">
        <f>IF((0=1),SUMIFS('Daily evaluations'!$I$2:$I$36,'Daily evaluations'!$B$2:$B$36,"=random_10",'Daily evaluations'!$C$2:$C$36,"=d20261202"),"")</f>
      </c>
      <c r="BB166" s="8">
        <f>IF((0=1),SUMIFS('Daily evaluations'!$I$2:$I$36,'Daily evaluations'!$B$2:$B$36,"=random_10",'Daily evaluations'!$C$2:$C$36,"=d20261203"),"")</f>
      </c>
      <c r="BC166" s="8">
        <f>IF((0=1),SUMIFS('Daily evaluations'!$I$2:$I$36,'Daily evaluations'!$B$2:$B$36,"=random_10",'Daily evaluations'!$C$2:$C$36,"=d20261204"),"")</f>
      </c>
      <c r="BD166" s="8">
        <f>IF((0=1),SUMIFS('Daily evaluations'!$I$2:$I$36,'Daily evaluations'!$B$2:$B$36,"=random_10",'Daily evaluations'!$C$2:$C$36,"=d20261207"),"")</f>
      </c>
      <c r="BE166" s="8">
        <f>IF((0=1),SUMIFS('Daily evaluations'!$I$2:$I$36,'Daily evaluations'!$B$2:$B$36,"=random_10",'Daily evaluations'!$C$2:$C$36,"=d20261208"),"")</f>
      </c>
      <c r="BF166" s="8">
        <f>IF((0=1),SUMIFS('Daily evaluations'!$I$2:$I$36,'Daily evaluations'!$B$2:$B$36,"=random_10",'Daily evaluations'!$C$2:$C$36,"=d20261209"),"")</f>
      </c>
      <c r="BG166" s="8">
        <f>IF((0=1),SUMIFS('Daily evaluations'!$I$2:$I$36,'Daily evaluations'!$B$2:$B$36,"=random_10",'Daily evaluations'!$C$2:$C$36,"=d20261210"),"")</f>
      </c>
      <c r="BH166" s="8">
        <f>IF((0=1),SUMIFS('Daily evaluations'!$I$2:$I$36,'Daily evaluations'!$B$2:$B$36,"=random_10",'Daily evaluations'!$C$2:$C$36,"=d20261211"),"")</f>
      </c>
      <c r="BI166" s="8">
        <f>IF((0=1),SUMIFS('Daily evaluations'!$I$2:$I$36,'Daily evaluations'!$B$2:$B$36,"=random_10",'Daily evaluations'!$C$2:$C$36,"=d20261214"),"")</f>
      </c>
      <c r="BJ166" s="8">
        <f>IF((0=1),SUMIFS('Daily evaluations'!$I$2:$I$36,'Daily evaluations'!$B$2:$B$36,"=random_10",'Daily evaluations'!$C$2:$C$36,"=d20261215"),"")</f>
      </c>
      <c r="BK166" s="8">
        <f>IF((0=1),SUMIFS('Daily evaluations'!$I$2:$I$36,'Daily evaluations'!$B$2:$B$36,"=random_10",'Daily evaluations'!$C$2:$C$36,"=d20261216"),"")</f>
      </c>
      <c r="BL166" s="8">
        <f>IF((0=1),SUMIFS('Daily evaluations'!$I$2:$I$36,'Daily evaluations'!$B$2:$B$36,"=random_10",'Daily evaluations'!$C$2:$C$36,"=d20261217"),"")</f>
      </c>
      <c r="BM166" s="8">
        <f>IF((0=1),SUMIFS('Daily evaluations'!$I$2:$I$36,'Daily evaluations'!$B$2:$B$36,"=random_10",'Daily evaluations'!$C$2:$C$36,"=d20261218"),"")</f>
      </c>
      <c r="BN166" s="8">
        <f>IF((0=1),SUMIFS('Daily evaluations'!$I$2:$I$36,'Daily evaluations'!$B$2:$B$36,"=random_10",'Daily evaluations'!$C$2:$C$36,"=d20261221"),"")</f>
      </c>
      <c r="BO166" s="8">
        <f>IF((0=1),SUMIFS('Daily evaluations'!$I$2:$I$36,'Daily evaluations'!$B$2:$B$36,"=random_10",'Daily evaluations'!$C$2:$C$36,"=d20261222"),"")</f>
      </c>
      <c r="BP166" s="8">
        <f>IF((0=1),SUMIFS('Daily evaluations'!$I$2:$I$36,'Daily evaluations'!$B$2:$B$36,"=random_10",'Daily evaluations'!$C$2:$C$36,"=d20261223"),"")</f>
      </c>
      <c r="BQ166" s="8">
        <f>IF((0=1),SUMIFS('Daily evaluations'!$I$2:$I$36,'Daily evaluations'!$B$2:$B$36,"=random_10",'Daily evaluations'!$C$2:$C$36,"=d20261224"),"")</f>
      </c>
      <c r="BR166" s="8">
        <f>IF((0=1),SUMIFS('Daily evaluations'!$I$2:$I$36,'Daily evaluations'!$B$2:$B$36,"=random_10",'Daily evaluations'!$C$2:$C$36,"=d20261228"),"")</f>
      </c>
      <c r="BS166" s="8">
        <f>IF((0=1),SUMIFS('Daily evaluations'!$I$2:$I$36,'Daily evaluations'!$B$2:$B$36,"=random_10",'Daily evaluations'!$C$2:$C$36,"=d20261229"),"")</f>
      </c>
      <c r="BT166" s="8">
        <f>IF((0=1),SUMIFS('Daily evaluations'!$I$2:$I$36,'Daily evaluations'!$B$2:$B$36,"=random_10",'Daily evaluations'!$C$2:$C$36,"=d20261230"),"")</f>
      </c>
      <c r="BU166" s="8">
        <f>IF((0=1),SUMIFS('Daily evaluations'!$I$2:$I$36,'Daily evaluations'!$B$2:$B$36,"=random_10",'Daily evaluations'!$C$2:$C$36,"=d20261231"),"")</f>
      </c>
      <c r="BV166" s="8">
        <f>IF((0=1),SUMIFS('Daily evaluations'!$I$2:$I$36,'Daily evaluations'!$B$2:$B$36,"=random_10",'Daily evaluations'!$C$2:$C$36,"=d20270104"),"")</f>
      </c>
      <c r="BW166" s="8">
        <f>IF((0=1),SUMIFS('Daily evaluations'!$I$2:$I$36,'Daily evaluations'!$B$2:$B$36,"=random_10",'Daily evaluations'!$C$2:$C$36,"=d20270105"),"")</f>
      </c>
      <c r="BX166" s="8">
        <f>IF((0=1),SUMIFS('Daily evaluations'!$I$2:$I$36,'Daily evaluations'!$B$2:$B$36,"=random_10",'Daily evaluations'!$C$2:$C$36,"=d20270106"),"")</f>
      </c>
      <c r="BY166" s="8">
        <f>IF((0=1),SUMIFS('Daily evaluations'!$I$2:$I$36,'Daily evaluations'!$B$2:$B$36,"=random_10",'Daily evaluations'!$C$2:$C$36,"=d20270107"),"")</f>
      </c>
      <c r="BZ166" s="8">
        <f>IF((0=1),SUMIFS('Daily evaluations'!$I$2:$I$36,'Daily evaluations'!$B$2:$B$36,"=random_10",'Daily evaluations'!$C$2:$C$36,"=d20270108"),"")</f>
      </c>
      <c r="CA166" s="8">
        <f>IF((0=1),SUMIFS('Daily evaluations'!$I$2:$I$36,'Daily evaluations'!$B$2:$B$36,"=random_10",'Daily evaluations'!$C$2:$C$36,"=d20270111"),"")</f>
      </c>
      <c r="CB166" s="8">
        <f>IF((0=1),SUMIFS('Daily evaluations'!$I$2:$I$36,'Daily evaluations'!$B$2:$B$36,"=random_10",'Daily evaluations'!$C$2:$C$36,"=d20270112"),"")</f>
      </c>
      <c r="CC166" s="8">
        <f>IF((0=1),SUMIFS('Daily evaluations'!$I$2:$I$36,'Daily evaluations'!$B$2:$B$36,"=random_10",'Daily evaluations'!$C$2:$C$36,"=d20270113"),"")</f>
      </c>
      <c r="CD166" s="8">
        <f>IF((0=1),SUMIFS('Daily evaluations'!$I$2:$I$36,'Daily evaluations'!$B$2:$B$36,"=random_10",'Daily evaluations'!$C$2:$C$36,"=d20270114"),"")</f>
      </c>
      <c r="CE166" s="8">
        <f>IF((0=1),SUMIFS('Daily evaluations'!$I$2:$I$36,'Daily evaluations'!$B$2:$B$36,"=random_10",'Daily evaluations'!$C$2:$C$36,"=d20270115"),"")</f>
      </c>
      <c r="CF166" s="8">
        <f>IF((0=1),SUMIFS('Daily evaluations'!$I$2:$I$36,'Daily evaluations'!$B$2:$B$36,"=random_10",'Daily evaluations'!$C$2:$C$36,"=d20270119"),"")</f>
      </c>
      <c r="CG166" s="8">
        <f>IF((0=1),SUMIFS('Daily evaluations'!$I$2:$I$36,'Daily evaluations'!$B$2:$B$36,"=random_10",'Daily evaluations'!$C$2:$C$36,"=d20270120"),"")</f>
      </c>
      <c r="CH166" s="8">
        <f>IF((0=1),SUMIFS('Daily evaluations'!$I$2:$I$36,'Daily evaluations'!$B$2:$B$36,"=random_10",'Daily evaluations'!$C$2:$C$36,"=d20270121"),"")</f>
      </c>
      <c r="CI166" s="8">
        <f>IF((0=1),SUMIFS('Daily evaluations'!$I$2:$I$36,'Daily evaluations'!$B$2:$B$36,"=random_10",'Daily evaluations'!$C$2:$C$36,"=d20270122"),"")</f>
      </c>
      <c r="CJ166" s="8">
        <f>IF((0=1),SUMIFS('Daily evaluations'!$I$2:$I$36,'Daily evaluations'!$B$2:$B$36,"=random_10",'Daily evaluations'!$C$2:$C$36,"=d20270125"),"")</f>
      </c>
      <c r="CK166" s="8">
        <f>IF((0=1),SUMIFS('Daily evaluations'!$I$2:$I$36,'Daily evaluations'!$B$2:$B$36,"=random_10",'Daily evaluations'!$C$2:$C$36,"=d20270126"),"")</f>
      </c>
      <c r="CL166" s="8">
        <f>IF((0=1),SUMIFS('Daily evaluations'!$I$2:$I$36,'Daily evaluations'!$B$2:$B$36,"=random_10",'Daily evaluations'!$C$2:$C$36,"=d20270127"),"")</f>
      </c>
      <c r="CM166" s="8">
        <f>IF((0=1),SUMIFS('Daily evaluations'!$I$2:$I$36,'Daily evaluations'!$B$2:$B$36,"=random_10",'Daily evaluations'!$C$2:$C$36,"=d20270128"),"")</f>
      </c>
      <c r="CN166" s="8">
        <f>IF((0=1),SUMIFS('Daily evaluations'!$I$2:$I$36,'Daily evaluations'!$B$2:$B$36,"=random_10",'Daily evaluations'!$C$2:$C$36,"=d20270129"),"")</f>
      </c>
      <c r="CO166" s="8">
        <f>IF((0=1),SUMIFS('Daily evaluations'!$I$2:$I$36,'Daily evaluations'!$B$2:$B$36,"=random_10",'Daily evaluations'!$C$2:$C$36,"=d20270201"),"")</f>
      </c>
      <c r="CP166" s="8">
        <f>IF((0=1),SUMIFS('Daily evaluations'!$I$2:$I$36,'Daily evaluations'!$B$2:$B$36,"=random_10",'Daily evaluations'!$C$2:$C$36,"=d20270202"),"")</f>
      </c>
      <c r="CQ166" s="8">
        <f>IF((0=1),SUMIFS('Daily evaluations'!$I$2:$I$36,'Daily evaluations'!$B$2:$B$36,"=random_10",'Daily evaluations'!$C$2:$C$36,"=d20270203"),"")</f>
      </c>
      <c r="CR166" s="8">
        <f>IF((0=1),SUMIFS('Daily evaluations'!$I$2:$I$36,'Daily evaluations'!$B$2:$B$36,"=random_10",'Daily evaluations'!$C$2:$C$36,"=d20270204"),"")</f>
      </c>
      <c r="CS166" s="8">
        <f>IF((0=1),SUMIFS('Daily evaluations'!$I$2:$I$36,'Daily evaluations'!$B$2:$B$36,"=random_10",'Daily evaluations'!$C$2:$C$36,"=d20270205"),"")</f>
      </c>
      <c r="CT166" s="8">
        <f>IF((0=1),SUMIFS('Daily evaluations'!$I$2:$I$36,'Daily evaluations'!$B$2:$B$36,"=random_10",'Daily evaluations'!$C$2:$C$36,"=d20270208"),"")</f>
      </c>
      <c r="CU166" s="8">
        <f>IF((0=1),SUMIFS('Daily evaluations'!$I$2:$I$36,'Daily evaluations'!$B$2:$B$36,"=random_10",'Daily evaluations'!$C$2:$C$36,"=d20270209"),"")</f>
      </c>
      <c r="CV166" s="8">
        <f>IF((0=1),SUMIFS('Daily evaluations'!$I$2:$I$36,'Daily evaluations'!$B$2:$B$36,"=random_10",'Daily evaluations'!$C$2:$C$36,"=d20270210"),"")</f>
      </c>
      <c r="CW166" s="8">
        <f>IF((0=1),SUMIFS('Daily evaluations'!$I$2:$I$36,'Daily evaluations'!$B$2:$B$36,"=random_10",'Daily evaluations'!$C$2:$C$36,"=d20270211"),"")</f>
      </c>
      <c r="CX166" s="8">
        <f>IF((0=1),SUMIFS('Daily evaluations'!$I$2:$I$36,'Daily evaluations'!$B$2:$B$36,"=random_10",'Daily evaluations'!$C$2:$C$36,"=d20270212"),"")</f>
      </c>
    </row>
    <row r="167">
      <c r="A167" s="0" t="inlineStr">
        <is>
          <t xml:space="preserve">Information coefficient</t>
        </is>
      </c>
      <c r="B167" s="0" t="inlineStr">
        <is>
          <t xml:space="preserve">Random 11</t>
        </is>
      </c>
      <c r="C167" s="8">
        <f>IF((1=1),SUMIFS('Daily evaluations'!$I$2:$I$36,'Daily evaluations'!$B$2:$B$36,"=random_11",'Daily evaluations'!$C$2:$C$36,"=d20260922"),"")</f>
        <v>0.0314</v>
      </c>
      <c r="D167" s="8">
        <f>IF((0=1),SUMIFS('Daily evaluations'!$I$2:$I$36,'Daily evaluations'!$B$2:$B$36,"=random_11",'Daily evaluations'!$C$2:$C$36,"=d20260923"),"")</f>
      </c>
      <c r="E167" s="8">
        <f>IF((0=1),SUMIFS('Daily evaluations'!$I$2:$I$36,'Daily evaluations'!$B$2:$B$36,"=random_11",'Daily evaluations'!$C$2:$C$36,"=d20260924"),"")</f>
      </c>
      <c r="F167" s="8">
        <f>IF((0=1),SUMIFS('Daily evaluations'!$I$2:$I$36,'Daily evaluations'!$B$2:$B$36,"=random_11",'Daily evaluations'!$C$2:$C$36,"=d20260925"),"")</f>
      </c>
      <c r="G167" s="8">
        <f>IF((0=1),SUMIFS('Daily evaluations'!$I$2:$I$36,'Daily evaluations'!$B$2:$B$36,"=random_11",'Daily evaluations'!$C$2:$C$36,"=d20260928"),"")</f>
      </c>
      <c r="H167" s="8">
        <f>IF((0=1),SUMIFS('Daily evaluations'!$I$2:$I$36,'Daily evaluations'!$B$2:$B$36,"=random_11",'Daily evaluations'!$C$2:$C$36,"=d20260929"),"")</f>
      </c>
      <c r="I167" s="8">
        <f>IF((0=1),SUMIFS('Daily evaluations'!$I$2:$I$36,'Daily evaluations'!$B$2:$B$36,"=random_11",'Daily evaluations'!$C$2:$C$36,"=d20260930"),"")</f>
      </c>
      <c r="J167" s="8">
        <f>IF((0=1),SUMIFS('Daily evaluations'!$I$2:$I$36,'Daily evaluations'!$B$2:$B$36,"=random_11",'Daily evaluations'!$C$2:$C$36,"=d20261001"),"")</f>
      </c>
      <c r="K167" s="8">
        <f>IF((0=1),SUMIFS('Daily evaluations'!$I$2:$I$36,'Daily evaluations'!$B$2:$B$36,"=random_11",'Daily evaluations'!$C$2:$C$36,"=d20261002"),"")</f>
      </c>
      <c r="L167" s="8">
        <f>IF((0=1),SUMIFS('Daily evaluations'!$I$2:$I$36,'Daily evaluations'!$B$2:$B$36,"=random_11",'Daily evaluations'!$C$2:$C$36,"=d20261005"),"")</f>
      </c>
      <c r="M167" s="8">
        <f>IF((0=1),SUMIFS('Daily evaluations'!$I$2:$I$36,'Daily evaluations'!$B$2:$B$36,"=random_11",'Daily evaluations'!$C$2:$C$36,"=d20261006"),"")</f>
      </c>
      <c r="N167" s="8">
        <f>IF((0=1),SUMIFS('Daily evaluations'!$I$2:$I$36,'Daily evaluations'!$B$2:$B$36,"=random_11",'Daily evaluations'!$C$2:$C$36,"=d20261007"),"")</f>
      </c>
      <c r="O167" s="8">
        <f>IF((0=1),SUMIFS('Daily evaluations'!$I$2:$I$36,'Daily evaluations'!$B$2:$B$36,"=random_11",'Daily evaluations'!$C$2:$C$36,"=d20261008"),"")</f>
      </c>
      <c r="P167" s="8">
        <f>IF((0=1),SUMIFS('Daily evaluations'!$I$2:$I$36,'Daily evaluations'!$B$2:$B$36,"=random_11",'Daily evaluations'!$C$2:$C$36,"=d20261009"),"")</f>
      </c>
      <c r="Q167" s="8">
        <f>IF((0=1),SUMIFS('Daily evaluations'!$I$2:$I$36,'Daily evaluations'!$B$2:$B$36,"=random_11",'Daily evaluations'!$C$2:$C$36,"=d20261012"),"")</f>
      </c>
      <c r="R167" s="8">
        <f>IF((0=1),SUMIFS('Daily evaluations'!$I$2:$I$36,'Daily evaluations'!$B$2:$B$36,"=random_11",'Daily evaluations'!$C$2:$C$36,"=d20261013"),"")</f>
      </c>
      <c r="S167" s="8">
        <f>IF((0=1),SUMIFS('Daily evaluations'!$I$2:$I$36,'Daily evaluations'!$B$2:$B$36,"=random_11",'Daily evaluations'!$C$2:$C$36,"=d20261014"),"")</f>
      </c>
      <c r="T167" s="8">
        <f>IF((0=1),SUMIFS('Daily evaluations'!$I$2:$I$36,'Daily evaluations'!$B$2:$B$36,"=random_11",'Daily evaluations'!$C$2:$C$36,"=d20261015"),"")</f>
      </c>
      <c r="U167" s="8">
        <f>IF((0=1),SUMIFS('Daily evaluations'!$I$2:$I$36,'Daily evaluations'!$B$2:$B$36,"=random_11",'Daily evaluations'!$C$2:$C$36,"=d20261016"),"")</f>
      </c>
      <c r="V167" s="8">
        <f>IF((0=1),SUMIFS('Daily evaluations'!$I$2:$I$36,'Daily evaluations'!$B$2:$B$36,"=random_11",'Daily evaluations'!$C$2:$C$36,"=d20261019"),"")</f>
      </c>
      <c r="W167" s="8">
        <f>IF((0=1),SUMIFS('Daily evaluations'!$I$2:$I$36,'Daily evaluations'!$B$2:$B$36,"=random_11",'Daily evaluations'!$C$2:$C$36,"=d20261020"),"")</f>
      </c>
      <c r="X167" s="8">
        <f>IF((0=1),SUMIFS('Daily evaluations'!$I$2:$I$36,'Daily evaluations'!$B$2:$B$36,"=random_11",'Daily evaluations'!$C$2:$C$36,"=d20261021"),"")</f>
      </c>
      <c r="Y167" s="8">
        <f>IF((0=1),SUMIFS('Daily evaluations'!$I$2:$I$36,'Daily evaluations'!$B$2:$B$36,"=random_11",'Daily evaluations'!$C$2:$C$36,"=d20261022"),"")</f>
      </c>
      <c r="Z167" s="8">
        <f>IF((0=1),SUMIFS('Daily evaluations'!$I$2:$I$36,'Daily evaluations'!$B$2:$B$36,"=random_11",'Daily evaluations'!$C$2:$C$36,"=d20261023"),"")</f>
      </c>
      <c r="AA167" s="8">
        <f>IF((0=1),SUMIFS('Daily evaluations'!$I$2:$I$36,'Daily evaluations'!$B$2:$B$36,"=random_11",'Daily evaluations'!$C$2:$C$36,"=d20261026"),"")</f>
      </c>
      <c r="AB167" s="8">
        <f>IF((0=1),SUMIFS('Daily evaluations'!$I$2:$I$36,'Daily evaluations'!$B$2:$B$36,"=random_11",'Daily evaluations'!$C$2:$C$36,"=d20261027"),"")</f>
      </c>
      <c r="AC167" s="8">
        <f>IF((0=1),SUMIFS('Daily evaluations'!$I$2:$I$36,'Daily evaluations'!$B$2:$B$36,"=random_11",'Daily evaluations'!$C$2:$C$36,"=d20261028"),"")</f>
      </c>
      <c r="AD167" s="8">
        <f>IF((0=1),SUMIFS('Daily evaluations'!$I$2:$I$36,'Daily evaluations'!$B$2:$B$36,"=random_11",'Daily evaluations'!$C$2:$C$36,"=d20261029"),"")</f>
      </c>
      <c r="AE167" s="8">
        <f>IF((0=1),SUMIFS('Daily evaluations'!$I$2:$I$36,'Daily evaluations'!$B$2:$B$36,"=random_11",'Daily evaluations'!$C$2:$C$36,"=d20261030"),"")</f>
      </c>
      <c r="AF167" s="8">
        <f>IF((0=1),SUMIFS('Daily evaluations'!$I$2:$I$36,'Daily evaluations'!$B$2:$B$36,"=random_11",'Daily evaluations'!$C$2:$C$36,"=d20261102"),"")</f>
      </c>
      <c r="AG167" s="8">
        <f>IF((0=1),SUMIFS('Daily evaluations'!$I$2:$I$36,'Daily evaluations'!$B$2:$B$36,"=random_11",'Daily evaluations'!$C$2:$C$36,"=d20261103"),"")</f>
      </c>
      <c r="AH167" s="8">
        <f>IF((0=1),SUMIFS('Daily evaluations'!$I$2:$I$36,'Daily evaluations'!$B$2:$B$36,"=random_11",'Daily evaluations'!$C$2:$C$36,"=d20261104"),"")</f>
      </c>
      <c r="AI167" s="8">
        <f>IF((0=1),SUMIFS('Daily evaluations'!$I$2:$I$36,'Daily evaluations'!$B$2:$B$36,"=random_11",'Daily evaluations'!$C$2:$C$36,"=d20261105"),"")</f>
      </c>
      <c r="AJ167" s="8">
        <f>IF((0=1),SUMIFS('Daily evaluations'!$I$2:$I$36,'Daily evaluations'!$B$2:$B$36,"=random_11",'Daily evaluations'!$C$2:$C$36,"=d20261106"),"")</f>
      </c>
      <c r="AK167" s="8">
        <f>IF((0=1),SUMIFS('Daily evaluations'!$I$2:$I$36,'Daily evaluations'!$B$2:$B$36,"=random_11",'Daily evaluations'!$C$2:$C$36,"=d20261109"),"")</f>
      </c>
      <c r="AL167" s="8">
        <f>IF((0=1),SUMIFS('Daily evaluations'!$I$2:$I$36,'Daily evaluations'!$B$2:$B$36,"=random_11",'Daily evaluations'!$C$2:$C$36,"=d20261110"),"")</f>
      </c>
      <c r="AM167" s="8">
        <f>IF((0=1),SUMIFS('Daily evaluations'!$I$2:$I$36,'Daily evaluations'!$B$2:$B$36,"=random_11",'Daily evaluations'!$C$2:$C$36,"=d20261111"),"")</f>
      </c>
      <c r="AN167" s="8">
        <f>IF((0=1),SUMIFS('Daily evaluations'!$I$2:$I$36,'Daily evaluations'!$B$2:$B$36,"=random_11",'Daily evaluations'!$C$2:$C$36,"=d20261112"),"")</f>
      </c>
      <c r="AO167" s="8">
        <f>IF((0=1),SUMIFS('Daily evaluations'!$I$2:$I$36,'Daily evaluations'!$B$2:$B$36,"=random_11",'Daily evaluations'!$C$2:$C$36,"=d20261113"),"")</f>
      </c>
      <c r="AP167" s="8">
        <f>IF((0=1),SUMIFS('Daily evaluations'!$I$2:$I$36,'Daily evaluations'!$B$2:$B$36,"=random_11",'Daily evaluations'!$C$2:$C$36,"=d20261116"),"")</f>
      </c>
      <c r="AQ167" s="8">
        <f>IF((0=1),SUMIFS('Daily evaluations'!$I$2:$I$36,'Daily evaluations'!$B$2:$B$36,"=random_11",'Daily evaluations'!$C$2:$C$36,"=d20261117"),"")</f>
      </c>
      <c r="AR167" s="8">
        <f>IF((0=1),SUMIFS('Daily evaluations'!$I$2:$I$36,'Daily evaluations'!$B$2:$B$36,"=random_11",'Daily evaluations'!$C$2:$C$36,"=d20261118"),"")</f>
      </c>
      <c r="AS167" s="8">
        <f>IF((0=1),SUMIFS('Daily evaluations'!$I$2:$I$36,'Daily evaluations'!$B$2:$B$36,"=random_11",'Daily evaluations'!$C$2:$C$36,"=d20261119"),"")</f>
      </c>
      <c r="AT167" s="8">
        <f>IF((0=1),SUMIFS('Daily evaluations'!$I$2:$I$36,'Daily evaluations'!$B$2:$B$36,"=random_11",'Daily evaluations'!$C$2:$C$36,"=d20261120"),"")</f>
      </c>
      <c r="AU167" s="8">
        <f>IF((0=1),SUMIFS('Daily evaluations'!$I$2:$I$36,'Daily evaluations'!$B$2:$B$36,"=random_11",'Daily evaluations'!$C$2:$C$36,"=d20261123"),"")</f>
      </c>
      <c r="AV167" s="8">
        <f>IF((0=1),SUMIFS('Daily evaluations'!$I$2:$I$36,'Daily evaluations'!$B$2:$B$36,"=random_11",'Daily evaluations'!$C$2:$C$36,"=d20261124"),"")</f>
      </c>
      <c r="AW167" s="8">
        <f>IF((0=1),SUMIFS('Daily evaluations'!$I$2:$I$36,'Daily evaluations'!$B$2:$B$36,"=random_11",'Daily evaluations'!$C$2:$C$36,"=d20261125"),"")</f>
      </c>
      <c r="AX167" s="8">
        <f>IF((0=1),SUMIFS('Daily evaluations'!$I$2:$I$36,'Daily evaluations'!$B$2:$B$36,"=random_11",'Daily evaluations'!$C$2:$C$36,"=d20261127"),"")</f>
      </c>
      <c r="AY167" s="8">
        <f>IF((0=1),SUMIFS('Daily evaluations'!$I$2:$I$36,'Daily evaluations'!$B$2:$B$36,"=random_11",'Daily evaluations'!$C$2:$C$36,"=d20261130"),"")</f>
      </c>
      <c r="AZ167" s="8">
        <f>IF((0=1),SUMIFS('Daily evaluations'!$I$2:$I$36,'Daily evaluations'!$B$2:$B$36,"=random_11",'Daily evaluations'!$C$2:$C$36,"=d20261201"),"")</f>
      </c>
      <c r="BA167" s="8">
        <f>IF((0=1),SUMIFS('Daily evaluations'!$I$2:$I$36,'Daily evaluations'!$B$2:$B$36,"=random_11",'Daily evaluations'!$C$2:$C$36,"=d20261202"),"")</f>
      </c>
      <c r="BB167" s="8">
        <f>IF((0=1),SUMIFS('Daily evaluations'!$I$2:$I$36,'Daily evaluations'!$B$2:$B$36,"=random_11",'Daily evaluations'!$C$2:$C$36,"=d20261203"),"")</f>
      </c>
      <c r="BC167" s="8">
        <f>IF((0=1),SUMIFS('Daily evaluations'!$I$2:$I$36,'Daily evaluations'!$B$2:$B$36,"=random_11",'Daily evaluations'!$C$2:$C$36,"=d20261204"),"")</f>
      </c>
      <c r="BD167" s="8">
        <f>IF((0=1),SUMIFS('Daily evaluations'!$I$2:$I$36,'Daily evaluations'!$B$2:$B$36,"=random_11",'Daily evaluations'!$C$2:$C$36,"=d20261207"),"")</f>
      </c>
      <c r="BE167" s="8">
        <f>IF((0=1),SUMIFS('Daily evaluations'!$I$2:$I$36,'Daily evaluations'!$B$2:$B$36,"=random_11",'Daily evaluations'!$C$2:$C$36,"=d20261208"),"")</f>
      </c>
      <c r="BF167" s="8">
        <f>IF((0=1),SUMIFS('Daily evaluations'!$I$2:$I$36,'Daily evaluations'!$B$2:$B$36,"=random_11",'Daily evaluations'!$C$2:$C$36,"=d20261209"),"")</f>
      </c>
      <c r="BG167" s="8">
        <f>IF((0=1),SUMIFS('Daily evaluations'!$I$2:$I$36,'Daily evaluations'!$B$2:$B$36,"=random_11",'Daily evaluations'!$C$2:$C$36,"=d20261210"),"")</f>
      </c>
      <c r="BH167" s="8">
        <f>IF((0=1),SUMIFS('Daily evaluations'!$I$2:$I$36,'Daily evaluations'!$B$2:$B$36,"=random_11",'Daily evaluations'!$C$2:$C$36,"=d20261211"),"")</f>
      </c>
      <c r="BI167" s="8">
        <f>IF((0=1),SUMIFS('Daily evaluations'!$I$2:$I$36,'Daily evaluations'!$B$2:$B$36,"=random_11",'Daily evaluations'!$C$2:$C$36,"=d20261214"),"")</f>
      </c>
      <c r="BJ167" s="8">
        <f>IF((0=1),SUMIFS('Daily evaluations'!$I$2:$I$36,'Daily evaluations'!$B$2:$B$36,"=random_11",'Daily evaluations'!$C$2:$C$36,"=d20261215"),"")</f>
      </c>
      <c r="BK167" s="8">
        <f>IF((0=1),SUMIFS('Daily evaluations'!$I$2:$I$36,'Daily evaluations'!$B$2:$B$36,"=random_11",'Daily evaluations'!$C$2:$C$36,"=d20261216"),"")</f>
      </c>
      <c r="BL167" s="8">
        <f>IF((0=1),SUMIFS('Daily evaluations'!$I$2:$I$36,'Daily evaluations'!$B$2:$B$36,"=random_11",'Daily evaluations'!$C$2:$C$36,"=d20261217"),"")</f>
      </c>
      <c r="BM167" s="8">
        <f>IF((0=1),SUMIFS('Daily evaluations'!$I$2:$I$36,'Daily evaluations'!$B$2:$B$36,"=random_11",'Daily evaluations'!$C$2:$C$36,"=d20261218"),"")</f>
      </c>
      <c r="BN167" s="8">
        <f>IF((0=1),SUMIFS('Daily evaluations'!$I$2:$I$36,'Daily evaluations'!$B$2:$B$36,"=random_11",'Daily evaluations'!$C$2:$C$36,"=d20261221"),"")</f>
      </c>
      <c r="BO167" s="8">
        <f>IF((0=1),SUMIFS('Daily evaluations'!$I$2:$I$36,'Daily evaluations'!$B$2:$B$36,"=random_11",'Daily evaluations'!$C$2:$C$36,"=d20261222"),"")</f>
      </c>
      <c r="BP167" s="8">
        <f>IF((0=1),SUMIFS('Daily evaluations'!$I$2:$I$36,'Daily evaluations'!$B$2:$B$36,"=random_11",'Daily evaluations'!$C$2:$C$36,"=d20261223"),"")</f>
      </c>
      <c r="BQ167" s="8">
        <f>IF((0=1),SUMIFS('Daily evaluations'!$I$2:$I$36,'Daily evaluations'!$B$2:$B$36,"=random_11",'Daily evaluations'!$C$2:$C$36,"=d20261224"),"")</f>
      </c>
      <c r="BR167" s="8">
        <f>IF((0=1),SUMIFS('Daily evaluations'!$I$2:$I$36,'Daily evaluations'!$B$2:$B$36,"=random_11",'Daily evaluations'!$C$2:$C$36,"=d20261228"),"")</f>
      </c>
      <c r="BS167" s="8">
        <f>IF((0=1),SUMIFS('Daily evaluations'!$I$2:$I$36,'Daily evaluations'!$B$2:$B$36,"=random_11",'Daily evaluations'!$C$2:$C$36,"=d20261229"),"")</f>
      </c>
      <c r="BT167" s="8">
        <f>IF((0=1),SUMIFS('Daily evaluations'!$I$2:$I$36,'Daily evaluations'!$B$2:$B$36,"=random_11",'Daily evaluations'!$C$2:$C$36,"=d20261230"),"")</f>
      </c>
      <c r="BU167" s="8">
        <f>IF((0=1),SUMIFS('Daily evaluations'!$I$2:$I$36,'Daily evaluations'!$B$2:$B$36,"=random_11",'Daily evaluations'!$C$2:$C$36,"=d20261231"),"")</f>
      </c>
      <c r="BV167" s="8">
        <f>IF((0=1),SUMIFS('Daily evaluations'!$I$2:$I$36,'Daily evaluations'!$B$2:$B$36,"=random_11",'Daily evaluations'!$C$2:$C$36,"=d20270104"),"")</f>
      </c>
      <c r="BW167" s="8">
        <f>IF((0=1),SUMIFS('Daily evaluations'!$I$2:$I$36,'Daily evaluations'!$B$2:$B$36,"=random_11",'Daily evaluations'!$C$2:$C$36,"=d20270105"),"")</f>
      </c>
      <c r="BX167" s="8">
        <f>IF((0=1),SUMIFS('Daily evaluations'!$I$2:$I$36,'Daily evaluations'!$B$2:$B$36,"=random_11",'Daily evaluations'!$C$2:$C$36,"=d20270106"),"")</f>
      </c>
      <c r="BY167" s="8">
        <f>IF((0=1),SUMIFS('Daily evaluations'!$I$2:$I$36,'Daily evaluations'!$B$2:$B$36,"=random_11",'Daily evaluations'!$C$2:$C$36,"=d20270107"),"")</f>
      </c>
      <c r="BZ167" s="8">
        <f>IF((0=1),SUMIFS('Daily evaluations'!$I$2:$I$36,'Daily evaluations'!$B$2:$B$36,"=random_11",'Daily evaluations'!$C$2:$C$36,"=d20270108"),"")</f>
      </c>
      <c r="CA167" s="8">
        <f>IF((0=1),SUMIFS('Daily evaluations'!$I$2:$I$36,'Daily evaluations'!$B$2:$B$36,"=random_11",'Daily evaluations'!$C$2:$C$36,"=d20270111"),"")</f>
      </c>
      <c r="CB167" s="8">
        <f>IF((0=1),SUMIFS('Daily evaluations'!$I$2:$I$36,'Daily evaluations'!$B$2:$B$36,"=random_11",'Daily evaluations'!$C$2:$C$36,"=d20270112"),"")</f>
      </c>
      <c r="CC167" s="8">
        <f>IF((0=1),SUMIFS('Daily evaluations'!$I$2:$I$36,'Daily evaluations'!$B$2:$B$36,"=random_11",'Daily evaluations'!$C$2:$C$36,"=d20270113"),"")</f>
      </c>
      <c r="CD167" s="8">
        <f>IF((0=1),SUMIFS('Daily evaluations'!$I$2:$I$36,'Daily evaluations'!$B$2:$B$36,"=random_11",'Daily evaluations'!$C$2:$C$36,"=d20270114"),"")</f>
      </c>
      <c r="CE167" s="8">
        <f>IF((0=1),SUMIFS('Daily evaluations'!$I$2:$I$36,'Daily evaluations'!$B$2:$B$36,"=random_11",'Daily evaluations'!$C$2:$C$36,"=d20270115"),"")</f>
      </c>
      <c r="CF167" s="8">
        <f>IF((0=1),SUMIFS('Daily evaluations'!$I$2:$I$36,'Daily evaluations'!$B$2:$B$36,"=random_11",'Daily evaluations'!$C$2:$C$36,"=d20270119"),"")</f>
      </c>
      <c r="CG167" s="8">
        <f>IF((0=1),SUMIFS('Daily evaluations'!$I$2:$I$36,'Daily evaluations'!$B$2:$B$36,"=random_11",'Daily evaluations'!$C$2:$C$36,"=d20270120"),"")</f>
      </c>
      <c r="CH167" s="8">
        <f>IF((0=1),SUMIFS('Daily evaluations'!$I$2:$I$36,'Daily evaluations'!$B$2:$B$36,"=random_11",'Daily evaluations'!$C$2:$C$36,"=d20270121"),"")</f>
      </c>
      <c r="CI167" s="8">
        <f>IF((0=1),SUMIFS('Daily evaluations'!$I$2:$I$36,'Daily evaluations'!$B$2:$B$36,"=random_11",'Daily evaluations'!$C$2:$C$36,"=d20270122"),"")</f>
      </c>
      <c r="CJ167" s="8">
        <f>IF((0=1),SUMIFS('Daily evaluations'!$I$2:$I$36,'Daily evaluations'!$B$2:$B$36,"=random_11",'Daily evaluations'!$C$2:$C$36,"=d20270125"),"")</f>
      </c>
      <c r="CK167" s="8">
        <f>IF((0=1),SUMIFS('Daily evaluations'!$I$2:$I$36,'Daily evaluations'!$B$2:$B$36,"=random_11",'Daily evaluations'!$C$2:$C$36,"=d20270126"),"")</f>
      </c>
      <c r="CL167" s="8">
        <f>IF((0=1),SUMIFS('Daily evaluations'!$I$2:$I$36,'Daily evaluations'!$B$2:$B$36,"=random_11",'Daily evaluations'!$C$2:$C$36,"=d20270127"),"")</f>
      </c>
      <c r="CM167" s="8">
        <f>IF((0=1),SUMIFS('Daily evaluations'!$I$2:$I$36,'Daily evaluations'!$B$2:$B$36,"=random_11",'Daily evaluations'!$C$2:$C$36,"=d20270128"),"")</f>
      </c>
      <c r="CN167" s="8">
        <f>IF((0=1),SUMIFS('Daily evaluations'!$I$2:$I$36,'Daily evaluations'!$B$2:$B$36,"=random_11",'Daily evaluations'!$C$2:$C$36,"=d20270129"),"")</f>
      </c>
      <c r="CO167" s="8">
        <f>IF((0=1),SUMIFS('Daily evaluations'!$I$2:$I$36,'Daily evaluations'!$B$2:$B$36,"=random_11",'Daily evaluations'!$C$2:$C$36,"=d20270201"),"")</f>
      </c>
      <c r="CP167" s="8">
        <f>IF((0=1),SUMIFS('Daily evaluations'!$I$2:$I$36,'Daily evaluations'!$B$2:$B$36,"=random_11",'Daily evaluations'!$C$2:$C$36,"=d20270202"),"")</f>
      </c>
      <c r="CQ167" s="8">
        <f>IF((0=1),SUMIFS('Daily evaluations'!$I$2:$I$36,'Daily evaluations'!$B$2:$B$36,"=random_11",'Daily evaluations'!$C$2:$C$36,"=d20270203"),"")</f>
      </c>
      <c r="CR167" s="8">
        <f>IF((0=1),SUMIFS('Daily evaluations'!$I$2:$I$36,'Daily evaluations'!$B$2:$B$36,"=random_11",'Daily evaluations'!$C$2:$C$36,"=d20270204"),"")</f>
      </c>
      <c r="CS167" s="8">
        <f>IF((0=1),SUMIFS('Daily evaluations'!$I$2:$I$36,'Daily evaluations'!$B$2:$B$36,"=random_11",'Daily evaluations'!$C$2:$C$36,"=d20270205"),"")</f>
      </c>
      <c r="CT167" s="8">
        <f>IF((0=1),SUMIFS('Daily evaluations'!$I$2:$I$36,'Daily evaluations'!$B$2:$B$36,"=random_11",'Daily evaluations'!$C$2:$C$36,"=d20270208"),"")</f>
      </c>
      <c r="CU167" s="8">
        <f>IF((0=1),SUMIFS('Daily evaluations'!$I$2:$I$36,'Daily evaluations'!$B$2:$B$36,"=random_11",'Daily evaluations'!$C$2:$C$36,"=d20270209"),"")</f>
      </c>
      <c r="CV167" s="8">
        <f>IF((0=1),SUMIFS('Daily evaluations'!$I$2:$I$36,'Daily evaluations'!$B$2:$B$36,"=random_11",'Daily evaluations'!$C$2:$C$36,"=d20270210"),"")</f>
      </c>
      <c r="CW167" s="8">
        <f>IF((0=1),SUMIFS('Daily evaluations'!$I$2:$I$36,'Daily evaluations'!$B$2:$B$36,"=random_11",'Daily evaluations'!$C$2:$C$36,"=d20270211"),"")</f>
      </c>
      <c r="CX167" s="8">
        <f>IF((0=1),SUMIFS('Daily evaluations'!$I$2:$I$36,'Daily evaluations'!$B$2:$B$36,"=random_11",'Daily evaluations'!$C$2:$C$36,"=d20270212"),"")</f>
      </c>
    </row>
    <row r="168">
      <c r="A168" s="0" t="inlineStr">
        <is>
          <t xml:space="preserve">Information coefficient</t>
        </is>
      </c>
      <c r="B168" s="0" t="inlineStr">
        <is>
          <t xml:space="preserve">Random 12</t>
        </is>
      </c>
      <c r="C168" s="8">
        <f>IF((1=1),SUMIFS('Daily evaluations'!$I$2:$I$36,'Daily evaluations'!$B$2:$B$36,"=random_12",'Daily evaluations'!$C$2:$C$36,"=d20260922"),"")</f>
        <v>0.0119</v>
      </c>
      <c r="D168" s="8">
        <f>IF((0=1),SUMIFS('Daily evaluations'!$I$2:$I$36,'Daily evaluations'!$B$2:$B$36,"=random_12",'Daily evaluations'!$C$2:$C$36,"=d20260923"),"")</f>
      </c>
      <c r="E168" s="8">
        <f>IF((0=1),SUMIFS('Daily evaluations'!$I$2:$I$36,'Daily evaluations'!$B$2:$B$36,"=random_12",'Daily evaluations'!$C$2:$C$36,"=d20260924"),"")</f>
      </c>
      <c r="F168" s="8">
        <f>IF((0=1),SUMIFS('Daily evaluations'!$I$2:$I$36,'Daily evaluations'!$B$2:$B$36,"=random_12",'Daily evaluations'!$C$2:$C$36,"=d20260925"),"")</f>
      </c>
      <c r="G168" s="8">
        <f>IF((0=1),SUMIFS('Daily evaluations'!$I$2:$I$36,'Daily evaluations'!$B$2:$B$36,"=random_12",'Daily evaluations'!$C$2:$C$36,"=d20260928"),"")</f>
      </c>
      <c r="H168" s="8">
        <f>IF((0=1),SUMIFS('Daily evaluations'!$I$2:$I$36,'Daily evaluations'!$B$2:$B$36,"=random_12",'Daily evaluations'!$C$2:$C$36,"=d20260929"),"")</f>
      </c>
      <c r="I168" s="8">
        <f>IF((0=1),SUMIFS('Daily evaluations'!$I$2:$I$36,'Daily evaluations'!$B$2:$B$36,"=random_12",'Daily evaluations'!$C$2:$C$36,"=d20260930"),"")</f>
      </c>
      <c r="J168" s="8">
        <f>IF((0=1),SUMIFS('Daily evaluations'!$I$2:$I$36,'Daily evaluations'!$B$2:$B$36,"=random_12",'Daily evaluations'!$C$2:$C$36,"=d20261001"),"")</f>
      </c>
      <c r="K168" s="8">
        <f>IF((0=1),SUMIFS('Daily evaluations'!$I$2:$I$36,'Daily evaluations'!$B$2:$B$36,"=random_12",'Daily evaluations'!$C$2:$C$36,"=d20261002"),"")</f>
      </c>
      <c r="L168" s="8">
        <f>IF((0=1),SUMIFS('Daily evaluations'!$I$2:$I$36,'Daily evaluations'!$B$2:$B$36,"=random_12",'Daily evaluations'!$C$2:$C$36,"=d20261005"),"")</f>
      </c>
      <c r="M168" s="8">
        <f>IF((0=1),SUMIFS('Daily evaluations'!$I$2:$I$36,'Daily evaluations'!$B$2:$B$36,"=random_12",'Daily evaluations'!$C$2:$C$36,"=d20261006"),"")</f>
      </c>
      <c r="N168" s="8">
        <f>IF((0=1),SUMIFS('Daily evaluations'!$I$2:$I$36,'Daily evaluations'!$B$2:$B$36,"=random_12",'Daily evaluations'!$C$2:$C$36,"=d20261007"),"")</f>
      </c>
      <c r="O168" s="8">
        <f>IF((0=1),SUMIFS('Daily evaluations'!$I$2:$I$36,'Daily evaluations'!$B$2:$B$36,"=random_12",'Daily evaluations'!$C$2:$C$36,"=d20261008"),"")</f>
      </c>
      <c r="P168" s="8">
        <f>IF((0=1),SUMIFS('Daily evaluations'!$I$2:$I$36,'Daily evaluations'!$B$2:$B$36,"=random_12",'Daily evaluations'!$C$2:$C$36,"=d20261009"),"")</f>
      </c>
      <c r="Q168" s="8">
        <f>IF((0=1),SUMIFS('Daily evaluations'!$I$2:$I$36,'Daily evaluations'!$B$2:$B$36,"=random_12",'Daily evaluations'!$C$2:$C$36,"=d20261012"),"")</f>
      </c>
      <c r="R168" s="8">
        <f>IF((0=1),SUMIFS('Daily evaluations'!$I$2:$I$36,'Daily evaluations'!$B$2:$B$36,"=random_12",'Daily evaluations'!$C$2:$C$36,"=d20261013"),"")</f>
      </c>
      <c r="S168" s="8">
        <f>IF((0=1),SUMIFS('Daily evaluations'!$I$2:$I$36,'Daily evaluations'!$B$2:$B$36,"=random_12",'Daily evaluations'!$C$2:$C$36,"=d20261014"),"")</f>
      </c>
      <c r="T168" s="8">
        <f>IF((0=1),SUMIFS('Daily evaluations'!$I$2:$I$36,'Daily evaluations'!$B$2:$B$36,"=random_12",'Daily evaluations'!$C$2:$C$36,"=d20261015"),"")</f>
      </c>
      <c r="U168" s="8">
        <f>IF((0=1),SUMIFS('Daily evaluations'!$I$2:$I$36,'Daily evaluations'!$B$2:$B$36,"=random_12",'Daily evaluations'!$C$2:$C$36,"=d20261016"),"")</f>
      </c>
      <c r="V168" s="8">
        <f>IF((0=1),SUMIFS('Daily evaluations'!$I$2:$I$36,'Daily evaluations'!$B$2:$B$36,"=random_12",'Daily evaluations'!$C$2:$C$36,"=d20261019"),"")</f>
      </c>
      <c r="W168" s="8">
        <f>IF((0=1),SUMIFS('Daily evaluations'!$I$2:$I$36,'Daily evaluations'!$B$2:$B$36,"=random_12",'Daily evaluations'!$C$2:$C$36,"=d20261020"),"")</f>
      </c>
      <c r="X168" s="8">
        <f>IF((0=1),SUMIFS('Daily evaluations'!$I$2:$I$36,'Daily evaluations'!$B$2:$B$36,"=random_12",'Daily evaluations'!$C$2:$C$36,"=d20261021"),"")</f>
      </c>
      <c r="Y168" s="8">
        <f>IF((0=1),SUMIFS('Daily evaluations'!$I$2:$I$36,'Daily evaluations'!$B$2:$B$36,"=random_12",'Daily evaluations'!$C$2:$C$36,"=d20261022"),"")</f>
      </c>
      <c r="Z168" s="8">
        <f>IF((0=1),SUMIFS('Daily evaluations'!$I$2:$I$36,'Daily evaluations'!$B$2:$B$36,"=random_12",'Daily evaluations'!$C$2:$C$36,"=d20261023"),"")</f>
      </c>
      <c r="AA168" s="8">
        <f>IF((0=1),SUMIFS('Daily evaluations'!$I$2:$I$36,'Daily evaluations'!$B$2:$B$36,"=random_12",'Daily evaluations'!$C$2:$C$36,"=d20261026"),"")</f>
      </c>
      <c r="AB168" s="8">
        <f>IF((0=1),SUMIFS('Daily evaluations'!$I$2:$I$36,'Daily evaluations'!$B$2:$B$36,"=random_12",'Daily evaluations'!$C$2:$C$36,"=d20261027"),"")</f>
      </c>
      <c r="AC168" s="8">
        <f>IF((0=1),SUMIFS('Daily evaluations'!$I$2:$I$36,'Daily evaluations'!$B$2:$B$36,"=random_12",'Daily evaluations'!$C$2:$C$36,"=d20261028"),"")</f>
      </c>
      <c r="AD168" s="8">
        <f>IF((0=1),SUMIFS('Daily evaluations'!$I$2:$I$36,'Daily evaluations'!$B$2:$B$36,"=random_12",'Daily evaluations'!$C$2:$C$36,"=d20261029"),"")</f>
      </c>
      <c r="AE168" s="8">
        <f>IF((0=1),SUMIFS('Daily evaluations'!$I$2:$I$36,'Daily evaluations'!$B$2:$B$36,"=random_12",'Daily evaluations'!$C$2:$C$36,"=d20261030"),"")</f>
      </c>
      <c r="AF168" s="8">
        <f>IF((0=1),SUMIFS('Daily evaluations'!$I$2:$I$36,'Daily evaluations'!$B$2:$B$36,"=random_12",'Daily evaluations'!$C$2:$C$36,"=d20261102"),"")</f>
      </c>
      <c r="AG168" s="8">
        <f>IF((0=1),SUMIFS('Daily evaluations'!$I$2:$I$36,'Daily evaluations'!$B$2:$B$36,"=random_12",'Daily evaluations'!$C$2:$C$36,"=d20261103"),"")</f>
      </c>
      <c r="AH168" s="8">
        <f>IF((0=1),SUMIFS('Daily evaluations'!$I$2:$I$36,'Daily evaluations'!$B$2:$B$36,"=random_12",'Daily evaluations'!$C$2:$C$36,"=d20261104"),"")</f>
      </c>
      <c r="AI168" s="8">
        <f>IF((0=1),SUMIFS('Daily evaluations'!$I$2:$I$36,'Daily evaluations'!$B$2:$B$36,"=random_12",'Daily evaluations'!$C$2:$C$36,"=d20261105"),"")</f>
      </c>
      <c r="AJ168" s="8">
        <f>IF((0=1),SUMIFS('Daily evaluations'!$I$2:$I$36,'Daily evaluations'!$B$2:$B$36,"=random_12",'Daily evaluations'!$C$2:$C$36,"=d20261106"),"")</f>
      </c>
      <c r="AK168" s="8">
        <f>IF((0=1),SUMIFS('Daily evaluations'!$I$2:$I$36,'Daily evaluations'!$B$2:$B$36,"=random_12",'Daily evaluations'!$C$2:$C$36,"=d20261109"),"")</f>
      </c>
      <c r="AL168" s="8">
        <f>IF((0=1),SUMIFS('Daily evaluations'!$I$2:$I$36,'Daily evaluations'!$B$2:$B$36,"=random_12",'Daily evaluations'!$C$2:$C$36,"=d20261110"),"")</f>
      </c>
      <c r="AM168" s="8">
        <f>IF((0=1),SUMIFS('Daily evaluations'!$I$2:$I$36,'Daily evaluations'!$B$2:$B$36,"=random_12",'Daily evaluations'!$C$2:$C$36,"=d20261111"),"")</f>
      </c>
      <c r="AN168" s="8">
        <f>IF((0=1),SUMIFS('Daily evaluations'!$I$2:$I$36,'Daily evaluations'!$B$2:$B$36,"=random_12",'Daily evaluations'!$C$2:$C$36,"=d20261112"),"")</f>
      </c>
      <c r="AO168" s="8">
        <f>IF((0=1),SUMIFS('Daily evaluations'!$I$2:$I$36,'Daily evaluations'!$B$2:$B$36,"=random_12",'Daily evaluations'!$C$2:$C$36,"=d20261113"),"")</f>
      </c>
      <c r="AP168" s="8">
        <f>IF((0=1),SUMIFS('Daily evaluations'!$I$2:$I$36,'Daily evaluations'!$B$2:$B$36,"=random_12",'Daily evaluations'!$C$2:$C$36,"=d20261116"),"")</f>
      </c>
      <c r="AQ168" s="8">
        <f>IF((0=1),SUMIFS('Daily evaluations'!$I$2:$I$36,'Daily evaluations'!$B$2:$B$36,"=random_12",'Daily evaluations'!$C$2:$C$36,"=d20261117"),"")</f>
      </c>
      <c r="AR168" s="8">
        <f>IF((0=1),SUMIFS('Daily evaluations'!$I$2:$I$36,'Daily evaluations'!$B$2:$B$36,"=random_12",'Daily evaluations'!$C$2:$C$36,"=d20261118"),"")</f>
      </c>
      <c r="AS168" s="8">
        <f>IF((0=1),SUMIFS('Daily evaluations'!$I$2:$I$36,'Daily evaluations'!$B$2:$B$36,"=random_12",'Daily evaluations'!$C$2:$C$36,"=d20261119"),"")</f>
      </c>
      <c r="AT168" s="8">
        <f>IF((0=1),SUMIFS('Daily evaluations'!$I$2:$I$36,'Daily evaluations'!$B$2:$B$36,"=random_12",'Daily evaluations'!$C$2:$C$36,"=d20261120"),"")</f>
      </c>
      <c r="AU168" s="8">
        <f>IF((0=1),SUMIFS('Daily evaluations'!$I$2:$I$36,'Daily evaluations'!$B$2:$B$36,"=random_12",'Daily evaluations'!$C$2:$C$36,"=d20261123"),"")</f>
      </c>
      <c r="AV168" s="8">
        <f>IF((0=1),SUMIFS('Daily evaluations'!$I$2:$I$36,'Daily evaluations'!$B$2:$B$36,"=random_12",'Daily evaluations'!$C$2:$C$36,"=d20261124"),"")</f>
      </c>
      <c r="AW168" s="8">
        <f>IF((0=1),SUMIFS('Daily evaluations'!$I$2:$I$36,'Daily evaluations'!$B$2:$B$36,"=random_12",'Daily evaluations'!$C$2:$C$36,"=d20261125"),"")</f>
      </c>
      <c r="AX168" s="8">
        <f>IF((0=1),SUMIFS('Daily evaluations'!$I$2:$I$36,'Daily evaluations'!$B$2:$B$36,"=random_12",'Daily evaluations'!$C$2:$C$36,"=d20261127"),"")</f>
      </c>
      <c r="AY168" s="8">
        <f>IF((0=1),SUMIFS('Daily evaluations'!$I$2:$I$36,'Daily evaluations'!$B$2:$B$36,"=random_12",'Daily evaluations'!$C$2:$C$36,"=d20261130"),"")</f>
      </c>
      <c r="AZ168" s="8">
        <f>IF((0=1),SUMIFS('Daily evaluations'!$I$2:$I$36,'Daily evaluations'!$B$2:$B$36,"=random_12",'Daily evaluations'!$C$2:$C$36,"=d20261201"),"")</f>
      </c>
      <c r="BA168" s="8">
        <f>IF((0=1),SUMIFS('Daily evaluations'!$I$2:$I$36,'Daily evaluations'!$B$2:$B$36,"=random_12",'Daily evaluations'!$C$2:$C$36,"=d20261202"),"")</f>
      </c>
      <c r="BB168" s="8">
        <f>IF((0=1),SUMIFS('Daily evaluations'!$I$2:$I$36,'Daily evaluations'!$B$2:$B$36,"=random_12",'Daily evaluations'!$C$2:$C$36,"=d20261203"),"")</f>
      </c>
      <c r="BC168" s="8">
        <f>IF((0=1),SUMIFS('Daily evaluations'!$I$2:$I$36,'Daily evaluations'!$B$2:$B$36,"=random_12",'Daily evaluations'!$C$2:$C$36,"=d20261204"),"")</f>
      </c>
      <c r="BD168" s="8">
        <f>IF((0=1),SUMIFS('Daily evaluations'!$I$2:$I$36,'Daily evaluations'!$B$2:$B$36,"=random_12",'Daily evaluations'!$C$2:$C$36,"=d20261207"),"")</f>
      </c>
      <c r="BE168" s="8">
        <f>IF((0=1),SUMIFS('Daily evaluations'!$I$2:$I$36,'Daily evaluations'!$B$2:$B$36,"=random_12",'Daily evaluations'!$C$2:$C$36,"=d20261208"),"")</f>
      </c>
      <c r="BF168" s="8">
        <f>IF((0=1),SUMIFS('Daily evaluations'!$I$2:$I$36,'Daily evaluations'!$B$2:$B$36,"=random_12",'Daily evaluations'!$C$2:$C$36,"=d20261209"),"")</f>
      </c>
      <c r="BG168" s="8">
        <f>IF((0=1),SUMIFS('Daily evaluations'!$I$2:$I$36,'Daily evaluations'!$B$2:$B$36,"=random_12",'Daily evaluations'!$C$2:$C$36,"=d20261210"),"")</f>
      </c>
      <c r="BH168" s="8">
        <f>IF((0=1),SUMIFS('Daily evaluations'!$I$2:$I$36,'Daily evaluations'!$B$2:$B$36,"=random_12",'Daily evaluations'!$C$2:$C$36,"=d20261211"),"")</f>
      </c>
      <c r="BI168" s="8">
        <f>IF((0=1),SUMIFS('Daily evaluations'!$I$2:$I$36,'Daily evaluations'!$B$2:$B$36,"=random_12",'Daily evaluations'!$C$2:$C$36,"=d20261214"),"")</f>
      </c>
      <c r="BJ168" s="8">
        <f>IF((0=1),SUMIFS('Daily evaluations'!$I$2:$I$36,'Daily evaluations'!$B$2:$B$36,"=random_12",'Daily evaluations'!$C$2:$C$36,"=d20261215"),"")</f>
      </c>
      <c r="BK168" s="8">
        <f>IF((0=1),SUMIFS('Daily evaluations'!$I$2:$I$36,'Daily evaluations'!$B$2:$B$36,"=random_12",'Daily evaluations'!$C$2:$C$36,"=d20261216"),"")</f>
      </c>
      <c r="BL168" s="8">
        <f>IF((0=1),SUMIFS('Daily evaluations'!$I$2:$I$36,'Daily evaluations'!$B$2:$B$36,"=random_12",'Daily evaluations'!$C$2:$C$36,"=d20261217"),"")</f>
      </c>
      <c r="BM168" s="8">
        <f>IF((0=1),SUMIFS('Daily evaluations'!$I$2:$I$36,'Daily evaluations'!$B$2:$B$36,"=random_12",'Daily evaluations'!$C$2:$C$36,"=d20261218"),"")</f>
      </c>
      <c r="BN168" s="8">
        <f>IF((0=1),SUMIFS('Daily evaluations'!$I$2:$I$36,'Daily evaluations'!$B$2:$B$36,"=random_12",'Daily evaluations'!$C$2:$C$36,"=d20261221"),"")</f>
      </c>
      <c r="BO168" s="8">
        <f>IF((0=1),SUMIFS('Daily evaluations'!$I$2:$I$36,'Daily evaluations'!$B$2:$B$36,"=random_12",'Daily evaluations'!$C$2:$C$36,"=d20261222"),"")</f>
      </c>
      <c r="BP168" s="8">
        <f>IF((0=1),SUMIFS('Daily evaluations'!$I$2:$I$36,'Daily evaluations'!$B$2:$B$36,"=random_12",'Daily evaluations'!$C$2:$C$36,"=d20261223"),"")</f>
      </c>
      <c r="BQ168" s="8">
        <f>IF((0=1),SUMIFS('Daily evaluations'!$I$2:$I$36,'Daily evaluations'!$B$2:$B$36,"=random_12",'Daily evaluations'!$C$2:$C$36,"=d20261224"),"")</f>
      </c>
      <c r="BR168" s="8">
        <f>IF((0=1),SUMIFS('Daily evaluations'!$I$2:$I$36,'Daily evaluations'!$B$2:$B$36,"=random_12",'Daily evaluations'!$C$2:$C$36,"=d20261228"),"")</f>
      </c>
      <c r="BS168" s="8">
        <f>IF((0=1),SUMIFS('Daily evaluations'!$I$2:$I$36,'Daily evaluations'!$B$2:$B$36,"=random_12",'Daily evaluations'!$C$2:$C$36,"=d20261229"),"")</f>
      </c>
      <c r="BT168" s="8">
        <f>IF((0=1),SUMIFS('Daily evaluations'!$I$2:$I$36,'Daily evaluations'!$B$2:$B$36,"=random_12",'Daily evaluations'!$C$2:$C$36,"=d20261230"),"")</f>
      </c>
      <c r="BU168" s="8">
        <f>IF((0=1),SUMIFS('Daily evaluations'!$I$2:$I$36,'Daily evaluations'!$B$2:$B$36,"=random_12",'Daily evaluations'!$C$2:$C$36,"=d20261231"),"")</f>
      </c>
      <c r="BV168" s="8">
        <f>IF((0=1),SUMIFS('Daily evaluations'!$I$2:$I$36,'Daily evaluations'!$B$2:$B$36,"=random_12",'Daily evaluations'!$C$2:$C$36,"=d20270104"),"")</f>
      </c>
      <c r="BW168" s="8">
        <f>IF((0=1),SUMIFS('Daily evaluations'!$I$2:$I$36,'Daily evaluations'!$B$2:$B$36,"=random_12",'Daily evaluations'!$C$2:$C$36,"=d20270105"),"")</f>
      </c>
      <c r="BX168" s="8">
        <f>IF((0=1),SUMIFS('Daily evaluations'!$I$2:$I$36,'Daily evaluations'!$B$2:$B$36,"=random_12",'Daily evaluations'!$C$2:$C$36,"=d20270106"),"")</f>
      </c>
      <c r="BY168" s="8">
        <f>IF((0=1),SUMIFS('Daily evaluations'!$I$2:$I$36,'Daily evaluations'!$B$2:$B$36,"=random_12",'Daily evaluations'!$C$2:$C$36,"=d20270107"),"")</f>
      </c>
      <c r="BZ168" s="8">
        <f>IF((0=1),SUMIFS('Daily evaluations'!$I$2:$I$36,'Daily evaluations'!$B$2:$B$36,"=random_12",'Daily evaluations'!$C$2:$C$36,"=d20270108"),"")</f>
      </c>
      <c r="CA168" s="8">
        <f>IF((0=1),SUMIFS('Daily evaluations'!$I$2:$I$36,'Daily evaluations'!$B$2:$B$36,"=random_12",'Daily evaluations'!$C$2:$C$36,"=d20270111"),"")</f>
      </c>
      <c r="CB168" s="8">
        <f>IF((0=1),SUMIFS('Daily evaluations'!$I$2:$I$36,'Daily evaluations'!$B$2:$B$36,"=random_12",'Daily evaluations'!$C$2:$C$36,"=d20270112"),"")</f>
      </c>
      <c r="CC168" s="8">
        <f>IF((0=1),SUMIFS('Daily evaluations'!$I$2:$I$36,'Daily evaluations'!$B$2:$B$36,"=random_12",'Daily evaluations'!$C$2:$C$36,"=d20270113"),"")</f>
      </c>
      <c r="CD168" s="8">
        <f>IF((0=1),SUMIFS('Daily evaluations'!$I$2:$I$36,'Daily evaluations'!$B$2:$B$36,"=random_12",'Daily evaluations'!$C$2:$C$36,"=d20270114"),"")</f>
      </c>
      <c r="CE168" s="8">
        <f>IF((0=1),SUMIFS('Daily evaluations'!$I$2:$I$36,'Daily evaluations'!$B$2:$B$36,"=random_12",'Daily evaluations'!$C$2:$C$36,"=d20270115"),"")</f>
      </c>
      <c r="CF168" s="8">
        <f>IF((0=1),SUMIFS('Daily evaluations'!$I$2:$I$36,'Daily evaluations'!$B$2:$B$36,"=random_12",'Daily evaluations'!$C$2:$C$36,"=d20270119"),"")</f>
      </c>
      <c r="CG168" s="8">
        <f>IF((0=1),SUMIFS('Daily evaluations'!$I$2:$I$36,'Daily evaluations'!$B$2:$B$36,"=random_12",'Daily evaluations'!$C$2:$C$36,"=d20270120"),"")</f>
      </c>
      <c r="CH168" s="8">
        <f>IF((0=1),SUMIFS('Daily evaluations'!$I$2:$I$36,'Daily evaluations'!$B$2:$B$36,"=random_12",'Daily evaluations'!$C$2:$C$36,"=d20270121"),"")</f>
      </c>
      <c r="CI168" s="8">
        <f>IF((0=1),SUMIFS('Daily evaluations'!$I$2:$I$36,'Daily evaluations'!$B$2:$B$36,"=random_12",'Daily evaluations'!$C$2:$C$36,"=d20270122"),"")</f>
      </c>
      <c r="CJ168" s="8">
        <f>IF((0=1),SUMIFS('Daily evaluations'!$I$2:$I$36,'Daily evaluations'!$B$2:$B$36,"=random_12",'Daily evaluations'!$C$2:$C$36,"=d20270125"),"")</f>
      </c>
      <c r="CK168" s="8">
        <f>IF((0=1),SUMIFS('Daily evaluations'!$I$2:$I$36,'Daily evaluations'!$B$2:$B$36,"=random_12",'Daily evaluations'!$C$2:$C$36,"=d20270126"),"")</f>
      </c>
      <c r="CL168" s="8">
        <f>IF((0=1),SUMIFS('Daily evaluations'!$I$2:$I$36,'Daily evaluations'!$B$2:$B$36,"=random_12",'Daily evaluations'!$C$2:$C$36,"=d20270127"),"")</f>
      </c>
      <c r="CM168" s="8">
        <f>IF((0=1),SUMIFS('Daily evaluations'!$I$2:$I$36,'Daily evaluations'!$B$2:$B$36,"=random_12",'Daily evaluations'!$C$2:$C$36,"=d20270128"),"")</f>
      </c>
      <c r="CN168" s="8">
        <f>IF((0=1),SUMIFS('Daily evaluations'!$I$2:$I$36,'Daily evaluations'!$B$2:$B$36,"=random_12",'Daily evaluations'!$C$2:$C$36,"=d20270129"),"")</f>
      </c>
      <c r="CO168" s="8">
        <f>IF((0=1),SUMIFS('Daily evaluations'!$I$2:$I$36,'Daily evaluations'!$B$2:$B$36,"=random_12",'Daily evaluations'!$C$2:$C$36,"=d20270201"),"")</f>
      </c>
      <c r="CP168" s="8">
        <f>IF((0=1),SUMIFS('Daily evaluations'!$I$2:$I$36,'Daily evaluations'!$B$2:$B$36,"=random_12",'Daily evaluations'!$C$2:$C$36,"=d20270202"),"")</f>
      </c>
      <c r="CQ168" s="8">
        <f>IF((0=1),SUMIFS('Daily evaluations'!$I$2:$I$36,'Daily evaluations'!$B$2:$B$36,"=random_12",'Daily evaluations'!$C$2:$C$36,"=d20270203"),"")</f>
      </c>
      <c r="CR168" s="8">
        <f>IF((0=1),SUMIFS('Daily evaluations'!$I$2:$I$36,'Daily evaluations'!$B$2:$B$36,"=random_12",'Daily evaluations'!$C$2:$C$36,"=d20270204"),"")</f>
      </c>
      <c r="CS168" s="8">
        <f>IF((0=1),SUMIFS('Daily evaluations'!$I$2:$I$36,'Daily evaluations'!$B$2:$B$36,"=random_12",'Daily evaluations'!$C$2:$C$36,"=d20270205"),"")</f>
      </c>
      <c r="CT168" s="8">
        <f>IF((0=1),SUMIFS('Daily evaluations'!$I$2:$I$36,'Daily evaluations'!$B$2:$B$36,"=random_12",'Daily evaluations'!$C$2:$C$36,"=d20270208"),"")</f>
      </c>
      <c r="CU168" s="8">
        <f>IF((0=1),SUMIFS('Daily evaluations'!$I$2:$I$36,'Daily evaluations'!$B$2:$B$36,"=random_12",'Daily evaluations'!$C$2:$C$36,"=d20270209"),"")</f>
      </c>
      <c r="CV168" s="8">
        <f>IF((0=1),SUMIFS('Daily evaluations'!$I$2:$I$36,'Daily evaluations'!$B$2:$B$36,"=random_12",'Daily evaluations'!$C$2:$C$36,"=d20270210"),"")</f>
      </c>
      <c r="CW168" s="8">
        <f>IF((0=1),SUMIFS('Daily evaluations'!$I$2:$I$36,'Daily evaluations'!$B$2:$B$36,"=random_12",'Daily evaluations'!$C$2:$C$36,"=d20270211"),"")</f>
      </c>
      <c r="CX168" s="8">
        <f>IF((0=1),SUMIFS('Daily evaluations'!$I$2:$I$36,'Daily evaluations'!$B$2:$B$36,"=random_12",'Daily evaluations'!$C$2:$C$36,"=d20270212"),"")</f>
      </c>
    </row>
    <row r="169">
      <c r="A169" s="0" t="inlineStr">
        <is>
          <t xml:space="preserve">Information coefficient</t>
        </is>
      </c>
      <c r="B169" s="0" t="inlineStr">
        <is>
          <t xml:space="preserve">Random 13</t>
        </is>
      </c>
      <c r="C169" s="8">
        <f>IF((1=1),SUMIFS('Daily evaluations'!$I$2:$I$36,'Daily evaluations'!$B$2:$B$36,"=random_13",'Daily evaluations'!$C$2:$C$36,"=d20260922"),"")</f>
        <v>0.026</v>
      </c>
      <c r="D169" s="8">
        <f>IF((0=1),SUMIFS('Daily evaluations'!$I$2:$I$36,'Daily evaluations'!$B$2:$B$36,"=random_13",'Daily evaluations'!$C$2:$C$36,"=d20260923"),"")</f>
      </c>
      <c r="E169" s="8">
        <f>IF((0=1),SUMIFS('Daily evaluations'!$I$2:$I$36,'Daily evaluations'!$B$2:$B$36,"=random_13",'Daily evaluations'!$C$2:$C$36,"=d20260924"),"")</f>
      </c>
      <c r="F169" s="8">
        <f>IF((0=1),SUMIFS('Daily evaluations'!$I$2:$I$36,'Daily evaluations'!$B$2:$B$36,"=random_13",'Daily evaluations'!$C$2:$C$36,"=d20260925"),"")</f>
      </c>
      <c r="G169" s="8">
        <f>IF((0=1),SUMIFS('Daily evaluations'!$I$2:$I$36,'Daily evaluations'!$B$2:$B$36,"=random_13",'Daily evaluations'!$C$2:$C$36,"=d20260928"),"")</f>
      </c>
      <c r="H169" s="8">
        <f>IF((0=1),SUMIFS('Daily evaluations'!$I$2:$I$36,'Daily evaluations'!$B$2:$B$36,"=random_13",'Daily evaluations'!$C$2:$C$36,"=d20260929"),"")</f>
      </c>
      <c r="I169" s="8">
        <f>IF((0=1),SUMIFS('Daily evaluations'!$I$2:$I$36,'Daily evaluations'!$B$2:$B$36,"=random_13",'Daily evaluations'!$C$2:$C$36,"=d20260930"),"")</f>
      </c>
      <c r="J169" s="8">
        <f>IF((0=1),SUMIFS('Daily evaluations'!$I$2:$I$36,'Daily evaluations'!$B$2:$B$36,"=random_13",'Daily evaluations'!$C$2:$C$36,"=d20261001"),"")</f>
      </c>
      <c r="K169" s="8">
        <f>IF((0=1),SUMIFS('Daily evaluations'!$I$2:$I$36,'Daily evaluations'!$B$2:$B$36,"=random_13",'Daily evaluations'!$C$2:$C$36,"=d20261002"),"")</f>
      </c>
      <c r="L169" s="8">
        <f>IF((0=1),SUMIFS('Daily evaluations'!$I$2:$I$36,'Daily evaluations'!$B$2:$B$36,"=random_13",'Daily evaluations'!$C$2:$C$36,"=d20261005"),"")</f>
      </c>
      <c r="M169" s="8">
        <f>IF((0=1),SUMIFS('Daily evaluations'!$I$2:$I$36,'Daily evaluations'!$B$2:$B$36,"=random_13",'Daily evaluations'!$C$2:$C$36,"=d20261006"),"")</f>
      </c>
      <c r="N169" s="8">
        <f>IF((0=1),SUMIFS('Daily evaluations'!$I$2:$I$36,'Daily evaluations'!$B$2:$B$36,"=random_13",'Daily evaluations'!$C$2:$C$36,"=d20261007"),"")</f>
      </c>
      <c r="O169" s="8">
        <f>IF((0=1),SUMIFS('Daily evaluations'!$I$2:$I$36,'Daily evaluations'!$B$2:$B$36,"=random_13",'Daily evaluations'!$C$2:$C$36,"=d20261008"),"")</f>
      </c>
      <c r="P169" s="8">
        <f>IF((0=1),SUMIFS('Daily evaluations'!$I$2:$I$36,'Daily evaluations'!$B$2:$B$36,"=random_13",'Daily evaluations'!$C$2:$C$36,"=d20261009"),"")</f>
      </c>
      <c r="Q169" s="8">
        <f>IF((0=1),SUMIFS('Daily evaluations'!$I$2:$I$36,'Daily evaluations'!$B$2:$B$36,"=random_13",'Daily evaluations'!$C$2:$C$36,"=d20261012"),"")</f>
      </c>
      <c r="R169" s="8">
        <f>IF((0=1),SUMIFS('Daily evaluations'!$I$2:$I$36,'Daily evaluations'!$B$2:$B$36,"=random_13",'Daily evaluations'!$C$2:$C$36,"=d20261013"),"")</f>
      </c>
      <c r="S169" s="8">
        <f>IF((0=1),SUMIFS('Daily evaluations'!$I$2:$I$36,'Daily evaluations'!$B$2:$B$36,"=random_13",'Daily evaluations'!$C$2:$C$36,"=d20261014"),"")</f>
      </c>
      <c r="T169" s="8">
        <f>IF((0=1),SUMIFS('Daily evaluations'!$I$2:$I$36,'Daily evaluations'!$B$2:$B$36,"=random_13",'Daily evaluations'!$C$2:$C$36,"=d20261015"),"")</f>
      </c>
      <c r="U169" s="8">
        <f>IF((0=1),SUMIFS('Daily evaluations'!$I$2:$I$36,'Daily evaluations'!$B$2:$B$36,"=random_13",'Daily evaluations'!$C$2:$C$36,"=d20261016"),"")</f>
      </c>
      <c r="V169" s="8">
        <f>IF((0=1),SUMIFS('Daily evaluations'!$I$2:$I$36,'Daily evaluations'!$B$2:$B$36,"=random_13",'Daily evaluations'!$C$2:$C$36,"=d20261019"),"")</f>
      </c>
      <c r="W169" s="8">
        <f>IF((0=1),SUMIFS('Daily evaluations'!$I$2:$I$36,'Daily evaluations'!$B$2:$B$36,"=random_13",'Daily evaluations'!$C$2:$C$36,"=d20261020"),"")</f>
      </c>
      <c r="X169" s="8">
        <f>IF((0=1),SUMIFS('Daily evaluations'!$I$2:$I$36,'Daily evaluations'!$B$2:$B$36,"=random_13",'Daily evaluations'!$C$2:$C$36,"=d20261021"),"")</f>
      </c>
      <c r="Y169" s="8">
        <f>IF((0=1),SUMIFS('Daily evaluations'!$I$2:$I$36,'Daily evaluations'!$B$2:$B$36,"=random_13",'Daily evaluations'!$C$2:$C$36,"=d20261022"),"")</f>
      </c>
      <c r="Z169" s="8">
        <f>IF((0=1),SUMIFS('Daily evaluations'!$I$2:$I$36,'Daily evaluations'!$B$2:$B$36,"=random_13",'Daily evaluations'!$C$2:$C$36,"=d20261023"),"")</f>
      </c>
      <c r="AA169" s="8">
        <f>IF((0=1),SUMIFS('Daily evaluations'!$I$2:$I$36,'Daily evaluations'!$B$2:$B$36,"=random_13",'Daily evaluations'!$C$2:$C$36,"=d20261026"),"")</f>
      </c>
      <c r="AB169" s="8">
        <f>IF((0=1),SUMIFS('Daily evaluations'!$I$2:$I$36,'Daily evaluations'!$B$2:$B$36,"=random_13",'Daily evaluations'!$C$2:$C$36,"=d20261027"),"")</f>
      </c>
      <c r="AC169" s="8">
        <f>IF((0=1),SUMIFS('Daily evaluations'!$I$2:$I$36,'Daily evaluations'!$B$2:$B$36,"=random_13",'Daily evaluations'!$C$2:$C$36,"=d20261028"),"")</f>
      </c>
      <c r="AD169" s="8">
        <f>IF((0=1),SUMIFS('Daily evaluations'!$I$2:$I$36,'Daily evaluations'!$B$2:$B$36,"=random_13",'Daily evaluations'!$C$2:$C$36,"=d20261029"),"")</f>
      </c>
      <c r="AE169" s="8">
        <f>IF((0=1),SUMIFS('Daily evaluations'!$I$2:$I$36,'Daily evaluations'!$B$2:$B$36,"=random_13",'Daily evaluations'!$C$2:$C$36,"=d20261030"),"")</f>
      </c>
      <c r="AF169" s="8">
        <f>IF((0=1),SUMIFS('Daily evaluations'!$I$2:$I$36,'Daily evaluations'!$B$2:$B$36,"=random_13",'Daily evaluations'!$C$2:$C$36,"=d20261102"),"")</f>
      </c>
      <c r="AG169" s="8">
        <f>IF((0=1),SUMIFS('Daily evaluations'!$I$2:$I$36,'Daily evaluations'!$B$2:$B$36,"=random_13",'Daily evaluations'!$C$2:$C$36,"=d20261103"),"")</f>
      </c>
      <c r="AH169" s="8">
        <f>IF((0=1),SUMIFS('Daily evaluations'!$I$2:$I$36,'Daily evaluations'!$B$2:$B$36,"=random_13",'Daily evaluations'!$C$2:$C$36,"=d20261104"),"")</f>
      </c>
      <c r="AI169" s="8">
        <f>IF((0=1),SUMIFS('Daily evaluations'!$I$2:$I$36,'Daily evaluations'!$B$2:$B$36,"=random_13",'Daily evaluations'!$C$2:$C$36,"=d20261105"),"")</f>
      </c>
      <c r="AJ169" s="8">
        <f>IF((0=1),SUMIFS('Daily evaluations'!$I$2:$I$36,'Daily evaluations'!$B$2:$B$36,"=random_13",'Daily evaluations'!$C$2:$C$36,"=d20261106"),"")</f>
      </c>
      <c r="AK169" s="8">
        <f>IF((0=1),SUMIFS('Daily evaluations'!$I$2:$I$36,'Daily evaluations'!$B$2:$B$36,"=random_13",'Daily evaluations'!$C$2:$C$36,"=d20261109"),"")</f>
      </c>
      <c r="AL169" s="8">
        <f>IF((0=1),SUMIFS('Daily evaluations'!$I$2:$I$36,'Daily evaluations'!$B$2:$B$36,"=random_13",'Daily evaluations'!$C$2:$C$36,"=d20261110"),"")</f>
      </c>
      <c r="AM169" s="8">
        <f>IF((0=1),SUMIFS('Daily evaluations'!$I$2:$I$36,'Daily evaluations'!$B$2:$B$36,"=random_13",'Daily evaluations'!$C$2:$C$36,"=d20261111"),"")</f>
      </c>
      <c r="AN169" s="8">
        <f>IF((0=1),SUMIFS('Daily evaluations'!$I$2:$I$36,'Daily evaluations'!$B$2:$B$36,"=random_13",'Daily evaluations'!$C$2:$C$36,"=d20261112"),"")</f>
      </c>
      <c r="AO169" s="8">
        <f>IF((0=1),SUMIFS('Daily evaluations'!$I$2:$I$36,'Daily evaluations'!$B$2:$B$36,"=random_13",'Daily evaluations'!$C$2:$C$36,"=d20261113"),"")</f>
      </c>
      <c r="AP169" s="8">
        <f>IF((0=1),SUMIFS('Daily evaluations'!$I$2:$I$36,'Daily evaluations'!$B$2:$B$36,"=random_13",'Daily evaluations'!$C$2:$C$36,"=d20261116"),"")</f>
      </c>
      <c r="AQ169" s="8">
        <f>IF((0=1),SUMIFS('Daily evaluations'!$I$2:$I$36,'Daily evaluations'!$B$2:$B$36,"=random_13",'Daily evaluations'!$C$2:$C$36,"=d20261117"),"")</f>
      </c>
      <c r="AR169" s="8">
        <f>IF((0=1),SUMIFS('Daily evaluations'!$I$2:$I$36,'Daily evaluations'!$B$2:$B$36,"=random_13",'Daily evaluations'!$C$2:$C$36,"=d20261118"),"")</f>
      </c>
      <c r="AS169" s="8">
        <f>IF((0=1),SUMIFS('Daily evaluations'!$I$2:$I$36,'Daily evaluations'!$B$2:$B$36,"=random_13",'Daily evaluations'!$C$2:$C$36,"=d20261119"),"")</f>
      </c>
      <c r="AT169" s="8">
        <f>IF((0=1),SUMIFS('Daily evaluations'!$I$2:$I$36,'Daily evaluations'!$B$2:$B$36,"=random_13",'Daily evaluations'!$C$2:$C$36,"=d20261120"),"")</f>
      </c>
      <c r="AU169" s="8">
        <f>IF((0=1),SUMIFS('Daily evaluations'!$I$2:$I$36,'Daily evaluations'!$B$2:$B$36,"=random_13",'Daily evaluations'!$C$2:$C$36,"=d20261123"),"")</f>
      </c>
      <c r="AV169" s="8">
        <f>IF((0=1),SUMIFS('Daily evaluations'!$I$2:$I$36,'Daily evaluations'!$B$2:$B$36,"=random_13",'Daily evaluations'!$C$2:$C$36,"=d20261124"),"")</f>
      </c>
      <c r="AW169" s="8">
        <f>IF((0=1),SUMIFS('Daily evaluations'!$I$2:$I$36,'Daily evaluations'!$B$2:$B$36,"=random_13",'Daily evaluations'!$C$2:$C$36,"=d20261125"),"")</f>
      </c>
      <c r="AX169" s="8">
        <f>IF((0=1),SUMIFS('Daily evaluations'!$I$2:$I$36,'Daily evaluations'!$B$2:$B$36,"=random_13",'Daily evaluations'!$C$2:$C$36,"=d20261127"),"")</f>
      </c>
      <c r="AY169" s="8">
        <f>IF((0=1),SUMIFS('Daily evaluations'!$I$2:$I$36,'Daily evaluations'!$B$2:$B$36,"=random_13",'Daily evaluations'!$C$2:$C$36,"=d20261130"),"")</f>
      </c>
      <c r="AZ169" s="8">
        <f>IF((0=1),SUMIFS('Daily evaluations'!$I$2:$I$36,'Daily evaluations'!$B$2:$B$36,"=random_13",'Daily evaluations'!$C$2:$C$36,"=d20261201"),"")</f>
      </c>
      <c r="BA169" s="8">
        <f>IF((0=1),SUMIFS('Daily evaluations'!$I$2:$I$36,'Daily evaluations'!$B$2:$B$36,"=random_13",'Daily evaluations'!$C$2:$C$36,"=d20261202"),"")</f>
      </c>
      <c r="BB169" s="8">
        <f>IF((0=1),SUMIFS('Daily evaluations'!$I$2:$I$36,'Daily evaluations'!$B$2:$B$36,"=random_13",'Daily evaluations'!$C$2:$C$36,"=d20261203"),"")</f>
      </c>
      <c r="BC169" s="8">
        <f>IF((0=1),SUMIFS('Daily evaluations'!$I$2:$I$36,'Daily evaluations'!$B$2:$B$36,"=random_13",'Daily evaluations'!$C$2:$C$36,"=d20261204"),"")</f>
      </c>
      <c r="BD169" s="8">
        <f>IF((0=1),SUMIFS('Daily evaluations'!$I$2:$I$36,'Daily evaluations'!$B$2:$B$36,"=random_13",'Daily evaluations'!$C$2:$C$36,"=d20261207"),"")</f>
      </c>
      <c r="BE169" s="8">
        <f>IF((0=1),SUMIFS('Daily evaluations'!$I$2:$I$36,'Daily evaluations'!$B$2:$B$36,"=random_13",'Daily evaluations'!$C$2:$C$36,"=d20261208"),"")</f>
      </c>
      <c r="BF169" s="8">
        <f>IF((0=1),SUMIFS('Daily evaluations'!$I$2:$I$36,'Daily evaluations'!$B$2:$B$36,"=random_13",'Daily evaluations'!$C$2:$C$36,"=d20261209"),"")</f>
      </c>
      <c r="BG169" s="8">
        <f>IF((0=1),SUMIFS('Daily evaluations'!$I$2:$I$36,'Daily evaluations'!$B$2:$B$36,"=random_13",'Daily evaluations'!$C$2:$C$36,"=d20261210"),"")</f>
      </c>
      <c r="BH169" s="8">
        <f>IF((0=1),SUMIFS('Daily evaluations'!$I$2:$I$36,'Daily evaluations'!$B$2:$B$36,"=random_13",'Daily evaluations'!$C$2:$C$36,"=d20261211"),"")</f>
      </c>
      <c r="BI169" s="8">
        <f>IF((0=1),SUMIFS('Daily evaluations'!$I$2:$I$36,'Daily evaluations'!$B$2:$B$36,"=random_13",'Daily evaluations'!$C$2:$C$36,"=d20261214"),"")</f>
      </c>
      <c r="BJ169" s="8">
        <f>IF((0=1),SUMIFS('Daily evaluations'!$I$2:$I$36,'Daily evaluations'!$B$2:$B$36,"=random_13",'Daily evaluations'!$C$2:$C$36,"=d20261215"),"")</f>
      </c>
      <c r="BK169" s="8">
        <f>IF((0=1),SUMIFS('Daily evaluations'!$I$2:$I$36,'Daily evaluations'!$B$2:$B$36,"=random_13",'Daily evaluations'!$C$2:$C$36,"=d20261216"),"")</f>
      </c>
      <c r="BL169" s="8">
        <f>IF((0=1),SUMIFS('Daily evaluations'!$I$2:$I$36,'Daily evaluations'!$B$2:$B$36,"=random_13",'Daily evaluations'!$C$2:$C$36,"=d20261217"),"")</f>
      </c>
      <c r="BM169" s="8">
        <f>IF((0=1),SUMIFS('Daily evaluations'!$I$2:$I$36,'Daily evaluations'!$B$2:$B$36,"=random_13",'Daily evaluations'!$C$2:$C$36,"=d20261218"),"")</f>
      </c>
      <c r="BN169" s="8">
        <f>IF((0=1),SUMIFS('Daily evaluations'!$I$2:$I$36,'Daily evaluations'!$B$2:$B$36,"=random_13",'Daily evaluations'!$C$2:$C$36,"=d20261221"),"")</f>
      </c>
      <c r="BO169" s="8">
        <f>IF((0=1),SUMIFS('Daily evaluations'!$I$2:$I$36,'Daily evaluations'!$B$2:$B$36,"=random_13",'Daily evaluations'!$C$2:$C$36,"=d20261222"),"")</f>
      </c>
      <c r="BP169" s="8">
        <f>IF((0=1),SUMIFS('Daily evaluations'!$I$2:$I$36,'Daily evaluations'!$B$2:$B$36,"=random_13",'Daily evaluations'!$C$2:$C$36,"=d20261223"),"")</f>
      </c>
      <c r="BQ169" s="8">
        <f>IF((0=1),SUMIFS('Daily evaluations'!$I$2:$I$36,'Daily evaluations'!$B$2:$B$36,"=random_13",'Daily evaluations'!$C$2:$C$36,"=d20261224"),"")</f>
      </c>
      <c r="BR169" s="8">
        <f>IF((0=1),SUMIFS('Daily evaluations'!$I$2:$I$36,'Daily evaluations'!$B$2:$B$36,"=random_13",'Daily evaluations'!$C$2:$C$36,"=d20261228"),"")</f>
      </c>
      <c r="BS169" s="8">
        <f>IF((0=1),SUMIFS('Daily evaluations'!$I$2:$I$36,'Daily evaluations'!$B$2:$B$36,"=random_13",'Daily evaluations'!$C$2:$C$36,"=d20261229"),"")</f>
      </c>
      <c r="BT169" s="8">
        <f>IF((0=1),SUMIFS('Daily evaluations'!$I$2:$I$36,'Daily evaluations'!$B$2:$B$36,"=random_13",'Daily evaluations'!$C$2:$C$36,"=d20261230"),"")</f>
      </c>
      <c r="BU169" s="8">
        <f>IF((0=1),SUMIFS('Daily evaluations'!$I$2:$I$36,'Daily evaluations'!$B$2:$B$36,"=random_13",'Daily evaluations'!$C$2:$C$36,"=d20261231"),"")</f>
      </c>
      <c r="BV169" s="8">
        <f>IF((0=1),SUMIFS('Daily evaluations'!$I$2:$I$36,'Daily evaluations'!$B$2:$B$36,"=random_13",'Daily evaluations'!$C$2:$C$36,"=d20270104"),"")</f>
      </c>
      <c r="BW169" s="8">
        <f>IF((0=1),SUMIFS('Daily evaluations'!$I$2:$I$36,'Daily evaluations'!$B$2:$B$36,"=random_13",'Daily evaluations'!$C$2:$C$36,"=d20270105"),"")</f>
      </c>
      <c r="BX169" s="8">
        <f>IF((0=1),SUMIFS('Daily evaluations'!$I$2:$I$36,'Daily evaluations'!$B$2:$B$36,"=random_13",'Daily evaluations'!$C$2:$C$36,"=d20270106"),"")</f>
      </c>
      <c r="BY169" s="8">
        <f>IF((0=1),SUMIFS('Daily evaluations'!$I$2:$I$36,'Daily evaluations'!$B$2:$B$36,"=random_13",'Daily evaluations'!$C$2:$C$36,"=d20270107"),"")</f>
      </c>
      <c r="BZ169" s="8">
        <f>IF((0=1),SUMIFS('Daily evaluations'!$I$2:$I$36,'Daily evaluations'!$B$2:$B$36,"=random_13",'Daily evaluations'!$C$2:$C$36,"=d20270108"),"")</f>
      </c>
      <c r="CA169" s="8">
        <f>IF((0=1),SUMIFS('Daily evaluations'!$I$2:$I$36,'Daily evaluations'!$B$2:$B$36,"=random_13",'Daily evaluations'!$C$2:$C$36,"=d20270111"),"")</f>
      </c>
      <c r="CB169" s="8">
        <f>IF((0=1),SUMIFS('Daily evaluations'!$I$2:$I$36,'Daily evaluations'!$B$2:$B$36,"=random_13",'Daily evaluations'!$C$2:$C$36,"=d20270112"),"")</f>
      </c>
      <c r="CC169" s="8">
        <f>IF((0=1),SUMIFS('Daily evaluations'!$I$2:$I$36,'Daily evaluations'!$B$2:$B$36,"=random_13",'Daily evaluations'!$C$2:$C$36,"=d20270113"),"")</f>
      </c>
      <c r="CD169" s="8">
        <f>IF((0=1),SUMIFS('Daily evaluations'!$I$2:$I$36,'Daily evaluations'!$B$2:$B$36,"=random_13",'Daily evaluations'!$C$2:$C$36,"=d20270114"),"")</f>
      </c>
      <c r="CE169" s="8">
        <f>IF((0=1),SUMIFS('Daily evaluations'!$I$2:$I$36,'Daily evaluations'!$B$2:$B$36,"=random_13",'Daily evaluations'!$C$2:$C$36,"=d20270115"),"")</f>
      </c>
      <c r="CF169" s="8">
        <f>IF((0=1),SUMIFS('Daily evaluations'!$I$2:$I$36,'Daily evaluations'!$B$2:$B$36,"=random_13",'Daily evaluations'!$C$2:$C$36,"=d20270119"),"")</f>
      </c>
      <c r="CG169" s="8">
        <f>IF((0=1),SUMIFS('Daily evaluations'!$I$2:$I$36,'Daily evaluations'!$B$2:$B$36,"=random_13",'Daily evaluations'!$C$2:$C$36,"=d20270120"),"")</f>
      </c>
      <c r="CH169" s="8">
        <f>IF((0=1),SUMIFS('Daily evaluations'!$I$2:$I$36,'Daily evaluations'!$B$2:$B$36,"=random_13",'Daily evaluations'!$C$2:$C$36,"=d20270121"),"")</f>
      </c>
      <c r="CI169" s="8">
        <f>IF((0=1),SUMIFS('Daily evaluations'!$I$2:$I$36,'Daily evaluations'!$B$2:$B$36,"=random_13",'Daily evaluations'!$C$2:$C$36,"=d20270122"),"")</f>
      </c>
      <c r="CJ169" s="8">
        <f>IF((0=1),SUMIFS('Daily evaluations'!$I$2:$I$36,'Daily evaluations'!$B$2:$B$36,"=random_13",'Daily evaluations'!$C$2:$C$36,"=d20270125"),"")</f>
      </c>
      <c r="CK169" s="8">
        <f>IF((0=1),SUMIFS('Daily evaluations'!$I$2:$I$36,'Daily evaluations'!$B$2:$B$36,"=random_13",'Daily evaluations'!$C$2:$C$36,"=d20270126"),"")</f>
      </c>
      <c r="CL169" s="8">
        <f>IF((0=1),SUMIFS('Daily evaluations'!$I$2:$I$36,'Daily evaluations'!$B$2:$B$36,"=random_13",'Daily evaluations'!$C$2:$C$36,"=d20270127"),"")</f>
      </c>
      <c r="CM169" s="8">
        <f>IF((0=1),SUMIFS('Daily evaluations'!$I$2:$I$36,'Daily evaluations'!$B$2:$B$36,"=random_13",'Daily evaluations'!$C$2:$C$36,"=d20270128"),"")</f>
      </c>
      <c r="CN169" s="8">
        <f>IF((0=1),SUMIFS('Daily evaluations'!$I$2:$I$36,'Daily evaluations'!$B$2:$B$36,"=random_13",'Daily evaluations'!$C$2:$C$36,"=d20270129"),"")</f>
      </c>
      <c r="CO169" s="8">
        <f>IF((0=1),SUMIFS('Daily evaluations'!$I$2:$I$36,'Daily evaluations'!$B$2:$B$36,"=random_13",'Daily evaluations'!$C$2:$C$36,"=d20270201"),"")</f>
      </c>
      <c r="CP169" s="8">
        <f>IF((0=1),SUMIFS('Daily evaluations'!$I$2:$I$36,'Daily evaluations'!$B$2:$B$36,"=random_13",'Daily evaluations'!$C$2:$C$36,"=d20270202"),"")</f>
      </c>
      <c r="CQ169" s="8">
        <f>IF((0=1),SUMIFS('Daily evaluations'!$I$2:$I$36,'Daily evaluations'!$B$2:$B$36,"=random_13",'Daily evaluations'!$C$2:$C$36,"=d20270203"),"")</f>
      </c>
      <c r="CR169" s="8">
        <f>IF((0=1),SUMIFS('Daily evaluations'!$I$2:$I$36,'Daily evaluations'!$B$2:$B$36,"=random_13",'Daily evaluations'!$C$2:$C$36,"=d20270204"),"")</f>
      </c>
      <c r="CS169" s="8">
        <f>IF((0=1),SUMIFS('Daily evaluations'!$I$2:$I$36,'Daily evaluations'!$B$2:$B$36,"=random_13",'Daily evaluations'!$C$2:$C$36,"=d20270205"),"")</f>
      </c>
      <c r="CT169" s="8">
        <f>IF((0=1),SUMIFS('Daily evaluations'!$I$2:$I$36,'Daily evaluations'!$B$2:$B$36,"=random_13",'Daily evaluations'!$C$2:$C$36,"=d20270208"),"")</f>
      </c>
      <c r="CU169" s="8">
        <f>IF((0=1),SUMIFS('Daily evaluations'!$I$2:$I$36,'Daily evaluations'!$B$2:$B$36,"=random_13",'Daily evaluations'!$C$2:$C$36,"=d20270209"),"")</f>
      </c>
      <c r="CV169" s="8">
        <f>IF((0=1),SUMIFS('Daily evaluations'!$I$2:$I$36,'Daily evaluations'!$B$2:$B$36,"=random_13",'Daily evaluations'!$C$2:$C$36,"=d20270210"),"")</f>
      </c>
      <c r="CW169" s="8">
        <f>IF((0=1),SUMIFS('Daily evaluations'!$I$2:$I$36,'Daily evaluations'!$B$2:$B$36,"=random_13",'Daily evaluations'!$C$2:$C$36,"=d20270211"),"")</f>
      </c>
      <c r="CX169" s="8">
        <f>IF((0=1),SUMIFS('Daily evaluations'!$I$2:$I$36,'Daily evaluations'!$B$2:$B$36,"=random_13",'Daily evaluations'!$C$2:$C$36,"=d20270212"),"")</f>
      </c>
    </row>
    <row r="170">
      <c r="A170" s="0" t="inlineStr">
        <is>
          <t xml:space="preserve">Information coefficient</t>
        </is>
      </c>
      <c r="B170" s="0" t="inlineStr">
        <is>
          <t xml:space="preserve">Random 14</t>
        </is>
      </c>
      <c r="C170" s="8">
        <f>IF((1=1),SUMIFS('Daily evaluations'!$I$2:$I$36,'Daily evaluations'!$B$2:$B$36,"=random_14",'Daily evaluations'!$C$2:$C$36,"=d20260922"),"")</f>
        <v>0.0579</v>
      </c>
      <c r="D170" s="8">
        <f>IF((0=1),SUMIFS('Daily evaluations'!$I$2:$I$36,'Daily evaluations'!$B$2:$B$36,"=random_14",'Daily evaluations'!$C$2:$C$36,"=d20260923"),"")</f>
      </c>
      <c r="E170" s="8">
        <f>IF((0=1),SUMIFS('Daily evaluations'!$I$2:$I$36,'Daily evaluations'!$B$2:$B$36,"=random_14",'Daily evaluations'!$C$2:$C$36,"=d20260924"),"")</f>
      </c>
      <c r="F170" s="8">
        <f>IF((0=1),SUMIFS('Daily evaluations'!$I$2:$I$36,'Daily evaluations'!$B$2:$B$36,"=random_14",'Daily evaluations'!$C$2:$C$36,"=d20260925"),"")</f>
      </c>
      <c r="G170" s="8">
        <f>IF((0=1),SUMIFS('Daily evaluations'!$I$2:$I$36,'Daily evaluations'!$B$2:$B$36,"=random_14",'Daily evaluations'!$C$2:$C$36,"=d20260928"),"")</f>
      </c>
      <c r="H170" s="8">
        <f>IF((0=1),SUMIFS('Daily evaluations'!$I$2:$I$36,'Daily evaluations'!$B$2:$B$36,"=random_14",'Daily evaluations'!$C$2:$C$36,"=d20260929"),"")</f>
      </c>
      <c r="I170" s="8">
        <f>IF((0=1),SUMIFS('Daily evaluations'!$I$2:$I$36,'Daily evaluations'!$B$2:$B$36,"=random_14",'Daily evaluations'!$C$2:$C$36,"=d20260930"),"")</f>
      </c>
      <c r="J170" s="8">
        <f>IF((0=1),SUMIFS('Daily evaluations'!$I$2:$I$36,'Daily evaluations'!$B$2:$B$36,"=random_14",'Daily evaluations'!$C$2:$C$36,"=d20261001"),"")</f>
      </c>
      <c r="K170" s="8">
        <f>IF((0=1),SUMIFS('Daily evaluations'!$I$2:$I$36,'Daily evaluations'!$B$2:$B$36,"=random_14",'Daily evaluations'!$C$2:$C$36,"=d20261002"),"")</f>
      </c>
      <c r="L170" s="8">
        <f>IF((0=1),SUMIFS('Daily evaluations'!$I$2:$I$36,'Daily evaluations'!$B$2:$B$36,"=random_14",'Daily evaluations'!$C$2:$C$36,"=d20261005"),"")</f>
      </c>
      <c r="M170" s="8">
        <f>IF((0=1),SUMIFS('Daily evaluations'!$I$2:$I$36,'Daily evaluations'!$B$2:$B$36,"=random_14",'Daily evaluations'!$C$2:$C$36,"=d20261006"),"")</f>
      </c>
      <c r="N170" s="8">
        <f>IF((0=1),SUMIFS('Daily evaluations'!$I$2:$I$36,'Daily evaluations'!$B$2:$B$36,"=random_14",'Daily evaluations'!$C$2:$C$36,"=d20261007"),"")</f>
      </c>
      <c r="O170" s="8">
        <f>IF((0=1),SUMIFS('Daily evaluations'!$I$2:$I$36,'Daily evaluations'!$B$2:$B$36,"=random_14",'Daily evaluations'!$C$2:$C$36,"=d20261008"),"")</f>
      </c>
      <c r="P170" s="8">
        <f>IF((0=1),SUMIFS('Daily evaluations'!$I$2:$I$36,'Daily evaluations'!$B$2:$B$36,"=random_14",'Daily evaluations'!$C$2:$C$36,"=d20261009"),"")</f>
      </c>
      <c r="Q170" s="8">
        <f>IF((0=1),SUMIFS('Daily evaluations'!$I$2:$I$36,'Daily evaluations'!$B$2:$B$36,"=random_14",'Daily evaluations'!$C$2:$C$36,"=d20261012"),"")</f>
      </c>
      <c r="R170" s="8">
        <f>IF((0=1),SUMIFS('Daily evaluations'!$I$2:$I$36,'Daily evaluations'!$B$2:$B$36,"=random_14",'Daily evaluations'!$C$2:$C$36,"=d20261013"),"")</f>
      </c>
      <c r="S170" s="8">
        <f>IF((0=1),SUMIFS('Daily evaluations'!$I$2:$I$36,'Daily evaluations'!$B$2:$B$36,"=random_14",'Daily evaluations'!$C$2:$C$36,"=d20261014"),"")</f>
      </c>
      <c r="T170" s="8">
        <f>IF((0=1),SUMIFS('Daily evaluations'!$I$2:$I$36,'Daily evaluations'!$B$2:$B$36,"=random_14",'Daily evaluations'!$C$2:$C$36,"=d20261015"),"")</f>
      </c>
      <c r="U170" s="8">
        <f>IF((0=1),SUMIFS('Daily evaluations'!$I$2:$I$36,'Daily evaluations'!$B$2:$B$36,"=random_14",'Daily evaluations'!$C$2:$C$36,"=d20261016"),"")</f>
      </c>
      <c r="V170" s="8">
        <f>IF((0=1),SUMIFS('Daily evaluations'!$I$2:$I$36,'Daily evaluations'!$B$2:$B$36,"=random_14",'Daily evaluations'!$C$2:$C$36,"=d20261019"),"")</f>
      </c>
      <c r="W170" s="8">
        <f>IF((0=1),SUMIFS('Daily evaluations'!$I$2:$I$36,'Daily evaluations'!$B$2:$B$36,"=random_14",'Daily evaluations'!$C$2:$C$36,"=d20261020"),"")</f>
      </c>
      <c r="X170" s="8">
        <f>IF((0=1),SUMIFS('Daily evaluations'!$I$2:$I$36,'Daily evaluations'!$B$2:$B$36,"=random_14",'Daily evaluations'!$C$2:$C$36,"=d20261021"),"")</f>
      </c>
      <c r="Y170" s="8">
        <f>IF((0=1),SUMIFS('Daily evaluations'!$I$2:$I$36,'Daily evaluations'!$B$2:$B$36,"=random_14",'Daily evaluations'!$C$2:$C$36,"=d20261022"),"")</f>
      </c>
      <c r="Z170" s="8">
        <f>IF((0=1),SUMIFS('Daily evaluations'!$I$2:$I$36,'Daily evaluations'!$B$2:$B$36,"=random_14",'Daily evaluations'!$C$2:$C$36,"=d20261023"),"")</f>
      </c>
      <c r="AA170" s="8">
        <f>IF((0=1),SUMIFS('Daily evaluations'!$I$2:$I$36,'Daily evaluations'!$B$2:$B$36,"=random_14",'Daily evaluations'!$C$2:$C$36,"=d20261026"),"")</f>
      </c>
      <c r="AB170" s="8">
        <f>IF((0=1),SUMIFS('Daily evaluations'!$I$2:$I$36,'Daily evaluations'!$B$2:$B$36,"=random_14",'Daily evaluations'!$C$2:$C$36,"=d20261027"),"")</f>
      </c>
      <c r="AC170" s="8">
        <f>IF((0=1),SUMIFS('Daily evaluations'!$I$2:$I$36,'Daily evaluations'!$B$2:$B$36,"=random_14",'Daily evaluations'!$C$2:$C$36,"=d20261028"),"")</f>
      </c>
      <c r="AD170" s="8">
        <f>IF((0=1),SUMIFS('Daily evaluations'!$I$2:$I$36,'Daily evaluations'!$B$2:$B$36,"=random_14",'Daily evaluations'!$C$2:$C$36,"=d20261029"),"")</f>
      </c>
      <c r="AE170" s="8">
        <f>IF((0=1),SUMIFS('Daily evaluations'!$I$2:$I$36,'Daily evaluations'!$B$2:$B$36,"=random_14",'Daily evaluations'!$C$2:$C$36,"=d20261030"),"")</f>
      </c>
      <c r="AF170" s="8">
        <f>IF((0=1),SUMIFS('Daily evaluations'!$I$2:$I$36,'Daily evaluations'!$B$2:$B$36,"=random_14",'Daily evaluations'!$C$2:$C$36,"=d20261102"),"")</f>
      </c>
      <c r="AG170" s="8">
        <f>IF((0=1),SUMIFS('Daily evaluations'!$I$2:$I$36,'Daily evaluations'!$B$2:$B$36,"=random_14",'Daily evaluations'!$C$2:$C$36,"=d20261103"),"")</f>
      </c>
      <c r="AH170" s="8">
        <f>IF((0=1),SUMIFS('Daily evaluations'!$I$2:$I$36,'Daily evaluations'!$B$2:$B$36,"=random_14",'Daily evaluations'!$C$2:$C$36,"=d20261104"),"")</f>
      </c>
      <c r="AI170" s="8">
        <f>IF((0=1),SUMIFS('Daily evaluations'!$I$2:$I$36,'Daily evaluations'!$B$2:$B$36,"=random_14",'Daily evaluations'!$C$2:$C$36,"=d20261105"),"")</f>
      </c>
      <c r="AJ170" s="8">
        <f>IF((0=1),SUMIFS('Daily evaluations'!$I$2:$I$36,'Daily evaluations'!$B$2:$B$36,"=random_14",'Daily evaluations'!$C$2:$C$36,"=d20261106"),"")</f>
      </c>
      <c r="AK170" s="8">
        <f>IF((0=1),SUMIFS('Daily evaluations'!$I$2:$I$36,'Daily evaluations'!$B$2:$B$36,"=random_14",'Daily evaluations'!$C$2:$C$36,"=d20261109"),"")</f>
      </c>
      <c r="AL170" s="8">
        <f>IF((0=1),SUMIFS('Daily evaluations'!$I$2:$I$36,'Daily evaluations'!$B$2:$B$36,"=random_14",'Daily evaluations'!$C$2:$C$36,"=d20261110"),"")</f>
      </c>
      <c r="AM170" s="8">
        <f>IF((0=1),SUMIFS('Daily evaluations'!$I$2:$I$36,'Daily evaluations'!$B$2:$B$36,"=random_14",'Daily evaluations'!$C$2:$C$36,"=d20261111"),"")</f>
      </c>
      <c r="AN170" s="8">
        <f>IF((0=1),SUMIFS('Daily evaluations'!$I$2:$I$36,'Daily evaluations'!$B$2:$B$36,"=random_14",'Daily evaluations'!$C$2:$C$36,"=d20261112"),"")</f>
      </c>
      <c r="AO170" s="8">
        <f>IF((0=1),SUMIFS('Daily evaluations'!$I$2:$I$36,'Daily evaluations'!$B$2:$B$36,"=random_14",'Daily evaluations'!$C$2:$C$36,"=d20261113"),"")</f>
      </c>
      <c r="AP170" s="8">
        <f>IF((0=1),SUMIFS('Daily evaluations'!$I$2:$I$36,'Daily evaluations'!$B$2:$B$36,"=random_14",'Daily evaluations'!$C$2:$C$36,"=d20261116"),"")</f>
      </c>
      <c r="AQ170" s="8">
        <f>IF((0=1),SUMIFS('Daily evaluations'!$I$2:$I$36,'Daily evaluations'!$B$2:$B$36,"=random_14",'Daily evaluations'!$C$2:$C$36,"=d20261117"),"")</f>
      </c>
      <c r="AR170" s="8">
        <f>IF((0=1),SUMIFS('Daily evaluations'!$I$2:$I$36,'Daily evaluations'!$B$2:$B$36,"=random_14",'Daily evaluations'!$C$2:$C$36,"=d20261118"),"")</f>
      </c>
      <c r="AS170" s="8">
        <f>IF((0=1),SUMIFS('Daily evaluations'!$I$2:$I$36,'Daily evaluations'!$B$2:$B$36,"=random_14",'Daily evaluations'!$C$2:$C$36,"=d20261119"),"")</f>
      </c>
      <c r="AT170" s="8">
        <f>IF((0=1),SUMIFS('Daily evaluations'!$I$2:$I$36,'Daily evaluations'!$B$2:$B$36,"=random_14",'Daily evaluations'!$C$2:$C$36,"=d20261120"),"")</f>
      </c>
      <c r="AU170" s="8">
        <f>IF((0=1),SUMIFS('Daily evaluations'!$I$2:$I$36,'Daily evaluations'!$B$2:$B$36,"=random_14",'Daily evaluations'!$C$2:$C$36,"=d20261123"),"")</f>
      </c>
      <c r="AV170" s="8">
        <f>IF((0=1),SUMIFS('Daily evaluations'!$I$2:$I$36,'Daily evaluations'!$B$2:$B$36,"=random_14",'Daily evaluations'!$C$2:$C$36,"=d20261124"),"")</f>
      </c>
      <c r="AW170" s="8">
        <f>IF((0=1),SUMIFS('Daily evaluations'!$I$2:$I$36,'Daily evaluations'!$B$2:$B$36,"=random_14",'Daily evaluations'!$C$2:$C$36,"=d20261125"),"")</f>
      </c>
      <c r="AX170" s="8">
        <f>IF((0=1),SUMIFS('Daily evaluations'!$I$2:$I$36,'Daily evaluations'!$B$2:$B$36,"=random_14",'Daily evaluations'!$C$2:$C$36,"=d20261127"),"")</f>
      </c>
      <c r="AY170" s="8">
        <f>IF((0=1),SUMIFS('Daily evaluations'!$I$2:$I$36,'Daily evaluations'!$B$2:$B$36,"=random_14",'Daily evaluations'!$C$2:$C$36,"=d20261130"),"")</f>
      </c>
      <c r="AZ170" s="8">
        <f>IF((0=1),SUMIFS('Daily evaluations'!$I$2:$I$36,'Daily evaluations'!$B$2:$B$36,"=random_14",'Daily evaluations'!$C$2:$C$36,"=d20261201"),"")</f>
      </c>
      <c r="BA170" s="8">
        <f>IF((0=1),SUMIFS('Daily evaluations'!$I$2:$I$36,'Daily evaluations'!$B$2:$B$36,"=random_14",'Daily evaluations'!$C$2:$C$36,"=d20261202"),"")</f>
      </c>
      <c r="BB170" s="8">
        <f>IF((0=1),SUMIFS('Daily evaluations'!$I$2:$I$36,'Daily evaluations'!$B$2:$B$36,"=random_14",'Daily evaluations'!$C$2:$C$36,"=d20261203"),"")</f>
      </c>
      <c r="BC170" s="8">
        <f>IF((0=1),SUMIFS('Daily evaluations'!$I$2:$I$36,'Daily evaluations'!$B$2:$B$36,"=random_14",'Daily evaluations'!$C$2:$C$36,"=d20261204"),"")</f>
      </c>
      <c r="BD170" s="8">
        <f>IF((0=1),SUMIFS('Daily evaluations'!$I$2:$I$36,'Daily evaluations'!$B$2:$B$36,"=random_14",'Daily evaluations'!$C$2:$C$36,"=d20261207"),"")</f>
      </c>
      <c r="BE170" s="8">
        <f>IF((0=1),SUMIFS('Daily evaluations'!$I$2:$I$36,'Daily evaluations'!$B$2:$B$36,"=random_14",'Daily evaluations'!$C$2:$C$36,"=d20261208"),"")</f>
      </c>
      <c r="BF170" s="8">
        <f>IF((0=1),SUMIFS('Daily evaluations'!$I$2:$I$36,'Daily evaluations'!$B$2:$B$36,"=random_14",'Daily evaluations'!$C$2:$C$36,"=d20261209"),"")</f>
      </c>
      <c r="BG170" s="8">
        <f>IF((0=1),SUMIFS('Daily evaluations'!$I$2:$I$36,'Daily evaluations'!$B$2:$B$36,"=random_14",'Daily evaluations'!$C$2:$C$36,"=d20261210"),"")</f>
      </c>
      <c r="BH170" s="8">
        <f>IF((0=1),SUMIFS('Daily evaluations'!$I$2:$I$36,'Daily evaluations'!$B$2:$B$36,"=random_14",'Daily evaluations'!$C$2:$C$36,"=d20261211"),"")</f>
      </c>
      <c r="BI170" s="8">
        <f>IF((0=1),SUMIFS('Daily evaluations'!$I$2:$I$36,'Daily evaluations'!$B$2:$B$36,"=random_14",'Daily evaluations'!$C$2:$C$36,"=d20261214"),"")</f>
      </c>
      <c r="BJ170" s="8">
        <f>IF((0=1),SUMIFS('Daily evaluations'!$I$2:$I$36,'Daily evaluations'!$B$2:$B$36,"=random_14",'Daily evaluations'!$C$2:$C$36,"=d20261215"),"")</f>
      </c>
      <c r="BK170" s="8">
        <f>IF((0=1),SUMIFS('Daily evaluations'!$I$2:$I$36,'Daily evaluations'!$B$2:$B$36,"=random_14",'Daily evaluations'!$C$2:$C$36,"=d20261216"),"")</f>
      </c>
      <c r="BL170" s="8">
        <f>IF((0=1),SUMIFS('Daily evaluations'!$I$2:$I$36,'Daily evaluations'!$B$2:$B$36,"=random_14",'Daily evaluations'!$C$2:$C$36,"=d20261217"),"")</f>
      </c>
      <c r="BM170" s="8">
        <f>IF((0=1),SUMIFS('Daily evaluations'!$I$2:$I$36,'Daily evaluations'!$B$2:$B$36,"=random_14",'Daily evaluations'!$C$2:$C$36,"=d20261218"),"")</f>
      </c>
      <c r="BN170" s="8">
        <f>IF((0=1),SUMIFS('Daily evaluations'!$I$2:$I$36,'Daily evaluations'!$B$2:$B$36,"=random_14",'Daily evaluations'!$C$2:$C$36,"=d20261221"),"")</f>
      </c>
      <c r="BO170" s="8">
        <f>IF((0=1),SUMIFS('Daily evaluations'!$I$2:$I$36,'Daily evaluations'!$B$2:$B$36,"=random_14",'Daily evaluations'!$C$2:$C$36,"=d20261222"),"")</f>
      </c>
      <c r="BP170" s="8">
        <f>IF((0=1),SUMIFS('Daily evaluations'!$I$2:$I$36,'Daily evaluations'!$B$2:$B$36,"=random_14",'Daily evaluations'!$C$2:$C$36,"=d20261223"),"")</f>
      </c>
      <c r="BQ170" s="8">
        <f>IF((0=1),SUMIFS('Daily evaluations'!$I$2:$I$36,'Daily evaluations'!$B$2:$B$36,"=random_14",'Daily evaluations'!$C$2:$C$36,"=d20261224"),"")</f>
      </c>
      <c r="BR170" s="8">
        <f>IF((0=1),SUMIFS('Daily evaluations'!$I$2:$I$36,'Daily evaluations'!$B$2:$B$36,"=random_14",'Daily evaluations'!$C$2:$C$36,"=d20261228"),"")</f>
      </c>
      <c r="BS170" s="8">
        <f>IF((0=1),SUMIFS('Daily evaluations'!$I$2:$I$36,'Daily evaluations'!$B$2:$B$36,"=random_14",'Daily evaluations'!$C$2:$C$36,"=d20261229"),"")</f>
      </c>
      <c r="BT170" s="8">
        <f>IF((0=1),SUMIFS('Daily evaluations'!$I$2:$I$36,'Daily evaluations'!$B$2:$B$36,"=random_14",'Daily evaluations'!$C$2:$C$36,"=d20261230"),"")</f>
      </c>
      <c r="BU170" s="8">
        <f>IF((0=1),SUMIFS('Daily evaluations'!$I$2:$I$36,'Daily evaluations'!$B$2:$B$36,"=random_14",'Daily evaluations'!$C$2:$C$36,"=d20261231"),"")</f>
      </c>
      <c r="BV170" s="8">
        <f>IF((0=1),SUMIFS('Daily evaluations'!$I$2:$I$36,'Daily evaluations'!$B$2:$B$36,"=random_14",'Daily evaluations'!$C$2:$C$36,"=d20270104"),"")</f>
      </c>
      <c r="BW170" s="8">
        <f>IF((0=1),SUMIFS('Daily evaluations'!$I$2:$I$36,'Daily evaluations'!$B$2:$B$36,"=random_14",'Daily evaluations'!$C$2:$C$36,"=d20270105"),"")</f>
      </c>
      <c r="BX170" s="8">
        <f>IF((0=1),SUMIFS('Daily evaluations'!$I$2:$I$36,'Daily evaluations'!$B$2:$B$36,"=random_14",'Daily evaluations'!$C$2:$C$36,"=d20270106"),"")</f>
      </c>
      <c r="BY170" s="8">
        <f>IF((0=1),SUMIFS('Daily evaluations'!$I$2:$I$36,'Daily evaluations'!$B$2:$B$36,"=random_14",'Daily evaluations'!$C$2:$C$36,"=d20270107"),"")</f>
      </c>
      <c r="BZ170" s="8">
        <f>IF((0=1),SUMIFS('Daily evaluations'!$I$2:$I$36,'Daily evaluations'!$B$2:$B$36,"=random_14",'Daily evaluations'!$C$2:$C$36,"=d20270108"),"")</f>
      </c>
      <c r="CA170" s="8">
        <f>IF((0=1),SUMIFS('Daily evaluations'!$I$2:$I$36,'Daily evaluations'!$B$2:$B$36,"=random_14",'Daily evaluations'!$C$2:$C$36,"=d20270111"),"")</f>
      </c>
      <c r="CB170" s="8">
        <f>IF((0=1),SUMIFS('Daily evaluations'!$I$2:$I$36,'Daily evaluations'!$B$2:$B$36,"=random_14",'Daily evaluations'!$C$2:$C$36,"=d20270112"),"")</f>
      </c>
      <c r="CC170" s="8">
        <f>IF((0=1),SUMIFS('Daily evaluations'!$I$2:$I$36,'Daily evaluations'!$B$2:$B$36,"=random_14",'Daily evaluations'!$C$2:$C$36,"=d20270113"),"")</f>
      </c>
      <c r="CD170" s="8">
        <f>IF((0=1),SUMIFS('Daily evaluations'!$I$2:$I$36,'Daily evaluations'!$B$2:$B$36,"=random_14",'Daily evaluations'!$C$2:$C$36,"=d20270114"),"")</f>
      </c>
      <c r="CE170" s="8">
        <f>IF((0=1),SUMIFS('Daily evaluations'!$I$2:$I$36,'Daily evaluations'!$B$2:$B$36,"=random_14",'Daily evaluations'!$C$2:$C$36,"=d20270115"),"")</f>
      </c>
      <c r="CF170" s="8">
        <f>IF((0=1),SUMIFS('Daily evaluations'!$I$2:$I$36,'Daily evaluations'!$B$2:$B$36,"=random_14",'Daily evaluations'!$C$2:$C$36,"=d20270119"),"")</f>
      </c>
      <c r="CG170" s="8">
        <f>IF((0=1),SUMIFS('Daily evaluations'!$I$2:$I$36,'Daily evaluations'!$B$2:$B$36,"=random_14",'Daily evaluations'!$C$2:$C$36,"=d20270120"),"")</f>
      </c>
      <c r="CH170" s="8">
        <f>IF((0=1),SUMIFS('Daily evaluations'!$I$2:$I$36,'Daily evaluations'!$B$2:$B$36,"=random_14",'Daily evaluations'!$C$2:$C$36,"=d20270121"),"")</f>
      </c>
      <c r="CI170" s="8">
        <f>IF((0=1),SUMIFS('Daily evaluations'!$I$2:$I$36,'Daily evaluations'!$B$2:$B$36,"=random_14",'Daily evaluations'!$C$2:$C$36,"=d20270122"),"")</f>
      </c>
      <c r="CJ170" s="8">
        <f>IF((0=1),SUMIFS('Daily evaluations'!$I$2:$I$36,'Daily evaluations'!$B$2:$B$36,"=random_14",'Daily evaluations'!$C$2:$C$36,"=d20270125"),"")</f>
      </c>
      <c r="CK170" s="8">
        <f>IF((0=1),SUMIFS('Daily evaluations'!$I$2:$I$36,'Daily evaluations'!$B$2:$B$36,"=random_14",'Daily evaluations'!$C$2:$C$36,"=d20270126"),"")</f>
      </c>
      <c r="CL170" s="8">
        <f>IF((0=1),SUMIFS('Daily evaluations'!$I$2:$I$36,'Daily evaluations'!$B$2:$B$36,"=random_14",'Daily evaluations'!$C$2:$C$36,"=d20270127"),"")</f>
      </c>
      <c r="CM170" s="8">
        <f>IF((0=1),SUMIFS('Daily evaluations'!$I$2:$I$36,'Daily evaluations'!$B$2:$B$36,"=random_14",'Daily evaluations'!$C$2:$C$36,"=d20270128"),"")</f>
      </c>
      <c r="CN170" s="8">
        <f>IF((0=1),SUMIFS('Daily evaluations'!$I$2:$I$36,'Daily evaluations'!$B$2:$B$36,"=random_14",'Daily evaluations'!$C$2:$C$36,"=d20270129"),"")</f>
      </c>
      <c r="CO170" s="8">
        <f>IF((0=1),SUMIFS('Daily evaluations'!$I$2:$I$36,'Daily evaluations'!$B$2:$B$36,"=random_14",'Daily evaluations'!$C$2:$C$36,"=d20270201"),"")</f>
      </c>
      <c r="CP170" s="8">
        <f>IF((0=1),SUMIFS('Daily evaluations'!$I$2:$I$36,'Daily evaluations'!$B$2:$B$36,"=random_14",'Daily evaluations'!$C$2:$C$36,"=d20270202"),"")</f>
      </c>
      <c r="CQ170" s="8">
        <f>IF((0=1),SUMIFS('Daily evaluations'!$I$2:$I$36,'Daily evaluations'!$B$2:$B$36,"=random_14",'Daily evaluations'!$C$2:$C$36,"=d20270203"),"")</f>
      </c>
      <c r="CR170" s="8">
        <f>IF((0=1),SUMIFS('Daily evaluations'!$I$2:$I$36,'Daily evaluations'!$B$2:$B$36,"=random_14",'Daily evaluations'!$C$2:$C$36,"=d20270204"),"")</f>
      </c>
      <c r="CS170" s="8">
        <f>IF((0=1),SUMIFS('Daily evaluations'!$I$2:$I$36,'Daily evaluations'!$B$2:$B$36,"=random_14",'Daily evaluations'!$C$2:$C$36,"=d20270205"),"")</f>
      </c>
      <c r="CT170" s="8">
        <f>IF((0=1),SUMIFS('Daily evaluations'!$I$2:$I$36,'Daily evaluations'!$B$2:$B$36,"=random_14",'Daily evaluations'!$C$2:$C$36,"=d20270208"),"")</f>
      </c>
      <c r="CU170" s="8">
        <f>IF((0=1),SUMIFS('Daily evaluations'!$I$2:$I$36,'Daily evaluations'!$B$2:$B$36,"=random_14",'Daily evaluations'!$C$2:$C$36,"=d20270209"),"")</f>
      </c>
      <c r="CV170" s="8">
        <f>IF((0=1),SUMIFS('Daily evaluations'!$I$2:$I$36,'Daily evaluations'!$B$2:$B$36,"=random_14",'Daily evaluations'!$C$2:$C$36,"=d20270210"),"")</f>
      </c>
      <c r="CW170" s="8">
        <f>IF((0=1),SUMIFS('Daily evaluations'!$I$2:$I$36,'Daily evaluations'!$B$2:$B$36,"=random_14",'Daily evaluations'!$C$2:$C$36,"=d20270211"),"")</f>
      </c>
      <c r="CX170" s="8">
        <f>IF((0=1),SUMIFS('Daily evaluations'!$I$2:$I$36,'Daily evaluations'!$B$2:$B$36,"=random_14",'Daily evaluations'!$C$2:$C$36,"=d20270212"),"")</f>
      </c>
    </row>
    <row r="171">
      <c r="A171" s="0" t="inlineStr">
        <is>
          <t xml:space="preserve">Information coefficient</t>
        </is>
      </c>
      <c r="B171" s="0" t="inlineStr">
        <is>
          <t xml:space="preserve">Random 15</t>
        </is>
      </c>
      <c r="C171" s="8">
        <f>IF((1=1),SUMIFS('Daily evaluations'!$I$2:$I$36,'Daily evaluations'!$B$2:$B$36,"=random_15",'Daily evaluations'!$C$2:$C$36,"=d20260922"),"")</f>
        <v>-0.0193</v>
      </c>
      <c r="D171" s="8">
        <f>IF((0=1),SUMIFS('Daily evaluations'!$I$2:$I$36,'Daily evaluations'!$B$2:$B$36,"=random_15",'Daily evaluations'!$C$2:$C$36,"=d20260923"),"")</f>
      </c>
      <c r="E171" s="8">
        <f>IF((0=1),SUMIFS('Daily evaluations'!$I$2:$I$36,'Daily evaluations'!$B$2:$B$36,"=random_15",'Daily evaluations'!$C$2:$C$36,"=d20260924"),"")</f>
      </c>
      <c r="F171" s="8">
        <f>IF((0=1),SUMIFS('Daily evaluations'!$I$2:$I$36,'Daily evaluations'!$B$2:$B$36,"=random_15",'Daily evaluations'!$C$2:$C$36,"=d20260925"),"")</f>
      </c>
      <c r="G171" s="8">
        <f>IF((0=1),SUMIFS('Daily evaluations'!$I$2:$I$36,'Daily evaluations'!$B$2:$B$36,"=random_15",'Daily evaluations'!$C$2:$C$36,"=d20260928"),"")</f>
      </c>
      <c r="H171" s="8">
        <f>IF((0=1),SUMIFS('Daily evaluations'!$I$2:$I$36,'Daily evaluations'!$B$2:$B$36,"=random_15",'Daily evaluations'!$C$2:$C$36,"=d20260929"),"")</f>
      </c>
      <c r="I171" s="8">
        <f>IF((0=1),SUMIFS('Daily evaluations'!$I$2:$I$36,'Daily evaluations'!$B$2:$B$36,"=random_15",'Daily evaluations'!$C$2:$C$36,"=d20260930"),"")</f>
      </c>
      <c r="J171" s="8">
        <f>IF((0=1),SUMIFS('Daily evaluations'!$I$2:$I$36,'Daily evaluations'!$B$2:$B$36,"=random_15",'Daily evaluations'!$C$2:$C$36,"=d20261001"),"")</f>
      </c>
      <c r="K171" s="8">
        <f>IF((0=1),SUMIFS('Daily evaluations'!$I$2:$I$36,'Daily evaluations'!$B$2:$B$36,"=random_15",'Daily evaluations'!$C$2:$C$36,"=d20261002"),"")</f>
      </c>
      <c r="L171" s="8">
        <f>IF((0=1),SUMIFS('Daily evaluations'!$I$2:$I$36,'Daily evaluations'!$B$2:$B$36,"=random_15",'Daily evaluations'!$C$2:$C$36,"=d20261005"),"")</f>
      </c>
      <c r="M171" s="8">
        <f>IF((0=1),SUMIFS('Daily evaluations'!$I$2:$I$36,'Daily evaluations'!$B$2:$B$36,"=random_15",'Daily evaluations'!$C$2:$C$36,"=d20261006"),"")</f>
      </c>
      <c r="N171" s="8">
        <f>IF((0=1),SUMIFS('Daily evaluations'!$I$2:$I$36,'Daily evaluations'!$B$2:$B$36,"=random_15",'Daily evaluations'!$C$2:$C$36,"=d20261007"),"")</f>
      </c>
      <c r="O171" s="8">
        <f>IF((0=1),SUMIFS('Daily evaluations'!$I$2:$I$36,'Daily evaluations'!$B$2:$B$36,"=random_15",'Daily evaluations'!$C$2:$C$36,"=d20261008"),"")</f>
      </c>
      <c r="P171" s="8">
        <f>IF((0=1),SUMIFS('Daily evaluations'!$I$2:$I$36,'Daily evaluations'!$B$2:$B$36,"=random_15",'Daily evaluations'!$C$2:$C$36,"=d20261009"),"")</f>
      </c>
      <c r="Q171" s="8">
        <f>IF((0=1),SUMIFS('Daily evaluations'!$I$2:$I$36,'Daily evaluations'!$B$2:$B$36,"=random_15",'Daily evaluations'!$C$2:$C$36,"=d20261012"),"")</f>
      </c>
      <c r="R171" s="8">
        <f>IF((0=1),SUMIFS('Daily evaluations'!$I$2:$I$36,'Daily evaluations'!$B$2:$B$36,"=random_15",'Daily evaluations'!$C$2:$C$36,"=d20261013"),"")</f>
      </c>
      <c r="S171" s="8">
        <f>IF((0=1),SUMIFS('Daily evaluations'!$I$2:$I$36,'Daily evaluations'!$B$2:$B$36,"=random_15",'Daily evaluations'!$C$2:$C$36,"=d20261014"),"")</f>
      </c>
      <c r="T171" s="8">
        <f>IF((0=1),SUMIFS('Daily evaluations'!$I$2:$I$36,'Daily evaluations'!$B$2:$B$36,"=random_15",'Daily evaluations'!$C$2:$C$36,"=d20261015"),"")</f>
      </c>
      <c r="U171" s="8">
        <f>IF((0=1),SUMIFS('Daily evaluations'!$I$2:$I$36,'Daily evaluations'!$B$2:$B$36,"=random_15",'Daily evaluations'!$C$2:$C$36,"=d20261016"),"")</f>
      </c>
      <c r="V171" s="8">
        <f>IF((0=1),SUMIFS('Daily evaluations'!$I$2:$I$36,'Daily evaluations'!$B$2:$B$36,"=random_15",'Daily evaluations'!$C$2:$C$36,"=d20261019"),"")</f>
      </c>
      <c r="W171" s="8">
        <f>IF((0=1),SUMIFS('Daily evaluations'!$I$2:$I$36,'Daily evaluations'!$B$2:$B$36,"=random_15",'Daily evaluations'!$C$2:$C$36,"=d20261020"),"")</f>
      </c>
      <c r="X171" s="8">
        <f>IF((0=1),SUMIFS('Daily evaluations'!$I$2:$I$36,'Daily evaluations'!$B$2:$B$36,"=random_15",'Daily evaluations'!$C$2:$C$36,"=d20261021"),"")</f>
      </c>
      <c r="Y171" s="8">
        <f>IF((0=1),SUMIFS('Daily evaluations'!$I$2:$I$36,'Daily evaluations'!$B$2:$B$36,"=random_15",'Daily evaluations'!$C$2:$C$36,"=d20261022"),"")</f>
      </c>
      <c r="Z171" s="8">
        <f>IF((0=1),SUMIFS('Daily evaluations'!$I$2:$I$36,'Daily evaluations'!$B$2:$B$36,"=random_15",'Daily evaluations'!$C$2:$C$36,"=d20261023"),"")</f>
      </c>
      <c r="AA171" s="8">
        <f>IF((0=1),SUMIFS('Daily evaluations'!$I$2:$I$36,'Daily evaluations'!$B$2:$B$36,"=random_15",'Daily evaluations'!$C$2:$C$36,"=d20261026"),"")</f>
      </c>
      <c r="AB171" s="8">
        <f>IF((0=1),SUMIFS('Daily evaluations'!$I$2:$I$36,'Daily evaluations'!$B$2:$B$36,"=random_15",'Daily evaluations'!$C$2:$C$36,"=d20261027"),"")</f>
      </c>
      <c r="AC171" s="8">
        <f>IF((0=1),SUMIFS('Daily evaluations'!$I$2:$I$36,'Daily evaluations'!$B$2:$B$36,"=random_15",'Daily evaluations'!$C$2:$C$36,"=d20261028"),"")</f>
      </c>
      <c r="AD171" s="8">
        <f>IF((0=1),SUMIFS('Daily evaluations'!$I$2:$I$36,'Daily evaluations'!$B$2:$B$36,"=random_15",'Daily evaluations'!$C$2:$C$36,"=d20261029"),"")</f>
      </c>
      <c r="AE171" s="8">
        <f>IF((0=1),SUMIFS('Daily evaluations'!$I$2:$I$36,'Daily evaluations'!$B$2:$B$36,"=random_15",'Daily evaluations'!$C$2:$C$36,"=d20261030"),"")</f>
      </c>
      <c r="AF171" s="8">
        <f>IF((0=1),SUMIFS('Daily evaluations'!$I$2:$I$36,'Daily evaluations'!$B$2:$B$36,"=random_15",'Daily evaluations'!$C$2:$C$36,"=d20261102"),"")</f>
      </c>
      <c r="AG171" s="8">
        <f>IF((0=1),SUMIFS('Daily evaluations'!$I$2:$I$36,'Daily evaluations'!$B$2:$B$36,"=random_15",'Daily evaluations'!$C$2:$C$36,"=d20261103"),"")</f>
      </c>
      <c r="AH171" s="8">
        <f>IF((0=1),SUMIFS('Daily evaluations'!$I$2:$I$36,'Daily evaluations'!$B$2:$B$36,"=random_15",'Daily evaluations'!$C$2:$C$36,"=d20261104"),"")</f>
      </c>
      <c r="AI171" s="8">
        <f>IF((0=1),SUMIFS('Daily evaluations'!$I$2:$I$36,'Daily evaluations'!$B$2:$B$36,"=random_15",'Daily evaluations'!$C$2:$C$36,"=d20261105"),"")</f>
      </c>
      <c r="AJ171" s="8">
        <f>IF((0=1),SUMIFS('Daily evaluations'!$I$2:$I$36,'Daily evaluations'!$B$2:$B$36,"=random_15",'Daily evaluations'!$C$2:$C$36,"=d20261106"),"")</f>
      </c>
      <c r="AK171" s="8">
        <f>IF((0=1),SUMIFS('Daily evaluations'!$I$2:$I$36,'Daily evaluations'!$B$2:$B$36,"=random_15",'Daily evaluations'!$C$2:$C$36,"=d20261109"),"")</f>
      </c>
      <c r="AL171" s="8">
        <f>IF((0=1),SUMIFS('Daily evaluations'!$I$2:$I$36,'Daily evaluations'!$B$2:$B$36,"=random_15",'Daily evaluations'!$C$2:$C$36,"=d20261110"),"")</f>
      </c>
      <c r="AM171" s="8">
        <f>IF((0=1),SUMIFS('Daily evaluations'!$I$2:$I$36,'Daily evaluations'!$B$2:$B$36,"=random_15",'Daily evaluations'!$C$2:$C$36,"=d20261111"),"")</f>
      </c>
      <c r="AN171" s="8">
        <f>IF((0=1),SUMIFS('Daily evaluations'!$I$2:$I$36,'Daily evaluations'!$B$2:$B$36,"=random_15",'Daily evaluations'!$C$2:$C$36,"=d20261112"),"")</f>
      </c>
      <c r="AO171" s="8">
        <f>IF((0=1),SUMIFS('Daily evaluations'!$I$2:$I$36,'Daily evaluations'!$B$2:$B$36,"=random_15",'Daily evaluations'!$C$2:$C$36,"=d20261113"),"")</f>
      </c>
      <c r="AP171" s="8">
        <f>IF((0=1),SUMIFS('Daily evaluations'!$I$2:$I$36,'Daily evaluations'!$B$2:$B$36,"=random_15",'Daily evaluations'!$C$2:$C$36,"=d20261116"),"")</f>
      </c>
      <c r="AQ171" s="8">
        <f>IF((0=1),SUMIFS('Daily evaluations'!$I$2:$I$36,'Daily evaluations'!$B$2:$B$36,"=random_15",'Daily evaluations'!$C$2:$C$36,"=d20261117"),"")</f>
      </c>
      <c r="AR171" s="8">
        <f>IF((0=1),SUMIFS('Daily evaluations'!$I$2:$I$36,'Daily evaluations'!$B$2:$B$36,"=random_15",'Daily evaluations'!$C$2:$C$36,"=d20261118"),"")</f>
      </c>
      <c r="AS171" s="8">
        <f>IF((0=1),SUMIFS('Daily evaluations'!$I$2:$I$36,'Daily evaluations'!$B$2:$B$36,"=random_15",'Daily evaluations'!$C$2:$C$36,"=d20261119"),"")</f>
      </c>
      <c r="AT171" s="8">
        <f>IF((0=1),SUMIFS('Daily evaluations'!$I$2:$I$36,'Daily evaluations'!$B$2:$B$36,"=random_15",'Daily evaluations'!$C$2:$C$36,"=d20261120"),"")</f>
      </c>
      <c r="AU171" s="8">
        <f>IF((0=1),SUMIFS('Daily evaluations'!$I$2:$I$36,'Daily evaluations'!$B$2:$B$36,"=random_15",'Daily evaluations'!$C$2:$C$36,"=d20261123"),"")</f>
      </c>
      <c r="AV171" s="8">
        <f>IF((0=1),SUMIFS('Daily evaluations'!$I$2:$I$36,'Daily evaluations'!$B$2:$B$36,"=random_15",'Daily evaluations'!$C$2:$C$36,"=d20261124"),"")</f>
      </c>
      <c r="AW171" s="8">
        <f>IF((0=1),SUMIFS('Daily evaluations'!$I$2:$I$36,'Daily evaluations'!$B$2:$B$36,"=random_15",'Daily evaluations'!$C$2:$C$36,"=d20261125"),"")</f>
      </c>
      <c r="AX171" s="8">
        <f>IF((0=1),SUMIFS('Daily evaluations'!$I$2:$I$36,'Daily evaluations'!$B$2:$B$36,"=random_15",'Daily evaluations'!$C$2:$C$36,"=d20261127"),"")</f>
      </c>
      <c r="AY171" s="8">
        <f>IF((0=1),SUMIFS('Daily evaluations'!$I$2:$I$36,'Daily evaluations'!$B$2:$B$36,"=random_15",'Daily evaluations'!$C$2:$C$36,"=d20261130"),"")</f>
      </c>
      <c r="AZ171" s="8">
        <f>IF((0=1),SUMIFS('Daily evaluations'!$I$2:$I$36,'Daily evaluations'!$B$2:$B$36,"=random_15",'Daily evaluations'!$C$2:$C$36,"=d20261201"),"")</f>
      </c>
      <c r="BA171" s="8">
        <f>IF((0=1),SUMIFS('Daily evaluations'!$I$2:$I$36,'Daily evaluations'!$B$2:$B$36,"=random_15",'Daily evaluations'!$C$2:$C$36,"=d20261202"),"")</f>
      </c>
      <c r="BB171" s="8">
        <f>IF((0=1),SUMIFS('Daily evaluations'!$I$2:$I$36,'Daily evaluations'!$B$2:$B$36,"=random_15",'Daily evaluations'!$C$2:$C$36,"=d20261203"),"")</f>
      </c>
      <c r="BC171" s="8">
        <f>IF((0=1),SUMIFS('Daily evaluations'!$I$2:$I$36,'Daily evaluations'!$B$2:$B$36,"=random_15",'Daily evaluations'!$C$2:$C$36,"=d20261204"),"")</f>
      </c>
      <c r="BD171" s="8">
        <f>IF((0=1),SUMIFS('Daily evaluations'!$I$2:$I$36,'Daily evaluations'!$B$2:$B$36,"=random_15",'Daily evaluations'!$C$2:$C$36,"=d20261207"),"")</f>
      </c>
      <c r="BE171" s="8">
        <f>IF((0=1),SUMIFS('Daily evaluations'!$I$2:$I$36,'Daily evaluations'!$B$2:$B$36,"=random_15",'Daily evaluations'!$C$2:$C$36,"=d20261208"),"")</f>
      </c>
      <c r="BF171" s="8">
        <f>IF((0=1),SUMIFS('Daily evaluations'!$I$2:$I$36,'Daily evaluations'!$B$2:$B$36,"=random_15",'Daily evaluations'!$C$2:$C$36,"=d20261209"),"")</f>
      </c>
      <c r="BG171" s="8">
        <f>IF((0=1),SUMIFS('Daily evaluations'!$I$2:$I$36,'Daily evaluations'!$B$2:$B$36,"=random_15",'Daily evaluations'!$C$2:$C$36,"=d20261210"),"")</f>
      </c>
      <c r="BH171" s="8">
        <f>IF((0=1),SUMIFS('Daily evaluations'!$I$2:$I$36,'Daily evaluations'!$B$2:$B$36,"=random_15",'Daily evaluations'!$C$2:$C$36,"=d20261211"),"")</f>
      </c>
      <c r="BI171" s="8">
        <f>IF((0=1),SUMIFS('Daily evaluations'!$I$2:$I$36,'Daily evaluations'!$B$2:$B$36,"=random_15",'Daily evaluations'!$C$2:$C$36,"=d20261214"),"")</f>
      </c>
      <c r="BJ171" s="8">
        <f>IF((0=1),SUMIFS('Daily evaluations'!$I$2:$I$36,'Daily evaluations'!$B$2:$B$36,"=random_15",'Daily evaluations'!$C$2:$C$36,"=d20261215"),"")</f>
      </c>
      <c r="BK171" s="8">
        <f>IF((0=1),SUMIFS('Daily evaluations'!$I$2:$I$36,'Daily evaluations'!$B$2:$B$36,"=random_15",'Daily evaluations'!$C$2:$C$36,"=d20261216"),"")</f>
      </c>
      <c r="BL171" s="8">
        <f>IF((0=1),SUMIFS('Daily evaluations'!$I$2:$I$36,'Daily evaluations'!$B$2:$B$36,"=random_15",'Daily evaluations'!$C$2:$C$36,"=d20261217"),"")</f>
      </c>
      <c r="BM171" s="8">
        <f>IF((0=1),SUMIFS('Daily evaluations'!$I$2:$I$36,'Daily evaluations'!$B$2:$B$36,"=random_15",'Daily evaluations'!$C$2:$C$36,"=d20261218"),"")</f>
      </c>
      <c r="BN171" s="8">
        <f>IF((0=1),SUMIFS('Daily evaluations'!$I$2:$I$36,'Daily evaluations'!$B$2:$B$36,"=random_15",'Daily evaluations'!$C$2:$C$36,"=d20261221"),"")</f>
      </c>
      <c r="BO171" s="8">
        <f>IF((0=1),SUMIFS('Daily evaluations'!$I$2:$I$36,'Daily evaluations'!$B$2:$B$36,"=random_15",'Daily evaluations'!$C$2:$C$36,"=d20261222"),"")</f>
      </c>
      <c r="BP171" s="8">
        <f>IF((0=1),SUMIFS('Daily evaluations'!$I$2:$I$36,'Daily evaluations'!$B$2:$B$36,"=random_15",'Daily evaluations'!$C$2:$C$36,"=d20261223"),"")</f>
      </c>
      <c r="BQ171" s="8">
        <f>IF((0=1),SUMIFS('Daily evaluations'!$I$2:$I$36,'Daily evaluations'!$B$2:$B$36,"=random_15",'Daily evaluations'!$C$2:$C$36,"=d20261224"),"")</f>
      </c>
      <c r="BR171" s="8">
        <f>IF((0=1),SUMIFS('Daily evaluations'!$I$2:$I$36,'Daily evaluations'!$B$2:$B$36,"=random_15",'Daily evaluations'!$C$2:$C$36,"=d20261228"),"")</f>
      </c>
      <c r="BS171" s="8">
        <f>IF((0=1),SUMIFS('Daily evaluations'!$I$2:$I$36,'Daily evaluations'!$B$2:$B$36,"=random_15",'Daily evaluations'!$C$2:$C$36,"=d20261229"),"")</f>
      </c>
      <c r="BT171" s="8">
        <f>IF((0=1),SUMIFS('Daily evaluations'!$I$2:$I$36,'Daily evaluations'!$B$2:$B$36,"=random_15",'Daily evaluations'!$C$2:$C$36,"=d20261230"),"")</f>
      </c>
      <c r="BU171" s="8">
        <f>IF((0=1),SUMIFS('Daily evaluations'!$I$2:$I$36,'Daily evaluations'!$B$2:$B$36,"=random_15",'Daily evaluations'!$C$2:$C$36,"=d20261231"),"")</f>
      </c>
      <c r="BV171" s="8">
        <f>IF((0=1),SUMIFS('Daily evaluations'!$I$2:$I$36,'Daily evaluations'!$B$2:$B$36,"=random_15",'Daily evaluations'!$C$2:$C$36,"=d20270104"),"")</f>
      </c>
      <c r="BW171" s="8">
        <f>IF((0=1),SUMIFS('Daily evaluations'!$I$2:$I$36,'Daily evaluations'!$B$2:$B$36,"=random_15",'Daily evaluations'!$C$2:$C$36,"=d20270105"),"")</f>
      </c>
      <c r="BX171" s="8">
        <f>IF((0=1),SUMIFS('Daily evaluations'!$I$2:$I$36,'Daily evaluations'!$B$2:$B$36,"=random_15",'Daily evaluations'!$C$2:$C$36,"=d20270106"),"")</f>
      </c>
      <c r="BY171" s="8">
        <f>IF((0=1),SUMIFS('Daily evaluations'!$I$2:$I$36,'Daily evaluations'!$B$2:$B$36,"=random_15",'Daily evaluations'!$C$2:$C$36,"=d20270107"),"")</f>
      </c>
      <c r="BZ171" s="8">
        <f>IF((0=1),SUMIFS('Daily evaluations'!$I$2:$I$36,'Daily evaluations'!$B$2:$B$36,"=random_15",'Daily evaluations'!$C$2:$C$36,"=d20270108"),"")</f>
      </c>
      <c r="CA171" s="8">
        <f>IF((0=1),SUMIFS('Daily evaluations'!$I$2:$I$36,'Daily evaluations'!$B$2:$B$36,"=random_15",'Daily evaluations'!$C$2:$C$36,"=d20270111"),"")</f>
      </c>
      <c r="CB171" s="8">
        <f>IF((0=1),SUMIFS('Daily evaluations'!$I$2:$I$36,'Daily evaluations'!$B$2:$B$36,"=random_15",'Daily evaluations'!$C$2:$C$36,"=d20270112"),"")</f>
      </c>
      <c r="CC171" s="8">
        <f>IF((0=1),SUMIFS('Daily evaluations'!$I$2:$I$36,'Daily evaluations'!$B$2:$B$36,"=random_15",'Daily evaluations'!$C$2:$C$36,"=d20270113"),"")</f>
      </c>
      <c r="CD171" s="8">
        <f>IF((0=1),SUMIFS('Daily evaluations'!$I$2:$I$36,'Daily evaluations'!$B$2:$B$36,"=random_15",'Daily evaluations'!$C$2:$C$36,"=d20270114"),"")</f>
      </c>
      <c r="CE171" s="8">
        <f>IF((0=1),SUMIFS('Daily evaluations'!$I$2:$I$36,'Daily evaluations'!$B$2:$B$36,"=random_15",'Daily evaluations'!$C$2:$C$36,"=d20270115"),"")</f>
      </c>
      <c r="CF171" s="8">
        <f>IF((0=1),SUMIFS('Daily evaluations'!$I$2:$I$36,'Daily evaluations'!$B$2:$B$36,"=random_15",'Daily evaluations'!$C$2:$C$36,"=d20270119"),"")</f>
      </c>
      <c r="CG171" s="8">
        <f>IF((0=1),SUMIFS('Daily evaluations'!$I$2:$I$36,'Daily evaluations'!$B$2:$B$36,"=random_15",'Daily evaluations'!$C$2:$C$36,"=d20270120"),"")</f>
      </c>
      <c r="CH171" s="8">
        <f>IF((0=1),SUMIFS('Daily evaluations'!$I$2:$I$36,'Daily evaluations'!$B$2:$B$36,"=random_15",'Daily evaluations'!$C$2:$C$36,"=d20270121"),"")</f>
      </c>
      <c r="CI171" s="8">
        <f>IF((0=1),SUMIFS('Daily evaluations'!$I$2:$I$36,'Daily evaluations'!$B$2:$B$36,"=random_15",'Daily evaluations'!$C$2:$C$36,"=d20270122"),"")</f>
      </c>
      <c r="CJ171" s="8">
        <f>IF((0=1),SUMIFS('Daily evaluations'!$I$2:$I$36,'Daily evaluations'!$B$2:$B$36,"=random_15",'Daily evaluations'!$C$2:$C$36,"=d20270125"),"")</f>
      </c>
      <c r="CK171" s="8">
        <f>IF((0=1),SUMIFS('Daily evaluations'!$I$2:$I$36,'Daily evaluations'!$B$2:$B$36,"=random_15",'Daily evaluations'!$C$2:$C$36,"=d20270126"),"")</f>
      </c>
      <c r="CL171" s="8">
        <f>IF((0=1),SUMIFS('Daily evaluations'!$I$2:$I$36,'Daily evaluations'!$B$2:$B$36,"=random_15",'Daily evaluations'!$C$2:$C$36,"=d20270127"),"")</f>
      </c>
      <c r="CM171" s="8">
        <f>IF((0=1),SUMIFS('Daily evaluations'!$I$2:$I$36,'Daily evaluations'!$B$2:$B$36,"=random_15",'Daily evaluations'!$C$2:$C$36,"=d20270128"),"")</f>
      </c>
      <c r="CN171" s="8">
        <f>IF((0=1),SUMIFS('Daily evaluations'!$I$2:$I$36,'Daily evaluations'!$B$2:$B$36,"=random_15",'Daily evaluations'!$C$2:$C$36,"=d20270129"),"")</f>
      </c>
      <c r="CO171" s="8">
        <f>IF((0=1),SUMIFS('Daily evaluations'!$I$2:$I$36,'Daily evaluations'!$B$2:$B$36,"=random_15",'Daily evaluations'!$C$2:$C$36,"=d20270201"),"")</f>
      </c>
      <c r="CP171" s="8">
        <f>IF((0=1),SUMIFS('Daily evaluations'!$I$2:$I$36,'Daily evaluations'!$B$2:$B$36,"=random_15",'Daily evaluations'!$C$2:$C$36,"=d20270202"),"")</f>
      </c>
      <c r="CQ171" s="8">
        <f>IF((0=1),SUMIFS('Daily evaluations'!$I$2:$I$36,'Daily evaluations'!$B$2:$B$36,"=random_15",'Daily evaluations'!$C$2:$C$36,"=d20270203"),"")</f>
      </c>
      <c r="CR171" s="8">
        <f>IF((0=1),SUMIFS('Daily evaluations'!$I$2:$I$36,'Daily evaluations'!$B$2:$B$36,"=random_15",'Daily evaluations'!$C$2:$C$36,"=d20270204"),"")</f>
      </c>
      <c r="CS171" s="8">
        <f>IF((0=1),SUMIFS('Daily evaluations'!$I$2:$I$36,'Daily evaluations'!$B$2:$B$36,"=random_15",'Daily evaluations'!$C$2:$C$36,"=d20270205"),"")</f>
      </c>
      <c r="CT171" s="8">
        <f>IF((0=1),SUMIFS('Daily evaluations'!$I$2:$I$36,'Daily evaluations'!$B$2:$B$36,"=random_15",'Daily evaluations'!$C$2:$C$36,"=d20270208"),"")</f>
      </c>
      <c r="CU171" s="8">
        <f>IF((0=1),SUMIFS('Daily evaluations'!$I$2:$I$36,'Daily evaluations'!$B$2:$B$36,"=random_15",'Daily evaluations'!$C$2:$C$36,"=d20270209"),"")</f>
      </c>
      <c r="CV171" s="8">
        <f>IF((0=1),SUMIFS('Daily evaluations'!$I$2:$I$36,'Daily evaluations'!$B$2:$B$36,"=random_15",'Daily evaluations'!$C$2:$C$36,"=d20270210"),"")</f>
      </c>
      <c r="CW171" s="8">
        <f>IF((0=1),SUMIFS('Daily evaluations'!$I$2:$I$36,'Daily evaluations'!$B$2:$B$36,"=random_15",'Daily evaluations'!$C$2:$C$36,"=d20270211"),"")</f>
      </c>
      <c r="CX171" s="8">
        <f>IF((0=1),SUMIFS('Daily evaluations'!$I$2:$I$36,'Daily evaluations'!$B$2:$B$36,"=random_15",'Daily evaluations'!$C$2:$C$36,"=d20270212"),"")</f>
      </c>
    </row>
    <row r="172">
      <c r="A172" s="0" t="inlineStr">
        <is>
          <t xml:space="preserve">Information coefficient</t>
        </is>
      </c>
      <c r="B172" s="0" t="inlineStr">
        <is>
          <t xml:space="preserve">Random 16</t>
        </is>
      </c>
      <c r="C172" s="8">
        <f>IF((1=1),SUMIFS('Daily evaluations'!$I$2:$I$36,'Daily evaluations'!$B$2:$B$36,"=random_16",'Daily evaluations'!$C$2:$C$36,"=d20260922"),"")</f>
        <v>-0.0384</v>
      </c>
      <c r="D172" s="8">
        <f>IF((0=1),SUMIFS('Daily evaluations'!$I$2:$I$36,'Daily evaluations'!$B$2:$B$36,"=random_16",'Daily evaluations'!$C$2:$C$36,"=d20260923"),"")</f>
      </c>
      <c r="E172" s="8">
        <f>IF((0=1),SUMIFS('Daily evaluations'!$I$2:$I$36,'Daily evaluations'!$B$2:$B$36,"=random_16",'Daily evaluations'!$C$2:$C$36,"=d20260924"),"")</f>
      </c>
      <c r="F172" s="8">
        <f>IF((0=1),SUMIFS('Daily evaluations'!$I$2:$I$36,'Daily evaluations'!$B$2:$B$36,"=random_16",'Daily evaluations'!$C$2:$C$36,"=d20260925"),"")</f>
      </c>
      <c r="G172" s="8">
        <f>IF((0=1),SUMIFS('Daily evaluations'!$I$2:$I$36,'Daily evaluations'!$B$2:$B$36,"=random_16",'Daily evaluations'!$C$2:$C$36,"=d20260928"),"")</f>
      </c>
      <c r="H172" s="8">
        <f>IF((0=1),SUMIFS('Daily evaluations'!$I$2:$I$36,'Daily evaluations'!$B$2:$B$36,"=random_16",'Daily evaluations'!$C$2:$C$36,"=d20260929"),"")</f>
      </c>
      <c r="I172" s="8">
        <f>IF((0=1),SUMIFS('Daily evaluations'!$I$2:$I$36,'Daily evaluations'!$B$2:$B$36,"=random_16",'Daily evaluations'!$C$2:$C$36,"=d20260930"),"")</f>
      </c>
      <c r="J172" s="8">
        <f>IF((0=1),SUMIFS('Daily evaluations'!$I$2:$I$36,'Daily evaluations'!$B$2:$B$36,"=random_16",'Daily evaluations'!$C$2:$C$36,"=d20261001"),"")</f>
      </c>
      <c r="K172" s="8">
        <f>IF((0=1),SUMIFS('Daily evaluations'!$I$2:$I$36,'Daily evaluations'!$B$2:$B$36,"=random_16",'Daily evaluations'!$C$2:$C$36,"=d20261002"),"")</f>
      </c>
      <c r="L172" s="8">
        <f>IF((0=1),SUMIFS('Daily evaluations'!$I$2:$I$36,'Daily evaluations'!$B$2:$B$36,"=random_16",'Daily evaluations'!$C$2:$C$36,"=d20261005"),"")</f>
      </c>
      <c r="M172" s="8">
        <f>IF((0=1),SUMIFS('Daily evaluations'!$I$2:$I$36,'Daily evaluations'!$B$2:$B$36,"=random_16",'Daily evaluations'!$C$2:$C$36,"=d20261006"),"")</f>
      </c>
      <c r="N172" s="8">
        <f>IF((0=1),SUMIFS('Daily evaluations'!$I$2:$I$36,'Daily evaluations'!$B$2:$B$36,"=random_16",'Daily evaluations'!$C$2:$C$36,"=d20261007"),"")</f>
      </c>
      <c r="O172" s="8">
        <f>IF((0=1),SUMIFS('Daily evaluations'!$I$2:$I$36,'Daily evaluations'!$B$2:$B$36,"=random_16",'Daily evaluations'!$C$2:$C$36,"=d20261008"),"")</f>
      </c>
      <c r="P172" s="8">
        <f>IF((0=1),SUMIFS('Daily evaluations'!$I$2:$I$36,'Daily evaluations'!$B$2:$B$36,"=random_16",'Daily evaluations'!$C$2:$C$36,"=d20261009"),"")</f>
      </c>
      <c r="Q172" s="8">
        <f>IF((0=1),SUMIFS('Daily evaluations'!$I$2:$I$36,'Daily evaluations'!$B$2:$B$36,"=random_16",'Daily evaluations'!$C$2:$C$36,"=d20261012"),"")</f>
      </c>
      <c r="R172" s="8">
        <f>IF((0=1),SUMIFS('Daily evaluations'!$I$2:$I$36,'Daily evaluations'!$B$2:$B$36,"=random_16",'Daily evaluations'!$C$2:$C$36,"=d20261013"),"")</f>
      </c>
      <c r="S172" s="8">
        <f>IF((0=1),SUMIFS('Daily evaluations'!$I$2:$I$36,'Daily evaluations'!$B$2:$B$36,"=random_16",'Daily evaluations'!$C$2:$C$36,"=d20261014"),"")</f>
      </c>
      <c r="T172" s="8">
        <f>IF((0=1),SUMIFS('Daily evaluations'!$I$2:$I$36,'Daily evaluations'!$B$2:$B$36,"=random_16",'Daily evaluations'!$C$2:$C$36,"=d20261015"),"")</f>
      </c>
      <c r="U172" s="8">
        <f>IF((0=1),SUMIFS('Daily evaluations'!$I$2:$I$36,'Daily evaluations'!$B$2:$B$36,"=random_16",'Daily evaluations'!$C$2:$C$36,"=d20261016"),"")</f>
      </c>
      <c r="V172" s="8">
        <f>IF((0=1),SUMIFS('Daily evaluations'!$I$2:$I$36,'Daily evaluations'!$B$2:$B$36,"=random_16",'Daily evaluations'!$C$2:$C$36,"=d20261019"),"")</f>
      </c>
      <c r="W172" s="8">
        <f>IF((0=1),SUMIFS('Daily evaluations'!$I$2:$I$36,'Daily evaluations'!$B$2:$B$36,"=random_16",'Daily evaluations'!$C$2:$C$36,"=d20261020"),"")</f>
      </c>
      <c r="X172" s="8">
        <f>IF((0=1),SUMIFS('Daily evaluations'!$I$2:$I$36,'Daily evaluations'!$B$2:$B$36,"=random_16",'Daily evaluations'!$C$2:$C$36,"=d20261021"),"")</f>
      </c>
      <c r="Y172" s="8">
        <f>IF((0=1),SUMIFS('Daily evaluations'!$I$2:$I$36,'Daily evaluations'!$B$2:$B$36,"=random_16",'Daily evaluations'!$C$2:$C$36,"=d20261022"),"")</f>
      </c>
      <c r="Z172" s="8">
        <f>IF((0=1),SUMIFS('Daily evaluations'!$I$2:$I$36,'Daily evaluations'!$B$2:$B$36,"=random_16",'Daily evaluations'!$C$2:$C$36,"=d20261023"),"")</f>
      </c>
      <c r="AA172" s="8">
        <f>IF((0=1),SUMIFS('Daily evaluations'!$I$2:$I$36,'Daily evaluations'!$B$2:$B$36,"=random_16",'Daily evaluations'!$C$2:$C$36,"=d20261026"),"")</f>
      </c>
      <c r="AB172" s="8">
        <f>IF((0=1),SUMIFS('Daily evaluations'!$I$2:$I$36,'Daily evaluations'!$B$2:$B$36,"=random_16",'Daily evaluations'!$C$2:$C$36,"=d20261027"),"")</f>
      </c>
      <c r="AC172" s="8">
        <f>IF((0=1),SUMIFS('Daily evaluations'!$I$2:$I$36,'Daily evaluations'!$B$2:$B$36,"=random_16",'Daily evaluations'!$C$2:$C$36,"=d20261028"),"")</f>
      </c>
      <c r="AD172" s="8">
        <f>IF((0=1),SUMIFS('Daily evaluations'!$I$2:$I$36,'Daily evaluations'!$B$2:$B$36,"=random_16",'Daily evaluations'!$C$2:$C$36,"=d20261029"),"")</f>
      </c>
      <c r="AE172" s="8">
        <f>IF((0=1),SUMIFS('Daily evaluations'!$I$2:$I$36,'Daily evaluations'!$B$2:$B$36,"=random_16",'Daily evaluations'!$C$2:$C$36,"=d20261030"),"")</f>
      </c>
      <c r="AF172" s="8">
        <f>IF((0=1),SUMIFS('Daily evaluations'!$I$2:$I$36,'Daily evaluations'!$B$2:$B$36,"=random_16",'Daily evaluations'!$C$2:$C$36,"=d20261102"),"")</f>
      </c>
      <c r="AG172" s="8">
        <f>IF((0=1),SUMIFS('Daily evaluations'!$I$2:$I$36,'Daily evaluations'!$B$2:$B$36,"=random_16",'Daily evaluations'!$C$2:$C$36,"=d20261103"),"")</f>
      </c>
      <c r="AH172" s="8">
        <f>IF((0=1),SUMIFS('Daily evaluations'!$I$2:$I$36,'Daily evaluations'!$B$2:$B$36,"=random_16",'Daily evaluations'!$C$2:$C$36,"=d20261104"),"")</f>
      </c>
      <c r="AI172" s="8">
        <f>IF((0=1),SUMIFS('Daily evaluations'!$I$2:$I$36,'Daily evaluations'!$B$2:$B$36,"=random_16",'Daily evaluations'!$C$2:$C$36,"=d20261105"),"")</f>
      </c>
      <c r="AJ172" s="8">
        <f>IF((0=1),SUMIFS('Daily evaluations'!$I$2:$I$36,'Daily evaluations'!$B$2:$B$36,"=random_16",'Daily evaluations'!$C$2:$C$36,"=d20261106"),"")</f>
      </c>
      <c r="AK172" s="8">
        <f>IF((0=1),SUMIFS('Daily evaluations'!$I$2:$I$36,'Daily evaluations'!$B$2:$B$36,"=random_16",'Daily evaluations'!$C$2:$C$36,"=d20261109"),"")</f>
      </c>
      <c r="AL172" s="8">
        <f>IF((0=1),SUMIFS('Daily evaluations'!$I$2:$I$36,'Daily evaluations'!$B$2:$B$36,"=random_16",'Daily evaluations'!$C$2:$C$36,"=d20261110"),"")</f>
      </c>
      <c r="AM172" s="8">
        <f>IF((0=1),SUMIFS('Daily evaluations'!$I$2:$I$36,'Daily evaluations'!$B$2:$B$36,"=random_16",'Daily evaluations'!$C$2:$C$36,"=d20261111"),"")</f>
      </c>
      <c r="AN172" s="8">
        <f>IF((0=1),SUMIFS('Daily evaluations'!$I$2:$I$36,'Daily evaluations'!$B$2:$B$36,"=random_16",'Daily evaluations'!$C$2:$C$36,"=d20261112"),"")</f>
      </c>
      <c r="AO172" s="8">
        <f>IF((0=1),SUMIFS('Daily evaluations'!$I$2:$I$36,'Daily evaluations'!$B$2:$B$36,"=random_16",'Daily evaluations'!$C$2:$C$36,"=d20261113"),"")</f>
      </c>
      <c r="AP172" s="8">
        <f>IF((0=1),SUMIFS('Daily evaluations'!$I$2:$I$36,'Daily evaluations'!$B$2:$B$36,"=random_16",'Daily evaluations'!$C$2:$C$36,"=d20261116"),"")</f>
      </c>
      <c r="AQ172" s="8">
        <f>IF((0=1),SUMIFS('Daily evaluations'!$I$2:$I$36,'Daily evaluations'!$B$2:$B$36,"=random_16",'Daily evaluations'!$C$2:$C$36,"=d20261117"),"")</f>
      </c>
      <c r="AR172" s="8">
        <f>IF((0=1),SUMIFS('Daily evaluations'!$I$2:$I$36,'Daily evaluations'!$B$2:$B$36,"=random_16",'Daily evaluations'!$C$2:$C$36,"=d20261118"),"")</f>
      </c>
      <c r="AS172" s="8">
        <f>IF((0=1),SUMIFS('Daily evaluations'!$I$2:$I$36,'Daily evaluations'!$B$2:$B$36,"=random_16",'Daily evaluations'!$C$2:$C$36,"=d20261119"),"")</f>
      </c>
      <c r="AT172" s="8">
        <f>IF((0=1),SUMIFS('Daily evaluations'!$I$2:$I$36,'Daily evaluations'!$B$2:$B$36,"=random_16",'Daily evaluations'!$C$2:$C$36,"=d20261120"),"")</f>
      </c>
      <c r="AU172" s="8">
        <f>IF((0=1),SUMIFS('Daily evaluations'!$I$2:$I$36,'Daily evaluations'!$B$2:$B$36,"=random_16",'Daily evaluations'!$C$2:$C$36,"=d20261123"),"")</f>
      </c>
      <c r="AV172" s="8">
        <f>IF((0=1),SUMIFS('Daily evaluations'!$I$2:$I$36,'Daily evaluations'!$B$2:$B$36,"=random_16",'Daily evaluations'!$C$2:$C$36,"=d20261124"),"")</f>
      </c>
      <c r="AW172" s="8">
        <f>IF((0=1),SUMIFS('Daily evaluations'!$I$2:$I$36,'Daily evaluations'!$B$2:$B$36,"=random_16",'Daily evaluations'!$C$2:$C$36,"=d20261125"),"")</f>
      </c>
      <c r="AX172" s="8">
        <f>IF((0=1),SUMIFS('Daily evaluations'!$I$2:$I$36,'Daily evaluations'!$B$2:$B$36,"=random_16",'Daily evaluations'!$C$2:$C$36,"=d20261127"),"")</f>
      </c>
      <c r="AY172" s="8">
        <f>IF((0=1),SUMIFS('Daily evaluations'!$I$2:$I$36,'Daily evaluations'!$B$2:$B$36,"=random_16",'Daily evaluations'!$C$2:$C$36,"=d20261130"),"")</f>
      </c>
      <c r="AZ172" s="8">
        <f>IF((0=1),SUMIFS('Daily evaluations'!$I$2:$I$36,'Daily evaluations'!$B$2:$B$36,"=random_16",'Daily evaluations'!$C$2:$C$36,"=d20261201"),"")</f>
      </c>
      <c r="BA172" s="8">
        <f>IF((0=1),SUMIFS('Daily evaluations'!$I$2:$I$36,'Daily evaluations'!$B$2:$B$36,"=random_16",'Daily evaluations'!$C$2:$C$36,"=d20261202"),"")</f>
      </c>
      <c r="BB172" s="8">
        <f>IF((0=1),SUMIFS('Daily evaluations'!$I$2:$I$36,'Daily evaluations'!$B$2:$B$36,"=random_16",'Daily evaluations'!$C$2:$C$36,"=d20261203"),"")</f>
      </c>
      <c r="BC172" s="8">
        <f>IF((0=1),SUMIFS('Daily evaluations'!$I$2:$I$36,'Daily evaluations'!$B$2:$B$36,"=random_16",'Daily evaluations'!$C$2:$C$36,"=d20261204"),"")</f>
      </c>
      <c r="BD172" s="8">
        <f>IF((0=1),SUMIFS('Daily evaluations'!$I$2:$I$36,'Daily evaluations'!$B$2:$B$36,"=random_16",'Daily evaluations'!$C$2:$C$36,"=d20261207"),"")</f>
      </c>
      <c r="BE172" s="8">
        <f>IF((0=1),SUMIFS('Daily evaluations'!$I$2:$I$36,'Daily evaluations'!$B$2:$B$36,"=random_16",'Daily evaluations'!$C$2:$C$36,"=d20261208"),"")</f>
      </c>
      <c r="BF172" s="8">
        <f>IF((0=1),SUMIFS('Daily evaluations'!$I$2:$I$36,'Daily evaluations'!$B$2:$B$36,"=random_16",'Daily evaluations'!$C$2:$C$36,"=d20261209"),"")</f>
      </c>
      <c r="BG172" s="8">
        <f>IF((0=1),SUMIFS('Daily evaluations'!$I$2:$I$36,'Daily evaluations'!$B$2:$B$36,"=random_16",'Daily evaluations'!$C$2:$C$36,"=d20261210"),"")</f>
      </c>
      <c r="BH172" s="8">
        <f>IF((0=1),SUMIFS('Daily evaluations'!$I$2:$I$36,'Daily evaluations'!$B$2:$B$36,"=random_16",'Daily evaluations'!$C$2:$C$36,"=d20261211"),"")</f>
      </c>
      <c r="BI172" s="8">
        <f>IF((0=1),SUMIFS('Daily evaluations'!$I$2:$I$36,'Daily evaluations'!$B$2:$B$36,"=random_16",'Daily evaluations'!$C$2:$C$36,"=d20261214"),"")</f>
      </c>
      <c r="BJ172" s="8">
        <f>IF((0=1),SUMIFS('Daily evaluations'!$I$2:$I$36,'Daily evaluations'!$B$2:$B$36,"=random_16",'Daily evaluations'!$C$2:$C$36,"=d20261215"),"")</f>
      </c>
      <c r="BK172" s="8">
        <f>IF((0=1),SUMIFS('Daily evaluations'!$I$2:$I$36,'Daily evaluations'!$B$2:$B$36,"=random_16",'Daily evaluations'!$C$2:$C$36,"=d20261216"),"")</f>
      </c>
      <c r="BL172" s="8">
        <f>IF((0=1),SUMIFS('Daily evaluations'!$I$2:$I$36,'Daily evaluations'!$B$2:$B$36,"=random_16",'Daily evaluations'!$C$2:$C$36,"=d20261217"),"")</f>
      </c>
      <c r="BM172" s="8">
        <f>IF((0=1),SUMIFS('Daily evaluations'!$I$2:$I$36,'Daily evaluations'!$B$2:$B$36,"=random_16",'Daily evaluations'!$C$2:$C$36,"=d20261218"),"")</f>
      </c>
      <c r="BN172" s="8">
        <f>IF((0=1),SUMIFS('Daily evaluations'!$I$2:$I$36,'Daily evaluations'!$B$2:$B$36,"=random_16",'Daily evaluations'!$C$2:$C$36,"=d20261221"),"")</f>
      </c>
      <c r="BO172" s="8">
        <f>IF((0=1),SUMIFS('Daily evaluations'!$I$2:$I$36,'Daily evaluations'!$B$2:$B$36,"=random_16",'Daily evaluations'!$C$2:$C$36,"=d20261222"),"")</f>
      </c>
      <c r="BP172" s="8">
        <f>IF((0=1),SUMIFS('Daily evaluations'!$I$2:$I$36,'Daily evaluations'!$B$2:$B$36,"=random_16",'Daily evaluations'!$C$2:$C$36,"=d20261223"),"")</f>
      </c>
      <c r="BQ172" s="8">
        <f>IF((0=1),SUMIFS('Daily evaluations'!$I$2:$I$36,'Daily evaluations'!$B$2:$B$36,"=random_16",'Daily evaluations'!$C$2:$C$36,"=d20261224"),"")</f>
      </c>
      <c r="BR172" s="8">
        <f>IF((0=1),SUMIFS('Daily evaluations'!$I$2:$I$36,'Daily evaluations'!$B$2:$B$36,"=random_16",'Daily evaluations'!$C$2:$C$36,"=d20261228"),"")</f>
      </c>
      <c r="BS172" s="8">
        <f>IF((0=1),SUMIFS('Daily evaluations'!$I$2:$I$36,'Daily evaluations'!$B$2:$B$36,"=random_16",'Daily evaluations'!$C$2:$C$36,"=d20261229"),"")</f>
      </c>
      <c r="BT172" s="8">
        <f>IF((0=1),SUMIFS('Daily evaluations'!$I$2:$I$36,'Daily evaluations'!$B$2:$B$36,"=random_16",'Daily evaluations'!$C$2:$C$36,"=d20261230"),"")</f>
      </c>
      <c r="BU172" s="8">
        <f>IF((0=1),SUMIFS('Daily evaluations'!$I$2:$I$36,'Daily evaluations'!$B$2:$B$36,"=random_16",'Daily evaluations'!$C$2:$C$36,"=d20261231"),"")</f>
      </c>
      <c r="BV172" s="8">
        <f>IF((0=1),SUMIFS('Daily evaluations'!$I$2:$I$36,'Daily evaluations'!$B$2:$B$36,"=random_16",'Daily evaluations'!$C$2:$C$36,"=d20270104"),"")</f>
      </c>
      <c r="BW172" s="8">
        <f>IF((0=1),SUMIFS('Daily evaluations'!$I$2:$I$36,'Daily evaluations'!$B$2:$B$36,"=random_16",'Daily evaluations'!$C$2:$C$36,"=d20270105"),"")</f>
      </c>
      <c r="BX172" s="8">
        <f>IF((0=1),SUMIFS('Daily evaluations'!$I$2:$I$36,'Daily evaluations'!$B$2:$B$36,"=random_16",'Daily evaluations'!$C$2:$C$36,"=d20270106"),"")</f>
      </c>
      <c r="BY172" s="8">
        <f>IF((0=1),SUMIFS('Daily evaluations'!$I$2:$I$36,'Daily evaluations'!$B$2:$B$36,"=random_16",'Daily evaluations'!$C$2:$C$36,"=d20270107"),"")</f>
      </c>
      <c r="BZ172" s="8">
        <f>IF((0=1),SUMIFS('Daily evaluations'!$I$2:$I$36,'Daily evaluations'!$B$2:$B$36,"=random_16",'Daily evaluations'!$C$2:$C$36,"=d20270108"),"")</f>
      </c>
      <c r="CA172" s="8">
        <f>IF((0=1),SUMIFS('Daily evaluations'!$I$2:$I$36,'Daily evaluations'!$B$2:$B$36,"=random_16",'Daily evaluations'!$C$2:$C$36,"=d20270111"),"")</f>
      </c>
      <c r="CB172" s="8">
        <f>IF((0=1),SUMIFS('Daily evaluations'!$I$2:$I$36,'Daily evaluations'!$B$2:$B$36,"=random_16",'Daily evaluations'!$C$2:$C$36,"=d20270112"),"")</f>
      </c>
      <c r="CC172" s="8">
        <f>IF((0=1),SUMIFS('Daily evaluations'!$I$2:$I$36,'Daily evaluations'!$B$2:$B$36,"=random_16",'Daily evaluations'!$C$2:$C$36,"=d20270113"),"")</f>
      </c>
      <c r="CD172" s="8">
        <f>IF((0=1),SUMIFS('Daily evaluations'!$I$2:$I$36,'Daily evaluations'!$B$2:$B$36,"=random_16",'Daily evaluations'!$C$2:$C$36,"=d20270114"),"")</f>
      </c>
      <c r="CE172" s="8">
        <f>IF((0=1),SUMIFS('Daily evaluations'!$I$2:$I$36,'Daily evaluations'!$B$2:$B$36,"=random_16",'Daily evaluations'!$C$2:$C$36,"=d20270115"),"")</f>
      </c>
      <c r="CF172" s="8">
        <f>IF((0=1),SUMIFS('Daily evaluations'!$I$2:$I$36,'Daily evaluations'!$B$2:$B$36,"=random_16",'Daily evaluations'!$C$2:$C$36,"=d20270119"),"")</f>
      </c>
      <c r="CG172" s="8">
        <f>IF((0=1),SUMIFS('Daily evaluations'!$I$2:$I$36,'Daily evaluations'!$B$2:$B$36,"=random_16",'Daily evaluations'!$C$2:$C$36,"=d20270120"),"")</f>
      </c>
      <c r="CH172" s="8">
        <f>IF((0=1),SUMIFS('Daily evaluations'!$I$2:$I$36,'Daily evaluations'!$B$2:$B$36,"=random_16",'Daily evaluations'!$C$2:$C$36,"=d20270121"),"")</f>
      </c>
      <c r="CI172" s="8">
        <f>IF((0=1),SUMIFS('Daily evaluations'!$I$2:$I$36,'Daily evaluations'!$B$2:$B$36,"=random_16",'Daily evaluations'!$C$2:$C$36,"=d20270122"),"")</f>
      </c>
      <c r="CJ172" s="8">
        <f>IF((0=1),SUMIFS('Daily evaluations'!$I$2:$I$36,'Daily evaluations'!$B$2:$B$36,"=random_16",'Daily evaluations'!$C$2:$C$36,"=d20270125"),"")</f>
      </c>
      <c r="CK172" s="8">
        <f>IF((0=1),SUMIFS('Daily evaluations'!$I$2:$I$36,'Daily evaluations'!$B$2:$B$36,"=random_16",'Daily evaluations'!$C$2:$C$36,"=d20270126"),"")</f>
      </c>
      <c r="CL172" s="8">
        <f>IF((0=1),SUMIFS('Daily evaluations'!$I$2:$I$36,'Daily evaluations'!$B$2:$B$36,"=random_16",'Daily evaluations'!$C$2:$C$36,"=d20270127"),"")</f>
      </c>
      <c r="CM172" s="8">
        <f>IF((0=1),SUMIFS('Daily evaluations'!$I$2:$I$36,'Daily evaluations'!$B$2:$B$36,"=random_16",'Daily evaluations'!$C$2:$C$36,"=d20270128"),"")</f>
      </c>
      <c r="CN172" s="8">
        <f>IF((0=1),SUMIFS('Daily evaluations'!$I$2:$I$36,'Daily evaluations'!$B$2:$B$36,"=random_16",'Daily evaluations'!$C$2:$C$36,"=d20270129"),"")</f>
      </c>
      <c r="CO172" s="8">
        <f>IF((0=1),SUMIFS('Daily evaluations'!$I$2:$I$36,'Daily evaluations'!$B$2:$B$36,"=random_16",'Daily evaluations'!$C$2:$C$36,"=d20270201"),"")</f>
      </c>
      <c r="CP172" s="8">
        <f>IF((0=1),SUMIFS('Daily evaluations'!$I$2:$I$36,'Daily evaluations'!$B$2:$B$36,"=random_16",'Daily evaluations'!$C$2:$C$36,"=d20270202"),"")</f>
      </c>
      <c r="CQ172" s="8">
        <f>IF((0=1),SUMIFS('Daily evaluations'!$I$2:$I$36,'Daily evaluations'!$B$2:$B$36,"=random_16",'Daily evaluations'!$C$2:$C$36,"=d20270203"),"")</f>
      </c>
      <c r="CR172" s="8">
        <f>IF((0=1),SUMIFS('Daily evaluations'!$I$2:$I$36,'Daily evaluations'!$B$2:$B$36,"=random_16",'Daily evaluations'!$C$2:$C$36,"=d20270204"),"")</f>
      </c>
      <c r="CS172" s="8">
        <f>IF((0=1),SUMIFS('Daily evaluations'!$I$2:$I$36,'Daily evaluations'!$B$2:$B$36,"=random_16",'Daily evaluations'!$C$2:$C$36,"=d20270205"),"")</f>
      </c>
      <c r="CT172" s="8">
        <f>IF((0=1),SUMIFS('Daily evaluations'!$I$2:$I$36,'Daily evaluations'!$B$2:$B$36,"=random_16",'Daily evaluations'!$C$2:$C$36,"=d20270208"),"")</f>
      </c>
      <c r="CU172" s="8">
        <f>IF((0=1),SUMIFS('Daily evaluations'!$I$2:$I$36,'Daily evaluations'!$B$2:$B$36,"=random_16",'Daily evaluations'!$C$2:$C$36,"=d20270209"),"")</f>
      </c>
      <c r="CV172" s="8">
        <f>IF((0=1),SUMIFS('Daily evaluations'!$I$2:$I$36,'Daily evaluations'!$B$2:$B$36,"=random_16",'Daily evaluations'!$C$2:$C$36,"=d20270210"),"")</f>
      </c>
      <c r="CW172" s="8">
        <f>IF((0=1),SUMIFS('Daily evaluations'!$I$2:$I$36,'Daily evaluations'!$B$2:$B$36,"=random_16",'Daily evaluations'!$C$2:$C$36,"=d20270211"),"")</f>
      </c>
      <c r="CX172" s="8">
        <f>IF((0=1),SUMIFS('Daily evaluations'!$I$2:$I$36,'Daily evaluations'!$B$2:$B$36,"=random_16",'Daily evaluations'!$C$2:$C$36,"=d20270212"),"")</f>
      </c>
    </row>
    <row r="173">
      <c r="A173" s="0" t="inlineStr">
        <is>
          <t xml:space="preserve">Information coefficient</t>
        </is>
      </c>
      <c r="B173" s="0" t="inlineStr">
        <is>
          <t xml:space="preserve">Random 17</t>
        </is>
      </c>
      <c r="C173" s="8">
        <f>IF((1=1),SUMIFS('Daily evaluations'!$I$2:$I$36,'Daily evaluations'!$B$2:$B$36,"=random_17",'Daily evaluations'!$C$2:$C$36,"=d20260922"),"")</f>
        <v>-0.0086</v>
      </c>
      <c r="D173" s="8">
        <f>IF((0=1),SUMIFS('Daily evaluations'!$I$2:$I$36,'Daily evaluations'!$B$2:$B$36,"=random_17",'Daily evaluations'!$C$2:$C$36,"=d20260923"),"")</f>
      </c>
      <c r="E173" s="8">
        <f>IF((0=1),SUMIFS('Daily evaluations'!$I$2:$I$36,'Daily evaluations'!$B$2:$B$36,"=random_17",'Daily evaluations'!$C$2:$C$36,"=d20260924"),"")</f>
      </c>
      <c r="F173" s="8">
        <f>IF((0=1),SUMIFS('Daily evaluations'!$I$2:$I$36,'Daily evaluations'!$B$2:$B$36,"=random_17",'Daily evaluations'!$C$2:$C$36,"=d20260925"),"")</f>
      </c>
      <c r="G173" s="8">
        <f>IF((0=1),SUMIFS('Daily evaluations'!$I$2:$I$36,'Daily evaluations'!$B$2:$B$36,"=random_17",'Daily evaluations'!$C$2:$C$36,"=d20260928"),"")</f>
      </c>
      <c r="H173" s="8">
        <f>IF((0=1),SUMIFS('Daily evaluations'!$I$2:$I$36,'Daily evaluations'!$B$2:$B$36,"=random_17",'Daily evaluations'!$C$2:$C$36,"=d20260929"),"")</f>
      </c>
      <c r="I173" s="8">
        <f>IF((0=1),SUMIFS('Daily evaluations'!$I$2:$I$36,'Daily evaluations'!$B$2:$B$36,"=random_17",'Daily evaluations'!$C$2:$C$36,"=d20260930"),"")</f>
      </c>
      <c r="J173" s="8">
        <f>IF((0=1),SUMIFS('Daily evaluations'!$I$2:$I$36,'Daily evaluations'!$B$2:$B$36,"=random_17",'Daily evaluations'!$C$2:$C$36,"=d20261001"),"")</f>
      </c>
      <c r="K173" s="8">
        <f>IF((0=1),SUMIFS('Daily evaluations'!$I$2:$I$36,'Daily evaluations'!$B$2:$B$36,"=random_17",'Daily evaluations'!$C$2:$C$36,"=d20261002"),"")</f>
      </c>
      <c r="L173" s="8">
        <f>IF((0=1),SUMIFS('Daily evaluations'!$I$2:$I$36,'Daily evaluations'!$B$2:$B$36,"=random_17",'Daily evaluations'!$C$2:$C$36,"=d20261005"),"")</f>
      </c>
      <c r="M173" s="8">
        <f>IF((0=1),SUMIFS('Daily evaluations'!$I$2:$I$36,'Daily evaluations'!$B$2:$B$36,"=random_17",'Daily evaluations'!$C$2:$C$36,"=d20261006"),"")</f>
      </c>
      <c r="N173" s="8">
        <f>IF((0=1),SUMIFS('Daily evaluations'!$I$2:$I$36,'Daily evaluations'!$B$2:$B$36,"=random_17",'Daily evaluations'!$C$2:$C$36,"=d20261007"),"")</f>
      </c>
      <c r="O173" s="8">
        <f>IF((0=1),SUMIFS('Daily evaluations'!$I$2:$I$36,'Daily evaluations'!$B$2:$B$36,"=random_17",'Daily evaluations'!$C$2:$C$36,"=d20261008"),"")</f>
      </c>
      <c r="P173" s="8">
        <f>IF((0=1),SUMIFS('Daily evaluations'!$I$2:$I$36,'Daily evaluations'!$B$2:$B$36,"=random_17",'Daily evaluations'!$C$2:$C$36,"=d20261009"),"")</f>
      </c>
      <c r="Q173" s="8">
        <f>IF((0=1),SUMIFS('Daily evaluations'!$I$2:$I$36,'Daily evaluations'!$B$2:$B$36,"=random_17",'Daily evaluations'!$C$2:$C$36,"=d20261012"),"")</f>
      </c>
      <c r="R173" s="8">
        <f>IF((0=1),SUMIFS('Daily evaluations'!$I$2:$I$36,'Daily evaluations'!$B$2:$B$36,"=random_17",'Daily evaluations'!$C$2:$C$36,"=d20261013"),"")</f>
      </c>
      <c r="S173" s="8">
        <f>IF((0=1),SUMIFS('Daily evaluations'!$I$2:$I$36,'Daily evaluations'!$B$2:$B$36,"=random_17",'Daily evaluations'!$C$2:$C$36,"=d20261014"),"")</f>
      </c>
      <c r="T173" s="8">
        <f>IF((0=1),SUMIFS('Daily evaluations'!$I$2:$I$36,'Daily evaluations'!$B$2:$B$36,"=random_17",'Daily evaluations'!$C$2:$C$36,"=d20261015"),"")</f>
      </c>
      <c r="U173" s="8">
        <f>IF((0=1),SUMIFS('Daily evaluations'!$I$2:$I$36,'Daily evaluations'!$B$2:$B$36,"=random_17",'Daily evaluations'!$C$2:$C$36,"=d20261016"),"")</f>
      </c>
      <c r="V173" s="8">
        <f>IF((0=1),SUMIFS('Daily evaluations'!$I$2:$I$36,'Daily evaluations'!$B$2:$B$36,"=random_17",'Daily evaluations'!$C$2:$C$36,"=d20261019"),"")</f>
      </c>
      <c r="W173" s="8">
        <f>IF((0=1),SUMIFS('Daily evaluations'!$I$2:$I$36,'Daily evaluations'!$B$2:$B$36,"=random_17",'Daily evaluations'!$C$2:$C$36,"=d20261020"),"")</f>
      </c>
      <c r="X173" s="8">
        <f>IF((0=1),SUMIFS('Daily evaluations'!$I$2:$I$36,'Daily evaluations'!$B$2:$B$36,"=random_17",'Daily evaluations'!$C$2:$C$36,"=d20261021"),"")</f>
      </c>
      <c r="Y173" s="8">
        <f>IF((0=1),SUMIFS('Daily evaluations'!$I$2:$I$36,'Daily evaluations'!$B$2:$B$36,"=random_17",'Daily evaluations'!$C$2:$C$36,"=d20261022"),"")</f>
      </c>
      <c r="Z173" s="8">
        <f>IF((0=1),SUMIFS('Daily evaluations'!$I$2:$I$36,'Daily evaluations'!$B$2:$B$36,"=random_17",'Daily evaluations'!$C$2:$C$36,"=d20261023"),"")</f>
      </c>
      <c r="AA173" s="8">
        <f>IF((0=1),SUMIFS('Daily evaluations'!$I$2:$I$36,'Daily evaluations'!$B$2:$B$36,"=random_17",'Daily evaluations'!$C$2:$C$36,"=d20261026"),"")</f>
      </c>
      <c r="AB173" s="8">
        <f>IF((0=1),SUMIFS('Daily evaluations'!$I$2:$I$36,'Daily evaluations'!$B$2:$B$36,"=random_17",'Daily evaluations'!$C$2:$C$36,"=d20261027"),"")</f>
      </c>
      <c r="AC173" s="8">
        <f>IF((0=1),SUMIFS('Daily evaluations'!$I$2:$I$36,'Daily evaluations'!$B$2:$B$36,"=random_17",'Daily evaluations'!$C$2:$C$36,"=d20261028"),"")</f>
      </c>
      <c r="AD173" s="8">
        <f>IF((0=1),SUMIFS('Daily evaluations'!$I$2:$I$36,'Daily evaluations'!$B$2:$B$36,"=random_17",'Daily evaluations'!$C$2:$C$36,"=d20261029"),"")</f>
      </c>
      <c r="AE173" s="8">
        <f>IF((0=1),SUMIFS('Daily evaluations'!$I$2:$I$36,'Daily evaluations'!$B$2:$B$36,"=random_17",'Daily evaluations'!$C$2:$C$36,"=d20261030"),"")</f>
      </c>
      <c r="AF173" s="8">
        <f>IF((0=1),SUMIFS('Daily evaluations'!$I$2:$I$36,'Daily evaluations'!$B$2:$B$36,"=random_17",'Daily evaluations'!$C$2:$C$36,"=d20261102"),"")</f>
      </c>
      <c r="AG173" s="8">
        <f>IF((0=1),SUMIFS('Daily evaluations'!$I$2:$I$36,'Daily evaluations'!$B$2:$B$36,"=random_17",'Daily evaluations'!$C$2:$C$36,"=d20261103"),"")</f>
      </c>
      <c r="AH173" s="8">
        <f>IF((0=1),SUMIFS('Daily evaluations'!$I$2:$I$36,'Daily evaluations'!$B$2:$B$36,"=random_17",'Daily evaluations'!$C$2:$C$36,"=d20261104"),"")</f>
      </c>
      <c r="AI173" s="8">
        <f>IF((0=1),SUMIFS('Daily evaluations'!$I$2:$I$36,'Daily evaluations'!$B$2:$B$36,"=random_17",'Daily evaluations'!$C$2:$C$36,"=d20261105"),"")</f>
      </c>
      <c r="AJ173" s="8">
        <f>IF((0=1),SUMIFS('Daily evaluations'!$I$2:$I$36,'Daily evaluations'!$B$2:$B$36,"=random_17",'Daily evaluations'!$C$2:$C$36,"=d20261106"),"")</f>
      </c>
      <c r="AK173" s="8">
        <f>IF((0=1),SUMIFS('Daily evaluations'!$I$2:$I$36,'Daily evaluations'!$B$2:$B$36,"=random_17",'Daily evaluations'!$C$2:$C$36,"=d20261109"),"")</f>
      </c>
      <c r="AL173" s="8">
        <f>IF((0=1),SUMIFS('Daily evaluations'!$I$2:$I$36,'Daily evaluations'!$B$2:$B$36,"=random_17",'Daily evaluations'!$C$2:$C$36,"=d20261110"),"")</f>
      </c>
      <c r="AM173" s="8">
        <f>IF((0=1),SUMIFS('Daily evaluations'!$I$2:$I$36,'Daily evaluations'!$B$2:$B$36,"=random_17",'Daily evaluations'!$C$2:$C$36,"=d20261111"),"")</f>
      </c>
      <c r="AN173" s="8">
        <f>IF((0=1),SUMIFS('Daily evaluations'!$I$2:$I$36,'Daily evaluations'!$B$2:$B$36,"=random_17",'Daily evaluations'!$C$2:$C$36,"=d20261112"),"")</f>
      </c>
      <c r="AO173" s="8">
        <f>IF((0=1),SUMIFS('Daily evaluations'!$I$2:$I$36,'Daily evaluations'!$B$2:$B$36,"=random_17",'Daily evaluations'!$C$2:$C$36,"=d20261113"),"")</f>
      </c>
      <c r="AP173" s="8">
        <f>IF((0=1),SUMIFS('Daily evaluations'!$I$2:$I$36,'Daily evaluations'!$B$2:$B$36,"=random_17",'Daily evaluations'!$C$2:$C$36,"=d20261116"),"")</f>
      </c>
      <c r="AQ173" s="8">
        <f>IF((0=1),SUMIFS('Daily evaluations'!$I$2:$I$36,'Daily evaluations'!$B$2:$B$36,"=random_17",'Daily evaluations'!$C$2:$C$36,"=d20261117"),"")</f>
      </c>
      <c r="AR173" s="8">
        <f>IF((0=1),SUMIFS('Daily evaluations'!$I$2:$I$36,'Daily evaluations'!$B$2:$B$36,"=random_17",'Daily evaluations'!$C$2:$C$36,"=d20261118"),"")</f>
      </c>
      <c r="AS173" s="8">
        <f>IF((0=1),SUMIFS('Daily evaluations'!$I$2:$I$36,'Daily evaluations'!$B$2:$B$36,"=random_17",'Daily evaluations'!$C$2:$C$36,"=d20261119"),"")</f>
      </c>
      <c r="AT173" s="8">
        <f>IF((0=1),SUMIFS('Daily evaluations'!$I$2:$I$36,'Daily evaluations'!$B$2:$B$36,"=random_17",'Daily evaluations'!$C$2:$C$36,"=d20261120"),"")</f>
      </c>
      <c r="AU173" s="8">
        <f>IF((0=1),SUMIFS('Daily evaluations'!$I$2:$I$36,'Daily evaluations'!$B$2:$B$36,"=random_17",'Daily evaluations'!$C$2:$C$36,"=d20261123"),"")</f>
      </c>
      <c r="AV173" s="8">
        <f>IF((0=1),SUMIFS('Daily evaluations'!$I$2:$I$36,'Daily evaluations'!$B$2:$B$36,"=random_17",'Daily evaluations'!$C$2:$C$36,"=d20261124"),"")</f>
      </c>
      <c r="AW173" s="8">
        <f>IF((0=1),SUMIFS('Daily evaluations'!$I$2:$I$36,'Daily evaluations'!$B$2:$B$36,"=random_17",'Daily evaluations'!$C$2:$C$36,"=d20261125"),"")</f>
      </c>
      <c r="AX173" s="8">
        <f>IF((0=1),SUMIFS('Daily evaluations'!$I$2:$I$36,'Daily evaluations'!$B$2:$B$36,"=random_17",'Daily evaluations'!$C$2:$C$36,"=d20261127"),"")</f>
      </c>
      <c r="AY173" s="8">
        <f>IF((0=1),SUMIFS('Daily evaluations'!$I$2:$I$36,'Daily evaluations'!$B$2:$B$36,"=random_17",'Daily evaluations'!$C$2:$C$36,"=d20261130"),"")</f>
      </c>
      <c r="AZ173" s="8">
        <f>IF((0=1),SUMIFS('Daily evaluations'!$I$2:$I$36,'Daily evaluations'!$B$2:$B$36,"=random_17",'Daily evaluations'!$C$2:$C$36,"=d20261201"),"")</f>
      </c>
      <c r="BA173" s="8">
        <f>IF((0=1),SUMIFS('Daily evaluations'!$I$2:$I$36,'Daily evaluations'!$B$2:$B$36,"=random_17",'Daily evaluations'!$C$2:$C$36,"=d20261202"),"")</f>
      </c>
      <c r="BB173" s="8">
        <f>IF((0=1),SUMIFS('Daily evaluations'!$I$2:$I$36,'Daily evaluations'!$B$2:$B$36,"=random_17",'Daily evaluations'!$C$2:$C$36,"=d20261203"),"")</f>
      </c>
      <c r="BC173" s="8">
        <f>IF((0=1),SUMIFS('Daily evaluations'!$I$2:$I$36,'Daily evaluations'!$B$2:$B$36,"=random_17",'Daily evaluations'!$C$2:$C$36,"=d20261204"),"")</f>
      </c>
      <c r="BD173" s="8">
        <f>IF((0=1),SUMIFS('Daily evaluations'!$I$2:$I$36,'Daily evaluations'!$B$2:$B$36,"=random_17",'Daily evaluations'!$C$2:$C$36,"=d20261207"),"")</f>
      </c>
      <c r="BE173" s="8">
        <f>IF((0=1),SUMIFS('Daily evaluations'!$I$2:$I$36,'Daily evaluations'!$B$2:$B$36,"=random_17",'Daily evaluations'!$C$2:$C$36,"=d20261208"),"")</f>
      </c>
      <c r="BF173" s="8">
        <f>IF((0=1),SUMIFS('Daily evaluations'!$I$2:$I$36,'Daily evaluations'!$B$2:$B$36,"=random_17",'Daily evaluations'!$C$2:$C$36,"=d20261209"),"")</f>
      </c>
      <c r="BG173" s="8">
        <f>IF((0=1),SUMIFS('Daily evaluations'!$I$2:$I$36,'Daily evaluations'!$B$2:$B$36,"=random_17",'Daily evaluations'!$C$2:$C$36,"=d20261210"),"")</f>
      </c>
      <c r="BH173" s="8">
        <f>IF((0=1),SUMIFS('Daily evaluations'!$I$2:$I$36,'Daily evaluations'!$B$2:$B$36,"=random_17",'Daily evaluations'!$C$2:$C$36,"=d20261211"),"")</f>
      </c>
      <c r="BI173" s="8">
        <f>IF((0=1),SUMIFS('Daily evaluations'!$I$2:$I$36,'Daily evaluations'!$B$2:$B$36,"=random_17",'Daily evaluations'!$C$2:$C$36,"=d20261214"),"")</f>
      </c>
      <c r="BJ173" s="8">
        <f>IF((0=1),SUMIFS('Daily evaluations'!$I$2:$I$36,'Daily evaluations'!$B$2:$B$36,"=random_17",'Daily evaluations'!$C$2:$C$36,"=d20261215"),"")</f>
      </c>
      <c r="BK173" s="8">
        <f>IF((0=1),SUMIFS('Daily evaluations'!$I$2:$I$36,'Daily evaluations'!$B$2:$B$36,"=random_17",'Daily evaluations'!$C$2:$C$36,"=d20261216"),"")</f>
      </c>
      <c r="BL173" s="8">
        <f>IF((0=1),SUMIFS('Daily evaluations'!$I$2:$I$36,'Daily evaluations'!$B$2:$B$36,"=random_17",'Daily evaluations'!$C$2:$C$36,"=d20261217"),"")</f>
      </c>
      <c r="BM173" s="8">
        <f>IF((0=1),SUMIFS('Daily evaluations'!$I$2:$I$36,'Daily evaluations'!$B$2:$B$36,"=random_17",'Daily evaluations'!$C$2:$C$36,"=d20261218"),"")</f>
      </c>
      <c r="BN173" s="8">
        <f>IF((0=1),SUMIFS('Daily evaluations'!$I$2:$I$36,'Daily evaluations'!$B$2:$B$36,"=random_17",'Daily evaluations'!$C$2:$C$36,"=d20261221"),"")</f>
      </c>
      <c r="BO173" s="8">
        <f>IF((0=1),SUMIFS('Daily evaluations'!$I$2:$I$36,'Daily evaluations'!$B$2:$B$36,"=random_17",'Daily evaluations'!$C$2:$C$36,"=d20261222"),"")</f>
      </c>
      <c r="BP173" s="8">
        <f>IF((0=1),SUMIFS('Daily evaluations'!$I$2:$I$36,'Daily evaluations'!$B$2:$B$36,"=random_17",'Daily evaluations'!$C$2:$C$36,"=d20261223"),"")</f>
      </c>
      <c r="BQ173" s="8">
        <f>IF((0=1),SUMIFS('Daily evaluations'!$I$2:$I$36,'Daily evaluations'!$B$2:$B$36,"=random_17",'Daily evaluations'!$C$2:$C$36,"=d20261224"),"")</f>
      </c>
      <c r="BR173" s="8">
        <f>IF((0=1),SUMIFS('Daily evaluations'!$I$2:$I$36,'Daily evaluations'!$B$2:$B$36,"=random_17",'Daily evaluations'!$C$2:$C$36,"=d20261228"),"")</f>
      </c>
      <c r="BS173" s="8">
        <f>IF((0=1),SUMIFS('Daily evaluations'!$I$2:$I$36,'Daily evaluations'!$B$2:$B$36,"=random_17",'Daily evaluations'!$C$2:$C$36,"=d20261229"),"")</f>
      </c>
      <c r="BT173" s="8">
        <f>IF((0=1),SUMIFS('Daily evaluations'!$I$2:$I$36,'Daily evaluations'!$B$2:$B$36,"=random_17",'Daily evaluations'!$C$2:$C$36,"=d20261230"),"")</f>
      </c>
      <c r="BU173" s="8">
        <f>IF((0=1),SUMIFS('Daily evaluations'!$I$2:$I$36,'Daily evaluations'!$B$2:$B$36,"=random_17",'Daily evaluations'!$C$2:$C$36,"=d20261231"),"")</f>
      </c>
      <c r="BV173" s="8">
        <f>IF((0=1),SUMIFS('Daily evaluations'!$I$2:$I$36,'Daily evaluations'!$B$2:$B$36,"=random_17",'Daily evaluations'!$C$2:$C$36,"=d20270104"),"")</f>
      </c>
      <c r="BW173" s="8">
        <f>IF((0=1),SUMIFS('Daily evaluations'!$I$2:$I$36,'Daily evaluations'!$B$2:$B$36,"=random_17",'Daily evaluations'!$C$2:$C$36,"=d20270105"),"")</f>
      </c>
      <c r="BX173" s="8">
        <f>IF((0=1),SUMIFS('Daily evaluations'!$I$2:$I$36,'Daily evaluations'!$B$2:$B$36,"=random_17",'Daily evaluations'!$C$2:$C$36,"=d20270106"),"")</f>
      </c>
      <c r="BY173" s="8">
        <f>IF((0=1),SUMIFS('Daily evaluations'!$I$2:$I$36,'Daily evaluations'!$B$2:$B$36,"=random_17",'Daily evaluations'!$C$2:$C$36,"=d20270107"),"")</f>
      </c>
      <c r="BZ173" s="8">
        <f>IF((0=1),SUMIFS('Daily evaluations'!$I$2:$I$36,'Daily evaluations'!$B$2:$B$36,"=random_17",'Daily evaluations'!$C$2:$C$36,"=d20270108"),"")</f>
      </c>
      <c r="CA173" s="8">
        <f>IF((0=1),SUMIFS('Daily evaluations'!$I$2:$I$36,'Daily evaluations'!$B$2:$B$36,"=random_17",'Daily evaluations'!$C$2:$C$36,"=d20270111"),"")</f>
      </c>
      <c r="CB173" s="8">
        <f>IF((0=1),SUMIFS('Daily evaluations'!$I$2:$I$36,'Daily evaluations'!$B$2:$B$36,"=random_17",'Daily evaluations'!$C$2:$C$36,"=d20270112"),"")</f>
      </c>
      <c r="CC173" s="8">
        <f>IF((0=1),SUMIFS('Daily evaluations'!$I$2:$I$36,'Daily evaluations'!$B$2:$B$36,"=random_17",'Daily evaluations'!$C$2:$C$36,"=d20270113"),"")</f>
      </c>
      <c r="CD173" s="8">
        <f>IF((0=1),SUMIFS('Daily evaluations'!$I$2:$I$36,'Daily evaluations'!$B$2:$B$36,"=random_17",'Daily evaluations'!$C$2:$C$36,"=d20270114"),"")</f>
      </c>
      <c r="CE173" s="8">
        <f>IF((0=1),SUMIFS('Daily evaluations'!$I$2:$I$36,'Daily evaluations'!$B$2:$B$36,"=random_17",'Daily evaluations'!$C$2:$C$36,"=d20270115"),"")</f>
      </c>
      <c r="CF173" s="8">
        <f>IF((0=1),SUMIFS('Daily evaluations'!$I$2:$I$36,'Daily evaluations'!$B$2:$B$36,"=random_17",'Daily evaluations'!$C$2:$C$36,"=d20270119"),"")</f>
      </c>
      <c r="CG173" s="8">
        <f>IF((0=1),SUMIFS('Daily evaluations'!$I$2:$I$36,'Daily evaluations'!$B$2:$B$36,"=random_17",'Daily evaluations'!$C$2:$C$36,"=d20270120"),"")</f>
      </c>
      <c r="CH173" s="8">
        <f>IF((0=1),SUMIFS('Daily evaluations'!$I$2:$I$36,'Daily evaluations'!$B$2:$B$36,"=random_17",'Daily evaluations'!$C$2:$C$36,"=d20270121"),"")</f>
      </c>
      <c r="CI173" s="8">
        <f>IF((0=1),SUMIFS('Daily evaluations'!$I$2:$I$36,'Daily evaluations'!$B$2:$B$36,"=random_17",'Daily evaluations'!$C$2:$C$36,"=d20270122"),"")</f>
      </c>
      <c r="CJ173" s="8">
        <f>IF((0=1),SUMIFS('Daily evaluations'!$I$2:$I$36,'Daily evaluations'!$B$2:$B$36,"=random_17",'Daily evaluations'!$C$2:$C$36,"=d20270125"),"")</f>
      </c>
      <c r="CK173" s="8">
        <f>IF((0=1),SUMIFS('Daily evaluations'!$I$2:$I$36,'Daily evaluations'!$B$2:$B$36,"=random_17",'Daily evaluations'!$C$2:$C$36,"=d20270126"),"")</f>
      </c>
      <c r="CL173" s="8">
        <f>IF((0=1),SUMIFS('Daily evaluations'!$I$2:$I$36,'Daily evaluations'!$B$2:$B$36,"=random_17",'Daily evaluations'!$C$2:$C$36,"=d20270127"),"")</f>
      </c>
      <c r="CM173" s="8">
        <f>IF((0=1),SUMIFS('Daily evaluations'!$I$2:$I$36,'Daily evaluations'!$B$2:$B$36,"=random_17",'Daily evaluations'!$C$2:$C$36,"=d20270128"),"")</f>
      </c>
      <c r="CN173" s="8">
        <f>IF((0=1),SUMIFS('Daily evaluations'!$I$2:$I$36,'Daily evaluations'!$B$2:$B$36,"=random_17",'Daily evaluations'!$C$2:$C$36,"=d20270129"),"")</f>
      </c>
      <c r="CO173" s="8">
        <f>IF((0=1),SUMIFS('Daily evaluations'!$I$2:$I$36,'Daily evaluations'!$B$2:$B$36,"=random_17",'Daily evaluations'!$C$2:$C$36,"=d20270201"),"")</f>
      </c>
      <c r="CP173" s="8">
        <f>IF((0=1),SUMIFS('Daily evaluations'!$I$2:$I$36,'Daily evaluations'!$B$2:$B$36,"=random_17",'Daily evaluations'!$C$2:$C$36,"=d20270202"),"")</f>
      </c>
      <c r="CQ173" s="8">
        <f>IF((0=1),SUMIFS('Daily evaluations'!$I$2:$I$36,'Daily evaluations'!$B$2:$B$36,"=random_17",'Daily evaluations'!$C$2:$C$36,"=d20270203"),"")</f>
      </c>
      <c r="CR173" s="8">
        <f>IF((0=1),SUMIFS('Daily evaluations'!$I$2:$I$36,'Daily evaluations'!$B$2:$B$36,"=random_17",'Daily evaluations'!$C$2:$C$36,"=d20270204"),"")</f>
      </c>
      <c r="CS173" s="8">
        <f>IF((0=1),SUMIFS('Daily evaluations'!$I$2:$I$36,'Daily evaluations'!$B$2:$B$36,"=random_17",'Daily evaluations'!$C$2:$C$36,"=d20270205"),"")</f>
      </c>
      <c r="CT173" s="8">
        <f>IF((0=1),SUMIFS('Daily evaluations'!$I$2:$I$36,'Daily evaluations'!$B$2:$B$36,"=random_17",'Daily evaluations'!$C$2:$C$36,"=d20270208"),"")</f>
      </c>
      <c r="CU173" s="8">
        <f>IF((0=1),SUMIFS('Daily evaluations'!$I$2:$I$36,'Daily evaluations'!$B$2:$B$36,"=random_17",'Daily evaluations'!$C$2:$C$36,"=d20270209"),"")</f>
      </c>
      <c r="CV173" s="8">
        <f>IF((0=1),SUMIFS('Daily evaluations'!$I$2:$I$36,'Daily evaluations'!$B$2:$B$36,"=random_17",'Daily evaluations'!$C$2:$C$36,"=d20270210"),"")</f>
      </c>
      <c r="CW173" s="8">
        <f>IF((0=1),SUMIFS('Daily evaluations'!$I$2:$I$36,'Daily evaluations'!$B$2:$B$36,"=random_17",'Daily evaluations'!$C$2:$C$36,"=d20270211"),"")</f>
      </c>
      <c r="CX173" s="8">
        <f>IF((0=1),SUMIFS('Daily evaluations'!$I$2:$I$36,'Daily evaluations'!$B$2:$B$36,"=random_17",'Daily evaluations'!$C$2:$C$36,"=d20270212"),"")</f>
      </c>
    </row>
    <row r="174">
      <c r="A174" s="0" t="inlineStr">
        <is>
          <t xml:space="preserve">Information coefficient</t>
        </is>
      </c>
      <c r="B174" s="0" t="inlineStr">
        <is>
          <t xml:space="preserve">Random 18</t>
        </is>
      </c>
      <c r="C174" s="8">
        <f>IF((1=1),SUMIFS('Daily evaluations'!$I$2:$I$36,'Daily evaluations'!$B$2:$B$36,"=random_18",'Daily evaluations'!$C$2:$C$36,"=d20260922"),"")</f>
        <v>0.007</v>
      </c>
      <c r="D174" s="8">
        <f>IF((0=1),SUMIFS('Daily evaluations'!$I$2:$I$36,'Daily evaluations'!$B$2:$B$36,"=random_18",'Daily evaluations'!$C$2:$C$36,"=d20260923"),"")</f>
      </c>
      <c r="E174" s="8">
        <f>IF((0=1),SUMIFS('Daily evaluations'!$I$2:$I$36,'Daily evaluations'!$B$2:$B$36,"=random_18",'Daily evaluations'!$C$2:$C$36,"=d20260924"),"")</f>
      </c>
      <c r="F174" s="8">
        <f>IF((0=1),SUMIFS('Daily evaluations'!$I$2:$I$36,'Daily evaluations'!$B$2:$B$36,"=random_18",'Daily evaluations'!$C$2:$C$36,"=d20260925"),"")</f>
      </c>
      <c r="G174" s="8">
        <f>IF((0=1),SUMIFS('Daily evaluations'!$I$2:$I$36,'Daily evaluations'!$B$2:$B$36,"=random_18",'Daily evaluations'!$C$2:$C$36,"=d20260928"),"")</f>
      </c>
      <c r="H174" s="8">
        <f>IF((0=1),SUMIFS('Daily evaluations'!$I$2:$I$36,'Daily evaluations'!$B$2:$B$36,"=random_18",'Daily evaluations'!$C$2:$C$36,"=d20260929"),"")</f>
      </c>
      <c r="I174" s="8">
        <f>IF((0=1),SUMIFS('Daily evaluations'!$I$2:$I$36,'Daily evaluations'!$B$2:$B$36,"=random_18",'Daily evaluations'!$C$2:$C$36,"=d20260930"),"")</f>
      </c>
      <c r="J174" s="8">
        <f>IF((0=1),SUMIFS('Daily evaluations'!$I$2:$I$36,'Daily evaluations'!$B$2:$B$36,"=random_18",'Daily evaluations'!$C$2:$C$36,"=d20261001"),"")</f>
      </c>
      <c r="K174" s="8">
        <f>IF((0=1),SUMIFS('Daily evaluations'!$I$2:$I$36,'Daily evaluations'!$B$2:$B$36,"=random_18",'Daily evaluations'!$C$2:$C$36,"=d20261002"),"")</f>
      </c>
      <c r="L174" s="8">
        <f>IF((0=1),SUMIFS('Daily evaluations'!$I$2:$I$36,'Daily evaluations'!$B$2:$B$36,"=random_18",'Daily evaluations'!$C$2:$C$36,"=d20261005"),"")</f>
      </c>
      <c r="M174" s="8">
        <f>IF((0=1),SUMIFS('Daily evaluations'!$I$2:$I$36,'Daily evaluations'!$B$2:$B$36,"=random_18",'Daily evaluations'!$C$2:$C$36,"=d20261006"),"")</f>
      </c>
      <c r="N174" s="8">
        <f>IF((0=1),SUMIFS('Daily evaluations'!$I$2:$I$36,'Daily evaluations'!$B$2:$B$36,"=random_18",'Daily evaluations'!$C$2:$C$36,"=d20261007"),"")</f>
      </c>
      <c r="O174" s="8">
        <f>IF((0=1),SUMIFS('Daily evaluations'!$I$2:$I$36,'Daily evaluations'!$B$2:$B$36,"=random_18",'Daily evaluations'!$C$2:$C$36,"=d20261008"),"")</f>
      </c>
      <c r="P174" s="8">
        <f>IF((0=1),SUMIFS('Daily evaluations'!$I$2:$I$36,'Daily evaluations'!$B$2:$B$36,"=random_18",'Daily evaluations'!$C$2:$C$36,"=d20261009"),"")</f>
      </c>
      <c r="Q174" s="8">
        <f>IF((0=1),SUMIFS('Daily evaluations'!$I$2:$I$36,'Daily evaluations'!$B$2:$B$36,"=random_18",'Daily evaluations'!$C$2:$C$36,"=d20261012"),"")</f>
      </c>
      <c r="R174" s="8">
        <f>IF((0=1),SUMIFS('Daily evaluations'!$I$2:$I$36,'Daily evaluations'!$B$2:$B$36,"=random_18",'Daily evaluations'!$C$2:$C$36,"=d20261013"),"")</f>
      </c>
      <c r="S174" s="8">
        <f>IF((0=1),SUMIFS('Daily evaluations'!$I$2:$I$36,'Daily evaluations'!$B$2:$B$36,"=random_18",'Daily evaluations'!$C$2:$C$36,"=d20261014"),"")</f>
      </c>
      <c r="T174" s="8">
        <f>IF((0=1),SUMIFS('Daily evaluations'!$I$2:$I$36,'Daily evaluations'!$B$2:$B$36,"=random_18",'Daily evaluations'!$C$2:$C$36,"=d20261015"),"")</f>
      </c>
      <c r="U174" s="8">
        <f>IF((0=1),SUMIFS('Daily evaluations'!$I$2:$I$36,'Daily evaluations'!$B$2:$B$36,"=random_18",'Daily evaluations'!$C$2:$C$36,"=d20261016"),"")</f>
      </c>
      <c r="V174" s="8">
        <f>IF((0=1),SUMIFS('Daily evaluations'!$I$2:$I$36,'Daily evaluations'!$B$2:$B$36,"=random_18",'Daily evaluations'!$C$2:$C$36,"=d20261019"),"")</f>
      </c>
      <c r="W174" s="8">
        <f>IF((0=1),SUMIFS('Daily evaluations'!$I$2:$I$36,'Daily evaluations'!$B$2:$B$36,"=random_18",'Daily evaluations'!$C$2:$C$36,"=d20261020"),"")</f>
      </c>
      <c r="X174" s="8">
        <f>IF((0=1),SUMIFS('Daily evaluations'!$I$2:$I$36,'Daily evaluations'!$B$2:$B$36,"=random_18",'Daily evaluations'!$C$2:$C$36,"=d20261021"),"")</f>
      </c>
      <c r="Y174" s="8">
        <f>IF((0=1),SUMIFS('Daily evaluations'!$I$2:$I$36,'Daily evaluations'!$B$2:$B$36,"=random_18",'Daily evaluations'!$C$2:$C$36,"=d20261022"),"")</f>
      </c>
      <c r="Z174" s="8">
        <f>IF((0=1),SUMIFS('Daily evaluations'!$I$2:$I$36,'Daily evaluations'!$B$2:$B$36,"=random_18",'Daily evaluations'!$C$2:$C$36,"=d20261023"),"")</f>
      </c>
      <c r="AA174" s="8">
        <f>IF((0=1),SUMIFS('Daily evaluations'!$I$2:$I$36,'Daily evaluations'!$B$2:$B$36,"=random_18",'Daily evaluations'!$C$2:$C$36,"=d20261026"),"")</f>
      </c>
      <c r="AB174" s="8">
        <f>IF((0=1),SUMIFS('Daily evaluations'!$I$2:$I$36,'Daily evaluations'!$B$2:$B$36,"=random_18",'Daily evaluations'!$C$2:$C$36,"=d20261027"),"")</f>
      </c>
      <c r="AC174" s="8">
        <f>IF((0=1),SUMIFS('Daily evaluations'!$I$2:$I$36,'Daily evaluations'!$B$2:$B$36,"=random_18",'Daily evaluations'!$C$2:$C$36,"=d20261028"),"")</f>
      </c>
      <c r="AD174" s="8">
        <f>IF((0=1),SUMIFS('Daily evaluations'!$I$2:$I$36,'Daily evaluations'!$B$2:$B$36,"=random_18",'Daily evaluations'!$C$2:$C$36,"=d20261029"),"")</f>
      </c>
      <c r="AE174" s="8">
        <f>IF((0=1),SUMIFS('Daily evaluations'!$I$2:$I$36,'Daily evaluations'!$B$2:$B$36,"=random_18",'Daily evaluations'!$C$2:$C$36,"=d20261030"),"")</f>
      </c>
      <c r="AF174" s="8">
        <f>IF((0=1),SUMIFS('Daily evaluations'!$I$2:$I$36,'Daily evaluations'!$B$2:$B$36,"=random_18",'Daily evaluations'!$C$2:$C$36,"=d20261102"),"")</f>
      </c>
      <c r="AG174" s="8">
        <f>IF((0=1),SUMIFS('Daily evaluations'!$I$2:$I$36,'Daily evaluations'!$B$2:$B$36,"=random_18",'Daily evaluations'!$C$2:$C$36,"=d20261103"),"")</f>
      </c>
      <c r="AH174" s="8">
        <f>IF((0=1),SUMIFS('Daily evaluations'!$I$2:$I$36,'Daily evaluations'!$B$2:$B$36,"=random_18",'Daily evaluations'!$C$2:$C$36,"=d20261104"),"")</f>
      </c>
      <c r="AI174" s="8">
        <f>IF((0=1),SUMIFS('Daily evaluations'!$I$2:$I$36,'Daily evaluations'!$B$2:$B$36,"=random_18",'Daily evaluations'!$C$2:$C$36,"=d20261105"),"")</f>
      </c>
      <c r="AJ174" s="8">
        <f>IF((0=1),SUMIFS('Daily evaluations'!$I$2:$I$36,'Daily evaluations'!$B$2:$B$36,"=random_18",'Daily evaluations'!$C$2:$C$36,"=d20261106"),"")</f>
      </c>
      <c r="AK174" s="8">
        <f>IF((0=1),SUMIFS('Daily evaluations'!$I$2:$I$36,'Daily evaluations'!$B$2:$B$36,"=random_18",'Daily evaluations'!$C$2:$C$36,"=d20261109"),"")</f>
      </c>
      <c r="AL174" s="8">
        <f>IF((0=1),SUMIFS('Daily evaluations'!$I$2:$I$36,'Daily evaluations'!$B$2:$B$36,"=random_18",'Daily evaluations'!$C$2:$C$36,"=d20261110"),"")</f>
      </c>
      <c r="AM174" s="8">
        <f>IF((0=1),SUMIFS('Daily evaluations'!$I$2:$I$36,'Daily evaluations'!$B$2:$B$36,"=random_18",'Daily evaluations'!$C$2:$C$36,"=d20261111"),"")</f>
      </c>
      <c r="AN174" s="8">
        <f>IF((0=1),SUMIFS('Daily evaluations'!$I$2:$I$36,'Daily evaluations'!$B$2:$B$36,"=random_18",'Daily evaluations'!$C$2:$C$36,"=d20261112"),"")</f>
      </c>
      <c r="AO174" s="8">
        <f>IF((0=1),SUMIFS('Daily evaluations'!$I$2:$I$36,'Daily evaluations'!$B$2:$B$36,"=random_18",'Daily evaluations'!$C$2:$C$36,"=d20261113"),"")</f>
      </c>
      <c r="AP174" s="8">
        <f>IF((0=1),SUMIFS('Daily evaluations'!$I$2:$I$36,'Daily evaluations'!$B$2:$B$36,"=random_18",'Daily evaluations'!$C$2:$C$36,"=d20261116"),"")</f>
      </c>
      <c r="AQ174" s="8">
        <f>IF((0=1),SUMIFS('Daily evaluations'!$I$2:$I$36,'Daily evaluations'!$B$2:$B$36,"=random_18",'Daily evaluations'!$C$2:$C$36,"=d20261117"),"")</f>
      </c>
      <c r="AR174" s="8">
        <f>IF((0=1),SUMIFS('Daily evaluations'!$I$2:$I$36,'Daily evaluations'!$B$2:$B$36,"=random_18",'Daily evaluations'!$C$2:$C$36,"=d20261118"),"")</f>
      </c>
      <c r="AS174" s="8">
        <f>IF((0=1),SUMIFS('Daily evaluations'!$I$2:$I$36,'Daily evaluations'!$B$2:$B$36,"=random_18",'Daily evaluations'!$C$2:$C$36,"=d20261119"),"")</f>
      </c>
      <c r="AT174" s="8">
        <f>IF((0=1),SUMIFS('Daily evaluations'!$I$2:$I$36,'Daily evaluations'!$B$2:$B$36,"=random_18",'Daily evaluations'!$C$2:$C$36,"=d20261120"),"")</f>
      </c>
      <c r="AU174" s="8">
        <f>IF((0=1),SUMIFS('Daily evaluations'!$I$2:$I$36,'Daily evaluations'!$B$2:$B$36,"=random_18",'Daily evaluations'!$C$2:$C$36,"=d20261123"),"")</f>
      </c>
      <c r="AV174" s="8">
        <f>IF((0=1),SUMIFS('Daily evaluations'!$I$2:$I$36,'Daily evaluations'!$B$2:$B$36,"=random_18",'Daily evaluations'!$C$2:$C$36,"=d20261124"),"")</f>
      </c>
      <c r="AW174" s="8">
        <f>IF((0=1),SUMIFS('Daily evaluations'!$I$2:$I$36,'Daily evaluations'!$B$2:$B$36,"=random_18",'Daily evaluations'!$C$2:$C$36,"=d20261125"),"")</f>
      </c>
      <c r="AX174" s="8">
        <f>IF((0=1),SUMIFS('Daily evaluations'!$I$2:$I$36,'Daily evaluations'!$B$2:$B$36,"=random_18",'Daily evaluations'!$C$2:$C$36,"=d20261127"),"")</f>
      </c>
      <c r="AY174" s="8">
        <f>IF((0=1),SUMIFS('Daily evaluations'!$I$2:$I$36,'Daily evaluations'!$B$2:$B$36,"=random_18",'Daily evaluations'!$C$2:$C$36,"=d20261130"),"")</f>
      </c>
      <c r="AZ174" s="8">
        <f>IF((0=1),SUMIFS('Daily evaluations'!$I$2:$I$36,'Daily evaluations'!$B$2:$B$36,"=random_18",'Daily evaluations'!$C$2:$C$36,"=d20261201"),"")</f>
      </c>
      <c r="BA174" s="8">
        <f>IF((0=1),SUMIFS('Daily evaluations'!$I$2:$I$36,'Daily evaluations'!$B$2:$B$36,"=random_18",'Daily evaluations'!$C$2:$C$36,"=d20261202"),"")</f>
      </c>
      <c r="BB174" s="8">
        <f>IF((0=1),SUMIFS('Daily evaluations'!$I$2:$I$36,'Daily evaluations'!$B$2:$B$36,"=random_18",'Daily evaluations'!$C$2:$C$36,"=d20261203"),"")</f>
      </c>
      <c r="BC174" s="8">
        <f>IF((0=1),SUMIFS('Daily evaluations'!$I$2:$I$36,'Daily evaluations'!$B$2:$B$36,"=random_18",'Daily evaluations'!$C$2:$C$36,"=d20261204"),"")</f>
      </c>
      <c r="BD174" s="8">
        <f>IF((0=1),SUMIFS('Daily evaluations'!$I$2:$I$36,'Daily evaluations'!$B$2:$B$36,"=random_18",'Daily evaluations'!$C$2:$C$36,"=d20261207"),"")</f>
      </c>
      <c r="BE174" s="8">
        <f>IF((0=1),SUMIFS('Daily evaluations'!$I$2:$I$36,'Daily evaluations'!$B$2:$B$36,"=random_18",'Daily evaluations'!$C$2:$C$36,"=d20261208"),"")</f>
      </c>
      <c r="BF174" s="8">
        <f>IF((0=1),SUMIFS('Daily evaluations'!$I$2:$I$36,'Daily evaluations'!$B$2:$B$36,"=random_18",'Daily evaluations'!$C$2:$C$36,"=d20261209"),"")</f>
      </c>
      <c r="BG174" s="8">
        <f>IF((0=1),SUMIFS('Daily evaluations'!$I$2:$I$36,'Daily evaluations'!$B$2:$B$36,"=random_18",'Daily evaluations'!$C$2:$C$36,"=d20261210"),"")</f>
      </c>
      <c r="BH174" s="8">
        <f>IF((0=1),SUMIFS('Daily evaluations'!$I$2:$I$36,'Daily evaluations'!$B$2:$B$36,"=random_18",'Daily evaluations'!$C$2:$C$36,"=d20261211"),"")</f>
      </c>
      <c r="BI174" s="8">
        <f>IF((0=1),SUMIFS('Daily evaluations'!$I$2:$I$36,'Daily evaluations'!$B$2:$B$36,"=random_18",'Daily evaluations'!$C$2:$C$36,"=d20261214"),"")</f>
      </c>
      <c r="BJ174" s="8">
        <f>IF((0=1),SUMIFS('Daily evaluations'!$I$2:$I$36,'Daily evaluations'!$B$2:$B$36,"=random_18",'Daily evaluations'!$C$2:$C$36,"=d20261215"),"")</f>
      </c>
      <c r="BK174" s="8">
        <f>IF((0=1),SUMIFS('Daily evaluations'!$I$2:$I$36,'Daily evaluations'!$B$2:$B$36,"=random_18",'Daily evaluations'!$C$2:$C$36,"=d20261216"),"")</f>
      </c>
      <c r="BL174" s="8">
        <f>IF((0=1),SUMIFS('Daily evaluations'!$I$2:$I$36,'Daily evaluations'!$B$2:$B$36,"=random_18",'Daily evaluations'!$C$2:$C$36,"=d20261217"),"")</f>
      </c>
      <c r="BM174" s="8">
        <f>IF((0=1),SUMIFS('Daily evaluations'!$I$2:$I$36,'Daily evaluations'!$B$2:$B$36,"=random_18",'Daily evaluations'!$C$2:$C$36,"=d20261218"),"")</f>
      </c>
      <c r="BN174" s="8">
        <f>IF((0=1),SUMIFS('Daily evaluations'!$I$2:$I$36,'Daily evaluations'!$B$2:$B$36,"=random_18",'Daily evaluations'!$C$2:$C$36,"=d20261221"),"")</f>
      </c>
      <c r="BO174" s="8">
        <f>IF((0=1),SUMIFS('Daily evaluations'!$I$2:$I$36,'Daily evaluations'!$B$2:$B$36,"=random_18",'Daily evaluations'!$C$2:$C$36,"=d20261222"),"")</f>
      </c>
      <c r="BP174" s="8">
        <f>IF((0=1),SUMIFS('Daily evaluations'!$I$2:$I$36,'Daily evaluations'!$B$2:$B$36,"=random_18",'Daily evaluations'!$C$2:$C$36,"=d20261223"),"")</f>
      </c>
      <c r="BQ174" s="8">
        <f>IF((0=1),SUMIFS('Daily evaluations'!$I$2:$I$36,'Daily evaluations'!$B$2:$B$36,"=random_18",'Daily evaluations'!$C$2:$C$36,"=d20261224"),"")</f>
      </c>
      <c r="BR174" s="8">
        <f>IF((0=1),SUMIFS('Daily evaluations'!$I$2:$I$36,'Daily evaluations'!$B$2:$B$36,"=random_18",'Daily evaluations'!$C$2:$C$36,"=d20261228"),"")</f>
      </c>
      <c r="BS174" s="8">
        <f>IF((0=1),SUMIFS('Daily evaluations'!$I$2:$I$36,'Daily evaluations'!$B$2:$B$36,"=random_18",'Daily evaluations'!$C$2:$C$36,"=d20261229"),"")</f>
      </c>
      <c r="BT174" s="8">
        <f>IF((0=1),SUMIFS('Daily evaluations'!$I$2:$I$36,'Daily evaluations'!$B$2:$B$36,"=random_18",'Daily evaluations'!$C$2:$C$36,"=d20261230"),"")</f>
      </c>
      <c r="BU174" s="8">
        <f>IF((0=1),SUMIFS('Daily evaluations'!$I$2:$I$36,'Daily evaluations'!$B$2:$B$36,"=random_18",'Daily evaluations'!$C$2:$C$36,"=d20261231"),"")</f>
      </c>
      <c r="BV174" s="8">
        <f>IF((0=1),SUMIFS('Daily evaluations'!$I$2:$I$36,'Daily evaluations'!$B$2:$B$36,"=random_18",'Daily evaluations'!$C$2:$C$36,"=d20270104"),"")</f>
      </c>
      <c r="BW174" s="8">
        <f>IF((0=1),SUMIFS('Daily evaluations'!$I$2:$I$36,'Daily evaluations'!$B$2:$B$36,"=random_18",'Daily evaluations'!$C$2:$C$36,"=d20270105"),"")</f>
      </c>
      <c r="BX174" s="8">
        <f>IF((0=1),SUMIFS('Daily evaluations'!$I$2:$I$36,'Daily evaluations'!$B$2:$B$36,"=random_18",'Daily evaluations'!$C$2:$C$36,"=d20270106"),"")</f>
      </c>
      <c r="BY174" s="8">
        <f>IF((0=1),SUMIFS('Daily evaluations'!$I$2:$I$36,'Daily evaluations'!$B$2:$B$36,"=random_18",'Daily evaluations'!$C$2:$C$36,"=d20270107"),"")</f>
      </c>
      <c r="BZ174" s="8">
        <f>IF((0=1),SUMIFS('Daily evaluations'!$I$2:$I$36,'Daily evaluations'!$B$2:$B$36,"=random_18",'Daily evaluations'!$C$2:$C$36,"=d20270108"),"")</f>
      </c>
      <c r="CA174" s="8">
        <f>IF((0=1),SUMIFS('Daily evaluations'!$I$2:$I$36,'Daily evaluations'!$B$2:$B$36,"=random_18",'Daily evaluations'!$C$2:$C$36,"=d20270111"),"")</f>
      </c>
      <c r="CB174" s="8">
        <f>IF((0=1),SUMIFS('Daily evaluations'!$I$2:$I$36,'Daily evaluations'!$B$2:$B$36,"=random_18",'Daily evaluations'!$C$2:$C$36,"=d20270112"),"")</f>
      </c>
      <c r="CC174" s="8">
        <f>IF((0=1),SUMIFS('Daily evaluations'!$I$2:$I$36,'Daily evaluations'!$B$2:$B$36,"=random_18",'Daily evaluations'!$C$2:$C$36,"=d20270113"),"")</f>
      </c>
      <c r="CD174" s="8">
        <f>IF((0=1),SUMIFS('Daily evaluations'!$I$2:$I$36,'Daily evaluations'!$B$2:$B$36,"=random_18",'Daily evaluations'!$C$2:$C$36,"=d20270114"),"")</f>
      </c>
      <c r="CE174" s="8">
        <f>IF((0=1),SUMIFS('Daily evaluations'!$I$2:$I$36,'Daily evaluations'!$B$2:$B$36,"=random_18",'Daily evaluations'!$C$2:$C$36,"=d20270115"),"")</f>
      </c>
      <c r="CF174" s="8">
        <f>IF((0=1),SUMIFS('Daily evaluations'!$I$2:$I$36,'Daily evaluations'!$B$2:$B$36,"=random_18",'Daily evaluations'!$C$2:$C$36,"=d20270119"),"")</f>
      </c>
      <c r="CG174" s="8">
        <f>IF((0=1),SUMIFS('Daily evaluations'!$I$2:$I$36,'Daily evaluations'!$B$2:$B$36,"=random_18",'Daily evaluations'!$C$2:$C$36,"=d20270120"),"")</f>
      </c>
      <c r="CH174" s="8">
        <f>IF((0=1),SUMIFS('Daily evaluations'!$I$2:$I$36,'Daily evaluations'!$B$2:$B$36,"=random_18",'Daily evaluations'!$C$2:$C$36,"=d20270121"),"")</f>
      </c>
      <c r="CI174" s="8">
        <f>IF((0=1),SUMIFS('Daily evaluations'!$I$2:$I$36,'Daily evaluations'!$B$2:$B$36,"=random_18",'Daily evaluations'!$C$2:$C$36,"=d20270122"),"")</f>
      </c>
      <c r="CJ174" s="8">
        <f>IF((0=1),SUMIFS('Daily evaluations'!$I$2:$I$36,'Daily evaluations'!$B$2:$B$36,"=random_18",'Daily evaluations'!$C$2:$C$36,"=d20270125"),"")</f>
      </c>
      <c r="CK174" s="8">
        <f>IF((0=1),SUMIFS('Daily evaluations'!$I$2:$I$36,'Daily evaluations'!$B$2:$B$36,"=random_18",'Daily evaluations'!$C$2:$C$36,"=d20270126"),"")</f>
      </c>
      <c r="CL174" s="8">
        <f>IF((0=1),SUMIFS('Daily evaluations'!$I$2:$I$36,'Daily evaluations'!$B$2:$B$36,"=random_18",'Daily evaluations'!$C$2:$C$36,"=d20270127"),"")</f>
      </c>
      <c r="CM174" s="8">
        <f>IF((0=1),SUMIFS('Daily evaluations'!$I$2:$I$36,'Daily evaluations'!$B$2:$B$36,"=random_18",'Daily evaluations'!$C$2:$C$36,"=d20270128"),"")</f>
      </c>
      <c r="CN174" s="8">
        <f>IF((0=1),SUMIFS('Daily evaluations'!$I$2:$I$36,'Daily evaluations'!$B$2:$B$36,"=random_18",'Daily evaluations'!$C$2:$C$36,"=d20270129"),"")</f>
      </c>
      <c r="CO174" s="8">
        <f>IF((0=1),SUMIFS('Daily evaluations'!$I$2:$I$36,'Daily evaluations'!$B$2:$B$36,"=random_18",'Daily evaluations'!$C$2:$C$36,"=d20270201"),"")</f>
      </c>
      <c r="CP174" s="8">
        <f>IF((0=1),SUMIFS('Daily evaluations'!$I$2:$I$36,'Daily evaluations'!$B$2:$B$36,"=random_18",'Daily evaluations'!$C$2:$C$36,"=d20270202"),"")</f>
      </c>
      <c r="CQ174" s="8">
        <f>IF((0=1),SUMIFS('Daily evaluations'!$I$2:$I$36,'Daily evaluations'!$B$2:$B$36,"=random_18",'Daily evaluations'!$C$2:$C$36,"=d20270203"),"")</f>
      </c>
      <c r="CR174" s="8">
        <f>IF((0=1),SUMIFS('Daily evaluations'!$I$2:$I$36,'Daily evaluations'!$B$2:$B$36,"=random_18",'Daily evaluations'!$C$2:$C$36,"=d20270204"),"")</f>
      </c>
      <c r="CS174" s="8">
        <f>IF((0=1),SUMIFS('Daily evaluations'!$I$2:$I$36,'Daily evaluations'!$B$2:$B$36,"=random_18",'Daily evaluations'!$C$2:$C$36,"=d20270205"),"")</f>
      </c>
      <c r="CT174" s="8">
        <f>IF((0=1),SUMIFS('Daily evaluations'!$I$2:$I$36,'Daily evaluations'!$B$2:$B$36,"=random_18",'Daily evaluations'!$C$2:$C$36,"=d20270208"),"")</f>
      </c>
      <c r="CU174" s="8">
        <f>IF((0=1),SUMIFS('Daily evaluations'!$I$2:$I$36,'Daily evaluations'!$B$2:$B$36,"=random_18",'Daily evaluations'!$C$2:$C$36,"=d20270209"),"")</f>
      </c>
      <c r="CV174" s="8">
        <f>IF((0=1),SUMIFS('Daily evaluations'!$I$2:$I$36,'Daily evaluations'!$B$2:$B$36,"=random_18",'Daily evaluations'!$C$2:$C$36,"=d20270210"),"")</f>
      </c>
      <c r="CW174" s="8">
        <f>IF((0=1),SUMIFS('Daily evaluations'!$I$2:$I$36,'Daily evaluations'!$B$2:$B$36,"=random_18",'Daily evaluations'!$C$2:$C$36,"=d20270211"),"")</f>
      </c>
      <c r="CX174" s="8">
        <f>IF((0=1),SUMIFS('Daily evaluations'!$I$2:$I$36,'Daily evaluations'!$B$2:$B$36,"=random_18",'Daily evaluations'!$C$2:$C$36,"=d20270212"),"")</f>
      </c>
    </row>
    <row r="175">
      <c r="A175" s="0" t="inlineStr">
        <is>
          <t xml:space="preserve">Information coefficient</t>
        </is>
      </c>
      <c r="B175" s="0" t="inlineStr">
        <is>
          <t xml:space="preserve">Random 19</t>
        </is>
      </c>
      <c r="C175" s="8">
        <f>IF((1=1),SUMIFS('Daily evaluations'!$I$2:$I$36,'Daily evaluations'!$B$2:$B$36,"=random_19",'Daily evaluations'!$C$2:$C$36,"=d20260922"),"")</f>
        <v>-0.0102</v>
      </c>
      <c r="D175" s="8">
        <f>IF((0=1),SUMIFS('Daily evaluations'!$I$2:$I$36,'Daily evaluations'!$B$2:$B$36,"=random_19",'Daily evaluations'!$C$2:$C$36,"=d20260923"),"")</f>
      </c>
      <c r="E175" s="8">
        <f>IF((0=1),SUMIFS('Daily evaluations'!$I$2:$I$36,'Daily evaluations'!$B$2:$B$36,"=random_19",'Daily evaluations'!$C$2:$C$36,"=d20260924"),"")</f>
      </c>
      <c r="F175" s="8">
        <f>IF((0=1),SUMIFS('Daily evaluations'!$I$2:$I$36,'Daily evaluations'!$B$2:$B$36,"=random_19",'Daily evaluations'!$C$2:$C$36,"=d20260925"),"")</f>
      </c>
      <c r="G175" s="8">
        <f>IF((0=1),SUMIFS('Daily evaluations'!$I$2:$I$36,'Daily evaluations'!$B$2:$B$36,"=random_19",'Daily evaluations'!$C$2:$C$36,"=d20260928"),"")</f>
      </c>
      <c r="H175" s="8">
        <f>IF((0=1),SUMIFS('Daily evaluations'!$I$2:$I$36,'Daily evaluations'!$B$2:$B$36,"=random_19",'Daily evaluations'!$C$2:$C$36,"=d20260929"),"")</f>
      </c>
      <c r="I175" s="8">
        <f>IF((0=1),SUMIFS('Daily evaluations'!$I$2:$I$36,'Daily evaluations'!$B$2:$B$36,"=random_19",'Daily evaluations'!$C$2:$C$36,"=d20260930"),"")</f>
      </c>
      <c r="J175" s="8">
        <f>IF((0=1),SUMIFS('Daily evaluations'!$I$2:$I$36,'Daily evaluations'!$B$2:$B$36,"=random_19",'Daily evaluations'!$C$2:$C$36,"=d20261001"),"")</f>
      </c>
      <c r="K175" s="8">
        <f>IF((0=1),SUMIFS('Daily evaluations'!$I$2:$I$36,'Daily evaluations'!$B$2:$B$36,"=random_19",'Daily evaluations'!$C$2:$C$36,"=d20261002"),"")</f>
      </c>
      <c r="L175" s="8">
        <f>IF((0=1),SUMIFS('Daily evaluations'!$I$2:$I$36,'Daily evaluations'!$B$2:$B$36,"=random_19",'Daily evaluations'!$C$2:$C$36,"=d20261005"),"")</f>
      </c>
      <c r="M175" s="8">
        <f>IF((0=1),SUMIFS('Daily evaluations'!$I$2:$I$36,'Daily evaluations'!$B$2:$B$36,"=random_19",'Daily evaluations'!$C$2:$C$36,"=d20261006"),"")</f>
      </c>
      <c r="N175" s="8">
        <f>IF((0=1),SUMIFS('Daily evaluations'!$I$2:$I$36,'Daily evaluations'!$B$2:$B$36,"=random_19",'Daily evaluations'!$C$2:$C$36,"=d20261007"),"")</f>
      </c>
      <c r="O175" s="8">
        <f>IF((0=1),SUMIFS('Daily evaluations'!$I$2:$I$36,'Daily evaluations'!$B$2:$B$36,"=random_19",'Daily evaluations'!$C$2:$C$36,"=d20261008"),"")</f>
      </c>
      <c r="P175" s="8">
        <f>IF((0=1),SUMIFS('Daily evaluations'!$I$2:$I$36,'Daily evaluations'!$B$2:$B$36,"=random_19",'Daily evaluations'!$C$2:$C$36,"=d20261009"),"")</f>
      </c>
      <c r="Q175" s="8">
        <f>IF((0=1),SUMIFS('Daily evaluations'!$I$2:$I$36,'Daily evaluations'!$B$2:$B$36,"=random_19",'Daily evaluations'!$C$2:$C$36,"=d20261012"),"")</f>
      </c>
      <c r="R175" s="8">
        <f>IF((0=1),SUMIFS('Daily evaluations'!$I$2:$I$36,'Daily evaluations'!$B$2:$B$36,"=random_19",'Daily evaluations'!$C$2:$C$36,"=d20261013"),"")</f>
      </c>
      <c r="S175" s="8">
        <f>IF((0=1),SUMIFS('Daily evaluations'!$I$2:$I$36,'Daily evaluations'!$B$2:$B$36,"=random_19",'Daily evaluations'!$C$2:$C$36,"=d20261014"),"")</f>
      </c>
      <c r="T175" s="8">
        <f>IF((0=1),SUMIFS('Daily evaluations'!$I$2:$I$36,'Daily evaluations'!$B$2:$B$36,"=random_19",'Daily evaluations'!$C$2:$C$36,"=d20261015"),"")</f>
      </c>
      <c r="U175" s="8">
        <f>IF((0=1),SUMIFS('Daily evaluations'!$I$2:$I$36,'Daily evaluations'!$B$2:$B$36,"=random_19",'Daily evaluations'!$C$2:$C$36,"=d20261016"),"")</f>
      </c>
      <c r="V175" s="8">
        <f>IF((0=1),SUMIFS('Daily evaluations'!$I$2:$I$36,'Daily evaluations'!$B$2:$B$36,"=random_19",'Daily evaluations'!$C$2:$C$36,"=d20261019"),"")</f>
      </c>
      <c r="W175" s="8">
        <f>IF((0=1),SUMIFS('Daily evaluations'!$I$2:$I$36,'Daily evaluations'!$B$2:$B$36,"=random_19",'Daily evaluations'!$C$2:$C$36,"=d20261020"),"")</f>
      </c>
      <c r="X175" s="8">
        <f>IF((0=1),SUMIFS('Daily evaluations'!$I$2:$I$36,'Daily evaluations'!$B$2:$B$36,"=random_19",'Daily evaluations'!$C$2:$C$36,"=d20261021"),"")</f>
      </c>
      <c r="Y175" s="8">
        <f>IF((0=1),SUMIFS('Daily evaluations'!$I$2:$I$36,'Daily evaluations'!$B$2:$B$36,"=random_19",'Daily evaluations'!$C$2:$C$36,"=d20261022"),"")</f>
      </c>
      <c r="Z175" s="8">
        <f>IF((0=1),SUMIFS('Daily evaluations'!$I$2:$I$36,'Daily evaluations'!$B$2:$B$36,"=random_19",'Daily evaluations'!$C$2:$C$36,"=d20261023"),"")</f>
      </c>
      <c r="AA175" s="8">
        <f>IF((0=1),SUMIFS('Daily evaluations'!$I$2:$I$36,'Daily evaluations'!$B$2:$B$36,"=random_19",'Daily evaluations'!$C$2:$C$36,"=d20261026"),"")</f>
      </c>
      <c r="AB175" s="8">
        <f>IF((0=1),SUMIFS('Daily evaluations'!$I$2:$I$36,'Daily evaluations'!$B$2:$B$36,"=random_19",'Daily evaluations'!$C$2:$C$36,"=d20261027"),"")</f>
      </c>
      <c r="AC175" s="8">
        <f>IF((0=1),SUMIFS('Daily evaluations'!$I$2:$I$36,'Daily evaluations'!$B$2:$B$36,"=random_19",'Daily evaluations'!$C$2:$C$36,"=d20261028"),"")</f>
      </c>
      <c r="AD175" s="8">
        <f>IF((0=1),SUMIFS('Daily evaluations'!$I$2:$I$36,'Daily evaluations'!$B$2:$B$36,"=random_19",'Daily evaluations'!$C$2:$C$36,"=d20261029"),"")</f>
      </c>
      <c r="AE175" s="8">
        <f>IF((0=1),SUMIFS('Daily evaluations'!$I$2:$I$36,'Daily evaluations'!$B$2:$B$36,"=random_19",'Daily evaluations'!$C$2:$C$36,"=d20261030"),"")</f>
      </c>
      <c r="AF175" s="8">
        <f>IF((0=1),SUMIFS('Daily evaluations'!$I$2:$I$36,'Daily evaluations'!$B$2:$B$36,"=random_19",'Daily evaluations'!$C$2:$C$36,"=d20261102"),"")</f>
      </c>
      <c r="AG175" s="8">
        <f>IF((0=1),SUMIFS('Daily evaluations'!$I$2:$I$36,'Daily evaluations'!$B$2:$B$36,"=random_19",'Daily evaluations'!$C$2:$C$36,"=d20261103"),"")</f>
      </c>
      <c r="AH175" s="8">
        <f>IF((0=1),SUMIFS('Daily evaluations'!$I$2:$I$36,'Daily evaluations'!$B$2:$B$36,"=random_19",'Daily evaluations'!$C$2:$C$36,"=d20261104"),"")</f>
      </c>
      <c r="AI175" s="8">
        <f>IF((0=1),SUMIFS('Daily evaluations'!$I$2:$I$36,'Daily evaluations'!$B$2:$B$36,"=random_19",'Daily evaluations'!$C$2:$C$36,"=d20261105"),"")</f>
      </c>
      <c r="AJ175" s="8">
        <f>IF((0=1),SUMIFS('Daily evaluations'!$I$2:$I$36,'Daily evaluations'!$B$2:$B$36,"=random_19",'Daily evaluations'!$C$2:$C$36,"=d20261106"),"")</f>
      </c>
      <c r="AK175" s="8">
        <f>IF((0=1),SUMIFS('Daily evaluations'!$I$2:$I$36,'Daily evaluations'!$B$2:$B$36,"=random_19",'Daily evaluations'!$C$2:$C$36,"=d20261109"),"")</f>
      </c>
      <c r="AL175" s="8">
        <f>IF((0=1),SUMIFS('Daily evaluations'!$I$2:$I$36,'Daily evaluations'!$B$2:$B$36,"=random_19",'Daily evaluations'!$C$2:$C$36,"=d20261110"),"")</f>
      </c>
      <c r="AM175" s="8">
        <f>IF((0=1),SUMIFS('Daily evaluations'!$I$2:$I$36,'Daily evaluations'!$B$2:$B$36,"=random_19",'Daily evaluations'!$C$2:$C$36,"=d20261111"),"")</f>
      </c>
      <c r="AN175" s="8">
        <f>IF((0=1),SUMIFS('Daily evaluations'!$I$2:$I$36,'Daily evaluations'!$B$2:$B$36,"=random_19",'Daily evaluations'!$C$2:$C$36,"=d20261112"),"")</f>
      </c>
      <c r="AO175" s="8">
        <f>IF((0=1),SUMIFS('Daily evaluations'!$I$2:$I$36,'Daily evaluations'!$B$2:$B$36,"=random_19",'Daily evaluations'!$C$2:$C$36,"=d20261113"),"")</f>
      </c>
      <c r="AP175" s="8">
        <f>IF((0=1),SUMIFS('Daily evaluations'!$I$2:$I$36,'Daily evaluations'!$B$2:$B$36,"=random_19",'Daily evaluations'!$C$2:$C$36,"=d20261116"),"")</f>
      </c>
      <c r="AQ175" s="8">
        <f>IF((0=1),SUMIFS('Daily evaluations'!$I$2:$I$36,'Daily evaluations'!$B$2:$B$36,"=random_19",'Daily evaluations'!$C$2:$C$36,"=d20261117"),"")</f>
      </c>
      <c r="AR175" s="8">
        <f>IF((0=1),SUMIFS('Daily evaluations'!$I$2:$I$36,'Daily evaluations'!$B$2:$B$36,"=random_19",'Daily evaluations'!$C$2:$C$36,"=d20261118"),"")</f>
      </c>
      <c r="AS175" s="8">
        <f>IF((0=1),SUMIFS('Daily evaluations'!$I$2:$I$36,'Daily evaluations'!$B$2:$B$36,"=random_19",'Daily evaluations'!$C$2:$C$36,"=d20261119"),"")</f>
      </c>
      <c r="AT175" s="8">
        <f>IF((0=1),SUMIFS('Daily evaluations'!$I$2:$I$36,'Daily evaluations'!$B$2:$B$36,"=random_19",'Daily evaluations'!$C$2:$C$36,"=d20261120"),"")</f>
      </c>
      <c r="AU175" s="8">
        <f>IF((0=1),SUMIFS('Daily evaluations'!$I$2:$I$36,'Daily evaluations'!$B$2:$B$36,"=random_19",'Daily evaluations'!$C$2:$C$36,"=d20261123"),"")</f>
      </c>
      <c r="AV175" s="8">
        <f>IF((0=1),SUMIFS('Daily evaluations'!$I$2:$I$36,'Daily evaluations'!$B$2:$B$36,"=random_19",'Daily evaluations'!$C$2:$C$36,"=d20261124"),"")</f>
      </c>
      <c r="AW175" s="8">
        <f>IF((0=1),SUMIFS('Daily evaluations'!$I$2:$I$36,'Daily evaluations'!$B$2:$B$36,"=random_19",'Daily evaluations'!$C$2:$C$36,"=d20261125"),"")</f>
      </c>
      <c r="AX175" s="8">
        <f>IF((0=1),SUMIFS('Daily evaluations'!$I$2:$I$36,'Daily evaluations'!$B$2:$B$36,"=random_19",'Daily evaluations'!$C$2:$C$36,"=d20261127"),"")</f>
      </c>
      <c r="AY175" s="8">
        <f>IF((0=1),SUMIFS('Daily evaluations'!$I$2:$I$36,'Daily evaluations'!$B$2:$B$36,"=random_19",'Daily evaluations'!$C$2:$C$36,"=d20261130"),"")</f>
      </c>
      <c r="AZ175" s="8">
        <f>IF((0=1),SUMIFS('Daily evaluations'!$I$2:$I$36,'Daily evaluations'!$B$2:$B$36,"=random_19",'Daily evaluations'!$C$2:$C$36,"=d20261201"),"")</f>
      </c>
      <c r="BA175" s="8">
        <f>IF((0=1),SUMIFS('Daily evaluations'!$I$2:$I$36,'Daily evaluations'!$B$2:$B$36,"=random_19",'Daily evaluations'!$C$2:$C$36,"=d20261202"),"")</f>
      </c>
      <c r="BB175" s="8">
        <f>IF((0=1),SUMIFS('Daily evaluations'!$I$2:$I$36,'Daily evaluations'!$B$2:$B$36,"=random_19",'Daily evaluations'!$C$2:$C$36,"=d20261203"),"")</f>
      </c>
      <c r="BC175" s="8">
        <f>IF((0=1),SUMIFS('Daily evaluations'!$I$2:$I$36,'Daily evaluations'!$B$2:$B$36,"=random_19",'Daily evaluations'!$C$2:$C$36,"=d20261204"),"")</f>
      </c>
      <c r="BD175" s="8">
        <f>IF((0=1),SUMIFS('Daily evaluations'!$I$2:$I$36,'Daily evaluations'!$B$2:$B$36,"=random_19",'Daily evaluations'!$C$2:$C$36,"=d20261207"),"")</f>
      </c>
      <c r="BE175" s="8">
        <f>IF((0=1),SUMIFS('Daily evaluations'!$I$2:$I$36,'Daily evaluations'!$B$2:$B$36,"=random_19",'Daily evaluations'!$C$2:$C$36,"=d20261208"),"")</f>
      </c>
      <c r="BF175" s="8">
        <f>IF((0=1),SUMIFS('Daily evaluations'!$I$2:$I$36,'Daily evaluations'!$B$2:$B$36,"=random_19",'Daily evaluations'!$C$2:$C$36,"=d20261209"),"")</f>
      </c>
      <c r="BG175" s="8">
        <f>IF((0=1),SUMIFS('Daily evaluations'!$I$2:$I$36,'Daily evaluations'!$B$2:$B$36,"=random_19",'Daily evaluations'!$C$2:$C$36,"=d20261210"),"")</f>
      </c>
      <c r="BH175" s="8">
        <f>IF((0=1),SUMIFS('Daily evaluations'!$I$2:$I$36,'Daily evaluations'!$B$2:$B$36,"=random_19",'Daily evaluations'!$C$2:$C$36,"=d20261211"),"")</f>
      </c>
      <c r="BI175" s="8">
        <f>IF((0=1),SUMIFS('Daily evaluations'!$I$2:$I$36,'Daily evaluations'!$B$2:$B$36,"=random_19",'Daily evaluations'!$C$2:$C$36,"=d20261214"),"")</f>
      </c>
      <c r="BJ175" s="8">
        <f>IF((0=1),SUMIFS('Daily evaluations'!$I$2:$I$36,'Daily evaluations'!$B$2:$B$36,"=random_19",'Daily evaluations'!$C$2:$C$36,"=d20261215"),"")</f>
      </c>
      <c r="BK175" s="8">
        <f>IF((0=1),SUMIFS('Daily evaluations'!$I$2:$I$36,'Daily evaluations'!$B$2:$B$36,"=random_19",'Daily evaluations'!$C$2:$C$36,"=d20261216"),"")</f>
      </c>
      <c r="BL175" s="8">
        <f>IF((0=1),SUMIFS('Daily evaluations'!$I$2:$I$36,'Daily evaluations'!$B$2:$B$36,"=random_19",'Daily evaluations'!$C$2:$C$36,"=d20261217"),"")</f>
      </c>
      <c r="BM175" s="8">
        <f>IF((0=1),SUMIFS('Daily evaluations'!$I$2:$I$36,'Daily evaluations'!$B$2:$B$36,"=random_19",'Daily evaluations'!$C$2:$C$36,"=d20261218"),"")</f>
      </c>
      <c r="BN175" s="8">
        <f>IF((0=1),SUMIFS('Daily evaluations'!$I$2:$I$36,'Daily evaluations'!$B$2:$B$36,"=random_19",'Daily evaluations'!$C$2:$C$36,"=d20261221"),"")</f>
      </c>
      <c r="BO175" s="8">
        <f>IF((0=1),SUMIFS('Daily evaluations'!$I$2:$I$36,'Daily evaluations'!$B$2:$B$36,"=random_19",'Daily evaluations'!$C$2:$C$36,"=d20261222"),"")</f>
      </c>
      <c r="BP175" s="8">
        <f>IF((0=1),SUMIFS('Daily evaluations'!$I$2:$I$36,'Daily evaluations'!$B$2:$B$36,"=random_19",'Daily evaluations'!$C$2:$C$36,"=d20261223"),"")</f>
      </c>
      <c r="BQ175" s="8">
        <f>IF((0=1),SUMIFS('Daily evaluations'!$I$2:$I$36,'Daily evaluations'!$B$2:$B$36,"=random_19",'Daily evaluations'!$C$2:$C$36,"=d20261224"),"")</f>
      </c>
      <c r="BR175" s="8">
        <f>IF((0=1),SUMIFS('Daily evaluations'!$I$2:$I$36,'Daily evaluations'!$B$2:$B$36,"=random_19",'Daily evaluations'!$C$2:$C$36,"=d20261228"),"")</f>
      </c>
      <c r="BS175" s="8">
        <f>IF((0=1),SUMIFS('Daily evaluations'!$I$2:$I$36,'Daily evaluations'!$B$2:$B$36,"=random_19",'Daily evaluations'!$C$2:$C$36,"=d20261229"),"")</f>
      </c>
      <c r="BT175" s="8">
        <f>IF((0=1),SUMIFS('Daily evaluations'!$I$2:$I$36,'Daily evaluations'!$B$2:$B$36,"=random_19",'Daily evaluations'!$C$2:$C$36,"=d20261230"),"")</f>
      </c>
      <c r="BU175" s="8">
        <f>IF((0=1),SUMIFS('Daily evaluations'!$I$2:$I$36,'Daily evaluations'!$B$2:$B$36,"=random_19",'Daily evaluations'!$C$2:$C$36,"=d20261231"),"")</f>
      </c>
      <c r="BV175" s="8">
        <f>IF((0=1),SUMIFS('Daily evaluations'!$I$2:$I$36,'Daily evaluations'!$B$2:$B$36,"=random_19",'Daily evaluations'!$C$2:$C$36,"=d20270104"),"")</f>
      </c>
      <c r="BW175" s="8">
        <f>IF((0=1),SUMIFS('Daily evaluations'!$I$2:$I$36,'Daily evaluations'!$B$2:$B$36,"=random_19",'Daily evaluations'!$C$2:$C$36,"=d20270105"),"")</f>
      </c>
      <c r="BX175" s="8">
        <f>IF((0=1),SUMIFS('Daily evaluations'!$I$2:$I$36,'Daily evaluations'!$B$2:$B$36,"=random_19",'Daily evaluations'!$C$2:$C$36,"=d20270106"),"")</f>
      </c>
      <c r="BY175" s="8">
        <f>IF((0=1),SUMIFS('Daily evaluations'!$I$2:$I$36,'Daily evaluations'!$B$2:$B$36,"=random_19",'Daily evaluations'!$C$2:$C$36,"=d20270107"),"")</f>
      </c>
      <c r="BZ175" s="8">
        <f>IF((0=1),SUMIFS('Daily evaluations'!$I$2:$I$36,'Daily evaluations'!$B$2:$B$36,"=random_19",'Daily evaluations'!$C$2:$C$36,"=d20270108"),"")</f>
      </c>
      <c r="CA175" s="8">
        <f>IF((0=1),SUMIFS('Daily evaluations'!$I$2:$I$36,'Daily evaluations'!$B$2:$B$36,"=random_19",'Daily evaluations'!$C$2:$C$36,"=d20270111"),"")</f>
      </c>
      <c r="CB175" s="8">
        <f>IF((0=1),SUMIFS('Daily evaluations'!$I$2:$I$36,'Daily evaluations'!$B$2:$B$36,"=random_19",'Daily evaluations'!$C$2:$C$36,"=d20270112"),"")</f>
      </c>
      <c r="CC175" s="8">
        <f>IF((0=1),SUMIFS('Daily evaluations'!$I$2:$I$36,'Daily evaluations'!$B$2:$B$36,"=random_19",'Daily evaluations'!$C$2:$C$36,"=d20270113"),"")</f>
      </c>
      <c r="CD175" s="8">
        <f>IF((0=1),SUMIFS('Daily evaluations'!$I$2:$I$36,'Daily evaluations'!$B$2:$B$36,"=random_19",'Daily evaluations'!$C$2:$C$36,"=d20270114"),"")</f>
      </c>
      <c r="CE175" s="8">
        <f>IF((0=1),SUMIFS('Daily evaluations'!$I$2:$I$36,'Daily evaluations'!$B$2:$B$36,"=random_19",'Daily evaluations'!$C$2:$C$36,"=d20270115"),"")</f>
      </c>
      <c r="CF175" s="8">
        <f>IF((0=1),SUMIFS('Daily evaluations'!$I$2:$I$36,'Daily evaluations'!$B$2:$B$36,"=random_19",'Daily evaluations'!$C$2:$C$36,"=d20270119"),"")</f>
      </c>
      <c r="CG175" s="8">
        <f>IF((0=1),SUMIFS('Daily evaluations'!$I$2:$I$36,'Daily evaluations'!$B$2:$B$36,"=random_19",'Daily evaluations'!$C$2:$C$36,"=d20270120"),"")</f>
      </c>
      <c r="CH175" s="8">
        <f>IF((0=1),SUMIFS('Daily evaluations'!$I$2:$I$36,'Daily evaluations'!$B$2:$B$36,"=random_19",'Daily evaluations'!$C$2:$C$36,"=d20270121"),"")</f>
      </c>
      <c r="CI175" s="8">
        <f>IF((0=1),SUMIFS('Daily evaluations'!$I$2:$I$36,'Daily evaluations'!$B$2:$B$36,"=random_19",'Daily evaluations'!$C$2:$C$36,"=d20270122"),"")</f>
      </c>
      <c r="CJ175" s="8">
        <f>IF((0=1),SUMIFS('Daily evaluations'!$I$2:$I$36,'Daily evaluations'!$B$2:$B$36,"=random_19",'Daily evaluations'!$C$2:$C$36,"=d20270125"),"")</f>
      </c>
      <c r="CK175" s="8">
        <f>IF((0=1),SUMIFS('Daily evaluations'!$I$2:$I$36,'Daily evaluations'!$B$2:$B$36,"=random_19",'Daily evaluations'!$C$2:$C$36,"=d20270126"),"")</f>
      </c>
      <c r="CL175" s="8">
        <f>IF((0=1),SUMIFS('Daily evaluations'!$I$2:$I$36,'Daily evaluations'!$B$2:$B$36,"=random_19",'Daily evaluations'!$C$2:$C$36,"=d20270127"),"")</f>
      </c>
      <c r="CM175" s="8">
        <f>IF((0=1),SUMIFS('Daily evaluations'!$I$2:$I$36,'Daily evaluations'!$B$2:$B$36,"=random_19",'Daily evaluations'!$C$2:$C$36,"=d20270128"),"")</f>
      </c>
      <c r="CN175" s="8">
        <f>IF((0=1),SUMIFS('Daily evaluations'!$I$2:$I$36,'Daily evaluations'!$B$2:$B$36,"=random_19",'Daily evaluations'!$C$2:$C$36,"=d20270129"),"")</f>
      </c>
      <c r="CO175" s="8">
        <f>IF((0=1),SUMIFS('Daily evaluations'!$I$2:$I$36,'Daily evaluations'!$B$2:$B$36,"=random_19",'Daily evaluations'!$C$2:$C$36,"=d20270201"),"")</f>
      </c>
      <c r="CP175" s="8">
        <f>IF((0=1),SUMIFS('Daily evaluations'!$I$2:$I$36,'Daily evaluations'!$B$2:$B$36,"=random_19",'Daily evaluations'!$C$2:$C$36,"=d20270202"),"")</f>
      </c>
      <c r="CQ175" s="8">
        <f>IF((0=1),SUMIFS('Daily evaluations'!$I$2:$I$36,'Daily evaluations'!$B$2:$B$36,"=random_19",'Daily evaluations'!$C$2:$C$36,"=d20270203"),"")</f>
      </c>
      <c r="CR175" s="8">
        <f>IF((0=1),SUMIFS('Daily evaluations'!$I$2:$I$36,'Daily evaluations'!$B$2:$B$36,"=random_19",'Daily evaluations'!$C$2:$C$36,"=d20270204"),"")</f>
      </c>
      <c r="CS175" s="8">
        <f>IF((0=1),SUMIFS('Daily evaluations'!$I$2:$I$36,'Daily evaluations'!$B$2:$B$36,"=random_19",'Daily evaluations'!$C$2:$C$36,"=d20270205"),"")</f>
      </c>
      <c r="CT175" s="8">
        <f>IF((0=1),SUMIFS('Daily evaluations'!$I$2:$I$36,'Daily evaluations'!$B$2:$B$36,"=random_19",'Daily evaluations'!$C$2:$C$36,"=d20270208"),"")</f>
      </c>
      <c r="CU175" s="8">
        <f>IF((0=1),SUMIFS('Daily evaluations'!$I$2:$I$36,'Daily evaluations'!$B$2:$B$36,"=random_19",'Daily evaluations'!$C$2:$C$36,"=d20270209"),"")</f>
      </c>
      <c r="CV175" s="8">
        <f>IF((0=1),SUMIFS('Daily evaluations'!$I$2:$I$36,'Daily evaluations'!$B$2:$B$36,"=random_19",'Daily evaluations'!$C$2:$C$36,"=d20270210"),"")</f>
      </c>
      <c r="CW175" s="8">
        <f>IF((0=1),SUMIFS('Daily evaluations'!$I$2:$I$36,'Daily evaluations'!$B$2:$B$36,"=random_19",'Daily evaluations'!$C$2:$C$36,"=d20270211"),"")</f>
      </c>
      <c r="CX175" s="8">
        <f>IF((0=1),SUMIFS('Daily evaluations'!$I$2:$I$36,'Daily evaluations'!$B$2:$B$36,"=random_19",'Daily evaluations'!$C$2:$C$36,"=d20270212"),"")</f>
      </c>
    </row>
    <row r="176">
      <c r="A176" s="0" t="inlineStr">
        <is>
          <t xml:space="preserve">Information coefficient</t>
        </is>
      </c>
      <c r="B176" s="0" t="inlineStr">
        <is>
          <t xml:space="preserve">Random 20</t>
        </is>
      </c>
      <c r="C176" s="8">
        <f>IF((1=1),SUMIFS('Daily evaluations'!$I$2:$I$36,'Daily evaluations'!$B$2:$B$36,"=random_20",'Daily evaluations'!$C$2:$C$36,"=d20260922"),"")</f>
        <v>-0.0314</v>
      </c>
      <c r="D176" s="8">
        <f>IF((0=1),SUMIFS('Daily evaluations'!$I$2:$I$36,'Daily evaluations'!$B$2:$B$36,"=random_20",'Daily evaluations'!$C$2:$C$36,"=d20260923"),"")</f>
      </c>
      <c r="E176" s="8">
        <f>IF((0=1),SUMIFS('Daily evaluations'!$I$2:$I$36,'Daily evaluations'!$B$2:$B$36,"=random_20",'Daily evaluations'!$C$2:$C$36,"=d20260924"),"")</f>
      </c>
      <c r="F176" s="8">
        <f>IF((0=1),SUMIFS('Daily evaluations'!$I$2:$I$36,'Daily evaluations'!$B$2:$B$36,"=random_20",'Daily evaluations'!$C$2:$C$36,"=d20260925"),"")</f>
      </c>
      <c r="G176" s="8">
        <f>IF((0=1),SUMIFS('Daily evaluations'!$I$2:$I$36,'Daily evaluations'!$B$2:$B$36,"=random_20",'Daily evaluations'!$C$2:$C$36,"=d20260928"),"")</f>
      </c>
      <c r="H176" s="8">
        <f>IF((0=1),SUMIFS('Daily evaluations'!$I$2:$I$36,'Daily evaluations'!$B$2:$B$36,"=random_20",'Daily evaluations'!$C$2:$C$36,"=d20260929"),"")</f>
      </c>
      <c r="I176" s="8">
        <f>IF((0=1),SUMIFS('Daily evaluations'!$I$2:$I$36,'Daily evaluations'!$B$2:$B$36,"=random_20",'Daily evaluations'!$C$2:$C$36,"=d20260930"),"")</f>
      </c>
      <c r="J176" s="8">
        <f>IF((0=1),SUMIFS('Daily evaluations'!$I$2:$I$36,'Daily evaluations'!$B$2:$B$36,"=random_20",'Daily evaluations'!$C$2:$C$36,"=d20261001"),"")</f>
      </c>
      <c r="K176" s="8">
        <f>IF((0=1),SUMIFS('Daily evaluations'!$I$2:$I$36,'Daily evaluations'!$B$2:$B$36,"=random_20",'Daily evaluations'!$C$2:$C$36,"=d20261002"),"")</f>
      </c>
      <c r="L176" s="8">
        <f>IF((0=1),SUMIFS('Daily evaluations'!$I$2:$I$36,'Daily evaluations'!$B$2:$B$36,"=random_20",'Daily evaluations'!$C$2:$C$36,"=d20261005"),"")</f>
      </c>
      <c r="M176" s="8">
        <f>IF((0=1),SUMIFS('Daily evaluations'!$I$2:$I$36,'Daily evaluations'!$B$2:$B$36,"=random_20",'Daily evaluations'!$C$2:$C$36,"=d20261006"),"")</f>
      </c>
      <c r="N176" s="8">
        <f>IF((0=1),SUMIFS('Daily evaluations'!$I$2:$I$36,'Daily evaluations'!$B$2:$B$36,"=random_20",'Daily evaluations'!$C$2:$C$36,"=d20261007"),"")</f>
      </c>
      <c r="O176" s="8">
        <f>IF((0=1),SUMIFS('Daily evaluations'!$I$2:$I$36,'Daily evaluations'!$B$2:$B$36,"=random_20",'Daily evaluations'!$C$2:$C$36,"=d20261008"),"")</f>
      </c>
      <c r="P176" s="8">
        <f>IF((0=1),SUMIFS('Daily evaluations'!$I$2:$I$36,'Daily evaluations'!$B$2:$B$36,"=random_20",'Daily evaluations'!$C$2:$C$36,"=d20261009"),"")</f>
      </c>
      <c r="Q176" s="8">
        <f>IF((0=1),SUMIFS('Daily evaluations'!$I$2:$I$36,'Daily evaluations'!$B$2:$B$36,"=random_20",'Daily evaluations'!$C$2:$C$36,"=d20261012"),"")</f>
      </c>
      <c r="R176" s="8">
        <f>IF((0=1),SUMIFS('Daily evaluations'!$I$2:$I$36,'Daily evaluations'!$B$2:$B$36,"=random_20",'Daily evaluations'!$C$2:$C$36,"=d20261013"),"")</f>
      </c>
      <c r="S176" s="8">
        <f>IF((0=1),SUMIFS('Daily evaluations'!$I$2:$I$36,'Daily evaluations'!$B$2:$B$36,"=random_20",'Daily evaluations'!$C$2:$C$36,"=d20261014"),"")</f>
      </c>
      <c r="T176" s="8">
        <f>IF((0=1),SUMIFS('Daily evaluations'!$I$2:$I$36,'Daily evaluations'!$B$2:$B$36,"=random_20",'Daily evaluations'!$C$2:$C$36,"=d20261015"),"")</f>
      </c>
      <c r="U176" s="8">
        <f>IF((0=1),SUMIFS('Daily evaluations'!$I$2:$I$36,'Daily evaluations'!$B$2:$B$36,"=random_20",'Daily evaluations'!$C$2:$C$36,"=d20261016"),"")</f>
      </c>
      <c r="V176" s="8">
        <f>IF((0=1),SUMIFS('Daily evaluations'!$I$2:$I$36,'Daily evaluations'!$B$2:$B$36,"=random_20",'Daily evaluations'!$C$2:$C$36,"=d20261019"),"")</f>
      </c>
      <c r="W176" s="8">
        <f>IF((0=1),SUMIFS('Daily evaluations'!$I$2:$I$36,'Daily evaluations'!$B$2:$B$36,"=random_20",'Daily evaluations'!$C$2:$C$36,"=d20261020"),"")</f>
      </c>
      <c r="X176" s="8">
        <f>IF((0=1),SUMIFS('Daily evaluations'!$I$2:$I$36,'Daily evaluations'!$B$2:$B$36,"=random_20",'Daily evaluations'!$C$2:$C$36,"=d20261021"),"")</f>
      </c>
      <c r="Y176" s="8">
        <f>IF((0=1),SUMIFS('Daily evaluations'!$I$2:$I$36,'Daily evaluations'!$B$2:$B$36,"=random_20",'Daily evaluations'!$C$2:$C$36,"=d20261022"),"")</f>
      </c>
      <c r="Z176" s="8">
        <f>IF((0=1),SUMIFS('Daily evaluations'!$I$2:$I$36,'Daily evaluations'!$B$2:$B$36,"=random_20",'Daily evaluations'!$C$2:$C$36,"=d20261023"),"")</f>
      </c>
      <c r="AA176" s="8">
        <f>IF((0=1),SUMIFS('Daily evaluations'!$I$2:$I$36,'Daily evaluations'!$B$2:$B$36,"=random_20",'Daily evaluations'!$C$2:$C$36,"=d20261026"),"")</f>
      </c>
      <c r="AB176" s="8">
        <f>IF((0=1),SUMIFS('Daily evaluations'!$I$2:$I$36,'Daily evaluations'!$B$2:$B$36,"=random_20",'Daily evaluations'!$C$2:$C$36,"=d20261027"),"")</f>
      </c>
      <c r="AC176" s="8">
        <f>IF((0=1),SUMIFS('Daily evaluations'!$I$2:$I$36,'Daily evaluations'!$B$2:$B$36,"=random_20",'Daily evaluations'!$C$2:$C$36,"=d20261028"),"")</f>
      </c>
      <c r="AD176" s="8">
        <f>IF((0=1),SUMIFS('Daily evaluations'!$I$2:$I$36,'Daily evaluations'!$B$2:$B$36,"=random_20",'Daily evaluations'!$C$2:$C$36,"=d20261029"),"")</f>
      </c>
      <c r="AE176" s="8">
        <f>IF((0=1),SUMIFS('Daily evaluations'!$I$2:$I$36,'Daily evaluations'!$B$2:$B$36,"=random_20",'Daily evaluations'!$C$2:$C$36,"=d20261030"),"")</f>
      </c>
      <c r="AF176" s="8">
        <f>IF((0=1),SUMIFS('Daily evaluations'!$I$2:$I$36,'Daily evaluations'!$B$2:$B$36,"=random_20",'Daily evaluations'!$C$2:$C$36,"=d20261102"),"")</f>
      </c>
      <c r="AG176" s="8">
        <f>IF((0=1),SUMIFS('Daily evaluations'!$I$2:$I$36,'Daily evaluations'!$B$2:$B$36,"=random_20",'Daily evaluations'!$C$2:$C$36,"=d20261103"),"")</f>
      </c>
      <c r="AH176" s="8">
        <f>IF((0=1),SUMIFS('Daily evaluations'!$I$2:$I$36,'Daily evaluations'!$B$2:$B$36,"=random_20",'Daily evaluations'!$C$2:$C$36,"=d20261104"),"")</f>
      </c>
      <c r="AI176" s="8">
        <f>IF((0=1),SUMIFS('Daily evaluations'!$I$2:$I$36,'Daily evaluations'!$B$2:$B$36,"=random_20",'Daily evaluations'!$C$2:$C$36,"=d20261105"),"")</f>
      </c>
      <c r="AJ176" s="8">
        <f>IF((0=1),SUMIFS('Daily evaluations'!$I$2:$I$36,'Daily evaluations'!$B$2:$B$36,"=random_20",'Daily evaluations'!$C$2:$C$36,"=d20261106"),"")</f>
      </c>
      <c r="AK176" s="8">
        <f>IF((0=1),SUMIFS('Daily evaluations'!$I$2:$I$36,'Daily evaluations'!$B$2:$B$36,"=random_20",'Daily evaluations'!$C$2:$C$36,"=d20261109"),"")</f>
      </c>
      <c r="AL176" s="8">
        <f>IF((0=1),SUMIFS('Daily evaluations'!$I$2:$I$36,'Daily evaluations'!$B$2:$B$36,"=random_20",'Daily evaluations'!$C$2:$C$36,"=d20261110"),"")</f>
      </c>
      <c r="AM176" s="8">
        <f>IF((0=1),SUMIFS('Daily evaluations'!$I$2:$I$36,'Daily evaluations'!$B$2:$B$36,"=random_20",'Daily evaluations'!$C$2:$C$36,"=d20261111"),"")</f>
      </c>
      <c r="AN176" s="8">
        <f>IF((0=1),SUMIFS('Daily evaluations'!$I$2:$I$36,'Daily evaluations'!$B$2:$B$36,"=random_20",'Daily evaluations'!$C$2:$C$36,"=d20261112"),"")</f>
      </c>
      <c r="AO176" s="8">
        <f>IF((0=1),SUMIFS('Daily evaluations'!$I$2:$I$36,'Daily evaluations'!$B$2:$B$36,"=random_20",'Daily evaluations'!$C$2:$C$36,"=d20261113"),"")</f>
      </c>
      <c r="AP176" s="8">
        <f>IF((0=1),SUMIFS('Daily evaluations'!$I$2:$I$36,'Daily evaluations'!$B$2:$B$36,"=random_20",'Daily evaluations'!$C$2:$C$36,"=d20261116"),"")</f>
      </c>
      <c r="AQ176" s="8">
        <f>IF((0=1),SUMIFS('Daily evaluations'!$I$2:$I$36,'Daily evaluations'!$B$2:$B$36,"=random_20",'Daily evaluations'!$C$2:$C$36,"=d20261117"),"")</f>
      </c>
      <c r="AR176" s="8">
        <f>IF((0=1),SUMIFS('Daily evaluations'!$I$2:$I$36,'Daily evaluations'!$B$2:$B$36,"=random_20",'Daily evaluations'!$C$2:$C$36,"=d20261118"),"")</f>
      </c>
      <c r="AS176" s="8">
        <f>IF((0=1),SUMIFS('Daily evaluations'!$I$2:$I$36,'Daily evaluations'!$B$2:$B$36,"=random_20",'Daily evaluations'!$C$2:$C$36,"=d20261119"),"")</f>
      </c>
      <c r="AT176" s="8">
        <f>IF((0=1),SUMIFS('Daily evaluations'!$I$2:$I$36,'Daily evaluations'!$B$2:$B$36,"=random_20",'Daily evaluations'!$C$2:$C$36,"=d20261120"),"")</f>
      </c>
      <c r="AU176" s="8">
        <f>IF((0=1),SUMIFS('Daily evaluations'!$I$2:$I$36,'Daily evaluations'!$B$2:$B$36,"=random_20",'Daily evaluations'!$C$2:$C$36,"=d20261123"),"")</f>
      </c>
      <c r="AV176" s="8">
        <f>IF((0=1),SUMIFS('Daily evaluations'!$I$2:$I$36,'Daily evaluations'!$B$2:$B$36,"=random_20",'Daily evaluations'!$C$2:$C$36,"=d20261124"),"")</f>
      </c>
      <c r="AW176" s="8">
        <f>IF((0=1),SUMIFS('Daily evaluations'!$I$2:$I$36,'Daily evaluations'!$B$2:$B$36,"=random_20",'Daily evaluations'!$C$2:$C$36,"=d20261125"),"")</f>
      </c>
      <c r="AX176" s="8">
        <f>IF((0=1),SUMIFS('Daily evaluations'!$I$2:$I$36,'Daily evaluations'!$B$2:$B$36,"=random_20",'Daily evaluations'!$C$2:$C$36,"=d20261127"),"")</f>
      </c>
      <c r="AY176" s="8">
        <f>IF((0=1),SUMIFS('Daily evaluations'!$I$2:$I$36,'Daily evaluations'!$B$2:$B$36,"=random_20",'Daily evaluations'!$C$2:$C$36,"=d20261130"),"")</f>
      </c>
      <c r="AZ176" s="8">
        <f>IF((0=1),SUMIFS('Daily evaluations'!$I$2:$I$36,'Daily evaluations'!$B$2:$B$36,"=random_20",'Daily evaluations'!$C$2:$C$36,"=d20261201"),"")</f>
      </c>
      <c r="BA176" s="8">
        <f>IF((0=1),SUMIFS('Daily evaluations'!$I$2:$I$36,'Daily evaluations'!$B$2:$B$36,"=random_20",'Daily evaluations'!$C$2:$C$36,"=d20261202"),"")</f>
      </c>
      <c r="BB176" s="8">
        <f>IF((0=1),SUMIFS('Daily evaluations'!$I$2:$I$36,'Daily evaluations'!$B$2:$B$36,"=random_20",'Daily evaluations'!$C$2:$C$36,"=d20261203"),"")</f>
      </c>
      <c r="BC176" s="8">
        <f>IF((0=1),SUMIFS('Daily evaluations'!$I$2:$I$36,'Daily evaluations'!$B$2:$B$36,"=random_20",'Daily evaluations'!$C$2:$C$36,"=d20261204"),"")</f>
      </c>
      <c r="BD176" s="8">
        <f>IF((0=1),SUMIFS('Daily evaluations'!$I$2:$I$36,'Daily evaluations'!$B$2:$B$36,"=random_20",'Daily evaluations'!$C$2:$C$36,"=d20261207"),"")</f>
      </c>
      <c r="BE176" s="8">
        <f>IF((0=1),SUMIFS('Daily evaluations'!$I$2:$I$36,'Daily evaluations'!$B$2:$B$36,"=random_20",'Daily evaluations'!$C$2:$C$36,"=d20261208"),"")</f>
      </c>
      <c r="BF176" s="8">
        <f>IF((0=1),SUMIFS('Daily evaluations'!$I$2:$I$36,'Daily evaluations'!$B$2:$B$36,"=random_20",'Daily evaluations'!$C$2:$C$36,"=d20261209"),"")</f>
      </c>
      <c r="BG176" s="8">
        <f>IF((0=1),SUMIFS('Daily evaluations'!$I$2:$I$36,'Daily evaluations'!$B$2:$B$36,"=random_20",'Daily evaluations'!$C$2:$C$36,"=d20261210"),"")</f>
      </c>
      <c r="BH176" s="8">
        <f>IF((0=1),SUMIFS('Daily evaluations'!$I$2:$I$36,'Daily evaluations'!$B$2:$B$36,"=random_20",'Daily evaluations'!$C$2:$C$36,"=d20261211"),"")</f>
      </c>
      <c r="BI176" s="8">
        <f>IF((0=1),SUMIFS('Daily evaluations'!$I$2:$I$36,'Daily evaluations'!$B$2:$B$36,"=random_20",'Daily evaluations'!$C$2:$C$36,"=d20261214"),"")</f>
      </c>
      <c r="BJ176" s="8">
        <f>IF((0=1),SUMIFS('Daily evaluations'!$I$2:$I$36,'Daily evaluations'!$B$2:$B$36,"=random_20",'Daily evaluations'!$C$2:$C$36,"=d20261215"),"")</f>
      </c>
      <c r="BK176" s="8">
        <f>IF((0=1),SUMIFS('Daily evaluations'!$I$2:$I$36,'Daily evaluations'!$B$2:$B$36,"=random_20",'Daily evaluations'!$C$2:$C$36,"=d20261216"),"")</f>
      </c>
      <c r="BL176" s="8">
        <f>IF((0=1),SUMIFS('Daily evaluations'!$I$2:$I$36,'Daily evaluations'!$B$2:$B$36,"=random_20",'Daily evaluations'!$C$2:$C$36,"=d20261217"),"")</f>
      </c>
      <c r="BM176" s="8">
        <f>IF((0=1),SUMIFS('Daily evaluations'!$I$2:$I$36,'Daily evaluations'!$B$2:$B$36,"=random_20",'Daily evaluations'!$C$2:$C$36,"=d20261218"),"")</f>
      </c>
      <c r="BN176" s="8">
        <f>IF((0=1),SUMIFS('Daily evaluations'!$I$2:$I$36,'Daily evaluations'!$B$2:$B$36,"=random_20",'Daily evaluations'!$C$2:$C$36,"=d20261221"),"")</f>
      </c>
      <c r="BO176" s="8">
        <f>IF((0=1),SUMIFS('Daily evaluations'!$I$2:$I$36,'Daily evaluations'!$B$2:$B$36,"=random_20",'Daily evaluations'!$C$2:$C$36,"=d20261222"),"")</f>
      </c>
      <c r="BP176" s="8">
        <f>IF((0=1),SUMIFS('Daily evaluations'!$I$2:$I$36,'Daily evaluations'!$B$2:$B$36,"=random_20",'Daily evaluations'!$C$2:$C$36,"=d20261223"),"")</f>
      </c>
      <c r="BQ176" s="8">
        <f>IF((0=1),SUMIFS('Daily evaluations'!$I$2:$I$36,'Daily evaluations'!$B$2:$B$36,"=random_20",'Daily evaluations'!$C$2:$C$36,"=d20261224"),"")</f>
      </c>
      <c r="BR176" s="8">
        <f>IF((0=1),SUMIFS('Daily evaluations'!$I$2:$I$36,'Daily evaluations'!$B$2:$B$36,"=random_20",'Daily evaluations'!$C$2:$C$36,"=d20261228"),"")</f>
      </c>
      <c r="BS176" s="8">
        <f>IF((0=1),SUMIFS('Daily evaluations'!$I$2:$I$36,'Daily evaluations'!$B$2:$B$36,"=random_20",'Daily evaluations'!$C$2:$C$36,"=d20261229"),"")</f>
      </c>
      <c r="BT176" s="8">
        <f>IF((0=1),SUMIFS('Daily evaluations'!$I$2:$I$36,'Daily evaluations'!$B$2:$B$36,"=random_20",'Daily evaluations'!$C$2:$C$36,"=d20261230"),"")</f>
      </c>
      <c r="BU176" s="8">
        <f>IF((0=1),SUMIFS('Daily evaluations'!$I$2:$I$36,'Daily evaluations'!$B$2:$B$36,"=random_20",'Daily evaluations'!$C$2:$C$36,"=d20261231"),"")</f>
      </c>
      <c r="BV176" s="8">
        <f>IF((0=1),SUMIFS('Daily evaluations'!$I$2:$I$36,'Daily evaluations'!$B$2:$B$36,"=random_20",'Daily evaluations'!$C$2:$C$36,"=d20270104"),"")</f>
      </c>
      <c r="BW176" s="8">
        <f>IF((0=1),SUMIFS('Daily evaluations'!$I$2:$I$36,'Daily evaluations'!$B$2:$B$36,"=random_20",'Daily evaluations'!$C$2:$C$36,"=d20270105"),"")</f>
      </c>
      <c r="BX176" s="8">
        <f>IF((0=1),SUMIFS('Daily evaluations'!$I$2:$I$36,'Daily evaluations'!$B$2:$B$36,"=random_20",'Daily evaluations'!$C$2:$C$36,"=d20270106"),"")</f>
      </c>
      <c r="BY176" s="8">
        <f>IF((0=1),SUMIFS('Daily evaluations'!$I$2:$I$36,'Daily evaluations'!$B$2:$B$36,"=random_20",'Daily evaluations'!$C$2:$C$36,"=d20270107"),"")</f>
      </c>
      <c r="BZ176" s="8">
        <f>IF((0=1),SUMIFS('Daily evaluations'!$I$2:$I$36,'Daily evaluations'!$B$2:$B$36,"=random_20",'Daily evaluations'!$C$2:$C$36,"=d20270108"),"")</f>
      </c>
      <c r="CA176" s="8">
        <f>IF((0=1),SUMIFS('Daily evaluations'!$I$2:$I$36,'Daily evaluations'!$B$2:$B$36,"=random_20",'Daily evaluations'!$C$2:$C$36,"=d20270111"),"")</f>
      </c>
      <c r="CB176" s="8">
        <f>IF((0=1),SUMIFS('Daily evaluations'!$I$2:$I$36,'Daily evaluations'!$B$2:$B$36,"=random_20",'Daily evaluations'!$C$2:$C$36,"=d20270112"),"")</f>
      </c>
      <c r="CC176" s="8">
        <f>IF((0=1),SUMIFS('Daily evaluations'!$I$2:$I$36,'Daily evaluations'!$B$2:$B$36,"=random_20",'Daily evaluations'!$C$2:$C$36,"=d20270113"),"")</f>
      </c>
      <c r="CD176" s="8">
        <f>IF((0=1),SUMIFS('Daily evaluations'!$I$2:$I$36,'Daily evaluations'!$B$2:$B$36,"=random_20",'Daily evaluations'!$C$2:$C$36,"=d20270114"),"")</f>
      </c>
      <c r="CE176" s="8">
        <f>IF((0=1),SUMIFS('Daily evaluations'!$I$2:$I$36,'Daily evaluations'!$B$2:$B$36,"=random_20",'Daily evaluations'!$C$2:$C$36,"=d20270115"),"")</f>
      </c>
      <c r="CF176" s="8">
        <f>IF((0=1),SUMIFS('Daily evaluations'!$I$2:$I$36,'Daily evaluations'!$B$2:$B$36,"=random_20",'Daily evaluations'!$C$2:$C$36,"=d20270119"),"")</f>
      </c>
      <c r="CG176" s="8">
        <f>IF((0=1),SUMIFS('Daily evaluations'!$I$2:$I$36,'Daily evaluations'!$B$2:$B$36,"=random_20",'Daily evaluations'!$C$2:$C$36,"=d20270120"),"")</f>
      </c>
      <c r="CH176" s="8">
        <f>IF((0=1),SUMIFS('Daily evaluations'!$I$2:$I$36,'Daily evaluations'!$B$2:$B$36,"=random_20",'Daily evaluations'!$C$2:$C$36,"=d20270121"),"")</f>
      </c>
      <c r="CI176" s="8">
        <f>IF((0=1),SUMIFS('Daily evaluations'!$I$2:$I$36,'Daily evaluations'!$B$2:$B$36,"=random_20",'Daily evaluations'!$C$2:$C$36,"=d20270122"),"")</f>
      </c>
      <c r="CJ176" s="8">
        <f>IF((0=1),SUMIFS('Daily evaluations'!$I$2:$I$36,'Daily evaluations'!$B$2:$B$36,"=random_20",'Daily evaluations'!$C$2:$C$36,"=d20270125"),"")</f>
      </c>
      <c r="CK176" s="8">
        <f>IF((0=1),SUMIFS('Daily evaluations'!$I$2:$I$36,'Daily evaluations'!$B$2:$B$36,"=random_20",'Daily evaluations'!$C$2:$C$36,"=d20270126"),"")</f>
      </c>
      <c r="CL176" s="8">
        <f>IF((0=1),SUMIFS('Daily evaluations'!$I$2:$I$36,'Daily evaluations'!$B$2:$B$36,"=random_20",'Daily evaluations'!$C$2:$C$36,"=d20270127"),"")</f>
      </c>
      <c r="CM176" s="8">
        <f>IF((0=1),SUMIFS('Daily evaluations'!$I$2:$I$36,'Daily evaluations'!$B$2:$B$36,"=random_20",'Daily evaluations'!$C$2:$C$36,"=d20270128"),"")</f>
      </c>
      <c r="CN176" s="8">
        <f>IF((0=1),SUMIFS('Daily evaluations'!$I$2:$I$36,'Daily evaluations'!$B$2:$B$36,"=random_20",'Daily evaluations'!$C$2:$C$36,"=d20270129"),"")</f>
      </c>
      <c r="CO176" s="8">
        <f>IF((0=1),SUMIFS('Daily evaluations'!$I$2:$I$36,'Daily evaluations'!$B$2:$B$36,"=random_20",'Daily evaluations'!$C$2:$C$36,"=d20270201"),"")</f>
      </c>
      <c r="CP176" s="8">
        <f>IF((0=1),SUMIFS('Daily evaluations'!$I$2:$I$36,'Daily evaluations'!$B$2:$B$36,"=random_20",'Daily evaluations'!$C$2:$C$36,"=d20270202"),"")</f>
      </c>
      <c r="CQ176" s="8">
        <f>IF((0=1),SUMIFS('Daily evaluations'!$I$2:$I$36,'Daily evaluations'!$B$2:$B$36,"=random_20",'Daily evaluations'!$C$2:$C$36,"=d20270203"),"")</f>
      </c>
      <c r="CR176" s="8">
        <f>IF((0=1),SUMIFS('Daily evaluations'!$I$2:$I$36,'Daily evaluations'!$B$2:$B$36,"=random_20",'Daily evaluations'!$C$2:$C$36,"=d20270204"),"")</f>
      </c>
      <c r="CS176" s="8">
        <f>IF((0=1),SUMIFS('Daily evaluations'!$I$2:$I$36,'Daily evaluations'!$B$2:$B$36,"=random_20",'Daily evaluations'!$C$2:$C$36,"=d20270205"),"")</f>
      </c>
      <c r="CT176" s="8">
        <f>IF((0=1),SUMIFS('Daily evaluations'!$I$2:$I$36,'Daily evaluations'!$B$2:$B$36,"=random_20",'Daily evaluations'!$C$2:$C$36,"=d20270208"),"")</f>
      </c>
      <c r="CU176" s="8">
        <f>IF((0=1),SUMIFS('Daily evaluations'!$I$2:$I$36,'Daily evaluations'!$B$2:$B$36,"=random_20",'Daily evaluations'!$C$2:$C$36,"=d20270209"),"")</f>
      </c>
      <c r="CV176" s="8">
        <f>IF((0=1),SUMIFS('Daily evaluations'!$I$2:$I$36,'Daily evaluations'!$B$2:$B$36,"=random_20",'Daily evaluations'!$C$2:$C$36,"=d20270210"),"")</f>
      </c>
      <c r="CW176" s="8">
        <f>IF((0=1),SUMIFS('Daily evaluations'!$I$2:$I$36,'Daily evaluations'!$B$2:$B$36,"=random_20",'Daily evaluations'!$C$2:$C$36,"=d20270211"),"")</f>
      </c>
      <c r="CX176" s="8">
        <f>IF((0=1),SUMIFS('Daily evaluations'!$I$2:$I$36,'Daily evaluations'!$B$2:$B$36,"=random_20",'Daily evaluations'!$C$2:$C$36,"=d20270212"),"")</f>
      </c>
    </row>
    <row r="177">
      <c r="A177" s="0" t="inlineStr">
        <is>
          <t xml:space="preserve">Cumulative sector-neutral excess, bps</t>
        </is>
      </c>
      <c r="B177" s="0" t="inlineStr">
        <is>
          <t xml:space="preserve">worst 100 by yesterday's close-to-close return</t>
        </is>
      </c>
      <c r="C177" s="8">
        <f>IF((1=1),SUM(C2),"")</f>
        <v>13.654</v>
      </c>
      <c r="D177" s="8">
        <f>IF((0=1),SUM(C2:D2),"")</f>
      </c>
      <c r="E177" s="8">
        <f>IF((0=1),SUM(C2:E2),"")</f>
      </c>
      <c r="F177" s="8">
        <f>IF((0=1),SUM(C2:F2),"")</f>
      </c>
      <c r="G177" s="8">
        <f>IF((0=1),SUM(C2:G2),"")</f>
      </c>
      <c r="H177" s="8">
        <f>IF((0=1),SUM(C2:H2),"")</f>
      </c>
      <c r="I177" s="8">
        <f>IF((0=1),SUM(C2:I2),"")</f>
      </c>
      <c r="J177" s="8">
        <f>IF((0=1),SUM(C2:J2),"")</f>
      </c>
      <c r="K177" s="8">
        <f>IF((0=1),SUM(C2:K2),"")</f>
      </c>
      <c r="L177" s="8">
        <f>IF((0=1),SUM(C2:L2),"")</f>
      </c>
      <c r="M177" s="8">
        <f>IF((0=1),SUM(C2:M2),"")</f>
      </c>
      <c r="N177" s="8">
        <f>IF((0=1),SUM(C2:N2),"")</f>
      </c>
      <c r="O177" s="8">
        <f>IF((0=1),SUM(C2:O2),"")</f>
      </c>
      <c r="P177" s="8">
        <f>IF((0=1),SUM(C2:P2),"")</f>
      </c>
      <c r="Q177" s="8">
        <f>IF((0=1),SUM(C2:Q2),"")</f>
      </c>
      <c r="R177" s="8">
        <f>IF((0=1),SUM(C2:R2),"")</f>
      </c>
      <c r="S177" s="8">
        <f>IF((0=1),SUM(C2:S2),"")</f>
      </c>
      <c r="T177" s="8">
        <f>IF((0=1),SUM(C2:T2),"")</f>
      </c>
      <c r="U177" s="8">
        <f>IF((0=1),SUM(C2:U2),"")</f>
      </c>
      <c r="V177" s="8">
        <f>IF((0=1),SUM(C2:V2),"")</f>
      </c>
      <c r="W177" s="8">
        <f>IF((0=1),SUM(C2:W2),"")</f>
      </c>
      <c r="X177" s="8">
        <f>IF((0=1),SUM(C2:X2),"")</f>
      </c>
      <c r="Y177" s="8">
        <f>IF((0=1),SUM(C2:Y2),"")</f>
      </c>
      <c r="Z177" s="8">
        <f>IF((0=1),SUM(C2:Z2),"")</f>
      </c>
      <c r="AA177" s="8">
        <f>IF((0=1),SUM(C2:AA2),"")</f>
      </c>
      <c r="AB177" s="8">
        <f>IF((0=1),SUM(C2:AB2),"")</f>
      </c>
      <c r="AC177" s="8">
        <f>IF((0=1),SUM(C2:AC2),"")</f>
      </c>
      <c r="AD177" s="8">
        <f>IF((0=1),SUM(C2:AD2),"")</f>
      </c>
      <c r="AE177" s="8">
        <f>IF((0=1),SUM(C2:AE2),"")</f>
      </c>
      <c r="AF177" s="8">
        <f>IF((0=1),SUM(C2:AF2),"")</f>
      </c>
      <c r="AG177" s="8">
        <f>IF((0=1),SUM(C2:AG2),"")</f>
      </c>
      <c r="AH177" s="8">
        <f>IF((0=1),SUM(C2:AH2),"")</f>
      </c>
      <c r="AI177" s="8">
        <f>IF((0=1),SUM(C2:AI2),"")</f>
      </c>
      <c r="AJ177" s="8">
        <f>IF((0=1),SUM(C2:AJ2),"")</f>
      </c>
      <c r="AK177" s="8">
        <f>IF((0=1),SUM(C2:AK2),"")</f>
      </c>
      <c r="AL177" s="8">
        <f>IF((0=1),SUM(C2:AL2),"")</f>
      </c>
      <c r="AM177" s="8">
        <f>IF((0=1),SUM(C2:AM2),"")</f>
      </c>
      <c r="AN177" s="8">
        <f>IF((0=1),SUM(C2:AN2),"")</f>
      </c>
      <c r="AO177" s="8">
        <f>IF((0=1),SUM(C2:AO2),"")</f>
      </c>
      <c r="AP177" s="8">
        <f>IF((0=1),SUM(C2:AP2),"")</f>
      </c>
      <c r="AQ177" s="8">
        <f>IF((0=1),SUM(C2:AQ2),"")</f>
      </c>
      <c r="AR177" s="8">
        <f>IF((0=1),SUM(C2:AR2),"")</f>
      </c>
      <c r="AS177" s="8">
        <f>IF((0=1),SUM(C2:AS2),"")</f>
      </c>
      <c r="AT177" s="8">
        <f>IF((0=1),SUM(C2:AT2),"")</f>
      </c>
      <c r="AU177" s="8">
        <f>IF((0=1),SUM(C2:AU2),"")</f>
      </c>
      <c r="AV177" s="8">
        <f>IF((0=1),SUM(C2:AV2),"")</f>
      </c>
      <c r="AW177" s="8">
        <f>IF((0=1),SUM(C2:AW2),"")</f>
      </c>
      <c r="AX177" s="8">
        <f>IF((0=1),SUM(C2:AX2),"")</f>
      </c>
      <c r="AY177" s="8">
        <f>IF((0=1),SUM(C2:AY2),"")</f>
      </c>
      <c r="AZ177" s="8">
        <f>IF((0=1),SUM(C2:AZ2),"")</f>
      </c>
      <c r="BA177" s="8">
        <f>IF((0=1),SUM(C2:BA2),"")</f>
      </c>
      <c r="BB177" s="8">
        <f>IF((0=1),SUM(C2:BB2),"")</f>
      </c>
      <c r="BC177" s="8">
        <f>IF((0=1),SUM(C2:BC2),"")</f>
      </c>
      <c r="BD177" s="8">
        <f>IF((0=1),SUM(C2:BD2),"")</f>
      </c>
      <c r="BE177" s="8">
        <f>IF((0=1),SUM(C2:BE2),"")</f>
      </c>
      <c r="BF177" s="8">
        <f>IF((0=1),SUM(C2:BF2),"")</f>
      </c>
      <c r="BG177" s="8">
        <f>IF((0=1),SUM(C2:BG2),"")</f>
      </c>
      <c r="BH177" s="8">
        <f>IF((0=1),SUM(C2:BH2),"")</f>
      </c>
      <c r="BI177" s="8">
        <f>IF((0=1),SUM(C2:BI2),"")</f>
      </c>
      <c r="BJ177" s="8">
        <f>IF((0=1),SUM(C2:BJ2),"")</f>
      </c>
      <c r="BK177" s="8">
        <f>IF((0=1),SUM(C2:BK2),"")</f>
      </c>
      <c r="BL177" s="8">
        <f>IF((0=1),SUM(C2:BL2),"")</f>
      </c>
      <c r="BM177" s="8">
        <f>IF((0=1),SUM(C2:BM2),"")</f>
      </c>
      <c r="BN177" s="8">
        <f>IF((0=1),SUM(C2:BN2),"")</f>
      </c>
      <c r="BO177" s="8">
        <f>IF((0=1),SUM(C2:BO2),"")</f>
      </c>
      <c r="BP177" s="8">
        <f>IF((0=1),SUM(C2:BP2),"")</f>
      </c>
      <c r="BQ177" s="8">
        <f>IF((0=1),SUM(C2:BQ2),"")</f>
      </c>
      <c r="BR177" s="8">
        <f>IF((0=1),SUM(C2:BR2),"")</f>
      </c>
      <c r="BS177" s="8">
        <f>IF((0=1),SUM(C2:BS2),"")</f>
      </c>
      <c r="BT177" s="8">
        <f>IF((0=1),SUM(C2:BT2),"")</f>
      </c>
      <c r="BU177" s="8">
        <f>IF((0=1),SUM(C2:BU2),"")</f>
      </c>
      <c r="BV177" s="8">
        <f>IF((0=1),SUM(C2:BV2),"")</f>
      </c>
      <c r="BW177" s="8">
        <f>IF((0=1),SUM(C2:BW2),"")</f>
      </c>
      <c r="BX177" s="8">
        <f>IF((0=1),SUM(C2:BX2),"")</f>
      </c>
      <c r="BY177" s="8">
        <f>IF((0=1),SUM(C2:BY2),"")</f>
      </c>
      <c r="BZ177" s="8">
        <f>IF((0=1),SUM(C2:BZ2),"")</f>
      </c>
      <c r="CA177" s="8">
        <f>IF((0=1),SUM(C2:CA2),"")</f>
      </c>
      <c r="CB177" s="8">
        <f>IF((0=1),SUM(C2:CB2),"")</f>
      </c>
      <c r="CC177" s="8">
        <f>IF((0=1),SUM(C2:CC2),"")</f>
      </c>
      <c r="CD177" s="8">
        <f>IF((0=1),SUM(C2:CD2),"")</f>
      </c>
      <c r="CE177" s="8">
        <f>IF((0=1),SUM(C2:CE2),"")</f>
      </c>
      <c r="CF177" s="8">
        <f>IF((0=1),SUM(C2:CF2),"")</f>
      </c>
      <c r="CG177" s="8">
        <f>IF((0=1),SUM(C2:CG2),"")</f>
      </c>
      <c r="CH177" s="8">
        <f>IF((0=1),SUM(C2:CH2),"")</f>
      </c>
      <c r="CI177" s="8">
        <f>IF((0=1),SUM(C2:CI2),"")</f>
      </c>
      <c r="CJ177" s="8">
        <f>IF((0=1),SUM(C2:CJ2),"")</f>
      </c>
      <c r="CK177" s="8">
        <f>IF((0=1),SUM(C2:CK2),"")</f>
      </c>
      <c r="CL177" s="8">
        <f>IF((0=1),SUM(C2:CL2),"")</f>
      </c>
      <c r="CM177" s="8">
        <f>IF((0=1),SUM(C2:CM2),"")</f>
      </c>
      <c r="CN177" s="8">
        <f>IF((0=1),SUM(C2:CN2),"")</f>
      </c>
      <c r="CO177" s="8">
        <f>IF((0=1),SUM(C2:CO2),"")</f>
      </c>
      <c r="CP177" s="8">
        <f>IF((0=1),SUM(C2:CP2),"")</f>
      </c>
      <c r="CQ177" s="8">
        <f>IF((0=1),SUM(C2:CQ2),"")</f>
      </c>
      <c r="CR177" s="8">
        <f>IF((0=1),SUM(C2:CR2),"")</f>
      </c>
      <c r="CS177" s="8">
        <f>IF((0=1),SUM(C2:CS2),"")</f>
      </c>
      <c r="CT177" s="8">
        <f>IF((0=1),SUM(C2:CT2),"")</f>
      </c>
      <c r="CU177" s="8">
        <f>IF((0=1),SUM(C2:CU2),"")</f>
      </c>
      <c r="CV177" s="8">
        <f>IF((0=1),SUM(C2:CV2),"")</f>
      </c>
      <c r="CW177" s="8">
        <f>IF((0=1),SUM(C2:CW2),"")</f>
      </c>
      <c r="CX177" s="8">
        <f>IF((0=1),SUM(C2:CX2),"")</f>
      </c>
    </row>
    <row r="178">
      <c r="A178" s="0" t="inlineStr">
        <is>
          <t xml:space="preserve">Cumulative sector-neutral excess, bps</t>
        </is>
      </c>
      <c r="B178" s="0" t="inlineStr">
        <is>
          <t xml:space="preserve">lowest 100 by 60-day volatility</t>
        </is>
      </c>
      <c r="C178" s="8">
        <f>IF((1=1),SUM(C3),"")</f>
        <v>12.648</v>
      </c>
      <c r="D178" s="8">
        <f>IF((0=1),SUM(C3:D3),"")</f>
      </c>
      <c r="E178" s="8">
        <f>IF((0=1),SUM(C3:E3),"")</f>
      </c>
      <c r="F178" s="8">
        <f>IF((0=1),SUM(C3:F3),"")</f>
      </c>
      <c r="G178" s="8">
        <f>IF((0=1),SUM(C3:G3),"")</f>
      </c>
      <c r="H178" s="8">
        <f>IF((0=1),SUM(C3:H3),"")</f>
      </c>
      <c r="I178" s="8">
        <f>IF((0=1),SUM(C3:I3),"")</f>
      </c>
      <c r="J178" s="8">
        <f>IF((0=1),SUM(C3:J3),"")</f>
      </c>
      <c r="K178" s="8">
        <f>IF((0=1),SUM(C3:K3),"")</f>
      </c>
      <c r="L178" s="8">
        <f>IF((0=1),SUM(C3:L3),"")</f>
      </c>
      <c r="M178" s="8">
        <f>IF((0=1),SUM(C3:M3),"")</f>
      </c>
      <c r="N178" s="8">
        <f>IF((0=1),SUM(C3:N3),"")</f>
      </c>
      <c r="O178" s="8">
        <f>IF((0=1),SUM(C3:O3),"")</f>
      </c>
      <c r="P178" s="8">
        <f>IF((0=1),SUM(C3:P3),"")</f>
      </c>
      <c r="Q178" s="8">
        <f>IF((0=1),SUM(C3:Q3),"")</f>
      </c>
      <c r="R178" s="8">
        <f>IF((0=1),SUM(C3:R3),"")</f>
      </c>
      <c r="S178" s="8">
        <f>IF((0=1),SUM(C3:S3),"")</f>
      </c>
      <c r="T178" s="8">
        <f>IF((0=1),SUM(C3:T3),"")</f>
      </c>
      <c r="U178" s="8">
        <f>IF((0=1),SUM(C3:U3),"")</f>
      </c>
      <c r="V178" s="8">
        <f>IF((0=1),SUM(C3:V3),"")</f>
      </c>
      <c r="W178" s="8">
        <f>IF((0=1),SUM(C3:W3),"")</f>
      </c>
      <c r="X178" s="8">
        <f>IF((0=1),SUM(C3:X3),"")</f>
      </c>
      <c r="Y178" s="8">
        <f>IF((0=1),SUM(C3:Y3),"")</f>
      </c>
      <c r="Z178" s="8">
        <f>IF((0=1),SUM(C3:Z3),"")</f>
      </c>
      <c r="AA178" s="8">
        <f>IF((0=1),SUM(C3:AA3),"")</f>
      </c>
      <c r="AB178" s="8">
        <f>IF((0=1),SUM(C3:AB3),"")</f>
      </c>
      <c r="AC178" s="8">
        <f>IF((0=1),SUM(C3:AC3),"")</f>
      </c>
      <c r="AD178" s="8">
        <f>IF((0=1),SUM(C3:AD3),"")</f>
      </c>
      <c r="AE178" s="8">
        <f>IF((0=1),SUM(C3:AE3),"")</f>
      </c>
      <c r="AF178" s="8">
        <f>IF((0=1),SUM(C3:AF3),"")</f>
      </c>
      <c r="AG178" s="8">
        <f>IF((0=1),SUM(C3:AG3),"")</f>
      </c>
      <c r="AH178" s="8">
        <f>IF((0=1),SUM(C3:AH3),"")</f>
      </c>
      <c r="AI178" s="8">
        <f>IF((0=1),SUM(C3:AI3),"")</f>
      </c>
      <c r="AJ178" s="8">
        <f>IF((0=1),SUM(C3:AJ3),"")</f>
      </c>
      <c r="AK178" s="8">
        <f>IF((0=1),SUM(C3:AK3),"")</f>
      </c>
      <c r="AL178" s="8">
        <f>IF((0=1),SUM(C3:AL3),"")</f>
      </c>
      <c r="AM178" s="8">
        <f>IF((0=1),SUM(C3:AM3),"")</f>
      </c>
      <c r="AN178" s="8">
        <f>IF((0=1),SUM(C3:AN3),"")</f>
      </c>
      <c r="AO178" s="8">
        <f>IF((0=1),SUM(C3:AO3),"")</f>
      </c>
      <c r="AP178" s="8">
        <f>IF((0=1),SUM(C3:AP3),"")</f>
      </c>
      <c r="AQ178" s="8">
        <f>IF((0=1),SUM(C3:AQ3),"")</f>
      </c>
      <c r="AR178" s="8">
        <f>IF((0=1),SUM(C3:AR3),"")</f>
      </c>
      <c r="AS178" s="8">
        <f>IF((0=1),SUM(C3:AS3),"")</f>
      </c>
      <c r="AT178" s="8">
        <f>IF((0=1),SUM(C3:AT3),"")</f>
      </c>
      <c r="AU178" s="8">
        <f>IF((0=1),SUM(C3:AU3),"")</f>
      </c>
      <c r="AV178" s="8">
        <f>IF((0=1),SUM(C3:AV3),"")</f>
      </c>
      <c r="AW178" s="8">
        <f>IF((0=1),SUM(C3:AW3),"")</f>
      </c>
      <c r="AX178" s="8">
        <f>IF((0=1),SUM(C3:AX3),"")</f>
      </c>
      <c r="AY178" s="8">
        <f>IF((0=1),SUM(C3:AY3),"")</f>
      </c>
      <c r="AZ178" s="8">
        <f>IF((0=1),SUM(C3:AZ3),"")</f>
      </c>
      <c r="BA178" s="8">
        <f>IF((0=1),SUM(C3:BA3),"")</f>
      </c>
      <c r="BB178" s="8">
        <f>IF((0=1),SUM(C3:BB3),"")</f>
      </c>
      <c r="BC178" s="8">
        <f>IF((0=1),SUM(C3:BC3),"")</f>
      </c>
      <c r="BD178" s="8">
        <f>IF((0=1),SUM(C3:BD3),"")</f>
      </c>
      <c r="BE178" s="8">
        <f>IF((0=1),SUM(C3:BE3),"")</f>
      </c>
      <c r="BF178" s="8">
        <f>IF((0=1),SUM(C3:BF3),"")</f>
      </c>
      <c r="BG178" s="8">
        <f>IF((0=1),SUM(C3:BG3),"")</f>
      </c>
      <c r="BH178" s="8">
        <f>IF((0=1),SUM(C3:BH3),"")</f>
      </c>
      <c r="BI178" s="8">
        <f>IF((0=1),SUM(C3:BI3),"")</f>
      </c>
      <c r="BJ178" s="8">
        <f>IF((0=1),SUM(C3:BJ3),"")</f>
      </c>
      <c r="BK178" s="8">
        <f>IF((0=1),SUM(C3:BK3),"")</f>
      </c>
      <c r="BL178" s="8">
        <f>IF((0=1),SUM(C3:BL3),"")</f>
      </c>
      <c r="BM178" s="8">
        <f>IF((0=1),SUM(C3:BM3),"")</f>
      </c>
      <c r="BN178" s="8">
        <f>IF((0=1),SUM(C3:BN3),"")</f>
      </c>
      <c r="BO178" s="8">
        <f>IF((0=1),SUM(C3:BO3),"")</f>
      </c>
      <c r="BP178" s="8">
        <f>IF((0=1),SUM(C3:BP3),"")</f>
      </c>
      <c r="BQ178" s="8">
        <f>IF((0=1),SUM(C3:BQ3),"")</f>
      </c>
      <c r="BR178" s="8">
        <f>IF((0=1),SUM(C3:BR3),"")</f>
      </c>
      <c r="BS178" s="8">
        <f>IF((0=1),SUM(C3:BS3),"")</f>
      </c>
      <c r="BT178" s="8">
        <f>IF((0=1),SUM(C3:BT3),"")</f>
      </c>
      <c r="BU178" s="8">
        <f>IF((0=1),SUM(C3:BU3),"")</f>
      </c>
      <c r="BV178" s="8">
        <f>IF((0=1),SUM(C3:BV3),"")</f>
      </c>
      <c r="BW178" s="8">
        <f>IF((0=1),SUM(C3:BW3),"")</f>
      </c>
      <c r="BX178" s="8">
        <f>IF((0=1),SUM(C3:BX3),"")</f>
      </c>
      <c r="BY178" s="8">
        <f>IF((0=1),SUM(C3:BY3),"")</f>
      </c>
      <c r="BZ178" s="8">
        <f>IF((0=1),SUM(C3:BZ3),"")</f>
      </c>
      <c r="CA178" s="8">
        <f>IF((0=1),SUM(C3:CA3),"")</f>
      </c>
      <c r="CB178" s="8">
        <f>IF((0=1),SUM(C3:CB3),"")</f>
      </c>
      <c r="CC178" s="8">
        <f>IF((0=1),SUM(C3:CC3),"")</f>
      </c>
      <c r="CD178" s="8">
        <f>IF((0=1),SUM(C3:CD3),"")</f>
      </c>
      <c r="CE178" s="8">
        <f>IF((0=1),SUM(C3:CE3),"")</f>
      </c>
      <c r="CF178" s="8">
        <f>IF((0=1),SUM(C3:CF3),"")</f>
      </c>
      <c r="CG178" s="8">
        <f>IF((0=1),SUM(C3:CG3),"")</f>
      </c>
      <c r="CH178" s="8">
        <f>IF((0=1),SUM(C3:CH3),"")</f>
      </c>
      <c r="CI178" s="8">
        <f>IF((0=1),SUM(C3:CI3),"")</f>
      </c>
      <c r="CJ178" s="8">
        <f>IF((0=1),SUM(C3:CJ3),"")</f>
      </c>
      <c r="CK178" s="8">
        <f>IF((0=1),SUM(C3:CK3),"")</f>
      </c>
      <c r="CL178" s="8">
        <f>IF((0=1),SUM(C3:CL3),"")</f>
      </c>
      <c r="CM178" s="8">
        <f>IF((0=1),SUM(C3:CM3),"")</f>
      </c>
      <c r="CN178" s="8">
        <f>IF((0=1),SUM(C3:CN3),"")</f>
      </c>
      <c r="CO178" s="8">
        <f>IF((0=1),SUM(C3:CO3),"")</f>
      </c>
      <c r="CP178" s="8">
        <f>IF((0=1),SUM(C3:CP3),"")</f>
      </c>
      <c r="CQ178" s="8">
        <f>IF((0=1),SUM(C3:CQ3),"")</f>
      </c>
      <c r="CR178" s="8">
        <f>IF((0=1),SUM(C3:CR3),"")</f>
      </c>
      <c r="CS178" s="8">
        <f>IF((0=1),SUM(C3:CS3),"")</f>
      </c>
      <c r="CT178" s="8">
        <f>IF((0=1),SUM(C3:CT3),"")</f>
      </c>
      <c r="CU178" s="8">
        <f>IF((0=1),SUM(C3:CU3),"")</f>
      </c>
      <c r="CV178" s="8">
        <f>IF((0=1),SUM(C3:CV3),"")</f>
      </c>
      <c r="CW178" s="8">
        <f>IF((0=1),SUM(C3:CW3),"")</f>
      </c>
      <c r="CX178" s="8">
        <f>IF((0=1),SUM(C3:CX3),"")</f>
      </c>
    </row>
    <row r="179">
      <c r="A179" s="0" t="inlineStr">
        <is>
          <t xml:space="preserve">Cumulative sector-neutral excess, bps</t>
        </is>
      </c>
      <c r="B179" s="0" t="inlineStr">
        <is>
          <t xml:space="preserve">largest 100 by market cap</t>
        </is>
      </c>
      <c r="C179" s="8">
        <f>IF((1=1),SUM(C4),"")</f>
        <v>4.751</v>
      </c>
      <c r="D179" s="8">
        <f>IF((0=1),SUM(C4:D4),"")</f>
      </c>
      <c r="E179" s="8">
        <f>IF((0=1),SUM(C4:E4),"")</f>
      </c>
      <c r="F179" s="8">
        <f>IF((0=1),SUM(C4:F4),"")</f>
      </c>
      <c r="G179" s="8">
        <f>IF((0=1),SUM(C4:G4),"")</f>
      </c>
      <c r="H179" s="8">
        <f>IF((0=1),SUM(C4:H4),"")</f>
      </c>
      <c r="I179" s="8">
        <f>IF((0=1),SUM(C4:I4),"")</f>
      </c>
      <c r="J179" s="8">
        <f>IF((0=1),SUM(C4:J4),"")</f>
      </c>
      <c r="K179" s="8">
        <f>IF((0=1),SUM(C4:K4),"")</f>
      </c>
      <c r="L179" s="8">
        <f>IF((0=1),SUM(C4:L4),"")</f>
      </c>
      <c r="M179" s="8">
        <f>IF((0=1),SUM(C4:M4),"")</f>
      </c>
      <c r="N179" s="8">
        <f>IF((0=1),SUM(C4:N4),"")</f>
      </c>
      <c r="O179" s="8">
        <f>IF((0=1),SUM(C4:O4),"")</f>
      </c>
      <c r="P179" s="8">
        <f>IF((0=1),SUM(C4:P4),"")</f>
      </c>
      <c r="Q179" s="8">
        <f>IF((0=1),SUM(C4:Q4),"")</f>
      </c>
      <c r="R179" s="8">
        <f>IF((0=1),SUM(C4:R4),"")</f>
      </c>
      <c r="S179" s="8">
        <f>IF((0=1),SUM(C4:S4),"")</f>
      </c>
      <c r="T179" s="8">
        <f>IF((0=1),SUM(C4:T4),"")</f>
      </c>
      <c r="U179" s="8">
        <f>IF((0=1),SUM(C4:U4),"")</f>
      </c>
      <c r="V179" s="8">
        <f>IF((0=1),SUM(C4:V4),"")</f>
      </c>
      <c r="W179" s="8">
        <f>IF((0=1),SUM(C4:W4),"")</f>
      </c>
      <c r="X179" s="8">
        <f>IF((0=1),SUM(C4:X4),"")</f>
      </c>
      <c r="Y179" s="8">
        <f>IF((0=1),SUM(C4:Y4),"")</f>
      </c>
      <c r="Z179" s="8">
        <f>IF((0=1),SUM(C4:Z4),"")</f>
      </c>
      <c r="AA179" s="8">
        <f>IF((0=1),SUM(C4:AA4),"")</f>
      </c>
      <c r="AB179" s="8">
        <f>IF((0=1),SUM(C4:AB4),"")</f>
      </c>
      <c r="AC179" s="8">
        <f>IF((0=1),SUM(C4:AC4),"")</f>
      </c>
      <c r="AD179" s="8">
        <f>IF((0=1),SUM(C4:AD4),"")</f>
      </c>
      <c r="AE179" s="8">
        <f>IF((0=1),SUM(C4:AE4),"")</f>
      </c>
      <c r="AF179" s="8">
        <f>IF((0=1),SUM(C4:AF4),"")</f>
      </c>
      <c r="AG179" s="8">
        <f>IF((0=1),SUM(C4:AG4),"")</f>
      </c>
      <c r="AH179" s="8">
        <f>IF((0=1),SUM(C4:AH4),"")</f>
      </c>
      <c r="AI179" s="8">
        <f>IF((0=1),SUM(C4:AI4),"")</f>
      </c>
      <c r="AJ179" s="8">
        <f>IF((0=1),SUM(C4:AJ4),"")</f>
      </c>
      <c r="AK179" s="8">
        <f>IF((0=1),SUM(C4:AK4),"")</f>
      </c>
      <c r="AL179" s="8">
        <f>IF((0=1),SUM(C4:AL4),"")</f>
      </c>
      <c r="AM179" s="8">
        <f>IF((0=1),SUM(C4:AM4),"")</f>
      </c>
      <c r="AN179" s="8">
        <f>IF((0=1),SUM(C4:AN4),"")</f>
      </c>
      <c r="AO179" s="8">
        <f>IF((0=1),SUM(C4:AO4),"")</f>
      </c>
      <c r="AP179" s="8">
        <f>IF((0=1),SUM(C4:AP4),"")</f>
      </c>
      <c r="AQ179" s="8">
        <f>IF((0=1),SUM(C4:AQ4),"")</f>
      </c>
      <c r="AR179" s="8">
        <f>IF((0=1),SUM(C4:AR4),"")</f>
      </c>
      <c r="AS179" s="8">
        <f>IF((0=1),SUM(C4:AS4),"")</f>
      </c>
      <c r="AT179" s="8">
        <f>IF((0=1),SUM(C4:AT4),"")</f>
      </c>
      <c r="AU179" s="8">
        <f>IF((0=1),SUM(C4:AU4),"")</f>
      </c>
      <c r="AV179" s="8">
        <f>IF((0=1),SUM(C4:AV4),"")</f>
      </c>
      <c r="AW179" s="8">
        <f>IF((0=1),SUM(C4:AW4),"")</f>
      </c>
      <c r="AX179" s="8">
        <f>IF((0=1),SUM(C4:AX4),"")</f>
      </c>
      <c r="AY179" s="8">
        <f>IF((0=1),SUM(C4:AY4),"")</f>
      </c>
      <c r="AZ179" s="8">
        <f>IF((0=1),SUM(C4:AZ4),"")</f>
      </c>
      <c r="BA179" s="8">
        <f>IF((0=1),SUM(C4:BA4),"")</f>
      </c>
      <c r="BB179" s="8">
        <f>IF((0=1),SUM(C4:BB4),"")</f>
      </c>
      <c r="BC179" s="8">
        <f>IF((0=1),SUM(C4:BC4),"")</f>
      </c>
      <c r="BD179" s="8">
        <f>IF((0=1),SUM(C4:BD4),"")</f>
      </c>
      <c r="BE179" s="8">
        <f>IF((0=1),SUM(C4:BE4),"")</f>
      </c>
      <c r="BF179" s="8">
        <f>IF((0=1),SUM(C4:BF4),"")</f>
      </c>
      <c r="BG179" s="8">
        <f>IF((0=1),SUM(C4:BG4),"")</f>
      </c>
      <c r="BH179" s="8">
        <f>IF((0=1),SUM(C4:BH4),"")</f>
      </c>
      <c r="BI179" s="8">
        <f>IF((0=1),SUM(C4:BI4),"")</f>
      </c>
      <c r="BJ179" s="8">
        <f>IF((0=1),SUM(C4:BJ4),"")</f>
      </c>
      <c r="BK179" s="8">
        <f>IF((0=1),SUM(C4:BK4),"")</f>
      </c>
      <c r="BL179" s="8">
        <f>IF((0=1),SUM(C4:BL4),"")</f>
      </c>
      <c r="BM179" s="8">
        <f>IF((0=1),SUM(C4:BM4),"")</f>
      </c>
      <c r="BN179" s="8">
        <f>IF((0=1),SUM(C4:BN4),"")</f>
      </c>
      <c r="BO179" s="8">
        <f>IF((0=1),SUM(C4:BO4),"")</f>
      </c>
      <c r="BP179" s="8">
        <f>IF((0=1),SUM(C4:BP4),"")</f>
      </c>
      <c r="BQ179" s="8">
        <f>IF((0=1),SUM(C4:BQ4),"")</f>
      </c>
      <c r="BR179" s="8">
        <f>IF((0=1),SUM(C4:BR4),"")</f>
      </c>
      <c r="BS179" s="8">
        <f>IF((0=1),SUM(C4:BS4),"")</f>
      </c>
      <c r="BT179" s="8">
        <f>IF((0=1),SUM(C4:BT4),"")</f>
      </c>
      <c r="BU179" s="8">
        <f>IF((0=1),SUM(C4:BU4),"")</f>
      </c>
      <c r="BV179" s="8">
        <f>IF((0=1),SUM(C4:BV4),"")</f>
      </c>
      <c r="BW179" s="8">
        <f>IF((0=1),SUM(C4:BW4),"")</f>
      </c>
      <c r="BX179" s="8">
        <f>IF((0=1),SUM(C4:BX4),"")</f>
      </c>
      <c r="BY179" s="8">
        <f>IF((0=1),SUM(C4:BY4),"")</f>
      </c>
      <c r="BZ179" s="8">
        <f>IF((0=1),SUM(C4:BZ4),"")</f>
      </c>
      <c r="CA179" s="8">
        <f>IF((0=1),SUM(C4:CA4),"")</f>
      </c>
      <c r="CB179" s="8">
        <f>IF((0=1),SUM(C4:CB4),"")</f>
      </c>
      <c r="CC179" s="8">
        <f>IF((0=1),SUM(C4:CC4),"")</f>
      </c>
      <c r="CD179" s="8">
        <f>IF((0=1),SUM(C4:CD4),"")</f>
      </c>
      <c r="CE179" s="8">
        <f>IF((0=1),SUM(C4:CE4),"")</f>
      </c>
      <c r="CF179" s="8">
        <f>IF((0=1),SUM(C4:CF4),"")</f>
      </c>
      <c r="CG179" s="8">
        <f>IF((0=1),SUM(C4:CG4),"")</f>
      </c>
      <c r="CH179" s="8">
        <f>IF((0=1),SUM(C4:CH4),"")</f>
      </c>
      <c r="CI179" s="8">
        <f>IF((0=1),SUM(C4:CI4),"")</f>
      </c>
      <c r="CJ179" s="8">
        <f>IF((0=1),SUM(C4:CJ4),"")</f>
      </c>
      <c r="CK179" s="8">
        <f>IF((0=1),SUM(C4:CK4),"")</f>
      </c>
      <c r="CL179" s="8">
        <f>IF((0=1),SUM(C4:CL4),"")</f>
      </c>
      <c r="CM179" s="8">
        <f>IF((0=1),SUM(C4:CM4),"")</f>
      </c>
      <c r="CN179" s="8">
        <f>IF((0=1),SUM(C4:CN4),"")</f>
      </c>
      <c r="CO179" s="8">
        <f>IF((0=1),SUM(C4:CO4),"")</f>
      </c>
      <c r="CP179" s="8">
        <f>IF((0=1),SUM(C4:CP4),"")</f>
      </c>
      <c r="CQ179" s="8">
        <f>IF((0=1),SUM(C4:CQ4),"")</f>
      </c>
      <c r="CR179" s="8">
        <f>IF((0=1),SUM(C4:CR4),"")</f>
      </c>
      <c r="CS179" s="8">
        <f>IF((0=1),SUM(C4:CS4),"")</f>
      </c>
      <c r="CT179" s="8">
        <f>IF((0=1),SUM(C4:CT4),"")</f>
      </c>
      <c r="CU179" s="8">
        <f>IF((0=1),SUM(C4:CU4),"")</f>
      </c>
      <c r="CV179" s="8">
        <f>IF((0=1),SUM(C4:CV4),"")</f>
      </c>
      <c r="CW179" s="8">
        <f>IF((0=1),SUM(C4:CW4),"")</f>
      </c>
      <c r="CX179" s="8">
        <f>IF((0=1),SUM(C4:CX4),"")</f>
      </c>
    </row>
    <row r="180">
      <c r="A180" s="0" t="inlineStr">
        <is>
          <t xml:space="preserve">Cumulative sector-neutral excess, bps</t>
        </is>
      </c>
      <c r="B180" s="0" t="inlineStr">
        <is>
          <t xml:space="preserve">top 100 by 12-1 month return</t>
        </is>
      </c>
      <c r="C180" s="8">
        <f>IF((1=1),SUM(C5),"")</f>
        <v>-23.532</v>
      </c>
      <c r="D180" s="8">
        <f>IF((0=1),SUM(C5:D5),"")</f>
      </c>
      <c r="E180" s="8">
        <f>IF((0=1),SUM(C5:E5),"")</f>
      </c>
      <c r="F180" s="8">
        <f>IF((0=1),SUM(C5:F5),"")</f>
      </c>
      <c r="G180" s="8">
        <f>IF((0=1),SUM(C5:G5),"")</f>
      </c>
      <c r="H180" s="8">
        <f>IF((0=1),SUM(C5:H5),"")</f>
      </c>
      <c r="I180" s="8">
        <f>IF((0=1),SUM(C5:I5),"")</f>
      </c>
      <c r="J180" s="8">
        <f>IF((0=1),SUM(C5:J5),"")</f>
      </c>
      <c r="K180" s="8">
        <f>IF((0=1),SUM(C5:K5),"")</f>
      </c>
      <c r="L180" s="8">
        <f>IF((0=1),SUM(C5:L5),"")</f>
      </c>
      <c r="M180" s="8">
        <f>IF((0=1),SUM(C5:M5),"")</f>
      </c>
      <c r="N180" s="8">
        <f>IF((0=1),SUM(C5:N5),"")</f>
      </c>
      <c r="O180" s="8">
        <f>IF((0=1),SUM(C5:O5),"")</f>
      </c>
      <c r="P180" s="8">
        <f>IF((0=1),SUM(C5:P5),"")</f>
      </c>
      <c r="Q180" s="8">
        <f>IF((0=1),SUM(C5:Q5),"")</f>
      </c>
      <c r="R180" s="8">
        <f>IF((0=1),SUM(C5:R5),"")</f>
      </c>
      <c r="S180" s="8">
        <f>IF((0=1),SUM(C5:S5),"")</f>
      </c>
      <c r="T180" s="8">
        <f>IF((0=1),SUM(C5:T5),"")</f>
      </c>
      <c r="U180" s="8">
        <f>IF((0=1),SUM(C5:U5),"")</f>
      </c>
      <c r="V180" s="8">
        <f>IF((0=1),SUM(C5:V5),"")</f>
      </c>
      <c r="W180" s="8">
        <f>IF((0=1),SUM(C5:W5),"")</f>
      </c>
      <c r="X180" s="8">
        <f>IF((0=1),SUM(C5:X5),"")</f>
      </c>
      <c r="Y180" s="8">
        <f>IF((0=1),SUM(C5:Y5),"")</f>
      </c>
      <c r="Z180" s="8">
        <f>IF((0=1),SUM(C5:Z5),"")</f>
      </c>
      <c r="AA180" s="8">
        <f>IF((0=1),SUM(C5:AA5),"")</f>
      </c>
      <c r="AB180" s="8">
        <f>IF((0=1),SUM(C5:AB5),"")</f>
      </c>
      <c r="AC180" s="8">
        <f>IF((0=1),SUM(C5:AC5),"")</f>
      </c>
      <c r="AD180" s="8">
        <f>IF((0=1),SUM(C5:AD5),"")</f>
      </c>
      <c r="AE180" s="8">
        <f>IF((0=1),SUM(C5:AE5),"")</f>
      </c>
      <c r="AF180" s="8">
        <f>IF((0=1),SUM(C5:AF5),"")</f>
      </c>
      <c r="AG180" s="8">
        <f>IF((0=1),SUM(C5:AG5),"")</f>
      </c>
      <c r="AH180" s="8">
        <f>IF((0=1),SUM(C5:AH5),"")</f>
      </c>
      <c r="AI180" s="8">
        <f>IF((0=1),SUM(C5:AI5),"")</f>
      </c>
      <c r="AJ180" s="8">
        <f>IF((0=1),SUM(C5:AJ5),"")</f>
      </c>
      <c r="AK180" s="8">
        <f>IF((0=1),SUM(C5:AK5),"")</f>
      </c>
      <c r="AL180" s="8">
        <f>IF((0=1),SUM(C5:AL5),"")</f>
      </c>
      <c r="AM180" s="8">
        <f>IF((0=1),SUM(C5:AM5),"")</f>
      </c>
      <c r="AN180" s="8">
        <f>IF((0=1),SUM(C5:AN5),"")</f>
      </c>
      <c r="AO180" s="8">
        <f>IF((0=1),SUM(C5:AO5),"")</f>
      </c>
      <c r="AP180" s="8">
        <f>IF((0=1),SUM(C5:AP5),"")</f>
      </c>
      <c r="AQ180" s="8">
        <f>IF((0=1),SUM(C5:AQ5),"")</f>
      </c>
      <c r="AR180" s="8">
        <f>IF((0=1),SUM(C5:AR5),"")</f>
      </c>
      <c r="AS180" s="8">
        <f>IF((0=1),SUM(C5:AS5),"")</f>
      </c>
      <c r="AT180" s="8">
        <f>IF((0=1),SUM(C5:AT5),"")</f>
      </c>
      <c r="AU180" s="8">
        <f>IF((0=1),SUM(C5:AU5),"")</f>
      </c>
      <c r="AV180" s="8">
        <f>IF((0=1),SUM(C5:AV5),"")</f>
      </c>
      <c r="AW180" s="8">
        <f>IF((0=1),SUM(C5:AW5),"")</f>
      </c>
      <c r="AX180" s="8">
        <f>IF((0=1),SUM(C5:AX5),"")</f>
      </c>
      <c r="AY180" s="8">
        <f>IF((0=1),SUM(C5:AY5),"")</f>
      </c>
      <c r="AZ180" s="8">
        <f>IF((0=1),SUM(C5:AZ5),"")</f>
      </c>
      <c r="BA180" s="8">
        <f>IF((0=1),SUM(C5:BA5),"")</f>
      </c>
      <c r="BB180" s="8">
        <f>IF((0=1),SUM(C5:BB5),"")</f>
      </c>
      <c r="BC180" s="8">
        <f>IF((0=1),SUM(C5:BC5),"")</f>
      </c>
      <c r="BD180" s="8">
        <f>IF((0=1),SUM(C5:BD5),"")</f>
      </c>
      <c r="BE180" s="8">
        <f>IF((0=1),SUM(C5:BE5),"")</f>
      </c>
      <c r="BF180" s="8">
        <f>IF((0=1),SUM(C5:BF5),"")</f>
      </c>
      <c r="BG180" s="8">
        <f>IF((0=1),SUM(C5:BG5),"")</f>
      </c>
      <c r="BH180" s="8">
        <f>IF((0=1),SUM(C5:BH5),"")</f>
      </c>
      <c r="BI180" s="8">
        <f>IF((0=1),SUM(C5:BI5),"")</f>
      </c>
      <c r="BJ180" s="8">
        <f>IF((0=1),SUM(C5:BJ5),"")</f>
      </c>
      <c r="BK180" s="8">
        <f>IF((0=1),SUM(C5:BK5),"")</f>
      </c>
      <c r="BL180" s="8">
        <f>IF((0=1),SUM(C5:BL5),"")</f>
      </c>
      <c r="BM180" s="8">
        <f>IF((0=1),SUM(C5:BM5),"")</f>
      </c>
      <c r="BN180" s="8">
        <f>IF((0=1),SUM(C5:BN5),"")</f>
      </c>
      <c r="BO180" s="8">
        <f>IF((0=1),SUM(C5:BO5),"")</f>
      </c>
      <c r="BP180" s="8">
        <f>IF((0=1),SUM(C5:BP5),"")</f>
      </c>
      <c r="BQ180" s="8">
        <f>IF((0=1),SUM(C5:BQ5),"")</f>
      </c>
      <c r="BR180" s="8">
        <f>IF((0=1),SUM(C5:BR5),"")</f>
      </c>
      <c r="BS180" s="8">
        <f>IF((0=1),SUM(C5:BS5),"")</f>
      </c>
      <c r="BT180" s="8">
        <f>IF((0=1),SUM(C5:BT5),"")</f>
      </c>
      <c r="BU180" s="8">
        <f>IF((0=1),SUM(C5:BU5),"")</f>
      </c>
      <c r="BV180" s="8">
        <f>IF((0=1),SUM(C5:BV5),"")</f>
      </c>
      <c r="BW180" s="8">
        <f>IF((0=1),SUM(C5:BW5),"")</f>
      </c>
      <c r="BX180" s="8">
        <f>IF((0=1),SUM(C5:BX5),"")</f>
      </c>
      <c r="BY180" s="8">
        <f>IF((0=1),SUM(C5:BY5),"")</f>
      </c>
      <c r="BZ180" s="8">
        <f>IF((0=1),SUM(C5:BZ5),"")</f>
      </c>
      <c r="CA180" s="8">
        <f>IF((0=1),SUM(C5:CA5),"")</f>
      </c>
      <c r="CB180" s="8">
        <f>IF((0=1),SUM(C5:CB5),"")</f>
      </c>
      <c r="CC180" s="8">
        <f>IF((0=1),SUM(C5:CC5),"")</f>
      </c>
      <c r="CD180" s="8">
        <f>IF((0=1),SUM(C5:CD5),"")</f>
      </c>
      <c r="CE180" s="8">
        <f>IF((0=1),SUM(C5:CE5),"")</f>
      </c>
      <c r="CF180" s="8">
        <f>IF((0=1),SUM(C5:CF5),"")</f>
      </c>
      <c r="CG180" s="8">
        <f>IF((0=1),SUM(C5:CG5),"")</f>
      </c>
      <c r="CH180" s="8">
        <f>IF((0=1),SUM(C5:CH5),"")</f>
      </c>
      <c r="CI180" s="8">
        <f>IF((0=1),SUM(C5:CI5),"")</f>
      </c>
      <c r="CJ180" s="8">
        <f>IF((0=1),SUM(C5:CJ5),"")</f>
      </c>
      <c r="CK180" s="8">
        <f>IF((0=1),SUM(C5:CK5),"")</f>
      </c>
      <c r="CL180" s="8">
        <f>IF((0=1),SUM(C5:CL5),"")</f>
      </c>
      <c r="CM180" s="8">
        <f>IF((0=1),SUM(C5:CM5),"")</f>
      </c>
      <c r="CN180" s="8">
        <f>IF((0=1),SUM(C5:CN5),"")</f>
      </c>
      <c r="CO180" s="8">
        <f>IF((0=1),SUM(C5:CO5),"")</f>
      </c>
      <c r="CP180" s="8">
        <f>IF((0=1),SUM(C5:CP5),"")</f>
      </c>
      <c r="CQ180" s="8">
        <f>IF((0=1),SUM(C5:CQ5),"")</f>
      </c>
      <c r="CR180" s="8">
        <f>IF((0=1),SUM(C5:CR5),"")</f>
      </c>
      <c r="CS180" s="8">
        <f>IF((0=1),SUM(C5:CS5),"")</f>
      </c>
      <c r="CT180" s="8">
        <f>IF((0=1),SUM(C5:CT5),"")</f>
      </c>
      <c r="CU180" s="8">
        <f>IF((0=1),SUM(C5:CU5),"")</f>
      </c>
      <c r="CV180" s="8">
        <f>IF((0=1),SUM(C5:CV5),"")</f>
      </c>
      <c r="CW180" s="8">
        <f>IF((0=1),SUM(C5:CW5),"")</f>
      </c>
      <c r="CX180" s="8">
        <f>IF((0=1),SUM(C5:CX5),"")</f>
      </c>
    </row>
    <row r="181">
      <c r="A181" s="0" t="inlineStr">
        <is>
          <t xml:space="preserve">Cumulative sector-neutral excess, bps</t>
        </is>
      </c>
      <c r="B181" s="0" t="inlineStr">
        <is>
          <t xml:space="preserve">best 100 by yesterday's close-to-close return</t>
        </is>
      </c>
      <c r="C181" s="8">
        <f>IF((1=1),SUM(C6),"")</f>
        <v>-14.463</v>
      </c>
      <c r="D181" s="8">
        <f>IF((0=1),SUM(C6:D6),"")</f>
      </c>
      <c r="E181" s="8">
        <f>IF((0=1),SUM(C6:E6),"")</f>
      </c>
      <c r="F181" s="8">
        <f>IF((0=1),SUM(C6:F6),"")</f>
      </c>
      <c r="G181" s="8">
        <f>IF((0=1),SUM(C6:G6),"")</f>
      </c>
      <c r="H181" s="8">
        <f>IF((0=1),SUM(C6:H6),"")</f>
      </c>
      <c r="I181" s="8">
        <f>IF((0=1),SUM(C6:I6),"")</f>
      </c>
      <c r="J181" s="8">
        <f>IF((0=1),SUM(C6:J6),"")</f>
      </c>
      <c r="K181" s="8">
        <f>IF((0=1),SUM(C6:K6),"")</f>
      </c>
      <c r="L181" s="8">
        <f>IF((0=1),SUM(C6:L6),"")</f>
      </c>
      <c r="M181" s="8">
        <f>IF((0=1),SUM(C6:M6),"")</f>
      </c>
      <c r="N181" s="8">
        <f>IF((0=1),SUM(C6:N6),"")</f>
      </c>
      <c r="O181" s="8">
        <f>IF((0=1),SUM(C6:O6),"")</f>
      </c>
      <c r="P181" s="8">
        <f>IF((0=1),SUM(C6:P6),"")</f>
      </c>
      <c r="Q181" s="8">
        <f>IF((0=1),SUM(C6:Q6),"")</f>
      </c>
      <c r="R181" s="8">
        <f>IF((0=1),SUM(C6:R6),"")</f>
      </c>
      <c r="S181" s="8">
        <f>IF((0=1),SUM(C6:S6),"")</f>
      </c>
      <c r="T181" s="8">
        <f>IF((0=1),SUM(C6:T6),"")</f>
      </c>
      <c r="U181" s="8">
        <f>IF((0=1),SUM(C6:U6),"")</f>
      </c>
      <c r="V181" s="8">
        <f>IF((0=1),SUM(C6:V6),"")</f>
      </c>
      <c r="W181" s="8">
        <f>IF((0=1),SUM(C6:W6),"")</f>
      </c>
      <c r="X181" s="8">
        <f>IF((0=1),SUM(C6:X6),"")</f>
      </c>
      <c r="Y181" s="8">
        <f>IF((0=1),SUM(C6:Y6),"")</f>
      </c>
      <c r="Z181" s="8">
        <f>IF((0=1),SUM(C6:Z6),"")</f>
      </c>
      <c r="AA181" s="8">
        <f>IF((0=1),SUM(C6:AA6),"")</f>
      </c>
      <c r="AB181" s="8">
        <f>IF((0=1),SUM(C6:AB6),"")</f>
      </c>
      <c r="AC181" s="8">
        <f>IF((0=1),SUM(C6:AC6),"")</f>
      </c>
      <c r="AD181" s="8">
        <f>IF((0=1),SUM(C6:AD6),"")</f>
      </c>
      <c r="AE181" s="8">
        <f>IF((0=1),SUM(C6:AE6),"")</f>
      </c>
      <c r="AF181" s="8">
        <f>IF((0=1),SUM(C6:AF6),"")</f>
      </c>
      <c r="AG181" s="8">
        <f>IF((0=1),SUM(C6:AG6),"")</f>
      </c>
      <c r="AH181" s="8">
        <f>IF((0=1),SUM(C6:AH6),"")</f>
      </c>
      <c r="AI181" s="8">
        <f>IF((0=1),SUM(C6:AI6),"")</f>
      </c>
      <c r="AJ181" s="8">
        <f>IF((0=1),SUM(C6:AJ6),"")</f>
      </c>
      <c r="AK181" s="8">
        <f>IF((0=1),SUM(C6:AK6),"")</f>
      </c>
      <c r="AL181" s="8">
        <f>IF((0=1),SUM(C6:AL6),"")</f>
      </c>
      <c r="AM181" s="8">
        <f>IF((0=1),SUM(C6:AM6),"")</f>
      </c>
      <c r="AN181" s="8">
        <f>IF((0=1),SUM(C6:AN6),"")</f>
      </c>
      <c r="AO181" s="8">
        <f>IF((0=1),SUM(C6:AO6),"")</f>
      </c>
      <c r="AP181" s="8">
        <f>IF((0=1),SUM(C6:AP6),"")</f>
      </c>
      <c r="AQ181" s="8">
        <f>IF((0=1),SUM(C6:AQ6),"")</f>
      </c>
      <c r="AR181" s="8">
        <f>IF((0=1),SUM(C6:AR6),"")</f>
      </c>
      <c r="AS181" s="8">
        <f>IF((0=1),SUM(C6:AS6),"")</f>
      </c>
      <c r="AT181" s="8">
        <f>IF((0=1),SUM(C6:AT6),"")</f>
      </c>
      <c r="AU181" s="8">
        <f>IF((0=1),SUM(C6:AU6),"")</f>
      </c>
      <c r="AV181" s="8">
        <f>IF((0=1),SUM(C6:AV6),"")</f>
      </c>
      <c r="AW181" s="8">
        <f>IF((0=1),SUM(C6:AW6),"")</f>
      </c>
      <c r="AX181" s="8">
        <f>IF((0=1),SUM(C6:AX6),"")</f>
      </c>
      <c r="AY181" s="8">
        <f>IF((0=1),SUM(C6:AY6),"")</f>
      </c>
      <c r="AZ181" s="8">
        <f>IF((0=1),SUM(C6:AZ6),"")</f>
      </c>
      <c r="BA181" s="8">
        <f>IF((0=1),SUM(C6:BA6),"")</f>
      </c>
      <c r="BB181" s="8">
        <f>IF((0=1),SUM(C6:BB6),"")</f>
      </c>
      <c r="BC181" s="8">
        <f>IF((0=1),SUM(C6:BC6),"")</f>
      </c>
      <c r="BD181" s="8">
        <f>IF((0=1),SUM(C6:BD6),"")</f>
      </c>
      <c r="BE181" s="8">
        <f>IF((0=1),SUM(C6:BE6),"")</f>
      </c>
      <c r="BF181" s="8">
        <f>IF((0=1),SUM(C6:BF6),"")</f>
      </c>
      <c r="BG181" s="8">
        <f>IF((0=1),SUM(C6:BG6),"")</f>
      </c>
      <c r="BH181" s="8">
        <f>IF((0=1),SUM(C6:BH6),"")</f>
      </c>
      <c r="BI181" s="8">
        <f>IF((0=1),SUM(C6:BI6),"")</f>
      </c>
      <c r="BJ181" s="8">
        <f>IF((0=1),SUM(C6:BJ6),"")</f>
      </c>
      <c r="BK181" s="8">
        <f>IF((0=1),SUM(C6:BK6),"")</f>
      </c>
      <c r="BL181" s="8">
        <f>IF((0=1),SUM(C6:BL6),"")</f>
      </c>
      <c r="BM181" s="8">
        <f>IF((0=1),SUM(C6:BM6),"")</f>
      </c>
      <c r="BN181" s="8">
        <f>IF((0=1),SUM(C6:BN6),"")</f>
      </c>
      <c r="BO181" s="8">
        <f>IF((0=1),SUM(C6:BO6),"")</f>
      </c>
      <c r="BP181" s="8">
        <f>IF((0=1),SUM(C6:BP6),"")</f>
      </c>
      <c r="BQ181" s="8">
        <f>IF((0=1),SUM(C6:BQ6),"")</f>
      </c>
      <c r="BR181" s="8">
        <f>IF((0=1),SUM(C6:BR6),"")</f>
      </c>
      <c r="BS181" s="8">
        <f>IF((0=1),SUM(C6:BS6),"")</f>
      </c>
      <c r="BT181" s="8">
        <f>IF((0=1),SUM(C6:BT6),"")</f>
      </c>
      <c r="BU181" s="8">
        <f>IF((0=1),SUM(C6:BU6),"")</f>
      </c>
      <c r="BV181" s="8">
        <f>IF((0=1),SUM(C6:BV6),"")</f>
      </c>
      <c r="BW181" s="8">
        <f>IF((0=1),SUM(C6:BW6),"")</f>
      </c>
      <c r="BX181" s="8">
        <f>IF((0=1),SUM(C6:BX6),"")</f>
      </c>
      <c r="BY181" s="8">
        <f>IF((0=1),SUM(C6:BY6),"")</f>
      </c>
      <c r="BZ181" s="8">
        <f>IF((0=1),SUM(C6:BZ6),"")</f>
      </c>
      <c r="CA181" s="8">
        <f>IF((0=1),SUM(C6:CA6),"")</f>
      </c>
      <c r="CB181" s="8">
        <f>IF((0=1),SUM(C6:CB6),"")</f>
      </c>
      <c r="CC181" s="8">
        <f>IF((0=1),SUM(C6:CC6),"")</f>
      </c>
      <c r="CD181" s="8">
        <f>IF((0=1),SUM(C6:CD6),"")</f>
      </c>
      <c r="CE181" s="8">
        <f>IF((0=1),SUM(C6:CE6),"")</f>
      </c>
      <c r="CF181" s="8">
        <f>IF((0=1),SUM(C6:CF6),"")</f>
      </c>
      <c r="CG181" s="8">
        <f>IF((0=1),SUM(C6:CG6),"")</f>
      </c>
      <c r="CH181" s="8">
        <f>IF((0=1),SUM(C6:CH6),"")</f>
      </c>
      <c r="CI181" s="8">
        <f>IF((0=1),SUM(C6:CI6),"")</f>
      </c>
      <c r="CJ181" s="8">
        <f>IF((0=1),SUM(C6:CJ6),"")</f>
      </c>
      <c r="CK181" s="8">
        <f>IF((0=1),SUM(C6:CK6),"")</f>
      </c>
      <c r="CL181" s="8">
        <f>IF((0=1),SUM(C6:CL6),"")</f>
      </c>
      <c r="CM181" s="8">
        <f>IF((0=1),SUM(C6:CM6),"")</f>
      </c>
      <c r="CN181" s="8">
        <f>IF((0=1),SUM(C6:CN6),"")</f>
      </c>
      <c r="CO181" s="8">
        <f>IF((0=1),SUM(C6:CO6),"")</f>
      </c>
      <c r="CP181" s="8">
        <f>IF((0=1),SUM(C6:CP6),"")</f>
      </c>
      <c r="CQ181" s="8">
        <f>IF((0=1),SUM(C6:CQ6),"")</f>
      </c>
      <c r="CR181" s="8">
        <f>IF((0=1),SUM(C6:CR6),"")</f>
      </c>
      <c r="CS181" s="8">
        <f>IF((0=1),SUM(C6:CS6),"")</f>
      </c>
      <c r="CT181" s="8">
        <f>IF((0=1),SUM(C6:CT6),"")</f>
      </c>
      <c r="CU181" s="8">
        <f>IF((0=1),SUM(C6:CU6),"")</f>
      </c>
      <c r="CV181" s="8">
        <f>IF((0=1),SUM(C6:CV6),"")</f>
      </c>
      <c r="CW181" s="8">
        <f>IF((0=1),SUM(C6:CW6),"")</f>
      </c>
      <c r="CX181" s="8">
        <f>IF((0=1),SUM(C6:CX6),"")</f>
      </c>
    </row>
    <row r="182">
      <c r="A182" s="0" t="inlineStr">
        <is>
          <t xml:space="preserve">Cumulative sector-neutral excess, bps</t>
        </is>
      </c>
      <c r="B182" s="0" t="inlineStr">
        <is>
          <t xml:space="preserve">Retail Attention Overnight</t>
        </is>
      </c>
      <c r="C182" s="8">
        <f>IF((1=1),SUM(C7),"")</f>
        <v>-19.56</v>
      </c>
      <c r="D182" s="8">
        <f>IF((0=1),SUM(C7:D7),"")</f>
      </c>
      <c r="E182" s="8">
        <f>IF((0=1),SUM(C7:E7),"")</f>
      </c>
      <c r="F182" s="8">
        <f>IF((0=1),SUM(C7:F7),"")</f>
      </c>
      <c r="G182" s="8">
        <f>IF((0=1),SUM(C7:G7),"")</f>
      </c>
      <c r="H182" s="8">
        <f>IF((0=1),SUM(C7:H7),"")</f>
      </c>
      <c r="I182" s="8">
        <f>IF((0=1),SUM(C7:I7),"")</f>
      </c>
      <c r="J182" s="8">
        <f>IF((0=1),SUM(C7:J7),"")</f>
      </c>
      <c r="K182" s="8">
        <f>IF((0=1),SUM(C7:K7),"")</f>
      </c>
      <c r="L182" s="8">
        <f>IF((0=1),SUM(C7:L7),"")</f>
      </c>
      <c r="M182" s="8">
        <f>IF((0=1),SUM(C7:M7),"")</f>
      </c>
      <c r="N182" s="8">
        <f>IF((0=1),SUM(C7:N7),"")</f>
      </c>
      <c r="O182" s="8">
        <f>IF((0=1),SUM(C7:O7),"")</f>
      </c>
      <c r="P182" s="8">
        <f>IF((0=1),SUM(C7:P7),"")</f>
      </c>
      <c r="Q182" s="8">
        <f>IF((0=1),SUM(C7:Q7),"")</f>
      </c>
      <c r="R182" s="8">
        <f>IF((0=1),SUM(C7:R7),"")</f>
      </c>
      <c r="S182" s="8">
        <f>IF((0=1),SUM(C7:S7),"")</f>
      </c>
      <c r="T182" s="8">
        <f>IF((0=1),SUM(C7:T7),"")</f>
      </c>
      <c r="U182" s="8">
        <f>IF((0=1),SUM(C7:U7),"")</f>
      </c>
      <c r="V182" s="8">
        <f>IF((0=1),SUM(C7:V7),"")</f>
      </c>
      <c r="W182" s="8">
        <f>IF((0=1),SUM(C7:W7),"")</f>
      </c>
      <c r="X182" s="8">
        <f>IF((0=1),SUM(C7:X7),"")</f>
      </c>
      <c r="Y182" s="8">
        <f>IF((0=1),SUM(C7:Y7),"")</f>
      </c>
      <c r="Z182" s="8">
        <f>IF((0=1),SUM(C7:Z7),"")</f>
      </c>
      <c r="AA182" s="8">
        <f>IF((0=1),SUM(C7:AA7),"")</f>
      </c>
      <c r="AB182" s="8">
        <f>IF((0=1),SUM(C7:AB7),"")</f>
      </c>
      <c r="AC182" s="8">
        <f>IF((0=1),SUM(C7:AC7),"")</f>
      </c>
      <c r="AD182" s="8">
        <f>IF((0=1),SUM(C7:AD7),"")</f>
      </c>
      <c r="AE182" s="8">
        <f>IF((0=1),SUM(C7:AE7),"")</f>
      </c>
      <c r="AF182" s="8">
        <f>IF((0=1),SUM(C7:AF7),"")</f>
      </c>
      <c r="AG182" s="8">
        <f>IF((0=1),SUM(C7:AG7),"")</f>
      </c>
      <c r="AH182" s="8">
        <f>IF((0=1),SUM(C7:AH7),"")</f>
      </c>
      <c r="AI182" s="8">
        <f>IF((0=1),SUM(C7:AI7),"")</f>
      </c>
      <c r="AJ182" s="8">
        <f>IF((0=1),SUM(C7:AJ7),"")</f>
      </c>
      <c r="AK182" s="8">
        <f>IF((0=1),SUM(C7:AK7),"")</f>
      </c>
      <c r="AL182" s="8">
        <f>IF((0=1),SUM(C7:AL7),"")</f>
      </c>
      <c r="AM182" s="8">
        <f>IF((0=1),SUM(C7:AM7),"")</f>
      </c>
      <c r="AN182" s="8">
        <f>IF((0=1),SUM(C7:AN7),"")</f>
      </c>
      <c r="AO182" s="8">
        <f>IF((0=1),SUM(C7:AO7),"")</f>
      </c>
      <c r="AP182" s="8">
        <f>IF((0=1),SUM(C7:AP7),"")</f>
      </c>
      <c r="AQ182" s="8">
        <f>IF((0=1),SUM(C7:AQ7),"")</f>
      </c>
      <c r="AR182" s="8">
        <f>IF((0=1),SUM(C7:AR7),"")</f>
      </c>
      <c r="AS182" s="8">
        <f>IF((0=1),SUM(C7:AS7),"")</f>
      </c>
      <c r="AT182" s="8">
        <f>IF((0=1),SUM(C7:AT7),"")</f>
      </c>
      <c r="AU182" s="8">
        <f>IF((0=1),SUM(C7:AU7),"")</f>
      </c>
      <c r="AV182" s="8">
        <f>IF((0=1),SUM(C7:AV7),"")</f>
      </c>
      <c r="AW182" s="8">
        <f>IF((0=1),SUM(C7:AW7),"")</f>
      </c>
      <c r="AX182" s="8">
        <f>IF((0=1),SUM(C7:AX7),"")</f>
      </c>
      <c r="AY182" s="8">
        <f>IF((0=1),SUM(C7:AY7),"")</f>
      </c>
      <c r="AZ182" s="8">
        <f>IF((0=1),SUM(C7:AZ7),"")</f>
      </c>
      <c r="BA182" s="8">
        <f>IF((0=1),SUM(C7:BA7),"")</f>
      </c>
      <c r="BB182" s="8">
        <f>IF((0=1),SUM(C7:BB7),"")</f>
      </c>
      <c r="BC182" s="8">
        <f>IF((0=1),SUM(C7:BC7),"")</f>
      </c>
      <c r="BD182" s="8">
        <f>IF((0=1),SUM(C7:BD7),"")</f>
      </c>
      <c r="BE182" s="8">
        <f>IF((0=1),SUM(C7:BE7),"")</f>
      </c>
      <c r="BF182" s="8">
        <f>IF((0=1),SUM(C7:BF7),"")</f>
      </c>
      <c r="BG182" s="8">
        <f>IF((0=1),SUM(C7:BG7),"")</f>
      </c>
      <c r="BH182" s="8">
        <f>IF((0=1),SUM(C7:BH7),"")</f>
      </c>
      <c r="BI182" s="8">
        <f>IF((0=1),SUM(C7:BI7),"")</f>
      </c>
      <c r="BJ182" s="8">
        <f>IF((0=1),SUM(C7:BJ7),"")</f>
      </c>
      <c r="BK182" s="8">
        <f>IF((0=1),SUM(C7:BK7),"")</f>
      </c>
      <c r="BL182" s="8">
        <f>IF((0=1),SUM(C7:BL7),"")</f>
      </c>
      <c r="BM182" s="8">
        <f>IF((0=1),SUM(C7:BM7),"")</f>
      </c>
      <c r="BN182" s="8">
        <f>IF((0=1),SUM(C7:BN7),"")</f>
      </c>
      <c r="BO182" s="8">
        <f>IF((0=1),SUM(C7:BO7),"")</f>
      </c>
      <c r="BP182" s="8">
        <f>IF((0=1),SUM(C7:BP7),"")</f>
      </c>
      <c r="BQ182" s="8">
        <f>IF((0=1),SUM(C7:BQ7),"")</f>
      </c>
      <c r="BR182" s="8">
        <f>IF((0=1),SUM(C7:BR7),"")</f>
      </c>
      <c r="BS182" s="8">
        <f>IF((0=1),SUM(C7:BS7),"")</f>
      </c>
      <c r="BT182" s="8">
        <f>IF((0=1),SUM(C7:BT7),"")</f>
      </c>
      <c r="BU182" s="8">
        <f>IF((0=1),SUM(C7:BU7),"")</f>
      </c>
      <c r="BV182" s="8">
        <f>IF((0=1),SUM(C7:BV7),"")</f>
      </c>
      <c r="BW182" s="8">
        <f>IF((0=1),SUM(C7:BW7),"")</f>
      </c>
      <c r="BX182" s="8">
        <f>IF((0=1),SUM(C7:BX7),"")</f>
      </c>
      <c r="BY182" s="8">
        <f>IF((0=1),SUM(C7:BY7),"")</f>
      </c>
      <c r="BZ182" s="8">
        <f>IF((0=1),SUM(C7:BZ7),"")</f>
      </c>
      <c r="CA182" s="8">
        <f>IF((0=1),SUM(C7:CA7),"")</f>
      </c>
      <c r="CB182" s="8">
        <f>IF((0=1),SUM(C7:CB7),"")</f>
      </c>
      <c r="CC182" s="8">
        <f>IF((0=1),SUM(C7:CC7),"")</f>
      </c>
      <c r="CD182" s="8">
        <f>IF((0=1),SUM(C7:CD7),"")</f>
      </c>
      <c r="CE182" s="8">
        <f>IF((0=1),SUM(C7:CE7),"")</f>
      </c>
      <c r="CF182" s="8">
        <f>IF((0=1),SUM(C7:CF7),"")</f>
      </c>
      <c r="CG182" s="8">
        <f>IF((0=1),SUM(C7:CG7),"")</f>
      </c>
      <c r="CH182" s="8">
        <f>IF((0=1),SUM(C7:CH7),"")</f>
      </c>
      <c r="CI182" s="8">
        <f>IF((0=1),SUM(C7:CI7),"")</f>
      </c>
      <c r="CJ182" s="8">
        <f>IF((0=1),SUM(C7:CJ7),"")</f>
      </c>
      <c r="CK182" s="8">
        <f>IF((0=1),SUM(C7:CK7),"")</f>
      </c>
      <c r="CL182" s="8">
        <f>IF((0=1),SUM(C7:CL7),"")</f>
      </c>
      <c r="CM182" s="8">
        <f>IF((0=1),SUM(C7:CM7),"")</f>
      </c>
      <c r="CN182" s="8">
        <f>IF((0=1),SUM(C7:CN7),"")</f>
      </c>
      <c r="CO182" s="8">
        <f>IF((0=1),SUM(C7:CO7),"")</f>
      </c>
      <c r="CP182" s="8">
        <f>IF((0=1),SUM(C7:CP7),"")</f>
      </c>
      <c r="CQ182" s="8">
        <f>IF((0=1),SUM(C7:CQ7),"")</f>
      </c>
      <c r="CR182" s="8">
        <f>IF((0=1),SUM(C7:CR7),"")</f>
      </c>
      <c r="CS182" s="8">
        <f>IF((0=1),SUM(C7:CS7),"")</f>
      </c>
      <c r="CT182" s="8">
        <f>IF((0=1),SUM(C7:CT7),"")</f>
      </c>
      <c r="CU182" s="8">
        <f>IF((0=1),SUM(C7:CU7),"")</f>
      </c>
      <c r="CV182" s="8">
        <f>IF((0=1),SUM(C7:CV7),"")</f>
      </c>
      <c r="CW182" s="8">
        <f>IF((0=1),SUM(C7:CW7),"")</f>
      </c>
      <c r="CX182" s="8">
        <f>IF((0=1),SUM(C7:CX7),"")</f>
      </c>
    </row>
    <row r="183">
      <c r="A183" s="0" t="inlineStr">
        <is>
          <t xml:space="preserve">Cumulative sector-neutral excess, bps</t>
        </is>
      </c>
      <c r="B183" s="0" t="inlineStr">
        <is>
          <t xml:space="preserve">Post-Earnings Drift, Overnight Leg</t>
        </is>
      </c>
      <c r="C183" s="8">
        <f>IF((1=1),SUM(C8),"")</f>
        <v>11.704</v>
      </c>
      <c r="D183" s="8">
        <f>IF((0=1),SUM(C8:D8),"")</f>
      </c>
      <c r="E183" s="8">
        <f>IF((0=1),SUM(C8:E8),"")</f>
      </c>
      <c r="F183" s="8">
        <f>IF((0=1),SUM(C8:F8),"")</f>
      </c>
      <c r="G183" s="8">
        <f>IF((0=1),SUM(C8:G8),"")</f>
      </c>
      <c r="H183" s="8">
        <f>IF((0=1),SUM(C8:H8),"")</f>
      </c>
      <c r="I183" s="8">
        <f>IF((0=1),SUM(C8:I8),"")</f>
      </c>
      <c r="J183" s="8">
        <f>IF((0=1),SUM(C8:J8),"")</f>
      </c>
      <c r="K183" s="8">
        <f>IF((0=1),SUM(C8:K8),"")</f>
      </c>
      <c r="L183" s="8">
        <f>IF((0=1),SUM(C8:L8),"")</f>
      </c>
      <c r="M183" s="8">
        <f>IF((0=1),SUM(C8:M8),"")</f>
      </c>
      <c r="N183" s="8">
        <f>IF((0=1),SUM(C8:N8),"")</f>
      </c>
      <c r="O183" s="8">
        <f>IF((0=1),SUM(C8:O8),"")</f>
      </c>
      <c r="P183" s="8">
        <f>IF((0=1),SUM(C8:P8),"")</f>
      </c>
      <c r="Q183" s="8">
        <f>IF((0=1),SUM(C8:Q8),"")</f>
      </c>
      <c r="R183" s="8">
        <f>IF((0=1),SUM(C8:R8),"")</f>
      </c>
      <c r="S183" s="8">
        <f>IF((0=1),SUM(C8:S8),"")</f>
      </c>
      <c r="T183" s="8">
        <f>IF((0=1),SUM(C8:T8),"")</f>
      </c>
      <c r="U183" s="8">
        <f>IF((0=1),SUM(C8:U8),"")</f>
      </c>
      <c r="V183" s="8">
        <f>IF((0=1),SUM(C8:V8),"")</f>
      </c>
      <c r="W183" s="8">
        <f>IF((0=1),SUM(C8:W8),"")</f>
      </c>
      <c r="X183" s="8">
        <f>IF((0=1),SUM(C8:X8),"")</f>
      </c>
      <c r="Y183" s="8">
        <f>IF((0=1),SUM(C8:Y8),"")</f>
      </c>
      <c r="Z183" s="8">
        <f>IF((0=1),SUM(C8:Z8),"")</f>
      </c>
      <c r="AA183" s="8">
        <f>IF((0=1),SUM(C8:AA8),"")</f>
      </c>
      <c r="AB183" s="8">
        <f>IF((0=1),SUM(C8:AB8),"")</f>
      </c>
      <c r="AC183" s="8">
        <f>IF((0=1),SUM(C8:AC8),"")</f>
      </c>
      <c r="AD183" s="8">
        <f>IF((0=1),SUM(C8:AD8),"")</f>
      </c>
      <c r="AE183" s="8">
        <f>IF((0=1),SUM(C8:AE8),"")</f>
      </c>
      <c r="AF183" s="8">
        <f>IF((0=1),SUM(C8:AF8),"")</f>
      </c>
      <c r="AG183" s="8">
        <f>IF((0=1),SUM(C8:AG8),"")</f>
      </c>
      <c r="AH183" s="8">
        <f>IF((0=1),SUM(C8:AH8),"")</f>
      </c>
      <c r="AI183" s="8">
        <f>IF((0=1),SUM(C8:AI8),"")</f>
      </c>
      <c r="AJ183" s="8">
        <f>IF((0=1),SUM(C8:AJ8),"")</f>
      </c>
      <c r="AK183" s="8">
        <f>IF((0=1),SUM(C8:AK8),"")</f>
      </c>
      <c r="AL183" s="8">
        <f>IF((0=1),SUM(C8:AL8),"")</f>
      </c>
      <c r="AM183" s="8">
        <f>IF((0=1),SUM(C8:AM8),"")</f>
      </c>
      <c r="AN183" s="8">
        <f>IF((0=1),SUM(C8:AN8),"")</f>
      </c>
      <c r="AO183" s="8">
        <f>IF((0=1),SUM(C8:AO8),"")</f>
      </c>
      <c r="AP183" s="8">
        <f>IF((0=1),SUM(C8:AP8),"")</f>
      </c>
      <c r="AQ183" s="8">
        <f>IF((0=1),SUM(C8:AQ8),"")</f>
      </c>
      <c r="AR183" s="8">
        <f>IF((0=1),SUM(C8:AR8),"")</f>
      </c>
      <c r="AS183" s="8">
        <f>IF((0=1),SUM(C8:AS8),"")</f>
      </c>
      <c r="AT183" s="8">
        <f>IF((0=1),SUM(C8:AT8),"")</f>
      </c>
      <c r="AU183" s="8">
        <f>IF((0=1),SUM(C8:AU8),"")</f>
      </c>
      <c r="AV183" s="8">
        <f>IF((0=1),SUM(C8:AV8),"")</f>
      </c>
      <c r="AW183" s="8">
        <f>IF((0=1),SUM(C8:AW8),"")</f>
      </c>
      <c r="AX183" s="8">
        <f>IF((0=1),SUM(C8:AX8),"")</f>
      </c>
      <c r="AY183" s="8">
        <f>IF((0=1),SUM(C8:AY8),"")</f>
      </c>
      <c r="AZ183" s="8">
        <f>IF((0=1),SUM(C8:AZ8),"")</f>
      </c>
      <c r="BA183" s="8">
        <f>IF((0=1),SUM(C8:BA8),"")</f>
      </c>
      <c r="BB183" s="8">
        <f>IF((0=1),SUM(C8:BB8),"")</f>
      </c>
      <c r="BC183" s="8">
        <f>IF((0=1),SUM(C8:BC8),"")</f>
      </c>
      <c r="BD183" s="8">
        <f>IF((0=1),SUM(C8:BD8),"")</f>
      </c>
      <c r="BE183" s="8">
        <f>IF((0=1),SUM(C8:BE8),"")</f>
      </c>
      <c r="BF183" s="8">
        <f>IF((0=1),SUM(C8:BF8),"")</f>
      </c>
      <c r="BG183" s="8">
        <f>IF((0=1),SUM(C8:BG8),"")</f>
      </c>
      <c r="BH183" s="8">
        <f>IF((0=1),SUM(C8:BH8),"")</f>
      </c>
      <c r="BI183" s="8">
        <f>IF((0=1),SUM(C8:BI8),"")</f>
      </c>
      <c r="BJ183" s="8">
        <f>IF((0=1),SUM(C8:BJ8),"")</f>
      </c>
      <c r="BK183" s="8">
        <f>IF((0=1),SUM(C8:BK8),"")</f>
      </c>
      <c r="BL183" s="8">
        <f>IF((0=1),SUM(C8:BL8),"")</f>
      </c>
      <c r="BM183" s="8">
        <f>IF((0=1),SUM(C8:BM8),"")</f>
      </c>
      <c r="BN183" s="8">
        <f>IF((0=1),SUM(C8:BN8),"")</f>
      </c>
      <c r="BO183" s="8">
        <f>IF((0=1),SUM(C8:BO8),"")</f>
      </c>
      <c r="BP183" s="8">
        <f>IF((0=1),SUM(C8:BP8),"")</f>
      </c>
      <c r="BQ183" s="8">
        <f>IF((0=1),SUM(C8:BQ8),"")</f>
      </c>
      <c r="BR183" s="8">
        <f>IF((0=1),SUM(C8:BR8),"")</f>
      </c>
      <c r="BS183" s="8">
        <f>IF((0=1),SUM(C8:BS8),"")</f>
      </c>
      <c r="BT183" s="8">
        <f>IF((0=1),SUM(C8:BT8),"")</f>
      </c>
      <c r="BU183" s="8">
        <f>IF((0=1),SUM(C8:BU8),"")</f>
      </c>
      <c r="BV183" s="8">
        <f>IF((0=1),SUM(C8:BV8),"")</f>
      </c>
      <c r="BW183" s="8">
        <f>IF((0=1),SUM(C8:BW8),"")</f>
      </c>
      <c r="BX183" s="8">
        <f>IF((0=1),SUM(C8:BX8),"")</f>
      </c>
      <c r="BY183" s="8">
        <f>IF((0=1),SUM(C8:BY8),"")</f>
      </c>
      <c r="BZ183" s="8">
        <f>IF((0=1),SUM(C8:BZ8),"")</f>
      </c>
      <c r="CA183" s="8">
        <f>IF((0=1),SUM(C8:CA8),"")</f>
      </c>
      <c r="CB183" s="8">
        <f>IF((0=1),SUM(C8:CB8),"")</f>
      </c>
      <c r="CC183" s="8">
        <f>IF((0=1),SUM(C8:CC8),"")</f>
      </c>
      <c r="CD183" s="8">
        <f>IF((0=1),SUM(C8:CD8),"")</f>
      </c>
      <c r="CE183" s="8">
        <f>IF((0=1),SUM(C8:CE8),"")</f>
      </c>
      <c r="CF183" s="8">
        <f>IF((0=1),SUM(C8:CF8),"")</f>
      </c>
      <c r="CG183" s="8">
        <f>IF((0=1),SUM(C8:CG8),"")</f>
      </c>
      <c r="CH183" s="8">
        <f>IF((0=1),SUM(C8:CH8),"")</f>
      </c>
      <c r="CI183" s="8">
        <f>IF((0=1),SUM(C8:CI8),"")</f>
      </c>
      <c r="CJ183" s="8">
        <f>IF((0=1),SUM(C8:CJ8),"")</f>
      </c>
      <c r="CK183" s="8">
        <f>IF((0=1),SUM(C8:CK8),"")</f>
      </c>
      <c r="CL183" s="8">
        <f>IF((0=1),SUM(C8:CL8),"")</f>
      </c>
      <c r="CM183" s="8">
        <f>IF((0=1),SUM(C8:CM8),"")</f>
      </c>
      <c r="CN183" s="8">
        <f>IF((0=1),SUM(C8:CN8),"")</f>
      </c>
      <c r="CO183" s="8">
        <f>IF((0=1),SUM(C8:CO8),"")</f>
      </c>
      <c r="CP183" s="8">
        <f>IF((0=1),SUM(C8:CP8),"")</f>
      </c>
      <c r="CQ183" s="8">
        <f>IF((0=1),SUM(C8:CQ8),"")</f>
      </c>
      <c r="CR183" s="8">
        <f>IF((0=1),SUM(C8:CR8),"")</f>
      </c>
      <c r="CS183" s="8">
        <f>IF((0=1),SUM(C8:CS8),"")</f>
      </c>
      <c r="CT183" s="8">
        <f>IF((0=1),SUM(C8:CT8),"")</f>
      </c>
      <c r="CU183" s="8">
        <f>IF((0=1),SUM(C8:CU8),"")</f>
      </c>
      <c r="CV183" s="8">
        <f>IF((0=1),SUM(C8:CV8),"")</f>
      </c>
      <c r="CW183" s="8">
        <f>IF((0=1),SUM(C8:CW8),"")</f>
      </c>
      <c r="CX183" s="8">
        <f>IF((0=1),SUM(C8:CX8),"")</f>
      </c>
    </row>
    <row r="184">
      <c r="A184" s="0" t="inlineStr">
        <is>
          <t xml:space="preserve">Cumulative sector-neutral excess, bps</t>
        </is>
      </c>
      <c r="B184" s="0" t="inlineStr">
        <is>
          <t xml:space="preserve">Intraday-to-Overnight Reversal</t>
        </is>
      </c>
      <c r="C184" s="8">
        <f>IF((1=1),SUM(C9),"")</f>
        <v>4.098</v>
      </c>
      <c r="D184" s="8">
        <f>IF((0=1),SUM(C9:D9),"")</f>
      </c>
      <c r="E184" s="8">
        <f>IF((0=1),SUM(C9:E9),"")</f>
      </c>
      <c r="F184" s="8">
        <f>IF((0=1),SUM(C9:F9),"")</f>
      </c>
      <c r="G184" s="8">
        <f>IF((0=1),SUM(C9:G9),"")</f>
      </c>
      <c r="H184" s="8">
        <f>IF((0=1),SUM(C9:H9),"")</f>
      </c>
      <c r="I184" s="8">
        <f>IF((0=1),SUM(C9:I9),"")</f>
      </c>
      <c r="J184" s="8">
        <f>IF((0=1),SUM(C9:J9),"")</f>
      </c>
      <c r="K184" s="8">
        <f>IF((0=1),SUM(C9:K9),"")</f>
      </c>
      <c r="L184" s="8">
        <f>IF((0=1),SUM(C9:L9),"")</f>
      </c>
      <c r="M184" s="8">
        <f>IF((0=1),SUM(C9:M9),"")</f>
      </c>
      <c r="N184" s="8">
        <f>IF((0=1),SUM(C9:N9),"")</f>
      </c>
      <c r="O184" s="8">
        <f>IF((0=1),SUM(C9:O9),"")</f>
      </c>
      <c r="P184" s="8">
        <f>IF((0=1),SUM(C9:P9),"")</f>
      </c>
      <c r="Q184" s="8">
        <f>IF((0=1),SUM(C9:Q9),"")</f>
      </c>
      <c r="R184" s="8">
        <f>IF((0=1),SUM(C9:R9),"")</f>
      </c>
      <c r="S184" s="8">
        <f>IF((0=1),SUM(C9:S9),"")</f>
      </c>
      <c r="T184" s="8">
        <f>IF((0=1),SUM(C9:T9),"")</f>
      </c>
      <c r="U184" s="8">
        <f>IF((0=1),SUM(C9:U9),"")</f>
      </c>
      <c r="V184" s="8">
        <f>IF((0=1),SUM(C9:V9),"")</f>
      </c>
      <c r="W184" s="8">
        <f>IF((0=1),SUM(C9:W9),"")</f>
      </c>
      <c r="X184" s="8">
        <f>IF((0=1),SUM(C9:X9),"")</f>
      </c>
      <c r="Y184" s="8">
        <f>IF((0=1),SUM(C9:Y9),"")</f>
      </c>
      <c r="Z184" s="8">
        <f>IF((0=1),SUM(C9:Z9),"")</f>
      </c>
      <c r="AA184" s="8">
        <f>IF((0=1),SUM(C9:AA9),"")</f>
      </c>
      <c r="AB184" s="8">
        <f>IF((0=1),SUM(C9:AB9),"")</f>
      </c>
      <c r="AC184" s="8">
        <f>IF((0=1),SUM(C9:AC9),"")</f>
      </c>
      <c r="AD184" s="8">
        <f>IF((0=1),SUM(C9:AD9),"")</f>
      </c>
      <c r="AE184" s="8">
        <f>IF((0=1),SUM(C9:AE9),"")</f>
      </c>
      <c r="AF184" s="8">
        <f>IF((0=1),SUM(C9:AF9),"")</f>
      </c>
      <c r="AG184" s="8">
        <f>IF((0=1),SUM(C9:AG9),"")</f>
      </c>
      <c r="AH184" s="8">
        <f>IF((0=1),SUM(C9:AH9),"")</f>
      </c>
      <c r="AI184" s="8">
        <f>IF((0=1),SUM(C9:AI9),"")</f>
      </c>
      <c r="AJ184" s="8">
        <f>IF((0=1),SUM(C9:AJ9),"")</f>
      </c>
      <c r="AK184" s="8">
        <f>IF((0=1),SUM(C9:AK9),"")</f>
      </c>
      <c r="AL184" s="8">
        <f>IF((0=1),SUM(C9:AL9),"")</f>
      </c>
      <c r="AM184" s="8">
        <f>IF((0=1),SUM(C9:AM9),"")</f>
      </c>
      <c r="AN184" s="8">
        <f>IF((0=1),SUM(C9:AN9),"")</f>
      </c>
      <c r="AO184" s="8">
        <f>IF((0=1),SUM(C9:AO9),"")</f>
      </c>
      <c r="AP184" s="8">
        <f>IF((0=1),SUM(C9:AP9),"")</f>
      </c>
      <c r="AQ184" s="8">
        <f>IF((0=1),SUM(C9:AQ9),"")</f>
      </c>
      <c r="AR184" s="8">
        <f>IF((0=1),SUM(C9:AR9),"")</f>
      </c>
      <c r="AS184" s="8">
        <f>IF((0=1),SUM(C9:AS9),"")</f>
      </c>
      <c r="AT184" s="8">
        <f>IF((0=1),SUM(C9:AT9),"")</f>
      </c>
      <c r="AU184" s="8">
        <f>IF((0=1),SUM(C9:AU9),"")</f>
      </c>
      <c r="AV184" s="8">
        <f>IF((0=1),SUM(C9:AV9),"")</f>
      </c>
      <c r="AW184" s="8">
        <f>IF((0=1),SUM(C9:AW9),"")</f>
      </c>
      <c r="AX184" s="8">
        <f>IF((0=1),SUM(C9:AX9),"")</f>
      </c>
      <c r="AY184" s="8">
        <f>IF((0=1),SUM(C9:AY9),"")</f>
      </c>
      <c r="AZ184" s="8">
        <f>IF((0=1),SUM(C9:AZ9),"")</f>
      </c>
      <c r="BA184" s="8">
        <f>IF((0=1),SUM(C9:BA9),"")</f>
      </c>
      <c r="BB184" s="8">
        <f>IF((0=1),SUM(C9:BB9),"")</f>
      </c>
      <c r="BC184" s="8">
        <f>IF((0=1),SUM(C9:BC9),"")</f>
      </c>
      <c r="BD184" s="8">
        <f>IF((0=1),SUM(C9:BD9),"")</f>
      </c>
      <c r="BE184" s="8">
        <f>IF((0=1),SUM(C9:BE9),"")</f>
      </c>
      <c r="BF184" s="8">
        <f>IF((0=1),SUM(C9:BF9),"")</f>
      </c>
      <c r="BG184" s="8">
        <f>IF((0=1),SUM(C9:BG9),"")</f>
      </c>
      <c r="BH184" s="8">
        <f>IF((0=1),SUM(C9:BH9),"")</f>
      </c>
      <c r="BI184" s="8">
        <f>IF((0=1),SUM(C9:BI9),"")</f>
      </c>
      <c r="BJ184" s="8">
        <f>IF((0=1),SUM(C9:BJ9),"")</f>
      </c>
      <c r="BK184" s="8">
        <f>IF((0=1),SUM(C9:BK9),"")</f>
      </c>
      <c r="BL184" s="8">
        <f>IF((0=1),SUM(C9:BL9),"")</f>
      </c>
      <c r="BM184" s="8">
        <f>IF((0=1),SUM(C9:BM9),"")</f>
      </c>
      <c r="BN184" s="8">
        <f>IF((0=1),SUM(C9:BN9),"")</f>
      </c>
      <c r="BO184" s="8">
        <f>IF((0=1),SUM(C9:BO9),"")</f>
      </c>
      <c r="BP184" s="8">
        <f>IF((0=1),SUM(C9:BP9),"")</f>
      </c>
      <c r="BQ184" s="8">
        <f>IF((0=1),SUM(C9:BQ9),"")</f>
      </c>
      <c r="BR184" s="8">
        <f>IF((0=1),SUM(C9:BR9),"")</f>
      </c>
      <c r="BS184" s="8">
        <f>IF((0=1),SUM(C9:BS9),"")</f>
      </c>
      <c r="BT184" s="8">
        <f>IF((0=1),SUM(C9:BT9),"")</f>
      </c>
      <c r="BU184" s="8">
        <f>IF((0=1),SUM(C9:BU9),"")</f>
      </c>
      <c r="BV184" s="8">
        <f>IF((0=1),SUM(C9:BV9),"")</f>
      </c>
      <c r="BW184" s="8">
        <f>IF((0=1),SUM(C9:BW9),"")</f>
      </c>
      <c r="BX184" s="8">
        <f>IF((0=1),SUM(C9:BX9),"")</f>
      </c>
      <c r="BY184" s="8">
        <f>IF((0=1),SUM(C9:BY9),"")</f>
      </c>
      <c r="BZ184" s="8">
        <f>IF((0=1),SUM(C9:BZ9),"")</f>
      </c>
      <c r="CA184" s="8">
        <f>IF((0=1),SUM(C9:CA9),"")</f>
      </c>
      <c r="CB184" s="8">
        <f>IF((0=1),SUM(C9:CB9),"")</f>
      </c>
      <c r="CC184" s="8">
        <f>IF((0=1),SUM(C9:CC9),"")</f>
      </c>
      <c r="CD184" s="8">
        <f>IF((0=1),SUM(C9:CD9),"")</f>
      </c>
      <c r="CE184" s="8">
        <f>IF((0=1),SUM(C9:CE9),"")</f>
      </c>
      <c r="CF184" s="8">
        <f>IF((0=1),SUM(C9:CF9),"")</f>
      </c>
      <c r="CG184" s="8">
        <f>IF((0=1),SUM(C9:CG9),"")</f>
      </c>
      <c r="CH184" s="8">
        <f>IF((0=1),SUM(C9:CH9),"")</f>
      </c>
      <c r="CI184" s="8">
        <f>IF((0=1),SUM(C9:CI9),"")</f>
      </c>
      <c r="CJ184" s="8">
        <f>IF((0=1),SUM(C9:CJ9),"")</f>
      </c>
      <c r="CK184" s="8">
        <f>IF((0=1),SUM(C9:CK9),"")</f>
      </c>
      <c r="CL184" s="8">
        <f>IF((0=1),SUM(C9:CL9),"")</f>
      </c>
      <c r="CM184" s="8">
        <f>IF((0=1),SUM(C9:CM9),"")</f>
      </c>
      <c r="CN184" s="8">
        <f>IF((0=1),SUM(C9:CN9),"")</f>
      </c>
      <c r="CO184" s="8">
        <f>IF((0=1),SUM(C9:CO9),"")</f>
      </c>
      <c r="CP184" s="8">
        <f>IF((0=1),SUM(C9:CP9),"")</f>
      </c>
      <c r="CQ184" s="8">
        <f>IF((0=1),SUM(C9:CQ9),"")</f>
      </c>
      <c r="CR184" s="8">
        <f>IF((0=1),SUM(C9:CR9),"")</f>
      </c>
      <c r="CS184" s="8">
        <f>IF((0=1),SUM(C9:CS9),"")</f>
      </c>
      <c r="CT184" s="8">
        <f>IF((0=1),SUM(C9:CT9),"")</f>
      </c>
      <c r="CU184" s="8">
        <f>IF((0=1),SUM(C9:CU9),"")</f>
      </c>
      <c r="CV184" s="8">
        <f>IF((0=1),SUM(C9:CV9),"")</f>
      </c>
      <c r="CW184" s="8">
        <f>IF((0=1),SUM(C9:CW9),"")</f>
      </c>
      <c r="CX184" s="8">
        <f>IF((0=1),SUM(C9:CX9),"")</f>
      </c>
    </row>
    <row r="185">
      <c r="A185" s="0" t="inlineStr">
        <is>
          <t xml:space="preserve">Cumulative sector-neutral excess, bps</t>
        </is>
      </c>
      <c r="B185" s="0" t="inlineStr">
        <is>
          <t xml:space="preserve">Analyst Revision Momentum</t>
        </is>
      </c>
      <c r="C185" s="8">
        <f>IF((1=1),SUM(C10),"")</f>
        <v>-2.965</v>
      </c>
      <c r="D185" s="8">
        <f>IF((0=1),SUM(C10:D10),"")</f>
      </c>
      <c r="E185" s="8">
        <f>IF((0=1),SUM(C10:E10),"")</f>
      </c>
      <c r="F185" s="8">
        <f>IF((0=1),SUM(C10:F10),"")</f>
      </c>
      <c r="G185" s="8">
        <f>IF((0=1),SUM(C10:G10),"")</f>
      </c>
      <c r="H185" s="8">
        <f>IF((0=1),SUM(C10:H10),"")</f>
      </c>
      <c r="I185" s="8">
        <f>IF((0=1),SUM(C10:I10),"")</f>
      </c>
      <c r="J185" s="8">
        <f>IF((0=1),SUM(C10:J10),"")</f>
      </c>
      <c r="K185" s="8">
        <f>IF((0=1),SUM(C10:K10),"")</f>
      </c>
      <c r="L185" s="8">
        <f>IF((0=1),SUM(C10:L10),"")</f>
      </c>
      <c r="M185" s="8">
        <f>IF((0=1),SUM(C10:M10),"")</f>
      </c>
      <c r="N185" s="8">
        <f>IF((0=1),SUM(C10:N10),"")</f>
      </c>
      <c r="O185" s="8">
        <f>IF((0=1),SUM(C10:O10),"")</f>
      </c>
      <c r="P185" s="8">
        <f>IF((0=1),SUM(C10:P10),"")</f>
      </c>
      <c r="Q185" s="8">
        <f>IF((0=1),SUM(C10:Q10),"")</f>
      </c>
      <c r="R185" s="8">
        <f>IF((0=1),SUM(C10:R10),"")</f>
      </c>
      <c r="S185" s="8">
        <f>IF((0=1),SUM(C10:S10),"")</f>
      </c>
      <c r="T185" s="8">
        <f>IF((0=1),SUM(C10:T10),"")</f>
      </c>
      <c r="U185" s="8">
        <f>IF((0=1),SUM(C10:U10),"")</f>
      </c>
      <c r="V185" s="8">
        <f>IF((0=1),SUM(C10:V10),"")</f>
      </c>
      <c r="W185" s="8">
        <f>IF((0=1),SUM(C10:W10),"")</f>
      </c>
      <c r="X185" s="8">
        <f>IF((0=1),SUM(C10:X10),"")</f>
      </c>
      <c r="Y185" s="8">
        <f>IF((0=1),SUM(C10:Y10),"")</f>
      </c>
      <c r="Z185" s="8">
        <f>IF((0=1),SUM(C10:Z10),"")</f>
      </c>
      <c r="AA185" s="8">
        <f>IF((0=1),SUM(C10:AA10),"")</f>
      </c>
      <c r="AB185" s="8">
        <f>IF((0=1),SUM(C10:AB10),"")</f>
      </c>
      <c r="AC185" s="8">
        <f>IF((0=1),SUM(C10:AC10),"")</f>
      </c>
      <c r="AD185" s="8">
        <f>IF((0=1),SUM(C10:AD10),"")</f>
      </c>
      <c r="AE185" s="8">
        <f>IF((0=1),SUM(C10:AE10),"")</f>
      </c>
      <c r="AF185" s="8">
        <f>IF((0=1),SUM(C10:AF10),"")</f>
      </c>
      <c r="AG185" s="8">
        <f>IF((0=1),SUM(C10:AG10),"")</f>
      </c>
      <c r="AH185" s="8">
        <f>IF((0=1),SUM(C10:AH10),"")</f>
      </c>
      <c r="AI185" s="8">
        <f>IF((0=1),SUM(C10:AI10),"")</f>
      </c>
      <c r="AJ185" s="8">
        <f>IF((0=1),SUM(C10:AJ10),"")</f>
      </c>
      <c r="AK185" s="8">
        <f>IF((0=1),SUM(C10:AK10),"")</f>
      </c>
      <c r="AL185" s="8">
        <f>IF((0=1),SUM(C10:AL10),"")</f>
      </c>
      <c r="AM185" s="8">
        <f>IF((0=1),SUM(C10:AM10),"")</f>
      </c>
      <c r="AN185" s="8">
        <f>IF((0=1),SUM(C10:AN10),"")</f>
      </c>
      <c r="AO185" s="8">
        <f>IF((0=1),SUM(C10:AO10),"")</f>
      </c>
      <c r="AP185" s="8">
        <f>IF((0=1),SUM(C10:AP10),"")</f>
      </c>
      <c r="AQ185" s="8">
        <f>IF((0=1),SUM(C10:AQ10),"")</f>
      </c>
      <c r="AR185" s="8">
        <f>IF((0=1),SUM(C10:AR10),"")</f>
      </c>
      <c r="AS185" s="8">
        <f>IF((0=1),SUM(C10:AS10),"")</f>
      </c>
      <c r="AT185" s="8">
        <f>IF((0=1),SUM(C10:AT10),"")</f>
      </c>
      <c r="AU185" s="8">
        <f>IF((0=1),SUM(C10:AU10),"")</f>
      </c>
      <c r="AV185" s="8">
        <f>IF((0=1),SUM(C10:AV10),"")</f>
      </c>
      <c r="AW185" s="8">
        <f>IF((0=1),SUM(C10:AW10),"")</f>
      </c>
      <c r="AX185" s="8">
        <f>IF((0=1),SUM(C10:AX10),"")</f>
      </c>
      <c r="AY185" s="8">
        <f>IF((0=1),SUM(C10:AY10),"")</f>
      </c>
      <c r="AZ185" s="8">
        <f>IF((0=1),SUM(C10:AZ10),"")</f>
      </c>
      <c r="BA185" s="8">
        <f>IF((0=1),SUM(C10:BA10),"")</f>
      </c>
      <c r="BB185" s="8">
        <f>IF((0=1),SUM(C10:BB10),"")</f>
      </c>
      <c r="BC185" s="8">
        <f>IF((0=1),SUM(C10:BC10),"")</f>
      </c>
      <c r="BD185" s="8">
        <f>IF((0=1),SUM(C10:BD10),"")</f>
      </c>
      <c r="BE185" s="8">
        <f>IF((0=1),SUM(C10:BE10),"")</f>
      </c>
      <c r="BF185" s="8">
        <f>IF((0=1),SUM(C10:BF10),"")</f>
      </c>
      <c r="BG185" s="8">
        <f>IF((0=1),SUM(C10:BG10),"")</f>
      </c>
      <c r="BH185" s="8">
        <f>IF((0=1),SUM(C10:BH10),"")</f>
      </c>
      <c r="BI185" s="8">
        <f>IF((0=1),SUM(C10:BI10),"")</f>
      </c>
      <c r="BJ185" s="8">
        <f>IF((0=1),SUM(C10:BJ10),"")</f>
      </c>
      <c r="BK185" s="8">
        <f>IF((0=1),SUM(C10:BK10),"")</f>
      </c>
      <c r="BL185" s="8">
        <f>IF((0=1),SUM(C10:BL10),"")</f>
      </c>
      <c r="BM185" s="8">
        <f>IF((0=1),SUM(C10:BM10),"")</f>
      </c>
      <c r="BN185" s="8">
        <f>IF((0=1),SUM(C10:BN10),"")</f>
      </c>
      <c r="BO185" s="8">
        <f>IF((0=1),SUM(C10:BO10),"")</f>
      </c>
      <c r="BP185" s="8">
        <f>IF((0=1),SUM(C10:BP10),"")</f>
      </c>
      <c r="BQ185" s="8">
        <f>IF((0=1),SUM(C10:BQ10),"")</f>
      </c>
      <c r="BR185" s="8">
        <f>IF((0=1),SUM(C10:BR10),"")</f>
      </c>
      <c r="BS185" s="8">
        <f>IF((0=1),SUM(C10:BS10),"")</f>
      </c>
      <c r="BT185" s="8">
        <f>IF((0=1),SUM(C10:BT10),"")</f>
      </c>
      <c r="BU185" s="8">
        <f>IF((0=1),SUM(C10:BU10),"")</f>
      </c>
      <c r="BV185" s="8">
        <f>IF((0=1),SUM(C10:BV10),"")</f>
      </c>
      <c r="BW185" s="8">
        <f>IF((0=1),SUM(C10:BW10),"")</f>
      </c>
      <c r="BX185" s="8">
        <f>IF((0=1),SUM(C10:BX10),"")</f>
      </c>
      <c r="BY185" s="8">
        <f>IF((0=1),SUM(C10:BY10),"")</f>
      </c>
      <c r="BZ185" s="8">
        <f>IF((0=1),SUM(C10:BZ10),"")</f>
      </c>
      <c r="CA185" s="8">
        <f>IF((0=1),SUM(C10:CA10),"")</f>
      </c>
      <c r="CB185" s="8">
        <f>IF((0=1),SUM(C10:CB10),"")</f>
      </c>
      <c r="CC185" s="8">
        <f>IF((0=1),SUM(C10:CC10),"")</f>
      </c>
      <c r="CD185" s="8">
        <f>IF((0=1),SUM(C10:CD10),"")</f>
      </c>
      <c r="CE185" s="8">
        <f>IF((0=1),SUM(C10:CE10),"")</f>
      </c>
      <c r="CF185" s="8">
        <f>IF((0=1),SUM(C10:CF10),"")</f>
      </c>
      <c r="CG185" s="8">
        <f>IF((0=1),SUM(C10:CG10),"")</f>
      </c>
      <c r="CH185" s="8">
        <f>IF((0=1),SUM(C10:CH10),"")</f>
      </c>
      <c r="CI185" s="8">
        <f>IF((0=1),SUM(C10:CI10),"")</f>
      </c>
      <c r="CJ185" s="8">
        <f>IF((0=1),SUM(C10:CJ10),"")</f>
      </c>
      <c r="CK185" s="8">
        <f>IF((0=1),SUM(C10:CK10),"")</f>
      </c>
      <c r="CL185" s="8">
        <f>IF((0=1),SUM(C10:CL10),"")</f>
      </c>
      <c r="CM185" s="8">
        <f>IF((0=1),SUM(C10:CM10),"")</f>
      </c>
      <c r="CN185" s="8">
        <f>IF((0=1),SUM(C10:CN10),"")</f>
      </c>
      <c r="CO185" s="8">
        <f>IF((0=1),SUM(C10:CO10),"")</f>
      </c>
      <c r="CP185" s="8">
        <f>IF((0=1),SUM(C10:CP10),"")</f>
      </c>
      <c r="CQ185" s="8">
        <f>IF((0=1),SUM(C10:CQ10),"")</f>
      </c>
      <c r="CR185" s="8">
        <f>IF((0=1),SUM(C10:CR10),"")</f>
      </c>
      <c r="CS185" s="8">
        <f>IF((0=1),SUM(C10:CS10),"")</f>
      </c>
      <c r="CT185" s="8">
        <f>IF((0=1),SUM(C10:CT10),"")</f>
      </c>
      <c r="CU185" s="8">
        <f>IF((0=1),SUM(C10:CU10),"")</f>
      </c>
      <c r="CV185" s="8">
        <f>IF((0=1),SUM(C10:CV10),"")</f>
      </c>
      <c r="CW185" s="8">
        <f>IF((0=1),SUM(C10:CW10),"")</f>
      </c>
      <c r="CX185" s="8">
        <f>IF((0=1),SUM(C10:CX10),"")</f>
      </c>
    </row>
    <row r="186">
      <c r="A186" s="0" t="inlineStr">
        <is>
          <t xml:space="preserve">Cumulative sector-neutral excess, bps</t>
        </is>
      </c>
      <c r="B186" s="0" t="inlineStr">
        <is>
          <t xml:space="preserve">Clustered Insider Buying</t>
        </is>
      </c>
      <c r="C186" s="8">
        <f>IF((1=1),SUM(C11),"")</f>
        <v>2.143</v>
      </c>
      <c r="D186" s="8">
        <f>IF((0=1),SUM(C11:D11),"")</f>
      </c>
      <c r="E186" s="8">
        <f>IF((0=1),SUM(C11:E11),"")</f>
      </c>
      <c r="F186" s="8">
        <f>IF((0=1),SUM(C11:F11),"")</f>
      </c>
      <c r="G186" s="8">
        <f>IF((0=1),SUM(C11:G11),"")</f>
      </c>
      <c r="H186" s="8">
        <f>IF((0=1),SUM(C11:H11),"")</f>
      </c>
      <c r="I186" s="8">
        <f>IF((0=1),SUM(C11:I11),"")</f>
      </c>
      <c r="J186" s="8">
        <f>IF((0=1),SUM(C11:J11),"")</f>
      </c>
      <c r="K186" s="8">
        <f>IF((0=1),SUM(C11:K11),"")</f>
      </c>
      <c r="L186" s="8">
        <f>IF((0=1),SUM(C11:L11),"")</f>
      </c>
      <c r="M186" s="8">
        <f>IF((0=1),SUM(C11:M11),"")</f>
      </c>
      <c r="N186" s="8">
        <f>IF((0=1),SUM(C11:N11),"")</f>
      </c>
      <c r="O186" s="8">
        <f>IF((0=1),SUM(C11:O11),"")</f>
      </c>
      <c r="P186" s="8">
        <f>IF((0=1),SUM(C11:P11),"")</f>
      </c>
      <c r="Q186" s="8">
        <f>IF((0=1),SUM(C11:Q11),"")</f>
      </c>
      <c r="R186" s="8">
        <f>IF((0=1),SUM(C11:R11),"")</f>
      </c>
      <c r="S186" s="8">
        <f>IF((0=1),SUM(C11:S11),"")</f>
      </c>
      <c r="T186" s="8">
        <f>IF((0=1),SUM(C11:T11),"")</f>
      </c>
      <c r="U186" s="8">
        <f>IF((0=1),SUM(C11:U11),"")</f>
      </c>
      <c r="V186" s="8">
        <f>IF((0=1),SUM(C11:V11),"")</f>
      </c>
      <c r="W186" s="8">
        <f>IF((0=1),SUM(C11:W11),"")</f>
      </c>
      <c r="X186" s="8">
        <f>IF((0=1),SUM(C11:X11),"")</f>
      </c>
      <c r="Y186" s="8">
        <f>IF((0=1),SUM(C11:Y11),"")</f>
      </c>
      <c r="Z186" s="8">
        <f>IF((0=1),SUM(C11:Z11),"")</f>
      </c>
      <c r="AA186" s="8">
        <f>IF((0=1),SUM(C11:AA11),"")</f>
      </c>
      <c r="AB186" s="8">
        <f>IF((0=1),SUM(C11:AB11),"")</f>
      </c>
      <c r="AC186" s="8">
        <f>IF((0=1),SUM(C11:AC11),"")</f>
      </c>
      <c r="AD186" s="8">
        <f>IF((0=1),SUM(C11:AD11),"")</f>
      </c>
      <c r="AE186" s="8">
        <f>IF((0=1),SUM(C11:AE11),"")</f>
      </c>
      <c r="AF186" s="8">
        <f>IF((0=1),SUM(C11:AF11),"")</f>
      </c>
      <c r="AG186" s="8">
        <f>IF((0=1),SUM(C11:AG11),"")</f>
      </c>
      <c r="AH186" s="8">
        <f>IF((0=1),SUM(C11:AH11),"")</f>
      </c>
      <c r="AI186" s="8">
        <f>IF((0=1),SUM(C11:AI11),"")</f>
      </c>
      <c r="AJ186" s="8">
        <f>IF((0=1),SUM(C11:AJ11),"")</f>
      </c>
      <c r="AK186" s="8">
        <f>IF((0=1),SUM(C11:AK11),"")</f>
      </c>
      <c r="AL186" s="8">
        <f>IF((0=1),SUM(C11:AL11),"")</f>
      </c>
      <c r="AM186" s="8">
        <f>IF((0=1),SUM(C11:AM11),"")</f>
      </c>
      <c r="AN186" s="8">
        <f>IF((0=1),SUM(C11:AN11),"")</f>
      </c>
      <c r="AO186" s="8">
        <f>IF((0=1),SUM(C11:AO11),"")</f>
      </c>
      <c r="AP186" s="8">
        <f>IF((0=1),SUM(C11:AP11),"")</f>
      </c>
      <c r="AQ186" s="8">
        <f>IF((0=1),SUM(C11:AQ11),"")</f>
      </c>
      <c r="AR186" s="8">
        <f>IF((0=1),SUM(C11:AR11),"")</f>
      </c>
      <c r="AS186" s="8">
        <f>IF((0=1),SUM(C11:AS11),"")</f>
      </c>
      <c r="AT186" s="8">
        <f>IF((0=1),SUM(C11:AT11),"")</f>
      </c>
      <c r="AU186" s="8">
        <f>IF((0=1),SUM(C11:AU11),"")</f>
      </c>
      <c r="AV186" s="8">
        <f>IF((0=1),SUM(C11:AV11),"")</f>
      </c>
      <c r="AW186" s="8">
        <f>IF((0=1),SUM(C11:AW11),"")</f>
      </c>
      <c r="AX186" s="8">
        <f>IF((0=1),SUM(C11:AX11),"")</f>
      </c>
      <c r="AY186" s="8">
        <f>IF((0=1),SUM(C11:AY11),"")</f>
      </c>
      <c r="AZ186" s="8">
        <f>IF((0=1),SUM(C11:AZ11),"")</f>
      </c>
      <c r="BA186" s="8">
        <f>IF((0=1),SUM(C11:BA11),"")</f>
      </c>
      <c r="BB186" s="8">
        <f>IF((0=1),SUM(C11:BB11),"")</f>
      </c>
      <c r="BC186" s="8">
        <f>IF((0=1),SUM(C11:BC11),"")</f>
      </c>
      <c r="BD186" s="8">
        <f>IF((0=1),SUM(C11:BD11),"")</f>
      </c>
      <c r="BE186" s="8">
        <f>IF((0=1),SUM(C11:BE11),"")</f>
      </c>
      <c r="BF186" s="8">
        <f>IF((0=1),SUM(C11:BF11),"")</f>
      </c>
      <c r="BG186" s="8">
        <f>IF((0=1),SUM(C11:BG11),"")</f>
      </c>
      <c r="BH186" s="8">
        <f>IF((0=1),SUM(C11:BH11),"")</f>
      </c>
      <c r="BI186" s="8">
        <f>IF((0=1),SUM(C11:BI11),"")</f>
      </c>
      <c r="BJ186" s="8">
        <f>IF((0=1),SUM(C11:BJ11),"")</f>
      </c>
      <c r="BK186" s="8">
        <f>IF((0=1),SUM(C11:BK11),"")</f>
      </c>
      <c r="BL186" s="8">
        <f>IF((0=1),SUM(C11:BL11),"")</f>
      </c>
      <c r="BM186" s="8">
        <f>IF((0=1),SUM(C11:BM11),"")</f>
      </c>
      <c r="BN186" s="8">
        <f>IF((0=1),SUM(C11:BN11),"")</f>
      </c>
      <c r="BO186" s="8">
        <f>IF((0=1),SUM(C11:BO11),"")</f>
      </c>
      <c r="BP186" s="8">
        <f>IF((0=1),SUM(C11:BP11),"")</f>
      </c>
      <c r="BQ186" s="8">
        <f>IF((0=1),SUM(C11:BQ11),"")</f>
      </c>
      <c r="BR186" s="8">
        <f>IF((0=1),SUM(C11:BR11),"")</f>
      </c>
      <c r="BS186" s="8">
        <f>IF((0=1),SUM(C11:BS11),"")</f>
      </c>
      <c r="BT186" s="8">
        <f>IF((0=1),SUM(C11:BT11),"")</f>
      </c>
      <c r="BU186" s="8">
        <f>IF((0=1),SUM(C11:BU11),"")</f>
      </c>
      <c r="BV186" s="8">
        <f>IF((0=1),SUM(C11:BV11),"")</f>
      </c>
      <c r="BW186" s="8">
        <f>IF((0=1),SUM(C11:BW11),"")</f>
      </c>
      <c r="BX186" s="8">
        <f>IF((0=1),SUM(C11:BX11),"")</f>
      </c>
      <c r="BY186" s="8">
        <f>IF((0=1),SUM(C11:BY11),"")</f>
      </c>
      <c r="BZ186" s="8">
        <f>IF((0=1),SUM(C11:BZ11),"")</f>
      </c>
      <c r="CA186" s="8">
        <f>IF((0=1),SUM(C11:CA11),"")</f>
      </c>
      <c r="CB186" s="8">
        <f>IF((0=1),SUM(C11:CB11),"")</f>
      </c>
      <c r="CC186" s="8">
        <f>IF((0=1),SUM(C11:CC11),"")</f>
      </c>
      <c r="CD186" s="8">
        <f>IF((0=1),SUM(C11:CD11),"")</f>
      </c>
      <c r="CE186" s="8">
        <f>IF((0=1),SUM(C11:CE11),"")</f>
      </c>
      <c r="CF186" s="8">
        <f>IF((0=1),SUM(C11:CF11),"")</f>
      </c>
      <c r="CG186" s="8">
        <f>IF((0=1),SUM(C11:CG11),"")</f>
      </c>
      <c r="CH186" s="8">
        <f>IF((0=1),SUM(C11:CH11),"")</f>
      </c>
      <c r="CI186" s="8">
        <f>IF((0=1),SUM(C11:CI11),"")</f>
      </c>
      <c r="CJ186" s="8">
        <f>IF((0=1),SUM(C11:CJ11),"")</f>
      </c>
      <c r="CK186" s="8">
        <f>IF((0=1),SUM(C11:CK11),"")</f>
      </c>
      <c r="CL186" s="8">
        <f>IF((0=1),SUM(C11:CL11),"")</f>
      </c>
      <c r="CM186" s="8">
        <f>IF((0=1),SUM(C11:CM11),"")</f>
      </c>
      <c r="CN186" s="8">
        <f>IF((0=1),SUM(C11:CN11),"")</f>
      </c>
      <c r="CO186" s="8">
        <f>IF((0=1),SUM(C11:CO11),"")</f>
      </c>
      <c r="CP186" s="8">
        <f>IF((0=1),SUM(C11:CP11),"")</f>
      </c>
      <c r="CQ186" s="8">
        <f>IF((0=1),SUM(C11:CQ11),"")</f>
      </c>
      <c r="CR186" s="8">
        <f>IF((0=1),SUM(C11:CR11),"")</f>
      </c>
      <c r="CS186" s="8">
        <f>IF((0=1),SUM(C11:CS11),"")</f>
      </c>
      <c r="CT186" s="8">
        <f>IF((0=1),SUM(C11:CT11),"")</f>
      </c>
      <c r="CU186" s="8">
        <f>IF((0=1),SUM(C11:CU11),"")</f>
      </c>
      <c r="CV186" s="8">
        <f>IF((0=1),SUM(C11:CV11),"")</f>
      </c>
      <c r="CW186" s="8">
        <f>IF((0=1),SUM(C11:CW11),"")</f>
      </c>
      <c r="CX186" s="8">
        <f>IF((0=1),SUM(C11:CX11),"")</f>
      </c>
    </row>
    <row r="187">
      <c r="A187" s="0" t="inlineStr">
        <is>
          <t xml:space="preserve">Cumulative sector-neutral excess, bps</t>
        </is>
      </c>
      <c r="B187" s="0" t="inlineStr">
        <is>
          <t xml:space="preserve">Same-Month Seasonality</t>
        </is>
      </c>
      <c r="C187" s="8">
        <f>IF((1=1),SUM(C12),"")</f>
        <v>-21.574</v>
      </c>
      <c r="D187" s="8">
        <f>IF((0=1),SUM(C12:D12),"")</f>
      </c>
      <c r="E187" s="8">
        <f>IF((0=1),SUM(C12:E12),"")</f>
      </c>
      <c r="F187" s="8">
        <f>IF((0=1),SUM(C12:F12),"")</f>
      </c>
      <c r="G187" s="8">
        <f>IF((0=1),SUM(C12:G12),"")</f>
      </c>
      <c r="H187" s="8">
        <f>IF((0=1),SUM(C12:H12),"")</f>
      </c>
      <c r="I187" s="8">
        <f>IF((0=1),SUM(C12:I12),"")</f>
      </c>
      <c r="J187" s="8">
        <f>IF((0=1),SUM(C12:J12),"")</f>
      </c>
      <c r="K187" s="8">
        <f>IF((0=1),SUM(C12:K12),"")</f>
      </c>
      <c r="L187" s="8">
        <f>IF((0=1),SUM(C12:L12),"")</f>
      </c>
      <c r="M187" s="8">
        <f>IF((0=1),SUM(C12:M12),"")</f>
      </c>
      <c r="N187" s="8">
        <f>IF((0=1),SUM(C12:N12),"")</f>
      </c>
      <c r="O187" s="8">
        <f>IF((0=1),SUM(C12:O12),"")</f>
      </c>
      <c r="P187" s="8">
        <f>IF((0=1),SUM(C12:P12),"")</f>
      </c>
      <c r="Q187" s="8">
        <f>IF((0=1),SUM(C12:Q12),"")</f>
      </c>
      <c r="R187" s="8">
        <f>IF((0=1),SUM(C12:R12),"")</f>
      </c>
      <c r="S187" s="8">
        <f>IF((0=1),SUM(C12:S12),"")</f>
      </c>
      <c r="T187" s="8">
        <f>IF((0=1),SUM(C12:T12),"")</f>
      </c>
      <c r="U187" s="8">
        <f>IF((0=1),SUM(C12:U12),"")</f>
      </c>
      <c r="V187" s="8">
        <f>IF((0=1),SUM(C12:V12),"")</f>
      </c>
      <c r="W187" s="8">
        <f>IF((0=1),SUM(C12:W12),"")</f>
      </c>
      <c r="X187" s="8">
        <f>IF((0=1),SUM(C12:X12),"")</f>
      </c>
      <c r="Y187" s="8">
        <f>IF((0=1),SUM(C12:Y12),"")</f>
      </c>
      <c r="Z187" s="8">
        <f>IF((0=1),SUM(C12:Z12),"")</f>
      </c>
      <c r="AA187" s="8">
        <f>IF((0=1),SUM(C12:AA12),"")</f>
      </c>
      <c r="AB187" s="8">
        <f>IF((0=1),SUM(C12:AB12),"")</f>
      </c>
      <c r="AC187" s="8">
        <f>IF((0=1),SUM(C12:AC12),"")</f>
      </c>
      <c r="AD187" s="8">
        <f>IF((0=1),SUM(C12:AD12),"")</f>
      </c>
      <c r="AE187" s="8">
        <f>IF((0=1),SUM(C12:AE12),"")</f>
      </c>
      <c r="AF187" s="8">
        <f>IF((0=1),SUM(C12:AF12),"")</f>
      </c>
      <c r="AG187" s="8">
        <f>IF((0=1),SUM(C12:AG12),"")</f>
      </c>
      <c r="AH187" s="8">
        <f>IF((0=1),SUM(C12:AH12),"")</f>
      </c>
      <c r="AI187" s="8">
        <f>IF((0=1),SUM(C12:AI12),"")</f>
      </c>
      <c r="AJ187" s="8">
        <f>IF((0=1),SUM(C12:AJ12),"")</f>
      </c>
      <c r="AK187" s="8">
        <f>IF((0=1),SUM(C12:AK12),"")</f>
      </c>
      <c r="AL187" s="8">
        <f>IF((0=1),SUM(C12:AL12),"")</f>
      </c>
      <c r="AM187" s="8">
        <f>IF((0=1),SUM(C12:AM12),"")</f>
      </c>
      <c r="AN187" s="8">
        <f>IF((0=1),SUM(C12:AN12),"")</f>
      </c>
      <c r="AO187" s="8">
        <f>IF((0=1),SUM(C12:AO12),"")</f>
      </c>
      <c r="AP187" s="8">
        <f>IF((0=1),SUM(C12:AP12),"")</f>
      </c>
      <c r="AQ187" s="8">
        <f>IF((0=1),SUM(C12:AQ12),"")</f>
      </c>
      <c r="AR187" s="8">
        <f>IF((0=1),SUM(C12:AR12),"")</f>
      </c>
      <c r="AS187" s="8">
        <f>IF((0=1),SUM(C12:AS12),"")</f>
      </c>
      <c r="AT187" s="8">
        <f>IF((0=1),SUM(C12:AT12),"")</f>
      </c>
      <c r="AU187" s="8">
        <f>IF((0=1),SUM(C12:AU12),"")</f>
      </c>
      <c r="AV187" s="8">
        <f>IF((0=1),SUM(C12:AV12),"")</f>
      </c>
      <c r="AW187" s="8">
        <f>IF((0=1),SUM(C12:AW12),"")</f>
      </c>
      <c r="AX187" s="8">
        <f>IF((0=1),SUM(C12:AX12),"")</f>
      </c>
      <c r="AY187" s="8">
        <f>IF((0=1),SUM(C12:AY12),"")</f>
      </c>
      <c r="AZ187" s="8">
        <f>IF((0=1),SUM(C12:AZ12),"")</f>
      </c>
      <c r="BA187" s="8">
        <f>IF((0=1),SUM(C12:BA12),"")</f>
      </c>
      <c r="BB187" s="8">
        <f>IF((0=1),SUM(C12:BB12),"")</f>
      </c>
      <c r="BC187" s="8">
        <f>IF((0=1),SUM(C12:BC12),"")</f>
      </c>
      <c r="BD187" s="8">
        <f>IF((0=1),SUM(C12:BD12),"")</f>
      </c>
      <c r="BE187" s="8">
        <f>IF((0=1),SUM(C12:BE12),"")</f>
      </c>
      <c r="BF187" s="8">
        <f>IF((0=1),SUM(C12:BF12),"")</f>
      </c>
      <c r="BG187" s="8">
        <f>IF((0=1),SUM(C12:BG12),"")</f>
      </c>
      <c r="BH187" s="8">
        <f>IF((0=1),SUM(C12:BH12),"")</f>
      </c>
      <c r="BI187" s="8">
        <f>IF((0=1),SUM(C12:BI12),"")</f>
      </c>
      <c r="BJ187" s="8">
        <f>IF((0=1),SUM(C12:BJ12),"")</f>
      </c>
      <c r="BK187" s="8">
        <f>IF((0=1),SUM(C12:BK12),"")</f>
      </c>
      <c r="BL187" s="8">
        <f>IF((0=1),SUM(C12:BL12),"")</f>
      </c>
      <c r="BM187" s="8">
        <f>IF((0=1),SUM(C12:BM12),"")</f>
      </c>
      <c r="BN187" s="8">
        <f>IF((0=1),SUM(C12:BN12),"")</f>
      </c>
      <c r="BO187" s="8">
        <f>IF((0=1),SUM(C12:BO12),"")</f>
      </c>
      <c r="BP187" s="8">
        <f>IF((0=1),SUM(C12:BP12),"")</f>
      </c>
      <c r="BQ187" s="8">
        <f>IF((0=1),SUM(C12:BQ12),"")</f>
      </c>
      <c r="BR187" s="8">
        <f>IF((0=1),SUM(C12:BR12),"")</f>
      </c>
      <c r="BS187" s="8">
        <f>IF((0=1),SUM(C12:BS12),"")</f>
      </c>
      <c r="BT187" s="8">
        <f>IF((0=1),SUM(C12:BT12),"")</f>
      </c>
      <c r="BU187" s="8">
        <f>IF((0=1),SUM(C12:BU12),"")</f>
      </c>
      <c r="BV187" s="8">
        <f>IF((0=1),SUM(C12:BV12),"")</f>
      </c>
      <c r="BW187" s="8">
        <f>IF((0=1),SUM(C12:BW12),"")</f>
      </c>
      <c r="BX187" s="8">
        <f>IF((0=1),SUM(C12:BX12),"")</f>
      </c>
      <c r="BY187" s="8">
        <f>IF((0=1),SUM(C12:BY12),"")</f>
      </c>
      <c r="BZ187" s="8">
        <f>IF((0=1),SUM(C12:BZ12),"")</f>
      </c>
      <c r="CA187" s="8">
        <f>IF((0=1),SUM(C12:CA12),"")</f>
      </c>
      <c r="CB187" s="8">
        <f>IF((0=1),SUM(C12:CB12),"")</f>
      </c>
      <c r="CC187" s="8">
        <f>IF((0=1),SUM(C12:CC12),"")</f>
      </c>
      <c r="CD187" s="8">
        <f>IF((0=1),SUM(C12:CD12),"")</f>
      </c>
      <c r="CE187" s="8">
        <f>IF((0=1),SUM(C12:CE12),"")</f>
      </c>
      <c r="CF187" s="8">
        <f>IF((0=1),SUM(C12:CF12),"")</f>
      </c>
      <c r="CG187" s="8">
        <f>IF((0=1),SUM(C12:CG12),"")</f>
      </c>
      <c r="CH187" s="8">
        <f>IF((0=1),SUM(C12:CH12),"")</f>
      </c>
      <c r="CI187" s="8">
        <f>IF((0=1),SUM(C12:CI12),"")</f>
      </c>
      <c r="CJ187" s="8">
        <f>IF((0=1),SUM(C12:CJ12),"")</f>
      </c>
      <c r="CK187" s="8">
        <f>IF((0=1),SUM(C12:CK12),"")</f>
      </c>
      <c r="CL187" s="8">
        <f>IF((0=1),SUM(C12:CL12),"")</f>
      </c>
      <c r="CM187" s="8">
        <f>IF((0=1),SUM(C12:CM12),"")</f>
      </c>
      <c r="CN187" s="8">
        <f>IF((0=1),SUM(C12:CN12),"")</f>
      </c>
      <c r="CO187" s="8">
        <f>IF((0=1),SUM(C12:CO12),"")</f>
      </c>
      <c r="CP187" s="8">
        <f>IF((0=1),SUM(C12:CP12),"")</f>
      </c>
      <c r="CQ187" s="8">
        <f>IF((0=1),SUM(C12:CQ12),"")</f>
      </c>
      <c r="CR187" s="8">
        <f>IF((0=1),SUM(C12:CR12),"")</f>
      </c>
      <c r="CS187" s="8">
        <f>IF((0=1),SUM(C12:CS12),"")</f>
      </c>
      <c r="CT187" s="8">
        <f>IF((0=1),SUM(C12:CT12),"")</f>
      </c>
      <c r="CU187" s="8">
        <f>IF((0=1),SUM(C12:CU12),"")</f>
      </c>
      <c r="CV187" s="8">
        <f>IF((0=1),SUM(C12:CV12),"")</f>
      </c>
      <c r="CW187" s="8">
        <f>IF((0=1),SUM(C12:CW12),"")</f>
      </c>
      <c r="CX187" s="8">
        <f>IF((0=1),SUM(C12:CX12),"")</f>
      </c>
    </row>
    <row r="188">
      <c r="A188" s="0" t="inlineStr">
        <is>
          <t xml:space="preserve">Cumulative sector-neutral excess, bps</t>
        </is>
      </c>
      <c r="B188" s="0" t="inlineStr">
        <is>
          <t xml:space="preserve">Quality at a Reasonable Price</t>
        </is>
      </c>
      <c r="C188" s="8">
        <f>IF((1=1),SUM(C13),"")</f>
        <v>-0.086</v>
      </c>
      <c r="D188" s="8">
        <f>IF((0=1),SUM(C13:D13),"")</f>
      </c>
      <c r="E188" s="8">
        <f>IF((0=1),SUM(C13:E13),"")</f>
      </c>
      <c r="F188" s="8">
        <f>IF((0=1),SUM(C13:F13),"")</f>
      </c>
      <c r="G188" s="8">
        <f>IF((0=1),SUM(C13:G13),"")</f>
      </c>
      <c r="H188" s="8">
        <f>IF((0=1),SUM(C13:H13),"")</f>
      </c>
      <c r="I188" s="8">
        <f>IF((0=1),SUM(C13:I13),"")</f>
      </c>
      <c r="J188" s="8">
        <f>IF((0=1),SUM(C13:J13),"")</f>
      </c>
      <c r="K188" s="8">
        <f>IF((0=1),SUM(C13:K13),"")</f>
      </c>
      <c r="L188" s="8">
        <f>IF((0=1),SUM(C13:L13),"")</f>
      </c>
      <c r="M188" s="8">
        <f>IF((0=1),SUM(C13:M13),"")</f>
      </c>
      <c r="N188" s="8">
        <f>IF((0=1),SUM(C13:N13),"")</f>
      </c>
      <c r="O188" s="8">
        <f>IF((0=1),SUM(C13:O13),"")</f>
      </c>
      <c r="P188" s="8">
        <f>IF((0=1),SUM(C13:P13),"")</f>
      </c>
      <c r="Q188" s="8">
        <f>IF((0=1),SUM(C13:Q13),"")</f>
      </c>
      <c r="R188" s="8">
        <f>IF((0=1),SUM(C13:R13),"")</f>
      </c>
      <c r="S188" s="8">
        <f>IF((0=1),SUM(C13:S13),"")</f>
      </c>
      <c r="T188" s="8">
        <f>IF((0=1),SUM(C13:T13),"")</f>
      </c>
      <c r="U188" s="8">
        <f>IF((0=1),SUM(C13:U13),"")</f>
      </c>
      <c r="V188" s="8">
        <f>IF((0=1),SUM(C13:V13),"")</f>
      </c>
      <c r="W188" s="8">
        <f>IF((0=1),SUM(C13:W13),"")</f>
      </c>
      <c r="X188" s="8">
        <f>IF((0=1),SUM(C13:X13),"")</f>
      </c>
      <c r="Y188" s="8">
        <f>IF((0=1),SUM(C13:Y13),"")</f>
      </c>
      <c r="Z188" s="8">
        <f>IF((0=1),SUM(C13:Z13),"")</f>
      </c>
      <c r="AA188" s="8">
        <f>IF((0=1),SUM(C13:AA13),"")</f>
      </c>
      <c r="AB188" s="8">
        <f>IF((0=1),SUM(C13:AB13),"")</f>
      </c>
      <c r="AC188" s="8">
        <f>IF((0=1),SUM(C13:AC13),"")</f>
      </c>
      <c r="AD188" s="8">
        <f>IF((0=1),SUM(C13:AD13),"")</f>
      </c>
      <c r="AE188" s="8">
        <f>IF((0=1),SUM(C13:AE13),"")</f>
      </c>
      <c r="AF188" s="8">
        <f>IF((0=1),SUM(C13:AF13),"")</f>
      </c>
      <c r="AG188" s="8">
        <f>IF((0=1),SUM(C13:AG13),"")</f>
      </c>
      <c r="AH188" s="8">
        <f>IF((0=1),SUM(C13:AH13),"")</f>
      </c>
      <c r="AI188" s="8">
        <f>IF((0=1),SUM(C13:AI13),"")</f>
      </c>
      <c r="AJ188" s="8">
        <f>IF((0=1),SUM(C13:AJ13),"")</f>
      </c>
      <c r="AK188" s="8">
        <f>IF((0=1),SUM(C13:AK13),"")</f>
      </c>
      <c r="AL188" s="8">
        <f>IF((0=1),SUM(C13:AL13),"")</f>
      </c>
      <c r="AM188" s="8">
        <f>IF((0=1),SUM(C13:AM13),"")</f>
      </c>
      <c r="AN188" s="8">
        <f>IF((0=1),SUM(C13:AN13),"")</f>
      </c>
      <c r="AO188" s="8">
        <f>IF((0=1),SUM(C13:AO13),"")</f>
      </c>
      <c r="AP188" s="8">
        <f>IF((0=1),SUM(C13:AP13),"")</f>
      </c>
      <c r="AQ188" s="8">
        <f>IF((0=1),SUM(C13:AQ13),"")</f>
      </c>
      <c r="AR188" s="8">
        <f>IF((0=1),SUM(C13:AR13),"")</f>
      </c>
      <c r="AS188" s="8">
        <f>IF((0=1),SUM(C13:AS13),"")</f>
      </c>
      <c r="AT188" s="8">
        <f>IF((0=1),SUM(C13:AT13),"")</f>
      </c>
      <c r="AU188" s="8">
        <f>IF((0=1),SUM(C13:AU13),"")</f>
      </c>
      <c r="AV188" s="8">
        <f>IF((0=1),SUM(C13:AV13),"")</f>
      </c>
      <c r="AW188" s="8">
        <f>IF((0=1),SUM(C13:AW13),"")</f>
      </c>
      <c r="AX188" s="8">
        <f>IF((0=1),SUM(C13:AX13),"")</f>
      </c>
      <c r="AY188" s="8">
        <f>IF((0=1),SUM(C13:AY13),"")</f>
      </c>
      <c r="AZ188" s="8">
        <f>IF((0=1),SUM(C13:AZ13),"")</f>
      </c>
      <c r="BA188" s="8">
        <f>IF((0=1),SUM(C13:BA13),"")</f>
      </c>
      <c r="BB188" s="8">
        <f>IF((0=1),SUM(C13:BB13),"")</f>
      </c>
      <c r="BC188" s="8">
        <f>IF((0=1),SUM(C13:BC13),"")</f>
      </c>
      <c r="BD188" s="8">
        <f>IF((0=1),SUM(C13:BD13),"")</f>
      </c>
      <c r="BE188" s="8">
        <f>IF((0=1),SUM(C13:BE13),"")</f>
      </c>
      <c r="BF188" s="8">
        <f>IF((0=1),SUM(C13:BF13),"")</f>
      </c>
      <c r="BG188" s="8">
        <f>IF((0=1),SUM(C13:BG13),"")</f>
      </c>
      <c r="BH188" s="8">
        <f>IF((0=1),SUM(C13:BH13),"")</f>
      </c>
      <c r="BI188" s="8">
        <f>IF((0=1),SUM(C13:BI13),"")</f>
      </c>
      <c r="BJ188" s="8">
        <f>IF((0=1),SUM(C13:BJ13),"")</f>
      </c>
      <c r="BK188" s="8">
        <f>IF((0=1),SUM(C13:BK13),"")</f>
      </c>
      <c r="BL188" s="8">
        <f>IF((0=1),SUM(C13:BL13),"")</f>
      </c>
      <c r="BM188" s="8">
        <f>IF((0=1),SUM(C13:BM13),"")</f>
      </c>
      <c r="BN188" s="8">
        <f>IF((0=1),SUM(C13:BN13),"")</f>
      </c>
      <c r="BO188" s="8">
        <f>IF((0=1),SUM(C13:BO13),"")</f>
      </c>
      <c r="BP188" s="8">
        <f>IF((0=1),SUM(C13:BP13),"")</f>
      </c>
      <c r="BQ188" s="8">
        <f>IF((0=1),SUM(C13:BQ13),"")</f>
      </c>
      <c r="BR188" s="8">
        <f>IF((0=1),SUM(C13:BR13),"")</f>
      </c>
      <c r="BS188" s="8">
        <f>IF((0=1),SUM(C13:BS13),"")</f>
      </c>
      <c r="BT188" s="8">
        <f>IF((0=1),SUM(C13:BT13),"")</f>
      </c>
      <c r="BU188" s="8">
        <f>IF((0=1),SUM(C13:BU13),"")</f>
      </c>
      <c r="BV188" s="8">
        <f>IF((0=1),SUM(C13:BV13),"")</f>
      </c>
      <c r="BW188" s="8">
        <f>IF((0=1),SUM(C13:BW13),"")</f>
      </c>
      <c r="BX188" s="8">
        <f>IF((0=1),SUM(C13:BX13),"")</f>
      </c>
      <c r="BY188" s="8">
        <f>IF((0=1),SUM(C13:BY13),"")</f>
      </c>
      <c r="BZ188" s="8">
        <f>IF((0=1),SUM(C13:BZ13),"")</f>
      </c>
      <c r="CA188" s="8">
        <f>IF((0=1),SUM(C13:CA13),"")</f>
      </c>
      <c r="CB188" s="8">
        <f>IF((0=1),SUM(C13:CB13),"")</f>
      </c>
      <c r="CC188" s="8">
        <f>IF((0=1),SUM(C13:CC13),"")</f>
      </c>
      <c r="CD188" s="8">
        <f>IF((0=1),SUM(C13:CD13),"")</f>
      </c>
      <c r="CE188" s="8">
        <f>IF((0=1),SUM(C13:CE13),"")</f>
      </c>
      <c r="CF188" s="8">
        <f>IF((0=1),SUM(C13:CF13),"")</f>
      </c>
      <c r="CG188" s="8">
        <f>IF((0=1),SUM(C13:CG13),"")</f>
      </c>
      <c r="CH188" s="8">
        <f>IF((0=1),SUM(C13:CH13),"")</f>
      </c>
      <c r="CI188" s="8">
        <f>IF((0=1),SUM(C13:CI13),"")</f>
      </c>
      <c r="CJ188" s="8">
        <f>IF((0=1),SUM(C13:CJ13),"")</f>
      </c>
      <c r="CK188" s="8">
        <f>IF((0=1),SUM(C13:CK13),"")</f>
      </c>
      <c r="CL188" s="8">
        <f>IF((0=1),SUM(C13:CL13),"")</f>
      </c>
      <c r="CM188" s="8">
        <f>IF((0=1),SUM(C13:CM13),"")</f>
      </c>
      <c r="CN188" s="8">
        <f>IF((0=1),SUM(C13:CN13),"")</f>
      </c>
      <c r="CO188" s="8">
        <f>IF((0=1),SUM(C13:CO13),"")</f>
      </c>
      <c r="CP188" s="8">
        <f>IF((0=1),SUM(C13:CP13),"")</f>
      </c>
      <c r="CQ188" s="8">
        <f>IF((0=1),SUM(C13:CQ13),"")</f>
      </c>
      <c r="CR188" s="8">
        <f>IF((0=1),SUM(C13:CR13),"")</f>
      </c>
      <c r="CS188" s="8">
        <f>IF((0=1),SUM(C13:CS13),"")</f>
      </c>
      <c r="CT188" s="8">
        <f>IF((0=1),SUM(C13:CT13),"")</f>
      </c>
      <c r="CU188" s="8">
        <f>IF((0=1),SUM(C13:CU13),"")</f>
      </c>
      <c r="CV188" s="8">
        <f>IF((0=1),SUM(C13:CV13),"")</f>
      </c>
      <c r="CW188" s="8">
        <f>IF((0=1),SUM(C13:CW13),"")</f>
      </c>
      <c r="CX188" s="8">
        <f>IF((0=1),SUM(C13:CX13),"")</f>
      </c>
    </row>
    <row r="189">
      <c r="A189" s="0" t="inlineStr">
        <is>
          <t xml:space="preserve">Cumulative sector-neutral excess, bps</t>
        </is>
      </c>
      <c r="B189" s="0" t="inlineStr">
        <is>
          <t xml:space="preserve">Residual Momentum</t>
        </is>
      </c>
      <c r="C189" s="8">
        <f>IF((1=1),SUM(C14),"")</f>
        <v>13.936</v>
      </c>
      <c r="D189" s="8">
        <f>IF((0=1),SUM(C14:D14),"")</f>
      </c>
      <c r="E189" s="8">
        <f>IF((0=1),SUM(C14:E14),"")</f>
      </c>
      <c r="F189" s="8">
        <f>IF((0=1),SUM(C14:F14),"")</f>
      </c>
      <c r="G189" s="8">
        <f>IF((0=1),SUM(C14:G14),"")</f>
      </c>
      <c r="H189" s="8">
        <f>IF((0=1),SUM(C14:H14),"")</f>
      </c>
      <c r="I189" s="8">
        <f>IF((0=1),SUM(C14:I14),"")</f>
      </c>
      <c r="J189" s="8">
        <f>IF((0=1),SUM(C14:J14),"")</f>
      </c>
      <c r="K189" s="8">
        <f>IF((0=1),SUM(C14:K14),"")</f>
      </c>
      <c r="L189" s="8">
        <f>IF((0=1),SUM(C14:L14),"")</f>
      </c>
      <c r="M189" s="8">
        <f>IF((0=1),SUM(C14:M14),"")</f>
      </c>
      <c r="N189" s="8">
        <f>IF((0=1),SUM(C14:N14),"")</f>
      </c>
      <c r="O189" s="8">
        <f>IF((0=1),SUM(C14:O14),"")</f>
      </c>
      <c r="P189" s="8">
        <f>IF((0=1),SUM(C14:P14),"")</f>
      </c>
      <c r="Q189" s="8">
        <f>IF((0=1),SUM(C14:Q14),"")</f>
      </c>
      <c r="R189" s="8">
        <f>IF((0=1),SUM(C14:R14),"")</f>
      </c>
      <c r="S189" s="8">
        <f>IF((0=1),SUM(C14:S14),"")</f>
      </c>
      <c r="T189" s="8">
        <f>IF((0=1),SUM(C14:T14),"")</f>
      </c>
      <c r="U189" s="8">
        <f>IF((0=1),SUM(C14:U14),"")</f>
      </c>
      <c r="V189" s="8">
        <f>IF((0=1),SUM(C14:V14),"")</f>
      </c>
      <c r="W189" s="8">
        <f>IF((0=1),SUM(C14:W14),"")</f>
      </c>
      <c r="X189" s="8">
        <f>IF((0=1),SUM(C14:X14),"")</f>
      </c>
      <c r="Y189" s="8">
        <f>IF((0=1),SUM(C14:Y14),"")</f>
      </c>
      <c r="Z189" s="8">
        <f>IF((0=1),SUM(C14:Z14),"")</f>
      </c>
      <c r="AA189" s="8">
        <f>IF((0=1),SUM(C14:AA14),"")</f>
      </c>
      <c r="AB189" s="8">
        <f>IF((0=1),SUM(C14:AB14),"")</f>
      </c>
      <c r="AC189" s="8">
        <f>IF((0=1),SUM(C14:AC14),"")</f>
      </c>
      <c r="AD189" s="8">
        <f>IF((0=1),SUM(C14:AD14),"")</f>
      </c>
      <c r="AE189" s="8">
        <f>IF((0=1),SUM(C14:AE14),"")</f>
      </c>
      <c r="AF189" s="8">
        <f>IF((0=1),SUM(C14:AF14),"")</f>
      </c>
      <c r="AG189" s="8">
        <f>IF((0=1),SUM(C14:AG14),"")</f>
      </c>
      <c r="AH189" s="8">
        <f>IF((0=1),SUM(C14:AH14),"")</f>
      </c>
      <c r="AI189" s="8">
        <f>IF((0=1),SUM(C14:AI14),"")</f>
      </c>
      <c r="AJ189" s="8">
        <f>IF((0=1),SUM(C14:AJ14),"")</f>
      </c>
      <c r="AK189" s="8">
        <f>IF((0=1),SUM(C14:AK14),"")</f>
      </c>
      <c r="AL189" s="8">
        <f>IF((0=1),SUM(C14:AL14),"")</f>
      </c>
      <c r="AM189" s="8">
        <f>IF((0=1),SUM(C14:AM14),"")</f>
      </c>
      <c r="AN189" s="8">
        <f>IF((0=1),SUM(C14:AN14),"")</f>
      </c>
      <c r="AO189" s="8">
        <f>IF((0=1),SUM(C14:AO14),"")</f>
      </c>
      <c r="AP189" s="8">
        <f>IF((0=1),SUM(C14:AP14),"")</f>
      </c>
      <c r="AQ189" s="8">
        <f>IF((0=1),SUM(C14:AQ14),"")</f>
      </c>
      <c r="AR189" s="8">
        <f>IF((0=1),SUM(C14:AR14),"")</f>
      </c>
      <c r="AS189" s="8">
        <f>IF((0=1),SUM(C14:AS14),"")</f>
      </c>
      <c r="AT189" s="8">
        <f>IF((0=1),SUM(C14:AT14),"")</f>
      </c>
      <c r="AU189" s="8">
        <f>IF((0=1),SUM(C14:AU14),"")</f>
      </c>
      <c r="AV189" s="8">
        <f>IF((0=1),SUM(C14:AV14),"")</f>
      </c>
      <c r="AW189" s="8">
        <f>IF((0=1),SUM(C14:AW14),"")</f>
      </c>
      <c r="AX189" s="8">
        <f>IF((0=1),SUM(C14:AX14),"")</f>
      </c>
      <c r="AY189" s="8">
        <f>IF((0=1),SUM(C14:AY14),"")</f>
      </c>
      <c r="AZ189" s="8">
        <f>IF((0=1),SUM(C14:AZ14),"")</f>
      </c>
      <c r="BA189" s="8">
        <f>IF((0=1),SUM(C14:BA14),"")</f>
      </c>
      <c r="BB189" s="8">
        <f>IF((0=1),SUM(C14:BB14),"")</f>
      </c>
      <c r="BC189" s="8">
        <f>IF((0=1),SUM(C14:BC14),"")</f>
      </c>
      <c r="BD189" s="8">
        <f>IF((0=1),SUM(C14:BD14),"")</f>
      </c>
      <c r="BE189" s="8">
        <f>IF((0=1),SUM(C14:BE14),"")</f>
      </c>
      <c r="BF189" s="8">
        <f>IF((0=1),SUM(C14:BF14),"")</f>
      </c>
      <c r="BG189" s="8">
        <f>IF((0=1),SUM(C14:BG14),"")</f>
      </c>
      <c r="BH189" s="8">
        <f>IF((0=1),SUM(C14:BH14),"")</f>
      </c>
      <c r="BI189" s="8">
        <f>IF((0=1),SUM(C14:BI14),"")</f>
      </c>
      <c r="BJ189" s="8">
        <f>IF((0=1),SUM(C14:BJ14),"")</f>
      </c>
      <c r="BK189" s="8">
        <f>IF((0=1),SUM(C14:BK14),"")</f>
      </c>
      <c r="BL189" s="8">
        <f>IF((0=1),SUM(C14:BL14),"")</f>
      </c>
      <c r="BM189" s="8">
        <f>IF((0=1),SUM(C14:BM14),"")</f>
      </c>
      <c r="BN189" s="8">
        <f>IF((0=1),SUM(C14:BN14),"")</f>
      </c>
      <c r="BO189" s="8">
        <f>IF((0=1),SUM(C14:BO14),"")</f>
      </c>
      <c r="BP189" s="8">
        <f>IF((0=1),SUM(C14:BP14),"")</f>
      </c>
      <c r="BQ189" s="8">
        <f>IF((0=1),SUM(C14:BQ14),"")</f>
      </c>
      <c r="BR189" s="8">
        <f>IF((0=1),SUM(C14:BR14),"")</f>
      </c>
      <c r="BS189" s="8">
        <f>IF((0=1),SUM(C14:BS14),"")</f>
      </c>
      <c r="BT189" s="8">
        <f>IF((0=1),SUM(C14:BT14),"")</f>
      </c>
      <c r="BU189" s="8">
        <f>IF((0=1),SUM(C14:BU14),"")</f>
      </c>
      <c r="BV189" s="8">
        <f>IF((0=1),SUM(C14:BV14),"")</f>
      </c>
      <c r="BW189" s="8">
        <f>IF((0=1),SUM(C14:BW14),"")</f>
      </c>
      <c r="BX189" s="8">
        <f>IF((0=1),SUM(C14:BX14),"")</f>
      </c>
      <c r="BY189" s="8">
        <f>IF((0=1),SUM(C14:BY14),"")</f>
      </c>
      <c r="BZ189" s="8">
        <f>IF((0=1),SUM(C14:BZ14),"")</f>
      </c>
      <c r="CA189" s="8">
        <f>IF((0=1),SUM(C14:CA14),"")</f>
      </c>
      <c r="CB189" s="8">
        <f>IF((0=1),SUM(C14:CB14),"")</f>
      </c>
      <c r="CC189" s="8">
        <f>IF((0=1),SUM(C14:CC14),"")</f>
      </c>
      <c r="CD189" s="8">
        <f>IF((0=1),SUM(C14:CD14),"")</f>
      </c>
      <c r="CE189" s="8">
        <f>IF((0=1),SUM(C14:CE14),"")</f>
      </c>
      <c r="CF189" s="8">
        <f>IF((0=1),SUM(C14:CF14),"")</f>
      </c>
      <c r="CG189" s="8">
        <f>IF((0=1),SUM(C14:CG14),"")</f>
      </c>
      <c r="CH189" s="8">
        <f>IF((0=1),SUM(C14:CH14),"")</f>
      </c>
      <c r="CI189" s="8">
        <f>IF((0=1),SUM(C14:CI14),"")</f>
      </c>
      <c r="CJ189" s="8">
        <f>IF((0=1),SUM(C14:CJ14),"")</f>
      </c>
      <c r="CK189" s="8">
        <f>IF((0=1),SUM(C14:CK14),"")</f>
      </c>
      <c r="CL189" s="8">
        <f>IF((0=1),SUM(C14:CL14),"")</f>
      </c>
      <c r="CM189" s="8">
        <f>IF((0=1),SUM(C14:CM14),"")</f>
      </c>
      <c r="CN189" s="8">
        <f>IF((0=1),SUM(C14:CN14),"")</f>
      </c>
      <c r="CO189" s="8">
        <f>IF((0=1),SUM(C14:CO14),"")</f>
      </c>
      <c r="CP189" s="8">
        <f>IF((0=1),SUM(C14:CP14),"")</f>
      </c>
      <c r="CQ189" s="8">
        <f>IF((0=1),SUM(C14:CQ14),"")</f>
      </c>
      <c r="CR189" s="8">
        <f>IF((0=1),SUM(C14:CR14),"")</f>
      </c>
      <c r="CS189" s="8">
        <f>IF((0=1),SUM(C14:CS14),"")</f>
      </c>
      <c r="CT189" s="8">
        <f>IF((0=1),SUM(C14:CT14),"")</f>
      </c>
      <c r="CU189" s="8">
        <f>IF((0=1),SUM(C14:CU14),"")</f>
      </c>
      <c r="CV189" s="8">
        <f>IF((0=1),SUM(C14:CV14),"")</f>
      </c>
      <c r="CW189" s="8">
        <f>IF((0=1),SUM(C14:CW14),"")</f>
      </c>
      <c r="CX189" s="8">
        <f>IF((0=1),SUM(C14:CX14),"")</f>
      </c>
    </row>
    <row r="190">
      <c r="A190" s="0" t="inlineStr">
        <is>
          <t xml:space="preserve">Cumulative sector-neutral excess, bps</t>
        </is>
      </c>
      <c r="B190" s="0" t="inlineStr">
        <is>
          <t xml:space="preserve">Overnight Return Persistence</t>
        </is>
      </c>
      <c r="C190" s="8">
        <f>IF((1=1),SUM(C15),"")</f>
        <v>8.172</v>
      </c>
      <c r="D190" s="8">
        <f>IF((0=1),SUM(C15:D15),"")</f>
      </c>
      <c r="E190" s="8">
        <f>IF((0=1),SUM(C15:E15),"")</f>
      </c>
      <c r="F190" s="8">
        <f>IF((0=1),SUM(C15:F15),"")</f>
      </c>
      <c r="G190" s="8">
        <f>IF((0=1),SUM(C15:G15),"")</f>
      </c>
      <c r="H190" s="8">
        <f>IF((0=1),SUM(C15:H15),"")</f>
      </c>
      <c r="I190" s="8">
        <f>IF((0=1),SUM(C15:I15),"")</f>
      </c>
      <c r="J190" s="8">
        <f>IF((0=1),SUM(C15:J15),"")</f>
      </c>
      <c r="K190" s="8">
        <f>IF((0=1),SUM(C15:K15),"")</f>
      </c>
      <c r="L190" s="8">
        <f>IF((0=1),SUM(C15:L15),"")</f>
      </c>
      <c r="M190" s="8">
        <f>IF((0=1),SUM(C15:M15),"")</f>
      </c>
      <c r="N190" s="8">
        <f>IF((0=1),SUM(C15:N15),"")</f>
      </c>
      <c r="O190" s="8">
        <f>IF((0=1),SUM(C15:O15),"")</f>
      </c>
      <c r="P190" s="8">
        <f>IF((0=1),SUM(C15:P15),"")</f>
      </c>
      <c r="Q190" s="8">
        <f>IF((0=1),SUM(C15:Q15),"")</f>
      </c>
      <c r="R190" s="8">
        <f>IF((0=1),SUM(C15:R15),"")</f>
      </c>
      <c r="S190" s="8">
        <f>IF((0=1),SUM(C15:S15),"")</f>
      </c>
      <c r="T190" s="8">
        <f>IF((0=1),SUM(C15:T15),"")</f>
      </c>
      <c r="U190" s="8">
        <f>IF((0=1),SUM(C15:U15),"")</f>
      </c>
      <c r="V190" s="8">
        <f>IF((0=1),SUM(C15:V15),"")</f>
      </c>
      <c r="W190" s="8">
        <f>IF((0=1),SUM(C15:W15),"")</f>
      </c>
      <c r="X190" s="8">
        <f>IF((0=1),SUM(C15:X15),"")</f>
      </c>
      <c r="Y190" s="8">
        <f>IF((0=1),SUM(C15:Y15),"")</f>
      </c>
      <c r="Z190" s="8">
        <f>IF((0=1),SUM(C15:Z15),"")</f>
      </c>
      <c r="AA190" s="8">
        <f>IF((0=1),SUM(C15:AA15),"")</f>
      </c>
      <c r="AB190" s="8">
        <f>IF((0=1),SUM(C15:AB15),"")</f>
      </c>
      <c r="AC190" s="8">
        <f>IF((0=1),SUM(C15:AC15),"")</f>
      </c>
      <c r="AD190" s="8">
        <f>IF((0=1),SUM(C15:AD15),"")</f>
      </c>
      <c r="AE190" s="8">
        <f>IF((0=1),SUM(C15:AE15),"")</f>
      </c>
      <c r="AF190" s="8">
        <f>IF((0=1),SUM(C15:AF15),"")</f>
      </c>
      <c r="AG190" s="8">
        <f>IF((0=1),SUM(C15:AG15),"")</f>
      </c>
      <c r="AH190" s="8">
        <f>IF((0=1),SUM(C15:AH15),"")</f>
      </c>
      <c r="AI190" s="8">
        <f>IF((0=1),SUM(C15:AI15),"")</f>
      </c>
      <c r="AJ190" s="8">
        <f>IF((0=1),SUM(C15:AJ15),"")</f>
      </c>
      <c r="AK190" s="8">
        <f>IF((0=1),SUM(C15:AK15),"")</f>
      </c>
      <c r="AL190" s="8">
        <f>IF((0=1),SUM(C15:AL15),"")</f>
      </c>
      <c r="AM190" s="8">
        <f>IF((0=1),SUM(C15:AM15),"")</f>
      </c>
      <c r="AN190" s="8">
        <f>IF((0=1),SUM(C15:AN15),"")</f>
      </c>
      <c r="AO190" s="8">
        <f>IF((0=1),SUM(C15:AO15),"")</f>
      </c>
      <c r="AP190" s="8">
        <f>IF((0=1),SUM(C15:AP15),"")</f>
      </c>
      <c r="AQ190" s="8">
        <f>IF((0=1),SUM(C15:AQ15),"")</f>
      </c>
      <c r="AR190" s="8">
        <f>IF((0=1),SUM(C15:AR15),"")</f>
      </c>
      <c r="AS190" s="8">
        <f>IF((0=1),SUM(C15:AS15),"")</f>
      </c>
      <c r="AT190" s="8">
        <f>IF((0=1),SUM(C15:AT15),"")</f>
      </c>
      <c r="AU190" s="8">
        <f>IF((0=1),SUM(C15:AU15),"")</f>
      </c>
      <c r="AV190" s="8">
        <f>IF((0=1),SUM(C15:AV15),"")</f>
      </c>
      <c r="AW190" s="8">
        <f>IF((0=1),SUM(C15:AW15),"")</f>
      </c>
      <c r="AX190" s="8">
        <f>IF((0=1),SUM(C15:AX15),"")</f>
      </c>
      <c r="AY190" s="8">
        <f>IF((0=1),SUM(C15:AY15),"")</f>
      </c>
      <c r="AZ190" s="8">
        <f>IF((0=1),SUM(C15:AZ15),"")</f>
      </c>
      <c r="BA190" s="8">
        <f>IF((0=1),SUM(C15:BA15),"")</f>
      </c>
      <c r="BB190" s="8">
        <f>IF((0=1),SUM(C15:BB15),"")</f>
      </c>
      <c r="BC190" s="8">
        <f>IF((0=1),SUM(C15:BC15),"")</f>
      </c>
      <c r="BD190" s="8">
        <f>IF((0=1),SUM(C15:BD15),"")</f>
      </c>
      <c r="BE190" s="8">
        <f>IF((0=1),SUM(C15:BE15),"")</f>
      </c>
      <c r="BF190" s="8">
        <f>IF((0=1),SUM(C15:BF15),"")</f>
      </c>
      <c r="BG190" s="8">
        <f>IF((0=1),SUM(C15:BG15),"")</f>
      </c>
      <c r="BH190" s="8">
        <f>IF((0=1),SUM(C15:BH15),"")</f>
      </c>
      <c r="BI190" s="8">
        <f>IF((0=1),SUM(C15:BI15),"")</f>
      </c>
      <c r="BJ190" s="8">
        <f>IF((0=1),SUM(C15:BJ15),"")</f>
      </c>
      <c r="BK190" s="8">
        <f>IF((0=1),SUM(C15:BK15),"")</f>
      </c>
      <c r="BL190" s="8">
        <f>IF((0=1),SUM(C15:BL15),"")</f>
      </c>
      <c r="BM190" s="8">
        <f>IF((0=1),SUM(C15:BM15),"")</f>
      </c>
      <c r="BN190" s="8">
        <f>IF((0=1),SUM(C15:BN15),"")</f>
      </c>
      <c r="BO190" s="8">
        <f>IF((0=1),SUM(C15:BO15),"")</f>
      </c>
      <c r="BP190" s="8">
        <f>IF((0=1),SUM(C15:BP15),"")</f>
      </c>
      <c r="BQ190" s="8">
        <f>IF((0=1),SUM(C15:BQ15),"")</f>
      </c>
      <c r="BR190" s="8">
        <f>IF((0=1),SUM(C15:BR15),"")</f>
      </c>
      <c r="BS190" s="8">
        <f>IF((0=1),SUM(C15:BS15),"")</f>
      </c>
      <c r="BT190" s="8">
        <f>IF((0=1),SUM(C15:BT15),"")</f>
      </c>
      <c r="BU190" s="8">
        <f>IF((0=1),SUM(C15:BU15),"")</f>
      </c>
      <c r="BV190" s="8">
        <f>IF((0=1),SUM(C15:BV15),"")</f>
      </c>
      <c r="BW190" s="8">
        <f>IF((0=1),SUM(C15:BW15),"")</f>
      </c>
      <c r="BX190" s="8">
        <f>IF((0=1),SUM(C15:BX15),"")</f>
      </c>
      <c r="BY190" s="8">
        <f>IF((0=1),SUM(C15:BY15),"")</f>
      </c>
      <c r="BZ190" s="8">
        <f>IF((0=1),SUM(C15:BZ15),"")</f>
      </c>
      <c r="CA190" s="8">
        <f>IF((0=1),SUM(C15:CA15),"")</f>
      </c>
      <c r="CB190" s="8">
        <f>IF((0=1),SUM(C15:CB15),"")</f>
      </c>
      <c r="CC190" s="8">
        <f>IF((0=1),SUM(C15:CC15),"")</f>
      </c>
      <c r="CD190" s="8">
        <f>IF((0=1),SUM(C15:CD15),"")</f>
      </c>
      <c r="CE190" s="8">
        <f>IF((0=1),SUM(C15:CE15),"")</f>
      </c>
      <c r="CF190" s="8">
        <f>IF((0=1),SUM(C15:CF15),"")</f>
      </c>
      <c r="CG190" s="8">
        <f>IF((0=1),SUM(C15:CG15),"")</f>
      </c>
      <c r="CH190" s="8">
        <f>IF((0=1),SUM(C15:CH15),"")</f>
      </c>
      <c r="CI190" s="8">
        <f>IF((0=1),SUM(C15:CI15),"")</f>
      </c>
      <c r="CJ190" s="8">
        <f>IF((0=1),SUM(C15:CJ15),"")</f>
      </c>
      <c r="CK190" s="8">
        <f>IF((0=1),SUM(C15:CK15),"")</f>
      </c>
      <c r="CL190" s="8">
        <f>IF((0=1),SUM(C15:CL15),"")</f>
      </c>
      <c r="CM190" s="8">
        <f>IF((0=1),SUM(C15:CM15),"")</f>
      </c>
      <c r="CN190" s="8">
        <f>IF((0=1),SUM(C15:CN15),"")</f>
      </c>
      <c r="CO190" s="8">
        <f>IF((0=1),SUM(C15:CO15),"")</f>
      </c>
      <c r="CP190" s="8">
        <f>IF((0=1),SUM(C15:CP15),"")</f>
      </c>
      <c r="CQ190" s="8">
        <f>IF((0=1),SUM(C15:CQ15),"")</f>
      </c>
      <c r="CR190" s="8">
        <f>IF((0=1),SUM(C15:CR15),"")</f>
      </c>
      <c r="CS190" s="8">
        <f>IF((0=1),SUM(C15:CS15),"")</f>
      </c>
      <c r="CT190" s="8">
        <f>IF((0=1),SUM(C15:CT15),"")</f>
      </c>
      <c r="CU190" s="8">
        <f>IF((0=1),SUM(C15:CU15),"")</f>
      </c>
      <c r="CV190" s="8">
        <f>IF((0=1),SUM(C15:CV15),"")</f>
      </c>
      <c r="CW190" s="8">
        <f>IF((0=1),SUM(C15:CW15),"")</f>
      </c>
      <c r="CX190" s="8">
        <f>IF((0=1),SUM(C15:CX15),"")</f>
      </c>
    </row>
    <row r="191">
      <c r="A191" s="0" t="inlineStr">
        <is>
          <t xml:space="preserve">Cumulative sector-neutral excess, bps</t>
        </is>
      </c>
      <c r="B191" s="0" t="inlineStr">
        <is>
          <t xml:space="preserve">52-Week-High Anchoring</t>
        </is>
      </c>
      <c r="C191" s="8">
        <f>IF((1=1),SUM(C16),"")</f>
        <v>17.164</v>
      </c>
      <c r="D191" s="8">
        <f>IF((0=1),SUM(C16:D16),"")</f>
      </c>
      <c r="E191" s="8">
        <f>IF((0=1),SUM(C16:E16),"")</f>
      </c>
      <c r="F191" s="8">
        <f>IF((0=1),SUM(C16:F16),"")</f>
      </c>
      <c r="G191" s="8">
        <f>IF((0=1),SUM(C16:G16),"")</f>
      </c>
      <c r="H191" s="8">
        <f>IF((0=1),SUM(C16:H16),"")</f>
      </c>
      <c r="I191" s="8">
        <f>IF((0=1),SUM(C16:I16),"")</f>
      </c>
      <c r="J191" s="8">
        <f>IF((0=1),SUM(C16:J16),"")</f>
      </c>
      <c r="K191" s="8">
        <f>IF((0=1),SUM(C16:K16),"")</f>
      </c>
      <c r="L191" s="8">
        <f>IF((0=1),SUM(C16:L16),"")</f>
      </c>
      <c r="M191" s="8">
        <f>IF((0=1),SUM(C16:M16),"")</f>
      </c>
      <c r="N191" s="8">
        <f>IF((0=1),SUM(C16:N16),"")</f>
      </c>
      <c r="O191" s="8">
        <f>IF((0=1),SUM(C16:O16),"")</f>
      </c>
      <c r="P191" s="8">
        <f>IF((0=1),SUM(C16:P16),"")</f>
      </c>
      <c r="Q191" s="8">
        <f>IF((0=1),SUM(C16:Q16),"")</f>
      </c>
      <c r="R191" s="8">
        <f>IF((0=1),SUM(C16:R16),"")</f>
      </c>
      <c r="S191" s="8">
        <f>IF((0=1),SUM(C16:S16),"")</f>
      </c>
      <c r="T191" s="8">
        <f>IF((0=1),SUM(C16:T16),"")</f>
      </c>
      <c r="U191" s="8">
        <f>IF((0=1),SUM(C16:U16),"")</f>
      </c>
      <c r="V191" s="8">
        <f>IF((0=1),SUM(C16:V16),"")</f>
      </c>
      <c r="W191" s="8">
        <f>IF((0=1),SUM(C16:W16),"")</f>
      </c>
      <c r="X191" s="8">
        <f>IF((0=1),SUM(C16:X16),"")</f>
      </c>
      <c r="Y191" s="8">
        <f>IF((0=1),SUM(C16:Y16),"")</f>
      </c>
      <c r="Z191" s="8">
        <f>IF((0=1),SUM(C16:Z16),"")</f>
      </c>
      <c r="AA191" s="8">
        <f>IF((0=1),SUM(C16:AA16),"")</f>
      </c>
      <c r="AB191" s="8">
        <f>IF((0=1),SUM(C16:AB16),"")</f>
      </c>
      <c r="AC191" s="8">
        <f>IF((0=1),SUM(C16:AC16),"")</f>
      </c>
      <c r="AD191" s="8">
        <f>IF((0=1),SUM(C16:AD16),"")</f>
      </c>
      <c r="AE191" s="8">
        <f>IF((0=1),SUM(C16:AE16),"")</f>
      </c>
      <c r="AF191" s="8">
        <f>IF((0=1),SUM(C16:AF16),"")</f>
      </c>
      <c r="AG191" s="8">
        <f>IF((0=1),SUM(C16:AG16),"")</f>
      </c>
      <c r="AH191" s="8">
        <f>IF((0=1),SUM(C16:AH16),"")</f>
      </c>
      <c r="AI191" s="8">
        <f>IF((0=1),SUM(C16:AI16),"")</f>
      </c>
      <c r="AJ191" s="8">
        <f>IF((0=1),SUM(C16:AJ16),"")</f>
      </c>
      <c r="AK191" s="8">
        <f>IF((0=1),SUM(C16:AK16),"")</f>
      </c>
      <c r="AL191" s="8">
        <f>IF((0=1),SUM(C16:AL16),"")</f>
      </c>
      <c r="AM191" s="8">
        <f>IF((0=1),SUM(C16:AM16),"")</f>
      </c>
      <c r="AN191" s="8">
        <f>IF((0=1),SUM(C16:AN16),"")</f>
      </c>
      <c r="AO191" s="8">
        <f>IF((0=1),SUM(C16:AO16),"")</f>
      </c>
      <c r="AP191" s="8">
        <f>IF((0=1),SUM(C16:AP16),"")</f>
      </c>
      <c r="AQ191" s="8">
        <f>IF((0=1),SUM(C16:AQ16),"")</f>
      </c>
      <c r="AR191" s="8">
        <f>IF((0=1),SUM(C16:AR16),"")</f>
      </c>
      <c r="AS191" s="8">
        <f>IF((0=1),SUM(C16:AS16),"")</f>
      </c>
      <c r="AT191" s="8">
        <f>IF((0=1),SUM(C16:AT16),"")</f>
      </c>
      <c r="AU191" s="8">
        <f>IF((0=1),SUM(C16:AU16),"")</f>
      </c>
      <c r="AV191" s="8">
        <f>IF((0=1),SUM(C16:AV16),"")</f>
      </c>
      <c r="AW191" s="8">
        <f>IF((0=1),SUM(C16:AW16),"")</f>
      </c>
      <c r="AX191" s="8">
        <f>IF((0=1),SUM(C16:AX16),"")</f>
      </c>
      <c r="AY191" s="8">
        <f>IF((0=1),SUM(C16:AY16),"")</f>
      </c>
      <c r="AZ191" s="8">
        <f>IF((0=1),SUM(C16:AZ16),"")</f>
      </c>
      <c r="BA191" s="8">
        <f>IF((0=1),SUM(C16:BA16),"")</f>
      </c>
      <c r="BB191" s="8">
        <f>IF((0=1),SUM(C16:BB16),"")</f>
      </c>
      <c r="BC191" s="8">
        <f>IF((0=1),SUM(C16:BC16),"")</f>
      </c>
      <c r="BD191" s="8">
        <f>IF((0=1),SUM(C16:BD16),"")</f>
      </c>
      <c r="BE191" s="8">
        <f>IF((0=1),SUM(C16:BE16),"")</f>
      </c>
      <c r="BF191" s="8">
        <f>IF((0=1),SUM(C16:BF16),"")</f>
      </c>
      <c r="BG191" s="8">
        <f>IF((0=1),SUM(C16:BG16),"")</f>
      </c>
      <c r="BH191" s="8">
        <f>IF((0=1),SUM(C16:BH16),"")</f>
      </c>
      <c r="BI191" s="8">
        <f>IF((0=1),SUM(C16:BI16),"")</f>
      </c>
      <c r="BJ191" s="8">
        <f>IF((0=1),SUM(C16:BJ16),"")</f>
      </c>
      <c r="BK191" s="8">
        <f>IF((0=1),SUM(C16:BK16),"")</f>
      </c>
      <c r="BL191" s="8">
        <f>IF((0=1),SUM(C16:BL16),"")</f>
      </c>
      <c r="BM191" s="8">
        <f>IF((0=1),SUM(C16:BM16),"")</f>
      </c>
      <c r="BN191" s="8">
        <f>IF((0=1),SUM(C16:BN16),"")</f>
      </c>
      <c r="BO191" s="8">
        <f>IF((0=1),SUM(C16:BO16),"")</f>
      </c>
      <c r="BP191" s="8">
        <f>IF((0=1),SUM(C16:BP16),"")</f>
      </c>
      <c r="BQ191" s="8">
        <f>IF((0=1),SUM(C16:BQ16),"")</f>
      </c>
      <c r="BR191" s="8">
        <f>IF((0=1),SUM(C16:BR16),"")</f>
      </c>
      <c r="BS191" s="8">
        <f>IF((0=1),SUM(C16:BS16),"")</f>
      </c>
      <c r="BT191" s="8">
        <f>IF((0=1),SUM(C16:BT16),"")</f>
      </c>
      <c r="BU191" s="8">
        <f>IF((0=1),SUM(C16:BU16),"")</f>
      </c>
      <c r="BV191" s="8">
        <f>IF((0=1),SUM(C16:BV16),"")</f>
      </c>
      <c r="BW191" s="8">
        <f>IF((0=1),SUM(C16:BW16),"")</f>
      </c>
      <c r="BX191" s="8">
        <f>IF((0=1),SUM(C16:BX16),"")</f>
      </c>
      <c r="BY191" s="8">
        <f>IF((0=1),SUM(C16:BY16),"")</f>
      </c>
      <c r="BZ191" s="8">
        <f>IF((0=1),SUM(C16:BZ16),"")</f>
      </c>
      <c r="CA191" s="8">
        <f>IF((0=1),SUM(C16:CA16),"")</f>
      </c>
      <c r="CB191" s="8">
        <f>IF((0=1),SUM(C16:CB16),"")</f>
      </c>
      <c r="CC191" s="8">
        <f>IF((0=1),SUM(C16:CC16),"")</f>
      </c>
      <c r="CD191" s="8">
        <f>IF((0=1),SUM(C16:CD16),"")</f>
      </c>
      <c r="CE191" s="8">
        <f>IF((0=1),SUM(C16:CE16),"")</f>
      </c>
      <c r="CF191" s="8">
        <f>IF((0=1),SUM(C16:CF16),"")</f>
      </c>
      <c r="CG191" s="8">
        <f>IF((0=1),SUM(C16:CG16),"")</f>
      </c>
      <c r="CH191" s="8">
        <f>IF((0=1),SUM(C16:CH16),"")</f>
      </c>
      <c r="CI191" s="8">
        <f>IF((0=1),SUM(C16:CI16),"")</f>
      </c>
      <c r="CJ191" s="8">
        <f>IF((0=1),SUM(C16:CJ16),"")</f>
      </c>
      <c r="CK191" s="8">
        <f>IF((0=1),SUM(C16:CK16),"")</f>
      </c>
      <c r="CL191" s="8">
        <f>IF((0=1),SUM(C16:CL16),"")</f>
      </c>
      <c r="CM191" s="8">
        <f>IF((0=1),SUM(C16:CM16),"")</f>
      </c>
      <c r="CN191" s="8">
        <f>IF((0=1),SUM(C16:CN16),"")</f>
      </c>
      <c r="CO191" s="8">
        <f>IF((0=1),SUM(C16:CO16),"")</f>
      </c>
      <c r="CP191" s="8">
        <f>IF((0=1),SUM(C16:CP16),"")</f>
      </c>
      <c r="CQ191" s="8">
        <f>IF((0=1),SUM(C16:CQ16),"")</f>
      </c>
      <c r="CR191" s="8">
        <f>IF((0=1),SUM(C16:CR16),"")</f>
      </c>
      <c r="CS191" s="8">
        <f>IF((0=1),SUM(C16:CS16),"")</f>
      </c>
      <c r="CT191" s="8">
        <f>IF((0=1),SUM(C16:CT16),"")</f>
      </c>
      <c r="CU191" s="8">
        <f>IF((0=1),SUM(C16:CU16),"")</f>
      </c>
      <c r="CV191" s="8">
        <f>IF((0=1),SUM(C16:CV16),"")</f>
      </c>
      <c r="CW191" s="8">
        <f>IF((0=1),SUM(C16:CW16),"")</f>
      </c>
      <c r="CX191" s="8">
        <f>IF((0=1),SUM(C16:CX16),"")</f>
      </c>
    </row>
    <row r="192">
      <c r="A192" s="0" t="inlineStr">
        <is>
          <t xml:space="preserve">Cumulative sector-neutral excess, bps</t>
        </is>
      </c>
      <c r="B192" s="0" t="inlineStr">
        <is>
          <t xml:space="preserve">Random 1</t>
        </is>
      </c>
      <c r="C192" s="8">
        <f>IF((1=1),SUM(C17),"")</f>
        <v>-4.097</v>
      </c>
      <c r="D192" s="8">
        <f>IF((0=1),SUM(C17:D17),"")</f>
      </c>
      <c r="E192" s="8">
        <f>IF((0=1),SUM(C17:E17),"")</f>
      </c>
      <c r="F192" s="8">
        <f>IF((0=1),SUM(C17:F17),"")</f>
      </c>
      <c r="G192" s="8">
        <f>IF((0=1),SUM(C17:G17),"")</f>
      </c>
      <c r="H192" s="8">
        <f>IF((0=1),SUM(C17:H17),"")</f>
      </c>
      <c r="I192" s="8">
        <f>IF((0=1),SUM(C17:I17),"")</f>
      </c>
      <c r="J192" s="8">
        <f>IF((0=1),SUM(C17:J17),"")</f>
      </c>
      <c r="K192" s="8">
        <f>IF((0=1),SUM(C17:K17),"")</f>
      </c>
      <c r="L192" s="8">
        <f>IF((0=1),SUM(C17:L17),"")</f>
      </c>
      <c r="M192" s="8">
        <f>IF((0=1),SUM(C17:M17),"")</f>
      </c>
      <c r="N192" s="8">
        <f>IF((0=1),SUM(C17:N17),"")</f>
      </c>
      <c r="O192" s="8">
        <f>IF((0=1),SUM(C17:O17),"")</f>
      </c>
      <c r="P192" s="8">
        <f>IF((0=1),SUM(C17:P17),"")</f>
      </c>
      <c r="Q192" s="8">
        <f>IF((0=1),SUM(C17:Q17),"")</f>
      </c>
      <c r="R192" s="8">
        <f>IF((0=1),SUM(C17:R17),"")</f>
      </c>
      <c r="S192" s="8">
        <f>IF((0=1),SUM(C17:S17),"")</f>
      </c>
      <c r="T192" s="8">
        <f>IF((0=1),SUM(C17:T17),"")</f>
      </c>
      <c r="U192" s="8">
        <f>IF((0=1),SUM(C17:U17),"")</f>
      </c>
      <c r="V192" s="8">
        <f>IF((0=1),SUM(C17:V17),"")</f>
      </c>
      <c r="W192" s="8">
        <f>IF((0=1),SUM(C17:W17),"")</f>
      </c>
      <c r="X192" s="8">
        <f>IF((0=1),SUM(C17:X17),"")</f>
      </c>
      <c r="Y192" s="8">
        <f>IF((0=1),SUM(C17:Y17),"")</f>
      </c>
      <c r="Z192" s="8">
        <f>IF((0=1),SUM(C17:Z17),"")</f>
      </c>
      <c r="AA192" s="8">
        <f>IF((0=1),SUM(C17:AA17),"")</f>
      </c>
      <c r="AB192" s="8">
        <f>IF((0=1),SUM(C17:AB17),"")</f>
      </c>
      <c r="AC192" s="8">
        <f>IF((0=1),SUM(C17:AC17),"")</f>
      </c>
      <c r="AD192" s="8">
        <f>IF((0=1),SUM(C17:AD17),"")</f>
      </c>
      <c r="AE192" s="8">
        <f>IF((0=1),SUM(C17:AE17),"")</f>
      </c>
      <c r="AF192" s="8">
        <f>IF((0=1),SUM(C17:AF17),"")</f>
      </c>
      <c r="AG192" s="8">
        <f>IF((0=1),SUM(C17:AG17),"")</f>
      </c>
      <c r="AH192" s="8">
        <f>IF((0=1),SUM(C17:AH17),"")</f>
      </c>
      <c r="AI192" s="8">
        <f>IF((0=1),SUM(C17:AI17),"")</f>
      </c>
      <c r="AJ192" s="8">
        <f>IF((0=1),SUM(C17:AJ17),"")</f>
      </c>
      <c r="AK192" s="8">
        <f>IF((0=1),SUM(C17:AK17),"")</f>
      </c>
      <c r="AL192" s="8">
        <f>IF((0=1),SUM(C17:AL17),"")</f>
      </c>
      <c r="AM192" s="8">
        <f>IF((0=1),SUM(C17:AM17),"")</f>
      </c>
      <c r="AN192" s="8">
        <f>IF((0=1),SUM(C17:AN17),"")</f>
      </c>
      <c r="AO192" s="8">
        <f>IF((0=1),SUM(C17:AO17),"")</f>
      </c>
      <c r="AP192" s="8">
        <f>IF((0=1),SUM(C17:AP17),"")</f>
      </c>
      <c r="AQ192" s="8">
        <f>IF((0=1),SUM(C17:AQ17),"")</f>
      </c>
      <c r="AR192" s="8">
        <f>IF((0=1),SUM(C17:AR17),"")</f>
      </c>
      <c r="AS192" s="8">
        <f>IF((0=1),SUM(C17:AS17),"")</f>
      </c>
      <c r="AT192" s="8">
        <f>IF((0=1),SUM(C17:AT17),"")</f>
      </c>
      <c r="AU192" s="8">
        <f>IF((0=1),SUM(C17:AU17),"")</f>
      </c>
      <c r="AV192" s="8">
        <f>IF((0=1),SUM(C17:AV17),"")</f>
      </c>
      <c r="AW192" s="8">
        <f>IF((0=1),SUM(C17:AW17),"")</f>
      </c>
      <c r="AX192" s="8">
        <f>IF((0=1),SUM(C17:AX17),"")</f>
      </c>
      <c r="AY192" s="8">
        <f>IF((0=1),SUM(C17:AY17),"")</f>
      </c>
      <c r="AZ192" s="8">
        <f>IF((0=1),SUM(C17:AZ17),"")</f>
      </c>
      <c r="BA192" s="8">
        <f>IF((0=1),SUM(C17:BA17),"")</f>
      </c>
      <c r="BB192" s="8">
        <f>IF((0=1),SUM(C17:BB17),"")</f>
      </c>
      <c r="BC192" s="8">
        <f>IF((0=1),SUM(C17:BC17),"")</f>
      </c>
      <c r="BD192" s="8">
        <f>IF((0=1),SUM(C17:BD17),"")</f>
      </c>
      <c r="BE192" s="8">
        <f>IF((0=1),SUM(C17:BE17),"")</f>
      </c>
      <c r="BF192" s="8">
        <f>IF((0=1),SUM(C17:BF17),"")</f>
      </c>
      <c r="BG192" s="8">
        <f>IF((0=1),SUM(C17:BG17),"")</f>
      </c>
      <c r="BH192" s="8">
        <f>IF((0=1),SUM(C17:BH17),"")</f>
      </c>
      <c r="BI192" s="8">
        <f>IF((0=1),SUM(C17:BI17),"")</f>
      </c>
      <c r="BJ192" s="8">
        <f>IF((0=1),SUM(C17:BJ17),"")</f>
      </c>
      <c r="BK192" s="8">
        <f>IF((0=1),SUM(C17:BK17),"")</f>
      </c>
      <c r="BL192" s="8">
        <f>IF((0=1),SUM(C17:BL17),"")</f>
      </c>
      <c r="BM192" s="8">
        <f>IF((0=1),SUM(C17:BM17),"")</f>
      </c>
      <c r="BN192" s="8">
        <f>IF((0=1),SUM(C17:BN17),"")</f>
      </c>
      <c r="BO192" s="8">
        <f>IF((0=1),SUM(C17:BO17),"")</f>
      </c>
      <c r="BP192" s="8">
        <f>IF((0=1),SUM(C17:BP17),"")</f>
      </c>
      <c r="BQ192" s="8">
        <f>IF((0=1),SUM(C17:BQ17),"")</f>
      </c>
      <c r="BR192" s="8">
        <f>IF((0=1),SUM(C17:BR17),"")</f>
      </c>
      <c r="BS192" s="8">
        <f>IF((0=1),SUM(C17:BS17),"")</f>
      </c>
      <c r="BT192" s="8">
        <f>IF((0=1),SUM(C17:BT17),"")</f>
      </c>
      <c r="BU192" s="8">
        <f>IF((0=1),SUM(C17:BU17),"")</f>
      </c>
      <c r="BV192" s="8">
        <f>IF((0=1),SUM(C17:BV17),"")</f>
      </c>
      <c r="BW192" s="8">
        <f>IF((0=1),SUM(C17:BW17),"")</f>
      </c>
      <c r="BX192" s="8">
        <f>IF((0=1),SUM(C17:BX17),"")</f>
      </c>
      <c r="BY192" s="8">
        <f>IF((0=1),SUM(C17:BY17),"")</f>
      </c>
      <c r="BZ192" s="8">
        <f>IF((0=1),SUM(C17:BZ17),"")</f>
      </c>
      <c r="CA192" s="8">
        <f>IF((0=1),SUM(C17:CA17),"")</f>
      </c>
      <c r="CB192" s="8">
        <f>IF((0=1),SUM(C17:CB17),"")</f>
      </c>
      <c r="CC192" s="8">
        <f>IF((0=1),SUM(C17:CC17),"")</f>
      </c>
      <c r="CD192" s="8">
        <f>IF((0=1),SUM(C17:CD17),"")</f>
      </c>
      <c r="CE192" s="8">
        <f>IF((0=1),SUM(C17:CE17),"")</f>
      </c>
      <c r="CF192" s="8">
        <f>IF((0=1),SUM(C17:CF17),"")</f>
      </c>
      <c r="CG192" s="8">
        <f>IF((0=1),SUM(C17:CG17),"")</f>
      </c>
      <c r="CH192" s="8">
        <f>IF((0=1),SUM(C17:CH17),"")</f>
      </c>
      <c r="CI192" s="8">
        <f>IF((0=1),SUM(C17:CI17),"")</f>
      </c>
      <c r="CJ192" s="8">
        <f>IF((0=1),SUM(C17:CJ17),"")</f>
      </c>
      <c r="CK192" s="8">
        <f>IF((0=1),SUM(C17:CK17),"")</f>
      </c>
      <c r="CL192" s="8">
        <f>IF((0=1),SUM(C17:CL17),"")</f>
      </c>
      <c r="CM192" s="8">
        <f>IF((0=1),SUM(C17:CM17),"")</f>
      </c>
      <c r="CN192" s="8">
        <f>IF((0=1),SUM(C17:CN17),"")</f>
      </c>
      <c r="CO192" s="8">
        <f>IF((0=1),SUM(C17:CO17),"")</f>
      </c>
      <c r="CP192" s="8">
        <f>IF((0=1),SUM(C17:CP17),"")</f>
      </c>
      <c r="CQ192" s="8">
        <f>IF((0=1),SUM(C17:CQ17),"")</f>
      </c>
      <c r="CR192" s="8">
        <f>IF((0=1),SUM(C17:CR17),"")</f>
      </c>
      <c r="CS192" s="8">
        <f>IF((0=1),SUM(C17:CS17),"")</f>
      </c>
      <c r="CT192" s="8">
        <f>IF((0=1),SUM(C17:CT17),"")</f>
      </c>
      <c r="CU192" s="8">
        <f>IF((0=1),SUM(C17:CU17),"")</f>
      </c>
      <c r="CV192" s="8">
        <f>IF((0=1),SUM(C17:CV17),"")</f>
      </c>
      <c r="CW192" s="8">
        <f>IF((0=1),SUM(C17:CW17),"")</f>
      </c>
      <c r="CX192" s="8">
        <f>IF((0=1),SUM(C17:CX17),"")</f>
      </c>
    </row>
    <row r="193">
      <c r="A193" s="0" t="inlineStr">
        <is>
          <t xml:space="preserve">Cumulative sector-neutral excess, bps</t>
        </is>
      </c>
      <c r="B193" s="0" t="inlineStr">
        <is>
          <t xml:space="preserve">Random 2</t>
        </is>
      </c>
      <c r="C193" s="8">
        <f>IF((1=1),SUM(C18),"")</f>
        <v>0.703</v>
      </c>
      <c r="D193" s="8">
        <f>IF((0=1),SUM(C18:D18),"")</f>
      </c>
      <c r="E193" s="8">
        <f>IF((0=1),SUM(C18:E18),"")</f>
      </c>
      <c r="F193" s="8">
        <f>IF((0=1),SUM(C18:F18),"")</f>
      </c>
      <c r="G193" s="8">
        <f>IF((0=1),SUM(C18:G18),"")</f>
      </c>
      <c r="H193" s="8">
        <f>IF((0=1),SUM(C18:H18),"")</f>
      </c>
      <c r="I193" s="8">
        <f>IF((0=1),SUM(C18:I18),"")</f>
      </c>
      <c r="J193" s="8">
        <f>IF((0=1),SUM(C18:J18),"")</f>
      </c>
      <c r="K193" s="8">
        <f>IF((0=1),SUM(C18:K18),"")</f>
      </c>
      <c r="L193" s="8">
        <f>IF((0=1),SUM(C18:L18),"")</f>
      </c>
      <c r="M193" s="8">
        <f>IF((0=1),SUM(C18:M18),"")</f>
      </c>
      <c r="N193" s="8">
        <f>IF((0=1),SUM(C18:N18),"")</f>
      </c>
      <c r="O193" s="8">
        <f>IF((0=1),SUM(C18:O18),"")</f>
      </c>
      <c r="P193" s="8">
        <f>IF((0=1),SUM(C18:P18),"")</f>
      </c>
      <c r="Q193" s="8">
        <f>IF((0=1),SUM(C18:Q18),"")</f>
      </c>
      <c r="R193" s="8">
        <f>IF((0=1),SUM(C18:R18),"")</f>
      </c>
      <c r="S193" s="8">
        <f>IF((0=1),SUM(C18:S18),"")</f>
      </c>
      <c r="T193" s="8">
        <f>IF((0=1),SUM(C18:T18),"")</f>
      </c>
      <c r="U193" s="8">
        <f>IF((0=1),SUM(C18:U18),"")</f>
      </c>
      <c r="V193" s="8">
        <f>IF((0=1),SUM(C18:V18),"")</f>
      </c>
      <c r="W193" s="8">
        <f>IF((0=1),SUM(C18:W18),"")</f>
      </c>
      <c r="X193" s="8">
        <f>IF((0=1),SUM(C18:X18),"")</f>
      </c>
      <c r="Y193" s="8">
        <f>IF((0=1),SUM(C18:Y18),"")</f>
      </c>
      <c r="Z193" s="8">
        <f>IF((0=1),SUM(C18:Z18),"")</f>
      </c>
      <c r="AA193" s="8">
        <f>IF((0=1),SUM(C18:AA18),"")</f>
      </c>
      <c r="AB193" s="8">
        <f>IF((0=1),SUM(C18:AB18),"")</f>
      </c>
      <c r="AC193" s="8">
        <f>IF((0=1),SUM(C18:AC18),"")</f>
      </c>
      <c r="AD193" s="8">
        <f>IF((0=1),SUM(C18:AD18),"")</f>
      </c>
      <c r="AE193" s="8">
        <f>IF((0=1),SUM(C18:AE18),"")</f>
      </c>
      <c r="AF193" s="8">
        <f>IF((0=1),SUM(C18:AF18),"")</f>
      </c>
      <c r="AG193" s="8">
        <f>IF((0=1),SUM(C18:AG18),"")</f>
      </c>
      <c r="AH193" s="8">
        <f>IF((0=1),SUM(C18:AH18),"")</f>
      </c>
      <c r="AI193" s="8">
        <f>IF((0=1),SUM(C18:AI18),"")</f>
      </c>
      <c r="AJ193" s="8">
        <f>IF((0=1),SUM(C18:AJ18),"")</f>
      </c>
      <c r="AK193" s="8">
        <f>IF((0=1),SUM(C18:AK18),"")</f>
      </c>
      <c r="AL193" s="8">
        <f>IF((0=1),SUM(C18:AL18),"")</f>
      </c>
      <c r="AM193" s="8">
        <f>IF((0=1),SUM(C18:AM18),"")</f>
      </c>
      <c r="AN193" s="8">
        <f>IF((0=1),SUM(C18:AN18),"")</f>
      </c>
      <c r="AO193" s="8">
        <f>IF((0=1),SUM(C18:AO18),"")</f>
      </c>
      <c r="AP193" s="8">
        <f>IF((0=1),SUM(C18:AP18),"")</f>
      </c>
      <c r="AQ193" s="8">
        <f>IF((0=1),SUM(C18:AQ18),"")</f>
      </c>
      <c r="AR193" s="8">
        <f>IF((0=1),SUM(C18:AR18),"")</f>
      </c>
      <c r="AS193" s="8">
        <f>IF((0=1),SUM(C18:AS18),"")</f>
      </c>
      <c r="AT193" s="8">
        <f>IF((0=1),SUM(C18:AT18),"")</f>
      </c>
      <c r="AU193" s="8">
        <f>IF((0=1),SUM(C18:AU18),"")</f>
      </c>
      <c r="AV193" s="8">
        <f>IF((0=1),SUM(C18:AV18),"")</f>
      </c>
      <c r="AW193" s="8">
        <f>IF((0=1),SUM(C18:AW18),"")</f>
      </c>
      <c r="AX193" s="8">
        <f>IF((0=1),SUM(C18:AX18),"")</f>
      </c>
      <c r="AY193" s="8">
        <f>IF((0=1),SUM(C18:AY18),"")</f>
      </c>
      <c r="AZ193" s="8">
        <f>IF((0=1),SUM(C18:AZ18),"")</f>
      </c>
      <c r="BA193" s="8">
        <f>IF((0=1),SUM(C18:BA18),"")</f>
      </c>
      <c r="BB193" s="8">
        <f>IF((0=1),SUM(C18:BB18),"")</f>
      </c>
      <c r="BC193" s="8">
        <f>IF((0=1),SUM(C18:BC18),"")</f>
      </c>
      <c r="BD193" s="8">
        <f>IF((0=1),SUM(C18:BD18),"")</f>
      </c>
      <c r="BE193" s="8">
        <f>IF((0=1),SUM(C18:BE18),"")</f>
      </c>
      <c r="BF193" s="8">
        <f>IF((0=1),SUM(C18:BF18),"")</f>
      </c>
      <c r="BG193" s="8">
        <f>IF((0=1),SUM(C18:BG18),"")</f>
      </c>
      <c r="BH193" s="8">
        <f>IF((0=1),SUM(C18:BH18),"")</f>
      </c>
      <c r="BI193" s="8">
        <f>IF((0=1),SUM(C18:BI18),"")</f>
      </c>
      <c r="BJ193" s="8">
        <f>IF((0=1),SUM(C18:BJ18),"")</f>
      </c>
      <c r="BK193" s="8">
        <f>IF((0=1),SUM(C18:BK18),"")</f>
      </c>
      <c r="BL193" s="8">
        <f>IF((0=1),SUM(C18:BL18),"")</f>
      </c>
      <c r="BM193" s="8">
        <f>IF((0=1),SUM(C18:BM18),"")</f>
      </c>
      <c r="BN193" s="8">
        <f>IF((0=1),SUM(C18:BN18),"")</f>
      </c>
      <c r="BO193" s="8">
        <f>IF((0=1),SUM(C18:BO18),"")</f>
      </c>
      <c r="BP193" s="8">
        <f>IF((0=1),SUM(C18:BP18),"")</f>
      </c>
      <c r="BQ193" s="8">
        <f>IF((0=1),SUM(C18:BQ18),"")</f>
      </c>
      <c r="BR193" s="8">
        <f>IF((0=1),SUM(C18:BR18),"")</f>
      </c>
      <c r="BS193" s="8">
        <f>IF((0=1),SUM(C18:BS18),"")</f>
      </c>
      <c r="BT193" s="8">
        <f>IF((0=1),SUM(C18:BT18),"")</f>
      </c>
      <c r="BU193" s="8">
        <f>IF((0=1),SUM(C18:BU18),"")</f>
      </c>
      <c r="BV193" s="8">
        <f>IF((0=1),SUM(C18:BV18),"")</f>
      </c>
      <c r="BW193" s="8">
        <f>IF((0=1),SUM(C18:BW18),"")</f>
      </c>
      <c r="BX193" s="8">
        <f>IF((0=1),SUM(C18:BX18),"")</f>
      </c>
      <c r="BY193" s="8">
        <f>IF((0=1),SUM(C18:BY18),"")</f>
      </c>
      <c r="BZ193" s="8">
        <f>IF((0=1),SUM(C18:BZ18),"")</f>
      </c>
      <c r="CA193" s="8">
        <f>IF((0=1),SUM(C18:CA18),"")</f>
      </c>
      <c r="CB193" s="8">
        <f>IF((0=1),SUM(C18:CB18),"")</f>
      </c>
      <c r="CC193" s="8">
        <f>IF((0=1),SUM(C18:CC18),"")</f>
      </c>
      <c r="CD193" s="8">
        <f>IF((0=1),SUM(C18:CD18),"")</f>
      </c>
      <c r="CE193" s="8">
        <f>IF((0=1),SUM(C18:CE18),"")</f>
      </c>
      <c r="CF193" s="8">
        <f>IF((0=1),SUM(C18:CF18),"")</f>
      </c>
      <c r="CG193" s="8">
        <f>IF((0=1),SUM(C18:CG18),"")</f>
      </c>
      <c r="CH193" s="8">
        <f>IF((0=1),SUM(C18:CH18),"")</f>
      </c>
      <c r="CI193" s="8">
        <f>IF((0=1),SUM(C18:CI18),"")</f>
      </c>
      <c r="CJ193" s="8">
        <f>IF((0=1),SUM(C18:CJ18),"")</f>
      </c>
      <c r="CK193" s="8">
        <f>IF((0=1),SUM(C18:CK18),"")</f>
      </c>
      <c r="CL193" s="8">
        <f>IF((0=1),SUM(C18:CL18),"")</f>
      </c>
      <c r="CM193" s="8">
        <f>IF((0=1),SUM(C18:CM18),"")</f>
      </c>
      <c r="CN193" s="8">
        <f>IF((0=1),SUM(C18:CN18),"")</f>
      </c>
      <c r="CO193" s="8">
        <f>IF((0=1),SUM(C18:CO18),"")</f>
      </c>
      <c r="CP193" s="8">
        <f>IF((0=1),SUM(C18:CP18),"")</f>
      </c>
      <c r="CQ193" s="8">
        <f>IF((0=1),SUM(C18:CQ18),"")</f>
      </c>
      <c r="CR193" s="8">
        <f>IF((0=1),SUM(C18:CR18),"")</f>
      </c>
      <c r="CS193" s="8">
        <f>IF((0=1),SUM(C18:CS18),"")</f>
      </c>
      <c r="CT193" s="8">
        <f>IF((0=1),SUM(C18:CT18),"")</f>
      </c>
      <c r="CU193" s="8">
        <f>IF((0=1),SUM(C18:CU18),"")</f>
      </c>
      <c r="CV193" s="8">
        <f>IF((0=1),SUM(C18:CV18),"")</f>
      </c>
      <c r="CW193" s="8">
        <f>IF((0=1),SUM(C18:CW18),"")</f>
      </c>
      <c r="CX193" s="8">
        <f>IF((0=1),SUM(C18:CX18),"")</f>
      </c>
    </row>
    <row r="194">
      <c r="A194" s="0" t="inlineStr">
        <is>
          <t xml:space="preserve">Cumulative sector-neutral excess, bps</t>
        </is>
      </c>
      <c r="B194" s="0" t="inlineStr">
        <is>
          <t xml:space="preserve">Random 3</t>
        </is>
      </c>
      <c r="C194" s="8">
        <f>IF((1=1),SUM(C19),"")</f>
        <v>4.62</v>
      </c>
      <c r="D194" s="8">
        <f>IF((0=1),SUM(C19:D19),"")</f>
      </c>
      <c r="E194" s="8">
        <f>IF((0=1),SUM(C19:E19),"")</f>
      </c>
      <c r="F194" s="8">
        <f>IF((0=1),SUM(C19:F19),"")</f>
      </c>
      <c r="G194" s="8">
        <f>IF((0=1),SUM(C19:G19),"")</f>
      </c>
      <c r="H194" s="8">
        <f>IF((0=1),SUM(C19:H19),"")</f>
      </c>
      <c r="I194" s="8">
        <f>IF((0=1),SUM(C19:I19),"")</f>
      </c>
      <c r="J194" s="8">
        <f>IF((0=1),SUM(C19:J19),"")</f>
      </c>
      <c r="K194" s="8">
        <f>IF((0=1),SUM(C19:K19),"")</f>
      </c>
      <c r="L194" s="8">
        <f>IF((0=1),SUM(C19:L19),"")</f>
      </c>
      <c r="M194" s="8">
        <f>IF((0=1),SUM(C19:M19),"")</f>
      </c>
      <c r="N194" s="8">
        <f>IF((0=1),SUM(C19:N19),"")</f>
      </c>
      <c r="O194" s="8">
        <f>IF((0=1),SUM(C19:O19),"")</f>
      </c>
      <c r="P194" s="8">
        <f>IF((0=1),SUM(C19:P19),"")</f>
      </c>
      <c r="Q194" s="8">
        <f>IF((0=1),SUM(C19:Q19),"")</f>
      </c>
      <c r="R194" s="8">
        <f>IF((0=1),SUM(C19:R19),"")</f>
      </c>
      <c r="S194" s="8">
        <f>IF((0=1),SUM(C19:S19),"")</f>
      </c>
      <c r="T194" s="8">
        <f>IF((0=1),SUM(C19:T19),"")</f>
      </c>
      <c r="U194" s="8">
        <f>IF((0=1),SUM(C19:U19),"")</f>
      </c>
      <c r="V194" s="8">
        <f>IF((0=1),SUM(C19:V19),"")</f>
      </c>
      <c r="W194" s="8">
        <f>IF((0=1),SUM(C19:W19),"")</f>
      </c>
      <c r="X194" s="8">
        <f>IF((0=1),SUM(C19:X19),"")</f>
      </c>
      <c r="Y194" s="8">
        <f>IF((0=1),SUM(C19:Y19),"")</f>
      </c>
      <c r="Z194" s="8">
        <f>IF((0=1),SUM(C19:Z19),"")</f>
      </c>
      <c r="AA194" s="8">
        <f>IF((0=1),SUM(C19:AA19),"")</f>
      </c>
      <c r="AB194" s="8">
        <f>IF((0=1),SUM(C19:AB19),"")</f>
      </c>
      <c r="AC194" s="8">
        <f>IF((0=1),SUM(C19:AC19),"")</f>
      </c>
      <c r="AD194" s="8">
        <f>IF((0=1),SUM(C19:AD19),"")</f>
      </c>
      <c r="AE194" s="8">
        <f>IF((0=1),SUM(C19:AE19),"")</f>
      </c>
      <c r="AF194" s="8">
        <f>IF((0=1),SUM(C19:AF19),"")</f>
      </c>
      <c r="AG194" s="8">
        <f>IF((0=1),SUM(C19:AG19),"")</f>
      </c>
      <c r="AH194" s="8">
        <f>IF((0=1),SUM(C19:AH19),"")</f>
      </c>
      <c r="AI194" s="8">
        <f>IF((0=1),SUM(C19:AI19),"")</f>
      </c>
      <c r="AJ194" s="8">
        <f>IF((0=1),SUM(C19:AJ19),"")</f>
      </c>
      <c r="AK194" s="8">
        <f>IF((0=1),SUM(C19:AK19),"")</f>
      </c>
      <c r="AL194" s="8">
        <f>IF((0=1),SUM(C19:AL19),"")</f>
      </c>
      <c r="AM194" s="8">
        <f>IF((0=1),SUM(C19:AM19),"")</f>
      </c>
      <c r="AN194" s="8">
        <f>IF((0=1),SUM(C19:AN19),"")</f>
      </c>
      <c r="AO194" s="8">
        <f>IF((0=1),SUM(C19:AO19),"")</f>
      </c>
      <c r="AP194" s="8">
        <f>IF((0=1),SUM(C19:AP19),"")</f>
      </c>
      <c r="AQ194" s="8">
        <f>IF((0=1),SUM(C19:AQ19),"")</f>
      </c>
      <c r="AR194" s="8">
        <f>IF((0=1),SUM(C19:AR19),"")</f>
      </c>
      <c r="AS194" s="8">
        <f>IF((0=1),SUM(C19:AS19),"")</f>
      </c>
      <c r="AT194" s="8">
        <f>IF((0=1),SUM(C19:AT19),"")</f>
      </c>
      <c r="AU194" s="8">
        <f>IF((0=1),SUM(C19:AU19),"")</f>
      </c>
      <c r="AV194" s="8">
        <f>IF((0=1),SUM(C19:AV19),"")</f>
      </c>
      <c r="AW194" s="8">
        <f>IF((0=1),SUM(C19:AW19),"")</f>
      </c>
      <c r="AX194" s="8">
        <f>IF((0=1),SUM(C19:AX19),"")</f>
      </c>
      <c r="AY194" s="8">
        <f>IF((0=1),SUM(C19:AY19),"")</f>
      </c>
      <c r="AZ194" s="8">
        <f>IF((0=1),SUM(C19:AZ19),"")</f>
      </c>
      <c r="BA194" s="8">
        <f>IF((0=1),SUM(C19:BA19),"")</f>
      </c>
      <c r="BB194" s="8">
        <f>IF((0=1),SUM(C19:BB19),"")</f>
      </c>
      <c r="BC194" s="8">
        <f>IF((0=1),SUM(C19:BC19),"")</f>
      </c>
      <c r="BD194" s="8">
        <f>IF((0=1),SUM(C19:BD19),"")</f>
      </c>
      <c r="BE194" s="8">
        <f>IF((0=1),SUM(C19:BE19),"")</f>
      </c>
      <c r="BF194" s="8">
        <f>IF((0=1),SUM(C19:BF19),"")</f>
      </c>
      <c r="BG194" s="8">
        <f>IF((0=1),SUM(C19:BG19),"")</f>
      </c>
      <c r="BH194" s="8">
        <f>IF((0=1),SUM(C19:BH19),"")</f>
      </c>
      <c r="BI194" s="8">
        <f>IF((0=1),SUM(C19:BI19),"")</f>
      </c>
      <c r="BJ194" s="8">
        <f>IF((0=1),SUM(C19:BJ19),"")</f>
      </c>
      <c r="BK194" s="8">
        <f>IF((0=1),SUM(C19:BK19),"")</f>
      </c>
      <c r="BL194" s="8">
        <f>IF((0=1),SUM(C19:BL19),"")</f>
      </c>
      <c r="BM194" s="8">
        <f>IF((0=1),SUM(C19:BM19),"")</f>
      </c>
      <c r="BN194" s="8">
        <f>IF((0=1),SUM(C19:BN19),"")</f>
      </c>
      <c r="BO194" s="8">
        <f>IF((0=1),SUM(C19:BO19),"")</f>
      </c>
      <c r="BP194" s="8">
        <f>IF((0=1),SUM(C19:BP19),"")</f>
      </c>
      <c r="BQ194" s="8">
        <f>IF((0=1),SUM(C19:BQ19),"")</f>
      </c>
      <c r="BR194" s="8">
        <f>IF((0=1),SUM(C19:BR19),"")</f>
      </c>
      <c r="BS194" s="8">
        <f>IF((0=1),SUM(C19:BS19),"")</f>
      </c>
      <c r="BT194" s="8">
        <f>IF((0=1),SUM(C19:BT19),"")</f>
      </c>
      <c r="BU194" s="8">
        <f>IF((0=1),SUM(C19:BU19),"")</f>
      </c>
      <c r="BV194" s="8">
        <f>IF((0=1),SUM(C19:BV19),"")</f>
      </c>
      <c r="BW194" s="8">
        <f>IF((0=1),SUM(C19:BW19),"")</f>
      </c>
      <c r="BX194" s="8">
        <f>IF((0=1),SUM(C19:BX19),"")</f>
      </c>
      <c r="BY194" s="8">
        <f>IF((0=1),SUM(C19:BY19),"")</f>
      </c>
      <c r="BZ194" s="8">
        <f>IF((0=1),SUM(C19:BZ19),"")</f>
      </c>
      <c r="CA194" s="8">
        <f>IF((0=1),SUM(C19:CA19),"")</f>
      </c>
      <c r="CB194" s="8">
        <f>IF((0=1),SUM(C19:CB19),"")</f>
      </c>
      <c r="CC194" s="8">
        <f>IF((0=1),SUM(C19:CC19),"")</f>
      </c>
      <c r="CD194" s="8">
        <f>IF((0=1),SUM(C19:CD19),"")</f>
      </c>
      <c r="CE194" s="8">
        <f>IF((0=1),SUM(C19:CE19),"")</f>
      </c>
      <c r="CF194" s="8">
        <f>IF((0=1),SUM(C19:CF19),"")</f>
      </c>
      <c r="CG194" s="8">
        <f>IF((0=1),SUM(C19:CG19),"")</f>
      </c>
      <c r="CH194" s="8">
        <f>IF((0=1),SUM(C19:CH19),"")</f>
      </c>
      <c r="CI194" s="8">
        <f>IF((0=1),SUM(C19:CI19),"")</f>
      </c>
      <c r="CJ194" s="8">
        <f>IF((0=1),SUM(C19:CJ19),"")</f>
      </c>
      <c r="CK194" s="8">
        <f>IF((0=1),SUM(C19:CK19),"")</f>
      </c>
      <c r="CL194" s="8">
        <f>IF((0=1),SUM(C19:CL19),"")</f>
      </c>
      <c r="CM194" s="8">
        <f>IF((0=1),SUM(C19:CM19),"")</f>
      </c>
      <c r="CN194" s="8">
        <f>IF((0=1),SUM(C19:CN19),"")</f>
      </c>
      <c r="CO194" s="8">
        <f>IF((0=1),SUM(C19:CO19),"")</f>
      </c>
      <c r="CP194" s="8">
        <f>IF((0=1),SUM(C19:CP19),"")</f>
      </c>
      <c r="CQ194" s="8">
        <f>IF((0=1),SUM(C19:CQ19),"")</f>
      </c>
      <c r="CR194" s="8">
        <f>IF((0=1),SUM(C19:CR19),"")</f>
      </c>
      <c r="CS194" s="8">
        <f>IF((0=1),SUM(C19:CS19),"")</f>
      </c>
      <c r="CT194" s="8">
        <f>IF((0=1),SUM(C19:CT19),"")</f>
      </c>
      <c r="CU194" s="8">
        <f>IF((0=1),SUM(C19:CU19),"")</f>
      </c>
      <c r="CV194" s="8">
        <f>IF((0=1),SUM(C19:CV19),"")</f>
      </c>
      <c r="CW194" s="8">
        <f>IF((0=1),SUM(C19:CW19),"")</f>
      </c>
      <c r="CX194" s="8">
        <f>IF((0=1),SUM(C19:CX19),"")</f>
      </c>
    </row>
    <row r="195">
      <c r="A195" s="0" t="inlineStr">
        <is>
          <t xml:space="preserve">Cumulative sector-neutral excess, bps</t>
        </is>
      </c>
      <c r="B195" s="0" t="inlineStr">
        <is>
          <t xml:space="preserve">Random 4</t>
        </is>
      </c>
      <c r="C195" s="8">
        <f>IF((1=1),SUM(C20),"")</f>
        <v>-1.755</v>
      </c>
      <c r="D195" s="8">
        <f>IF((0=1),SUM(C20:D20),"")</f>
      </c>
      <c r="E195" s="8">
        <f>IF((0=1),SUM(C20:E20),"")</f>
      </c>
      <c r="F195" s="8">
        <f>IF((0=1),SUM(C20:F20),"")</f>
      </c>
      <c r="G195" s="8">
        <f>IF((0=1),SUM(C20:G20),"")</f>
      </c>
      <c r="H195" s="8">
        <f>IF((0=1),SUM(C20:H20),"")</f>
      </c>
      <c r="I195" s="8">
        <f>IF((0=1),SUM(C20:I20),"")</f>
      </c>
      <c r="J195" s="8">
        <f>IF((0=1),SUM(C20:J20),"")</f>
      </c>
      <c r="K195" s="8">
        <f>IF((0=1),SUM(C20:K20),"")</f>
      </c>
      <c r="L195" s="8">
        <f>IF((0=1),SUM(C20:L20),"")</f>
      </c>
      <c r="M195" s="8">
        <f>IF((0=1),SUM(C20:M20),"")</f>
      </c>
      <c r="N195" s="8">
        <f>IF((0=1),SUM(C20:N20),"")</f>
      </c>
      <c r="O195" s="8">
        <f>IF((0=1),SUM(C20:O20),"")</f>
      </c>
      <c r="P195" s="8">
        <f>IF((0=1),SUM(C20:P20),"")</f>
      </c>
      <c r="Q195" s="8">
        <f>IF((0=1),SUM(C20:Q20),"")</f>
      </c>
      <c r="R195" s="8">
        <f>IF((0=1),SUM(C20:R20),"")</f>
      </c>
      <c r="S195" s="8">
        <f>IF((0=1),SUM(C20:S20),"")</f>
      </c>
      <c r="T195" s="8">
        <f>IF((0=1),SUM(C20:T20),"")</f>
      </c>
      <c r="U195" s="8">
        <f>IF((0=1),SUM(C20:U20),"")</f>
      </c>
      <c r="V195" s="8">
        <f>IF((0=1),SUM(C20:V20),"")</f>
      </c>
      <c r="W195" s="8">
        <f>IF((0=1),SUM(C20:W20),"")</f>
      </c>
      <c r="X195" s="8">
        <f>IF((0=1),SUM(C20:X20),"")</f>
      </c>
      <c r="Y195" s="8">
        <f>IF((0=1),SUM(C20:Y20),"")</f>
      </c>
      <c r="Z195" s="8">
        <f>IF((0=1),SUM(C20:Z20),"")</f>
      </c>
      <c r="AA195" s="8">
        <f>IF((0=1),SUM(C20:AA20),"")</f>
      </c>
      <c r="AB195" s="8">
        <f>IF((0=1),SUM(C20:AB20),"")</f>
      </c>
      <c r="AC195" s="8">
        <f>IF((0=1),SUM(C20:AC20),"")</f>
      </c>
      <c r="AD195" s="8">
        <f>IF((0=1),SUM(C20:AD20),"")</f>
      </c>
      <c r="AE195" s="8">
        <f>IF((0=1),SUM(C20:AE20),"")</f>
      </c>
      <c r="AF195" s="8">
        <f>IF((0=1),SUM(C20:AF20),"")</f>
      </c>
      <c r="AG195" s="8">
        <f>IF((0=1),SUM(C20:AG20),"")</f>
      </c>
      <c r="AH195" s="8">
        <f>IF((0=1),SUM(C20:AH20),"")</f>
      </c>
      <c r="AI195" s="8">
        <f>IF((0=1),SUM(C20:AI20),"")</f>
      </c>
      <c r="AJ195" s="8">
        <f>IF((0=1),SUM(C20:AJ20),"")</f>
      </c>
      <c r="AK195" s="8">
        <f>IF((0=1),SUM(C20:AK20),"")</f>
      </c>
      <c r="AL195" s="8">
        <f>IF((0=1),SUM(C20:AL20),"")</f>
      </c>
      <c r="AM195" s="8">
        <f>IF((0=1),SUM(C20:AM20),"")</f>
      </c>
      <c r="AN195" s="8">
        <f>IF((0=1),SUM(C20:AN20),"")</f>
      </c>
      <c r="AO195" s="8">
        <f>IF((0=1),SUM(C20:AO20),"")</f>
      </c>
      <c r="AP195" s="8">
        <f>IF((0=1),SUM(C20:AP20),"")</f>
      </c>
      <c r="AQ195" s="8">
        <f>IF((0=1),SUM(C20:AQ20),"")</f>
      </c>
      <c r="AR195" s="8">
        <f>IF((0=1),SUM(C20:AR20),"")</f>
      </c>
      <c r="AS195" s="8">
        <f>IF((0=1),SUM(C20:AS20),"")</f>
      </c>
      <c r="AT195" s="8">
        <f>IF((0=1),SUM(C20:AT20),"")</f>
      </c>
      <c r="AU195" s="8">
        <f>IF((0=1),SUM(C20:AU20),"")</f>
      </c>
      <c r="AV195" s="8">
        <f>IF((0=1),SUM(C20:AV20),"")</f>
      </c>
      <c r="AW195" s="8">
        <f>IF((0=1),SUM(C20:AW20),"")</f>
      </c>
      <c r="AX195" s="8">
        <f>IF((0=1),SUM(C20:AX20),"")</f>
      </c>
      <c r="AY195" s="8">
        <f>IF((0=1),SUM(C20:AY20),"")</f>
      </c>
      <c r="AZ195" s="8">
        <f>IF((0=1),SUM(C20:AZ20),"")</f>
      </c>
      <c r="BA195" s="8">
        <f>IF((0=1),SUM(C20:BA20),"")</f>
      </c>
      <c r="BB195" s="8">
        <f>IF((0=1),SUM(C20:BB20),"")</f>
      </c>
      <c r="BC195" s="8">
        <f>IF((0=1),SUM(C20:BC20),"")</f>
      </c>
      <c r="BD195" s="8">
        <f>IF((0=1),SUM(C20:BD20),"")</f>
      </c>
      <c r="BE195" s="8">
        <f>IF((0=1),SUM(C20:BE20),"")</f>
      </c>
      <c r="BF195" s="8">
        <f>IF((0=1),SUM(C20:BF20),"")</f>
      </c>
      <c r="BG195" s="8">
        <f>IF((0=1),SUM(C20:BG20),"")</f>
      </c>
      <c r="BH195" s="8">
        <f>IF((0=1),SUM(C20:BH20),"")</f>
      </c>
      <c r="BI195" s="8">
        <f>IF((0=1),SUM(C20:BI20),"")</f>
      </c>
      <c r="BJ195" s="8">
        <f>IF((0=1),SUM(C20:BJ20),"")</f>
      </c>
      <c r="BK195" s="8">
        <f>IF((0=1),SUM(C20:BK20),"")</f>
      </c>
      <c r="BL195" s="8">
        <f>IF((0=1),SUM(C20:BL20),"")</f>
      </c>
      <c r="BM195" s="8">
        <f>IF((0=1),SUM(C20:BM20),"")</f>
      </c>
      <c r="BN195" s="8">
        <f>IF((0=1),SUM(C20:BN20),"")</f>
      </c>
      <c r="BO195" s="8">
        <f>IF((0=1),SUM(C20:BO20),"")</f>
      </c>
      <c r="BP195" s="8">
        <f>IF((0=1),SUM(C20:BP20),"")</f>
      </c>
      <c r="BQ195" s="8">
        <f>IF((0=1),SUM(C20:BQ20),"")</f>
      </c>
      <c r="BR195" s="8">
        <f>IF((0=1),SUM(C20:BR20),"")</f>
      </c>
      <c r="BS195" s="8">
        <f>IF((0=1),SUM(C20:BS20),"")</f>
      </c>
      <c r="BT195" s="8">
        <f>IF((0=1),SUM(C20:BT20),"")</f>
      </c>
      <c r="BU195" s="8">
        <f>IF((0=1),SUM(C20:BU20),"")</f>
      </c>
      <c r="BV195" s="8">
        <f>IF((0=1),SUM(C20:BV20),"")</f>
      </c>
      <c r="BW195" s="8">
        <f>IF((0=1),SUM(C20:BW20),"")</f>
      </c>
      <c r="BX195" s="8">
        <f>IF((0=1),SUM(C20:BX20),"")</f>
      </c>
      <c r="BY195" s="8">
        <f>IF((0=1),SUM(C20:BY20),"")</f>
      </c>
      <c r="BZ195" s="8">
        <f>IF((0=1),SUM(C20:BZ20),"")</f>
      </c>
      <c r="CA195" s="8">
        <f>IF((0=1),SUM(C20:CA20),"")</f>
      </c>
      <c r="CB195" s="8">
        <f>IF((0=1),SUM(C20:CB20),"")</f>
      </c>
      <c r="CC195" s="8">
        <f>IF((0=1),SUM(C20:CC20),"")</f>
      </c>
      <c r="CD195" s="8">
        <f>IF((0=1),SUM(C20:CD20),"")</f>
      </c>
      <c r="CE195" s="8">
        <f>IF((0=1),SUM(C20:CE20),"")</f>
      </c>
      <c r="CF195" s="8">
        <f>IF((0=1),SUM(C20:CF20),"")</f>
      </c>
      <c r="CG195" s="8">
        <f>IF((0=1),SUM(C20:CG20),"")</f>
      </c>
      <c r="CH195" s="8">
        <f>IF((0=1),SUM(C20:CH20),"")</f>
      </c>
      <c r="CI195" s="8">
        <f>IF((0=1),SUM(C20:CI20),"")</f>
      </c>
      <c r="CJ195" s="8">
        <f>IF((0=1),SUM(C20:CJ20),"")</f>
      </c>
      <c r="CK195" s="8">
        <f>IF((0=1),SUM(C20:CK20),"")</f>
      </c>
      <c r="CL195" s="8">
        <f>IF((0=1),SUM(C20:CL20),"")</f>
      </c>
      <c r="CM195" s="8">
        <f>IF((0=1),SUM(C20:CM20),"")</f>
      </c>
      <c r="CN195" s="8">
        <f>IF((0=1),SUM(C20:CN20),"")</f>
      </c>
      <c r="CO195" s="8">
        <f>IF((0=1),SUM(C20:CO20),"")</f>
      </c>
      <c r="CP195" s="8">
        <f>IF((0=1),SUM(C20:CP20),"")</f>
      </c>
      <c r="CQ195" s="8">
        <f>IF((0=1),SUM(C20:CQ20),"")</f>
      </c>
      <c r="CR195" s="8">
        <f>IF((0=1),SUM(C20:CR20),"")</f>
      </c>
      <c r="CS195" s="8">
        <f>IF((0=1),SUM(C20:CS20),"")</f>
      </c>
      <c r="CT195" s="8">
        <f>IF((0=1),SUM(C20:CT20),"")</f>
      </c>
      <c r="CU195" s="8">
        <f>IF((0=1),SUM(C20:CU20),"")</f>
      </c>
      <c r="CV195" s="8">
        <f>IF((0=1),SUM(C20:CV20),"")</f>
      </c>
      <c r="CW195" s="8">
        <f>IF((0=1),SUM(C20:CW20),"")</f>
      </c>
      <c r="CX195" s="8">
        <f>IF((0=1),SUM(C20:CX20),"")</f>
      </c>
    </row>
    <row r="196">
      <c r="A196" s="0" t="inlineStr">
        <is>
          <t xml:space="preserve">Cumulative sector-neutral excess, bps</t>
        </is>
      </c>
      <c r="B196" s="0" t="inlineStr">
        <is>
          <t xml:space="preserve">Random 5</t>
        </is>
      </c>
      <c r="C196" s="8">
        <f>IF((1=1),SUM(C21),"")</f>
        <v>8.485</v>
      </c>
      <c r="D196" s="8">
        <f>IF((0=1),SUM(C21:D21),"")</f>
      </c>
      <c r="E196" s="8">
        <f>IF((0=1),SUM(C21:E21),"")</f>
      </c>
      <c r="F196" s="8">
        <f>IF((0=1),SUM(C21:F21),"")</f>
      </c>
      <c r="G196" s="8">
        <f>IF((0=1),SUM(C21:G21),"")</f>
      </c>
      <c r="H196" s="8">
        <f>IF((0=1),SUM(C21:H21),"")</f>
      </c>
      <c r="I196" s="8">
        <f>IF((0=1),SUM(C21:I21),"")</f>
      </c>
      <c r="J196" s="8">
        <f>IF((0=1),SUM(C21:J21),"")</f>
      </c>
      <c r="K196" s="8">
        <f>IF((0=1),SUM(C21:K21),"")</f>
      </c>
      <c r="L196" s="8">
        <f>IF((0=1),SUM(C21:L21),"")</f>
      </c>
      <c r="M196" s="8">
        <f>IF((0=1),SUM(C21:M21),"")</f>
      </c>
      <c r="N196" s="8">
        <f>IF((0=1),SUM(C21:N21),"")</f>
      </c>
      <c r="O196" s="8">
        <f>IF((0=1),SUM(C21:O21),"")</f>
      </c>
      <c r="P196" s="8">
        <f>IF((0=1),SUM(C21:P21),"")</f>
      </c>
      <c r="Q196" s="8">
        <f>IF((0=1),SUM(C21:Q21),"")</f>
      </c>
      <c r="R196" s="8">
        <f>IF((0=1),SUM(C21:R21),"")</f>
      </c>
      <c r="S196" s="8">
        <f>IF((0=1),SUM(C21:S21),"")</f>
      </c>
      <c r="T196" s="8">
        <f>IF((0=1),SUM(C21:T21),"")</f>
      </c>
      <c r="U196" s="8">
        <f>IF((0=1),SUM(C21:U21),"")</f>
      </c>
      <c r="V196" s="8">
        <f>IF((0=1),SUM(C21:V21),"")</f>
      </c>
      <c r="W196" s="8">
        <f>IF((0=1),SUM(C21:W21),"")</f>
      </c>
      <c r="X196" s="8">
        <f>IF((0=1),SUM(C21:X21),"")</f>
      </c>
      <c r="Y196" s="8">
        <f>IF((0=1),SUM(C21:Y21),"")</f>
      </c>
      <c r="Z196" s="8">
        <f>IF((0=1),SUM(C21:Z21),"")</f>
      </c>
      <c r="AA196" s="8">
        <f>IF((0=1),SUM(C21:AA21),"")</f>
      </c>
      <c r="AB196" s="8">
        <f>IF((0=1),SUM(C21:AB21),"")</f>
      </c>
      <c r="AC196" s="8">
        <f>IF((0=1),SUM(C21:AC21),"")</f>
      </c>
      <c r="AD196" s="8">
        <f>IF((0=1),SUM(C21:AD21),"")</f>
      </c>
      <c r="AE196" s="8">
        <f>IF((0=1),SUM(C21:AE21),"")</f>
      </c>
      <c r="AF196" s="8">
        <f>IF((0=1),SUM(C21:AF21),"")</f>
      </c>
      <c r="AG196" s="8">
        <f>IF((0=1),SUM(C21:AG21),"")</f>
      </c>
      <c r="AH196" s="8">
        <f>IF((0=1),SUM(C21:AH21),"")</f>
      </c>
      <c r="AI196" s="8">
        <f>IF((0=1),SUM(C21:AI21),"")</f>
      </c>
      <c r="AJ196" s="8">
        <f>IF((0=1),SUM(C21:AJ21),"")</f>
      </c>
      <c r="AK196" s="8">
        <f>IF((0=1),SUM(C21:AK21),"")</f>
      </c>
      <c r="AL196" s="8">
        <f>IF((0=1),SUM(C21:AL21),"")</f>
      </c>
      <c r="AM196" s="8">
        <f>IF((0=1),SUM(C21:AM21),"")</f>
      </c>
      <c r="AN196" s="8">
        <f>IF((0=1),SUM(C21:AN21),"")</f>
      </c>
      <c r="AO196" s="8">
        <f>IF((0=1),SUM(C21:AO21),"")</f>
      </c>
      <c r="AP196" s="8">
        <f>IF((0=1),SUM(C21:AP21),"")</f>
      </c>
      <c r="AQ196" s="8">
        <f>IF((0=1),SUM(C21:AQ21),"")</f>
      </c>
      <c r="AR196" s="8">
        <f>IF((0=1),SUM(C21:AR21),"")</f>
      </c>
      <c r="AS196" s="8">
        <f>IF((0=1),SUM(C21:AS21),"")</f>
      </c>
      <c r="AT196" s="8">
        <f>IF((0=1),SUM(C21:AT21),"")</f>
      </c>
      <c r="AU196" s="8">
        <f>IF((0=1),SUM(C21:AU21),"")</f>
      </c>
      <c r="AV196" s="8">
        <f>IF((0=1),SUM(C21:AV21),"")</f>
      </c>
      <c r="AW196" s="8">
        <f>IF((0=1),SUM(C21:AW21),"")</f>
      </c>
      <c r="AX196" s="8">
        <f>IF((0=1),SUM(C21:AX21),"")</f>
      </c>
      <c r="AY196" s="8">
        <f>IF((0=1),SUM(C21:AY21),"")</f>
      </c>
      <c r="AZ196" s="8">
        <f>IF((0=1),SUM(C21:AZ21),"")</f>
      </c>
      <c r="BA196" s="8">
        <f>IF((0=1),SUM(C21:BA21),"")</f>
      </c>
      <c r="BB196" s="8">
        <f>IF((0=1),SUM(C21:BB21),"")</f>
      </c>
      <c r="BC196" s="8">
        <f>IF((0=1),SUM(C21:BC21),"")</f>
      </c>
      <c r="BD196" s="8">
        <f>IF((0=1),SUM(C21:BD21),"")</f>
      </c>
      <c r="BE196" s="8">
        <f>IF((0=1),SUM(C21:BE21),"")</f>
      </c>
      <c r="BF196" s="8">
        <f>IF((0=1),SUM(C21:BF21),"")</f>
      </c>
      <c r="BG196" s="8">
        <f>IF((0=1),SUM(C21:BG21),"")</f>
      </c>
      <c r="BH196" s="8">
        <f>IF((0=1),SUM(C21:BH21),"")</f>
      </c>
      <c r="BI196" s="8">
        <f>IF((0=1),SUM(C21:BI21),"")</f>
      </c>
      <c r="BJ196" s="8">
        <f>IF((0=1),SUM(C21:BJ21),"")</f>
      </c>
      <c r="BK196" s="8">
        <f>IF((0=1),SUM(C21:BK21),"")</f>
      </c>
      <c r="BL196" s="8">
        <f>IF((0=1),SUM(C21:BL21),"")</f>
      </c>
      <c r="BM196" s="8">
        <f>IF((0=1),SUM(C21:BM21),"")</f>
      </c>
      <c r="BN196" s="8">
        <f>IF((0=1),SUM(C21:BN21),"")</f>
      </c>
      <c r="BO196" s="8">
        <f>IF((0=1),SUM(C21:BO21),"")</f>
      </c>
      <c r="BP196" s="8">
        <f>IF((0=1),SUM(C21:BP21),"")</f>
      </c>
      <c r="BQ196" s="8">
        <f>IF((0=1),SUM(C21:BQ21),"")</f>
      </c>
      <c r="BR196" s="8">
        <f>IF((0=1),SUM(C21:BR21),"")</f>
      </c>
      <c r="BS196" s="8">
        <f>IF((0=1),SUM(C21:BS21),"")</f>
      </c>
      <c r="BT196" s="8">
        <f>IF((0=1),SUM(C21:BT21),"")</f>
      </c>
      <c r="BU196" s="8">
        <f>IF((0=1),SUM(C21:BU21),"")</f>
      </c>
      <c r="BV196" s="8">
        <f>IF((0=1),SUM(C21:BV21),"")</f>
      </c>
      <c r="BW196" s="8">
        <f>IF((0=1),SUM(C21:BW21),"")</f>
      </c>
      <c r="BX196" s="8">
        <f>IF((0=1),SUM(C21:BX21),"")</f>
      </c>
      <c r="BY196" s="8">
        <f>IF((0=1),SUM(C21:BY21),"")</f>
      </c>
      <c r="BZ196" s="8">
        <f>IF((0=1),SUM(C21:BZ21),"")</f>
      </c>
      <c r="CA196" s="8">
        <f>IF((0=1),SUM(C21:CA21),"")</f>
      </c>
      <c r="CB196" s="8">
        <f>IF((0=1),SUM(C21:CB21),"")</f>
      </c>
      <c r="CC196" s="8">
        <f>IF((0=1),SUM(C21:CC21),"")</f>
      </c>
      <c r="CD196" s="8">
        <f>IF((0=1),SUM(C21:CD21),"")</f>
      </c>
      <c r="CE196" s="8">
        <f>IF((0=1),SUM(C21:CE21),"")</f>
      </c>
      <c r="CF196" s="8">
        <f>IF((0=1),SUM(C21:CF21),"")</f>
      </c>
      <c r="CG196" s="8">
        <f>IF((0=1),SUM(C21:CG21),"")</f>
      </c>
      <c r="CH196" s="8">
        <f>IF((0=1),SUM(C21:CH21),"")</f>
      </c>
      <c r="CI196" s="8">
        <f>IF((0=1),SUM(C21:CI21),"")</f>
      </c>
      <c r="CJ196" s="8">
        <f>IF((0=1),SUM(C21:CJ21),"")</f>
      </c>
      <c r="CK196" s="8">
        <f>IF((0=1),SUM(C21:CK21),"")</f>
      </c>
      <c r="CL196" s="8">
        <f>IF((0=1),SUM(C21:CL21),"")</f>
      </c>
      <c r="CM196" s="8">
        <f>IF((0=1),SUM(C21:CM21),"")</f>
      </c>
      <c r="CN196" s="8">
        <f>IF((0=1),SUM(C21:CN21),"")</f>
      </c>
      <c r="CO196" s="8">
        <f>IF((0=1),SUM(C21:CO21),"")</f>
      </c>
      <c r="CP196" s="8">
        <f>IF((0=1),SUM(C21:CP21),"")</f>
      </c>
      <c r="CQ196" s="8">
        <f>IF((0=1),SUM(C21:CQ21),"")</f>
      </c>
      <c r="CR196" s="8">
        <f>IF((0=1),SUM(C21:CR21),"")</f>
      </c>
      <c r="CS196" s="8">
        <f>IF((0=1),SUM(C21:CS21),"")</f>
      </c>
      <c r="CT196" s="8">
        <f>IF((0=1),SUM(C21:CT21),"")</f>
      </c>
      <c r="CU196" s="8">
        <f>IF((0=1),SUM(C21:CU21),"")</f>
      </c>
      <c r="CV196" s="8">
        <f>IF((0=1),SUM(C21:CV21),"")</f>
      </c>
      <c r="CW196" s="8">
        <f>IF((0=1),SUM(C21:CW21),"")</f>
      </c>
      <c r="CX196" s="8">
        <f>IF((0=1),SUM(C21:CX21),"")</f>
      </c>
    </row>
    <row r="197">
      <c r="A197" s="0" t="inlineStr">
        <is>
          <t xml:space="preserve">Cumulative sector-neutral excess, bps</t>
        </is>
      </c>
      <c r="B197" s="0" t="inlineStr">
        <is>
          <t xml:space="preserve">Random 6</t>
        </is>
      </c>
      <c r="C197" s="8">
        <f>IF((1=1),SUM(C22),"")</f>
        <v>-3.004</v>
      </c>
      <c r="D197" s="8">
        <f>IF((0=1),SUM(C22:D22),"")</f>
      </c>
      <c r="E197" s="8">
        <f>IF((0=1),SUM(C22:E22),"")</f>
      </c>
      <c r="F197" s="8">
        <f>IF((0=1),SUM(C22:F22),"")</f>
      </c>
      <c r="G197" s="8">
        <f>IF((0=1),SUM(C22:G22),"")</f>
      </c>
      <c r="H197" s="8">
        <f>IF((0=1),SUM(C22:H22),"")</f>
      </c>
      <c r="I197" s="8">
        <f>IF((0=1),SUM(C22:I22),"")</f>
      </c>
      <c r="J197" s="8">
        <f>IF((0=1),SUM(C22:J22),"")</f>
      </c>
      <c r="K197" s="8">
        <f>IF((0=1),SUM(C22:K22),"")</f>
      </c>
      <c r="L197" s="8">
        <f>IF((0=1),SUM(C22:L22),"")</f>
      </c>
      <c r="M197" s="8">
        <f>IF((0=1),SUM(C22:M22),"")</f>
      </c>
      <c r="N197" s="8">
        <f>IF((0=1),SUM(C22:N22),"")</f>
      </c>
      <c r="O197" s="8">
        <f>IF((0=1),SUM(C22:O22),"")</f>
      </c>
      <c r="P197" s="8">
        <f>IF((0=1),SUM(C22:P22),"")</f>
      </c>
      <c r="Q197" s="8">
        <f>IF((0=1),SUM(C22:Q22),"")</f>
      </c>
      <c r="R197" s="8">
        <f>IF((0=1),SUM(C22:R22),"")</f>
      </c>
      <c r="S197" s="8">
        <f>IF((0=1),SUM(C22:S22),"")</f>
      </c>
      <c r="T197" s="8">
        <f>IF((0=1),SUM(C22:T22),"")</f>
      </c>
      <c r="U197" s="8">
        <f>IF((0=1),SUM(C22:U22),"")</f>
      </c>
      <c r="V197" s="8">
        <f>IF((0=1),SUM(C22:V22),"")</f>
      </c>
      <c r="W197" s="8">
        <f>IF((0=1),SUM(C22:W22),"")</f>
      </c>
      <c r="X197" s="8">
        <f>IF((0=1),SUM(C22:X22),"")</f>
      </c>
      <c r="Y197" s="8">
        <f>IF((0=1),SUM(C22:Y22),"")</f>
      </c>
      <c r="Z197" s="8">
        <f>IF((0=1),SUM(C22:Z22),"")</f>
      </c>
      <c r="AA197" s="8">
        <f>IF((0=1),SUM(C22:AA22),"")</f>
      </c>
      <c r="AB197" s="8">
        <f>IF((0=1),SUM(C22:AB22),"")</f>
      </c>
      <c r="AC197" s="8">
        <f>IF((0=1),SUM(C22:AC22),"")</f>
      </c>
      <c r="AD197" s="8">
        <f>IF((0=1),SUM(C22:AD22),"")</f>
      </c>
      <c r="AE197" s="8">
        <f>IF((0=1),SUM(C22:AE22),"")</f>
      </c>
      <c r="AF197" s="8">
        <f>IF((0=1),SUM(C22:AF22),"")</f>
      </c>
      <c r="AG197" s="8">
        <f>IF((0=1),SUM(C22:AG22),"")</f>
      </c>
      <c r="AH197" s="8">
        <f>IF((0=1),SUM(C22:AH22),"")</f>
      </c>
      <c r="AI197" s="8">
        <f>IF((0=1),SUM(C22:AI22),"")</f>
      </c>
      <c r="AJ197" s="8">
        <f>IF((0=1),SUM(C22:AJ22),"")</f>
      </c>
      <c r="AK197" s="8">
        <f>IF((0=1),SUM(C22:AK22),"")</f>
      </c>
      <c r="AL197" s="8">
        <f>IF((0=1),SUM(C22:AL22),"")</f>
      </c>
      <c r="AM197" s="8">
        <f>IF((0=1),SUM(C22:AM22),"")</f>
      </c>
      <c r="AN197" s="8">
        <f>IF((0=1),SUM(C22:AN22),"")</f>
      </c>
      <c r="AO197" s="8">
        <f>IF((0=1),SUM(C22:AO22),"")</f>
      </c>
      <c r="AP197" s="8">
        <f>IF((0=1),SUM(C22:AP22),"")</f>
      </c>
      <c r="AQ197" s="8">
        <f>IF((0=1),SUM(C22:AQ22),"")</f>
      </c>
      <c r="AR197" s="8">
        <f>IF((0=1),SUM(C22:AR22),"")</f>
      </c>
      <c r="AS197" s="8">
        <f>IF((0=1),SUM(C22:AS22),"")</f>
      </c>
      <c r="AT197" s="8">
        <f>IF((0=1),SUM(C22:AT22),"")</f>
      </c>
      <c r="AU197" s="8">
        <f>IF((0=1),SUM(C22:AU22),"")</f>
      </c>
      <c r="AV197" s="8">
        <f>IF((0=1),SUM(C22:AV22),"")</f>
      </c>
      <c r="AW197" s="8">
        <f>IF((0=1),SUM(C22:AW22),"")</f>
      </c>
      <c r="AX197" s="8">
        <f>IF((0=1),SUM(C22:AX22),"")</f>
      </c>
      <c r="AY197" s="8">
        <f>IF((0=1),SUM(C22:AY22),"")</f>
      </c>
      <c r="AZ197" s="8">
        <f>IF((0=1),SUM(C22:AZ22),"")</f>
      </c>
      <c r="BA197" s="8">
        <f>IF((0=1),SUM(C22:BA22),"")</f>
      </c>
      <c r="BB197" s="8">
        <f>IF((0=1),SUM(C22:BB22),"")</f>
      </c>
      <c r="BC197" s="8">
        <f>IF((0=1),SUM(C22:BC22),"")</f>
      </c>
      <c r="BD197" s="8">
        <f>IF((0=1),SUM(C22:BD22),"")</f>
      </c>
      <c r="BE197" s="8">
        <f>IF((0=1),SUM(C22:BE22),"")</f>
      </c>
      <c r="BF197" s="8">
        <f>IF((0=1),SUM(C22:BF22),"")</f>
      </c>
      <c r="BG197" s="8">
        <f>IF((0=1),SUM(C22:BG22),"")</f>
      </c>
      <c r="BH197" s="8">
        <f>IF((0=1),SUM(C22:BH22),"")</f>
      </c>
      <c r="BI197" s="8">
        <f>IF((0=1),SUM(C22:BI22),"")</f>
      </c>
      <c r="BJ197" s="8">
        <f>IF((0=1),SUM(C22:BJ22),"")</f>
      </c>
      <c r="BK197" s="8">
        <f>IF((0=1),SUM(C22:BK22),"")</f>
      </c>
      <c r="BL197" s="8">
        <f>IF((0=1),SUM(C22:BL22),"")</f>
      </c>
      <c r="BM197" s="8">
        <f>IF((0=1),SUM(C22:BM22),"")</f>
      </c>
      <c r="BN197" s="8">
        <f>IF((0=1),SUM(C22:BN22),"")</f>
      </c>
      <c r="BO197" s="8">
        <f>IF((0=1),SUM(C22:BO22),"")</f>
      </c>
      <c r="BP197" s="8">
        <f>IF((0=1),SUM(C22:BP22),"")</f>
      </c>
      <c r="BQ197" s="8">
        <f>IF((0=1),SUM(C22:BQ22),"")</f>
      </c>
      <c r="BR197" s="8">
        <f>IF((0=1),SUM(C22:BR22),"")</f>
      </c>
      <c r="BS197" s="8">
        <f>IF((0=1),SUM(C22:BS22),"")</f>
      </c>
      <c r="BT197" s="8">
        <f>IF((0=1),SUM(C22:BT22),"")</f>
      </c>
      <c r="BU197" s="8">
        <f>IF((0=1),SUM(C22:BU22),"")</f>
      </c>
      <c r="BV197" s="8">
        <f>IF((0=1),SUM(C22:BV22),"")</f>
      </c>
      <c r="BW197" s="8">
        <f>IF((0=1),SUM(C22:BW22),"")</f>
      </c>
      <c r="BX197" s="8">
        <f>IF((0=1),SUM(C22:BX22),"")</f>
      </c>
      <c r="BY197" s="8">
        <f>IF((0=1),SUM(C22:BY22),"")</f>
      </c>
      <c r="BZ197" s="8">
        <f>IF((0=1),SUM(C22:BZ22),"")</f>
      </c>
      <c r="CA197" s="8">
        <f>IF((0=1),SUM(C22:CA22),"")</f>
      </c>
      <c r="CB197" s="8">
        <f>IF((0=1),SUM(C22:CB22),"")</f>
      </c>
      <c r="CC197" s="8">
        <f>IF((0=1),SUM(C22:CC22),"")</f>
      </c>
      <c r="CD197" s="8">
        <f>IF((0=1),SUM(C22:CD22),"")</f>
      </c>
      <c r="CE197" s="8">
        <f>IF((0=1),SUM(C22:CE22),"")</f>
      </c>
      <c r="CF197" s="8">
        <f>IF((0=1),SUM(C22:CF22),"")</f>
      </c>
      <c r="CG197" s="8">
        <f>IF((0=1),SUM(C22:CG22),"")</f>
      </c>
      <c r="CH197" s="8">
        <f>IF((0=1),SUM(C22:CH22),"")</f>
      </c>
      <c r="CI197" s="8">
        <f>IF((0=1),SUM(C22:CI22),"")</f>
      </c>
      <c r="CJ197" s="8">
        <f>IF((0=1),SUM(C22:CJ22),"")</f>
      </c>
      <c r="CK197" s="8">
        <f>IF((0=1),SUM(C22:CK22),"")</f>
      </c>
      <c r="CL197" s="8">
        <f>IF((0=1),SUM(C22:CL22),"")</f>
      </c>
      <c r="CM197" s="8">
        <f>IF((0=1),SUM(C22:CM22),"")</f>
      </c>
      <c r="CN197" s="8">
        <f>IF((0=1),SUM(C22:CN22),"")</f>
      </c>
      <c r="CO197" s="8">
        <f>IF((0=1),SUM(C22:CO22),"")</f>
      </c>
      <c r="CP197" s="8">
        <f>IF((0=1),SUM(C22:CP22),"")</f>
      </c>
      <c r="CQ197" s="8">
        <f>IF((0=1),SUM(C22:CQ22),"")</f>
      </c>
      <c r="CR197" s="8">
        <f>IF((0=1),SUM(C22:CR22),"")</f>
      </c>
      <c r="CS197" s="8">
        <f>IF((0=1),SUM(C22:CS22),"")</f>
      </c>
      <c r="CT197" s="8">
        <f>IF((0=1),SUM(C22:CT22),"")</f>
      </c>
      <c r="CU197" s="8">
        <f>IF((0=1),SUM(C22:CU22),"")</f>
      </c>
      <c r="CV197" s="8">
        <f>IF((0=1),SUM(C22:CV22),"")</f>
      </c>
      <c r="CW197" s="8">
        <f>IF((0=1),SUM(C22:CW22),"")</f>
      </c>
      <c r="CX197" s="8">
        <f>IF((0=1),SUM(C22:CX22),"")</f>
      </c>
    </row>
    <row r="198">
      <c r="A198" s="0" t="inlineStr">
        <is>
          <t xml:space="preserve">Cumulative sector-neutral excess, bps</t>
        </is>
      </c>
      <c r="B198" s="0" t="inlineStr">
        <is>
          <t xml:space="preserve">Random 7</t>
        </is>
      </c>
      <c r="C198" s="8">
        <f>IF((1=1),SUM(C23),"")</f>
        <v>-3.263</v>
      </c>
      <c r="D198" s="8">
        <f>IF((0=1),SUM(C23:D23),"")</f>
      </c>
      <c r="E198" s="8">
        <f>IF((0=1),SUM(C23:E23),"")</f>
      </c>
      <c r="F198" s="8">
        <f>IF((0=1),SUM(C23:F23),"")</f>
      </c>
      <c r="G198" s="8">
        <f>IF((0=1),SUM(C23:G23),"")</f>
      </c>
      <c r="H198" s="8">
        <f>IF((0=1),SUM(C23:H23),"")</f>
      </c>
      <c r="I198" s="8">
        <f>IF((0=1),SUM(C23:I23),"")</f>
      </c>
      <c r="J198" s="8">
        <f>IF((0=1),SUM(C23:J23),"")</f>
      </c>
      <c r="K198" s="8">
        <f>IF((0=1),SUM(C23:K23),"")</f>
      </c>
      <c r="L198" s="8">
        <f>IF((0=1),SUM(C23:L23),"")</f>
      </c>
      <c r="M198" s="8">
        <f>IF((0=1),SUM(C23:M23),"")</f>
      </c>
      <c r="N198" s="8">
        <f>IF((0=1),SUM(C23:N23),"")</f>
      </c>
      <c r="O198" s="8">
        <f>IF((0=1),SUM(C23:O23),"")</f>
      </c>
      <c r="P198" s="8">
        <f>IF((0=1),SUM(C23:P23),"")</f>
      </c>
      <c r="Q198" s="8">
        <f>IF((0=1),SUM(C23:Q23),"")</f>
      </c>
      <c r="R198" s="8">
        <f>IF((0=1),SUM(C23:R23),"")</f>
      </c>
      <c r="S198" s="8">
        <f>IF((0=1),SUM(C23:S23),"")</f>
      </c>
      <c r="T198" s="8">
        <f>IF((0=1),SUM(C23:T23),"")</f>
      </c>
      <c r="U198" s="8">
        <f>IF((0=1),SUM(C23:U23),"")</f>
      </c>
      <c r="V198" s="8">
        <f>IF((0=1),SUM(C23:V23),"")</f>
      </c>
      <c r="W198" s="8">
        <f>IF((0=1),SUM(C23:W23),"")</f>
      </c>
      <c r="X198" s="8">
        <f>IF((0=1),SUM(C23:X23),"")</f>
      </c>
      <c r="Y198" s="8">
        <f>IF((0=1),SUM(C23:Y23),"")</f>
      </c>
      <c r="Z198" s="8">
        <f>IF((0=1),SUM(C23:Z23),"")</f>
      </c>
      <c r="AA198" s="8">
        <f>IF((0=1),SUM(C23:AA23),"")</f>
      </c>
      <c r="AB198" s="8">
        <f>IF((0=1),SUM(C23:AB23),"")</f>
      </c>
      <c r="AC198" s="8">
        <f>IF((0=1),SUM(C23:AC23),"")</f>
      </c>
      <c r="AD198" s="8">
        <f>IF((0=1),SUM(C23:AD23),"")</f>
      </c>
      <c r="AE198" s="8">
        <f>IF((0=1),SUM(C23:AE23),"")</f>
      </c>
      <c r="AF198" s="8">
        <f>IF((0=1),SUM(C23:AF23),"")</f>
      </c>
      <c r="AG198" s="8">
        <f>IF((0=1),SUM(C23:AG23),"")</f>
      </c>
      <c r="AH198" s="8">
        <f>IF((0=1),SUM(C23:AH23),"")</f>
      </c>
      <c r="AI198" s="8">
        <f>IF((0=1),SUM(C23:AI23),"")</f>
      </c>
      <c r="AJ198" s="8">
        <f>IF((0=1),SUM(C23:AJ23),"")</f>
      </c>
      <c r="AK198" s="8">
        <f>IF((0=1),SUM(C23:AK23),"")</f>
      </c>
      <c r="AL198" s="8">
        <f>IF((0=1),SUM(C23:AL23),"")</f>
      </c>
      <c r="AM198" s="8">
        <f>IF((0=1),SUM(C23:AM23),"")</f>
      </c>
      <c r="AN198" s="8">
        <f>IF((0=1),SUM(C23:AN23),"")</f>
      </c>
      <c r="AO198" s="8">
        <f>IF((0=1),SUM(C23:AO23),"")</f>
      </c>
      <c r="AP198" s="8">
        <f>IF((0=1),SUM(C23:AP23),"")</f>
      </c>
      <c r="AQ198" s="8">
        <f>IF((0=1),SUM(C23:AQ23),"")</f>
      </c>
      <c r="AR198" s="8">
        <f>IF((0=1),SUM(C23:AR23),"")</f>
      </c>
      <c r="AS198" s="8">
        <f>IF((0=1),SUM(C23:AS23),"")</f>
      </c>
      <c r="AT198" s="8">
        <f>IF((0=1),SUM(C23:AT23),"")</f>
      </c>
      <c r="AU198" s="8">
        <f>IF((0=1),SUM(C23:AU23),"")</f>
      </c>
      <c r="AV198" s="8">
        <f>IF((0=1),SUM(C23:AV23),"")</f>
      </c>
      <c r="AW198" s="8">
        <f>IF((0=1),SUM(C23:AW23),"")</f>
      </c>
      <c r="AX198" s="8">
        <f>IF((0=1),SUM(C23:AX23),"")</f>
      </c>
      <c r="AY198" s="8">
        <f>IF((0=1),SUM(C23:AY23),"")</f>
      </c>
      <c r="AZ198" s="8">
        <f>IF((0=1),SUM(C23:AZ23),"")</f>
      </c>
      <c r="BA198" s="8">
        <f>IF((0=1),SUM(C23:BA23),"")</f>
      </c>
      <c r="BB198" s="8">
        <f>IF((0=1),SUM(C23:BB23),"")</f>
      </c>
      <c r="BC198" s="8">
        <f>IF((0=1),SUM(C23:BC23),"")</f>
      </c>
      <c r="BD198" s="8">
        <f>IF((0=1),SUM(C23:BD23),"")</f>
      </c>
      <c r="BE198" s="8">
        <f>IF((0=1),SUM(C23:BE23),"")</f>
      </c>
      <c r="BF198" s="8">
        <f>IF((0=1),SUM(C23:BF23),"")</f>
      </c>
      <c r="BG198" s="8">
        <f>IF((0=1),SUM(C23:BG23),"")</f>
      </c>
      <c r="BH198" s="8">
        <f>IF((0=1),SUM(C23:BH23),"")</f>
      </c>
      <c r="BI198" s="8">
        <f>IF((0=1),SUM(C23:BI23),"")</f>
      </c>
      <c r="BJ198" s="8">
        <f>IF((0=1),SUM(C23:BJ23),"")</f>
      </c>
      <c r="BK198" s="8">
        <f>IF((0=1),SUM(C23:BK23),"")</f>
      </c>
      <c r="BL198" s="8">
        <f>IF((0=1),SUM(C23:BL23),"")</f>
      </c>
      <c r="BM198" s="8">
        <f>IF((0=1),SUM(C23:BM23),"")</f>
      </c>
      <c r="BN198" s="8">
        <f>IF((0=1),SUM(C23:BN23),"")</f>
      </c>
      <c r="BO198" s="8">
        <f>IF((0=1),SUM(C23:BO23),"")</f>
      </c>
      <c r="BP198" s="8">
        <f>IF((0=1),SUM(C23:BP23),"")</f>
      </c>
      <c r="BQ198" s="8">
        <f>IF((0=1),SUM(C23:BQ23),"")</f>
      </c>
      <c r="BR198" s="8">
        <f>IF((0=1),SUM(C23:BR23),"")</f>
      </c>
      <c r="BS198" s="8">
        <f>IF((0=1),SUM(C23:BS23),"")</f>
      </c>
      <c r="BT198" s="8">
        <f>IF((0=1),SUM(C23:BT23),"")</f>
      </c>
      <c r="BU198" s="8">
        <f>IF((0=1),SUM(C23:BU23),"")</f>
      </c>
      <c r="BV198" s="8">
        <f>IF((0=1),SUM(C23:BV23),"")</f>
      </c>
      <c r="BW198" s="8">
        <f>IF((0=1),SUM(C23:BW23),"")</f>
      </c>
      <c r="BX198" s="8">
        <f>IF((0=1),SUM(C23:BX23),"")</f>
      </c>
      <c r="BY198" s="8">
        <f>IF((0=1),SUM(C23:BY23),"")</f>
      </c>
      <c r="BZ198" s="8">
        <f>IF((0=1),SUM(C23:BZ23),"")</f>
      </c>
      <c r="CA198" s="8">
        <f>IF((0=1),SUM(C23:CA23),"")</f>
      </c>
      <c r="CB198" s="8">
        <f>IF((0=1),SUM(C23:CB23),"")</f>
      </c>
      <c r="CC198" s="8">
        <f>IF((0=1),SUM(C23:CC23),"")</f>
      </c>
      <c r="CD198" s="8">
        <f>IF((0=1),SUM(C23:CD23),"")</f>
      </c>
      <c r="CE198" s="8">
        <f>IF((0=1),SUM(C23:CE23),"")</f>
      </c>
      <c r="CF198" s="8">
        <f>IF((0=1),SUM(C23:CF23),"")</f>
      </c>
      <c r="CG198" s="8">
        <f>IF((0=1),SUM(C23:CG23),"")</f>
      </c>
      <c r="CH198" s="8">
        <f>IF((0=1),SUM(C23:CH23),"")</f>
      </c>
      <c r="CI198" s="8">
        <f>IF((0=1),SUM(C23:CI23),"")</f>
      </c>
      <c r="CJ198" s="8">
        <f>IF((0=1),SUM(C23:CJ23),"")</f>
      </c>
      <c r="CK198" s="8">
        <f>IF((0=1),SUM(C23:CK23),"")</f>
      </c>
      <c r="CL198" s="8">
        <f>IF((0=1),SUM(C23:CL23),"")</f>
      </c>
      <c r="CM198" s="8">
        <f>IF((0=1),SUM(C23:CM23),"")</f>
      </c>
      <c r="CN198" s="8">
        <f>IF((0=1),SUM(C23:CN23),"")</f>
      </c>
      <c r="CO198" s="8">
        <f>IF((0=1),SUM(C23:CO23),"")</f>
      </c>
      <c r="CP198" s="8">
        <f>IF((0=1),SUM(C23:CP23),"")</f>
      </c>
      <c r="CQ198" s="8">
        <f>IF((0=1),SUM(C23:CQ23),"")</f>
      </c>
      <c r="CR198" s="8">
        <f>IF((0=1),SUM(C23:CR23),"")</f>
      </c>
      <c r="CS198" s="8">
        <f>IF((0=1),SUM(C23:CS23),"")</f>
      </c>
      <c r="CT198" s="8">
        <f>IF((0=1),SUM(C23:CT23),"")</f>
      </c>
      <c r="CU198" s="8">
        <f>IF((0=1),SUM(C23:CU23),"")</f>
      </c>
      <c r="CV198" s="8">
        <f>IF((0=1),SUM(C23:CV23),"")</f>
      </c>
      <c r="CW198" s="8">
        <f>IF((0=1),SUM(C23:CW23),"")</f>
      </c>
      <c r="CX198" s="8">
        <f>IF((0=1),SUM(C23:CX23),"")</f>
      </c>
    </row>
    <row r="199">
      <c r="A199" s="0" t="inlineStr">
        <is>
          <t xml:space="preserve">Cumulative sector-neutral excess, bps</t>
        </is>
      </c>
      <c r="B199" s="0" t="inlineStr">
        <is>
          <t xml:space="preserve">Random 8</t>
        </is>
      </c>
      <c r="C199" s="8">
        <f>IF((1=1),SUM(C24),"")</f>
        <v>3.133</v>
      </c>
      <c r="D199" s="8">
        <f>IF((0=1),SUM(C24:D24),"")</f>
      </c>
      <c r="E199" s="8">
        <f>IF((0=1),SUM(C24:E24),"")</f>
      </c>
      <c r="F199" s="8">
        <f>IF((0=1),SUM(C24:F24),"")</f>
      </c>
      <c r="G199" s="8">
        <f>IF((0=1),SUM(C24:G24),"")</f>
      </c>
      <c r="H199" s="8">
        <f>IF((0=1),SUM(C24:H24),"")</f>
      </c>
      <c r="I199" s="8">
        <f>IF((0=1),SUM(C24:I24),"")</f>
      </c>
      <c r="J199" s="8">
        <f>IF((0=1),SUM(C24:J24),"")</f>
      </c>
      <c r="K199" s="8">
        <f>IF((0=1),SUM(C24:K24),"")</f>
      </c>
      <c r="L199" s="8">
        <f>IF((0=1),SUM(C24:L24),"")</f>
      </c>
      <c r="M199" s="8">
        <f>IF((0=1),SUM(C24:M24),"")</f>
      </c>
      <c r="N199" s="8">
        <f>IF((0=1),SUM(C24:N24),"")</f>
      </c>
      <c r="O199" s="8">
        <f>IF((0=1),SUM(C24:O24),"")</f>
      </c>
      <c r="P199" s="8">
        <f>IF((0=1),SUM(C24:P24),"")</f>
      </c>
      <c r="Q199" s="8">
        <f>IF((0=1),SUM(C24:Q24),"")</f>
      </c>
      <c r="R199" s="8">
        <f>IF((0=1),SUM(C24:R24),"")</f>
      </c>
      <c r="S199" s="8">
        <f>IF((0=1),SUM(C24:S24),"")</f>
      </c>
      <c r="T199" s="8">
        <f>IF((0=1),SUM(C24:T24),"")</f>
      </c>
      <c r="U199" s="8">
        <f>IF((0=1),SUM(C24:U24),"")</f>
      </c>
      <c r="V199" s="8">
        <f>IF((0=1),SUM(C24:V24),"")</f>
      </c>
      <c r="W199" s="8">
        <f>IF((0=1),SUM(C24:W24),"")</f>
      </c>
      <c r="X199" s="8">
        <f>IF((0=1),SUM(C24:X24),"")</f>
      </c>
      <c r="Y199" s="8">
        <f>IF((0=1),SUM(C24:Y24),"")</f>
      </c>
      <c r="Z199" s="8">
        <f>IF((0=1),SUM(C24:Z24),"")</f>
      </c>
      <c r="AA199" s="8">
        <f>IF((0=1),SUM(C24:AA24),"")</f>
      </c>
      <c r="AB199" s="8">
        <f>IF((0=1),SUM(C24:AB24),"")</f>
      </c>
      <c r="AC199" s="8">
        <f>IF((0=1),SUM(C24:AC24),"")</f>
      </c>
      <c r="AD199" s="8">
        <f>IF((0=1),SUM(C24:AD24),"")</f>
      </c>
      <c r="AE199" s="8">
        <f>IF((0=1),SUM(C24:AE24),"")</f>
      </c>
      <c r="AF199" s="8">
        <f>IF((0=1),SUM(C24:AF24),"")</f>
      </c>
      <c r="AG199" s="8">
        <f>IF((0=1),SUM(C24:AG24),"")</f>
      </c>
      <c r="AH199" s="8">
        <f>IF((0=1),SUM(C24:AH24),"")</f>
      </c>
      <c r="AI199" s="8">
        <f>IF((0=1),SUM(C24:AI24),"")</f>
      </c>
      <c r="AJ199" s="8">
        <f>IF((0=1),SUM(C24:AJ24),"")</f>
      </c>
      <c r="AK199" s="8">
        <f>IF((0=1),SUM(C24:AK24),"")</f>
      </c>
      <c r="AL199" s="8">
        <f>IF((0=1),SUM(C24:AL24),"")</f>
      </c>
      <c r="AM199" s="8">
        <f>IF((0=1),SUM(C24:AM24),"")</f>
      </c>
      <c r="AN199" s="8">
        <f>IF((0=1),SUM(C24:AN24),"")</f>
      </c>
      <c r="AO199" s="8">
        <f>IF((0=1),SUM(C24:AO24),"")</f>
      </c>
      <c r="AP199" s="8">
        <f>IF((0=1),SUM(C24:AP24),"")</f>
      </c>
      <c r="AQ199" s="8">
        <f>IF((0=1),SUM(C24:AQ24),"")</f>
      </c>
      <c r="AR199" s="8">
        <f>IF((0=1),SUM(C24:AR24),"")</f>
      </c>
      <c r="AS199" s="8">
        <f>IF((0=1),SUM(C24:AS24),"")</f>
      </c>
      <c r="AT199" s="8">
        <f>IF((0=1),SUM(C24:AT24),"")</f>
      </c>
      <c r="AU199" s="8">
        <f>IF((0=1),SUM(C24:AU24),"")</f>
      </c>
      <c r="AV199" s="8">
        <f>IF((0=1),SUM(C24:AV24),"")</f>
      </c>
      <c r="AW199" s="8">
        <f>IF((0=1),SUM(C24:AW24),"")</f>
      </c>
      <c r="AX199" s="8">
        <f>IF((0=1),SUM(C24:AX24),"")</f>
      </c>
      <c r="AY199" s="8">
        <f>IF((0=1),SUM(C24:AY24),"")</f>
      </c>
      <c r="AZ199" s="8">
        <f>IF((0=1),SUM(C24:AZ24),"")</f>
      </c>
      <c r="BA199" s="8">
        <f>IF((0=1),SUM(C24:BA24),"")</f>
      </c>
      <c r="BB199" s="8">
        <f>IF((0=1),SUM(C24:BB24),"")</f>
      </c>
      <c r="BC199" s="8">
        <f>IF((0=1),SUM(C24:BC24),"")</f>
      </c>
      <c r="BD199" s="8">
        <f>IF((0=1),SUM(C24:BD24),"")</f>
      </c>
      <c r="BE199" s="8">
        <f>IF((0=1),SUM(C24:BE24),"")</f>
      </c>
      <c r="BF199" s="8">
        <f>IF((0=1),SUM(C24:BF24),"")</f>
      </c>
      <c r="BG199" s="8">
        <f>IF((0=1),SUM(C24:BG24),"")</f>
      </c>
      <c r="BH199" s="8">
        <f>IF((0=1),SUM(C24:BH24),"")</f>
      </c>
      <c r="BI199" s="8">
        <f>IF((0=1),SUM(C24:BI24),"")</f>
      </c>
      <c r="BJ199" s="8">
        <f>IF((0=1),SUM(C24:BJ24),"")</f>
      </c>
      <c r="BK199" s="8">
        <f>IF((0=1),SUM(C24:BK24),"")</f>
      </c>
      <c r="BL199" s="8">
        <f>IF((0=1),SUM(C24:BL24),"")</f>
      </c>
      <c r="BM199" s="8">
        <f>IF((0=1),SUM(C24:BM24),"")</f>
      </c>
      <c r="BN199" s="8">
        <f>IF((0=1),SUM(C24:BN24),"")</f>
      </c>
      <c r="BO199" s="8">
        <f>IF((0=1),SUM(C24:BO24),"")</f>
      </c>
      <c r="BP199" s="8">
        <f>IF((0=1),SUM(C24:BP24),"")</f>
      </c>
      <c r="BQ199" s="8">
        <f>IF((0=1),SUM(C24:BQ24),"")</f>
      </c>
      <c r="BR199" s="8">
        <f>IF((0=1),SUM(C24:BR24),"")</f>
      </c>
      <c r="BS199" s="8">
        <f>IF((0=1),SUM(C24:BS24),"")</f>
      </c>
      <c r="BT199" s="8">
        <f>IF((0=1),SUM(C24:BT24),"")</f>
      </c>
      <c r="BU199" s="8">
        <f>IF((0=1),SUM(C24:BU24),"")</f>
      </c>
      <c r="BV199" s="8">
        <f>IF((0=1),SUM(C24:BV24),"")</f>
      </c>
      <c r="BW199" s="8">
        <f>IF((0=1),SUM(C24:BW24),"")</f>
      </c>
      <c r="BX199" s="8">
        <f>IF((0=1),SUM(C24:BX24),"")</f>
      </c>
      <c r="BY199" s="8">
        <f>IF((0=1),SUM(C24:BY24),"")</f>
      </c>
      <c r="BZ199" s="8">
        <f>IF((0=1),SUM(C24:BZ24),"")</f>
      </c>
      <c r="CA199" s="8">
        <f>IF((0=1),SUM(C24:CA24),"")</f>
      </c>
      <c r="CB199" s="8">
        <f>IF((0=1),SUM(C24:CB24),"")</f>
      </c>
      <c r="CC199" s="8">
        <f>IF((0=1),SUM(C24:CC24),"")</f>
      </c>
      <c r="CD199" s="8">
        <f>IF((0=1),SUM(C24:CD24),"")</f>
      </c>
      <c r="CE199" s="8">
        <f>IF((0=1),SUM(C24:CE24),"")</f>
      </c>
      <c r="CF199" s="8">
        <f>IF((0=1),SUM(C24:CF24),"")</f>
      </c>
      <c r="CG199" s="8">
        <f>IF((0=1),SUM(C24:CG24),"")</f>
      </c>
      <c r="CH199" s="8">
        <f>IF((0=1),SUM(C24:CH24),"")</f>
      </c>
      <c r="CI199" s="8">
        <f>IF((0=1),SUM(C24:CI24),"")</f>
      </c>
      <c r="CJ199" s="8">
        <f>IF((0=1),SUM(C24:CJ24),"")</f>
      </c>
      <c r="CK199" s="8">
        <f>IF((0=1),SUM(C24:CK24),"")</f>
      </c>
      <c r="CL199" s="8">
        <f>IF((0=1),SUM(C24:CL24),"")</f>
      </c>
      <c r="CM199" s="8">
        <f>IF((0=1),SUM(C24:CM24),"")</f>
      </c>
      <c r="CN199" s="8">
        <f>IF((0=1),SUM(C24:CN24),"")</f>
      </c>
      <c r="CO199" s="8">
        <f>IF((0=1),SUM(C24:CO24),"")</f>
      </c>
      <c r="CP199" s="8">
        <f>IF((0=1),SUM(C24:CP24),"")</f>
      </c>
      <c r="CQ199" s="8">
        <f>IF((0=1),SUM(C24:CQ24),"")</f>
      </c>
      <c r="CR199" s="8">
        <f>IF((0=1),SUM(C24:CR24),"")</f>
      </c>
      <c r="CS199" s="8">
        <f>IF((0=1),SUM(C24:CS24),"")</f>
      </c>
      <c r="CT199" s="8">
        <f>IF((0=1),SUM(C24:CT24),"")</f>
      </c>
      <c r="CU199" s="8">
        <f>IF((0=1),SUM(C24:CU24),"")</f>
      </c>
      <c r="CV199" s="8">
        <f>IF((0=1),SUM(C24:CV24),"")</f>
      </c>
      <c r="CW199" s="8">
        <f>IF((0=1),SUM(C24:CW24),"")</f>
      </c>
      <c r="CX199" s="8">
        <f>IF((0=1),SUM(C24:CX24),"")</f>
      </c>
    </row>
    <row r="200">
      <c r="A200" s="0" t="inlineStr">
        <is>
          <t xml:space="preserve">Cumulative sector-neutral excess, bps</t>
        </is>
      </c>
      <c r="B200" s="0" t="inlineStr">
        <is>
          <t xml:space="preserve">Random 9</t>
        </is>
      </c>
      <c r="C200" s="8">
        <f>IF((1=1),SUM(C25),"")</f>
        <v>-3.328</v>
      </c>
      <c r="D200" s="8">
        <f>IF((0=1),SUM(C25:D25),"")</f>
      </c>
      <c r="E200" s="8">
        <f>IF((0=1),SUM(C25:E25),"")</f>
      </c>
      <c r="F200" s="8">
        <f>IF((0=1),SUM(C25:F25),"")</f>
      </c>
      <c r="G200" s="8">
        <f>IF((0=1),SUM(C25:G25),"")</f>
      </c>
      <c r="H200" s="8">
        <f>IF((0=1),SUM(C25:H25),"")</f>
      </c>
      <c r="I200" s="8">
        <f>IF((0=1),SUM(C25:I25),"")</f>
      </c>
      <c r="J200" s="8">
        <f>IF((0=1),SUM(C25:J25),"")</f>
      </c>
      <c r="K200" s="8">
        <f>IF((0=1),SUM(C25:K25),"")</f>
      </c>
      <c r="L200" s="8">
        <f>IF((0=1),SUM(C25:L25),"")</f>
      </c>
      <c r="M200" s="8">
        <f>IF((0=1),SUM(C25:M25),"")</f>
      </c>
      <c r="N200" s="8">
        <f>IF((0=1),SUM(C25:N25),"")</f>
      </c>
      <c r="O200" s="8">
        <f>IF((0=1),SUM(C25:O25),"")</f>
      </c>
      <c r="P200" s="8">
        <f>IF((0=1),SUM(C25:P25),"")</f>
      </c>
      <c r="Q200" s="8">
        <f>IF((0=1),SUM(C25:Q25),"")</f>
      </c>
      <c r="R200" s="8">
        <f>IF((0=1),SUM(C25:R25),"")</f>
      </c>
      <c r="S200" s="8">
        <f>IF((0=1),SUM(C25:S25),"")</f>
      </c>
      <c r="T200" s="8">
        <f>IF((0=1),SUM(C25:T25),"")</f>
      </c>
      <c r="U200" s="8">
        <f>IF((0=1),SUM(C25:U25),"")</f>
      </c>
      <c r="V200" s="8">
        <f>IF((0=1),SUM(C25:V25),"")</f>
      </c>
      <c r="W200" s="8">
        <f>IF((0=1),SUM(C25:W25),"")</f>
      </c>
      <c r="X200" s="8">
        <f>IF((0=1),SUM(C25:X25),"")</f>
      </c>
      <c r="Y200" s="8">
        <f>IF((0=1),SUM(C25:Y25),"")</f>
      </c>
      <c r="Z200" s="8">
        <f>IF((0=1),SUM(C25:Z25),"")</f>
      </c>
      <c r="AA200" s="8">
        <f>IF((0=1),SUM(C25:AA25),"")</f>
      </c>
      <c r="AB200" s="8">
        <f>IF((0=1),SUM(C25:AB25),"")</f>
      </c>
      <c r="AC200" s="8">
        <f>IF((0=1),SUM(C25:AC25),"")</f>
      </c>
      <c r="AD200" s="8">
        <f>IF((0=1),SUM(C25:AD25),"")</f>
      </c>
      <c r="AE200" s="8">
        <f>IF((0=1),SUM(C25:AE25),"")</f>
      </c>
      <c r="AF200" s="8">
        <f>IF((0=1),SUM(C25:AF25),"")</f>
      </c>
      <c r="AG200" s="8">
        <f>IF((0=1),SUM(C25:AG25),"")</f>
      </c>
      <c r="AH200" s="8">
        <f>IF((0=1),SUM(C25:AH25),"")</f>
      </c>
      <c r="AI200" s="8">
        <f>IF((0=1),SUM(C25:AI25),"")</f>
      </c>
      <c r="AJ200" s="8">
        <f>IF((0=1),SUM(C25:AJ25),"")</f>
      </c>
      <c r="AK200" s="8">
        <f>IF((0=1),SUM(C25:AK25),"")</f>
      </c>
      <c r="AL200" s="8">
        <f>IF((0=1),SUM(C25:AL25),"")</f>
      </c>
      <c r="AM200" s="8">
        <f>IF((0=1),SUM(C25:AM25),"")</f>
      </c>
      <c r="AN200" s="8">
        <f>IF((0=1),SUM(C25:AN25),"")</f>
      </c>
      <c r="AO200" s="8">
        <f>IF((0=1),SUM(C25:AO25),"")</f>
      </c>
      <c r="AP200" s="8">
        <f>IF((0=1),SUM(C25:AP25),"")</f>
      </c>
      <c r="AQ200" s="8">
        <f>IF((0=1),SUM(C25:AQ25),"")</f>
      </c>
      <c r="AR200" s="8">
        <f>IF((0=1),SUM(C25:AR25),"")</f>
      </c>
      <c r="AS200" s="8">
        <f>IF((0=1),SUM(C25:AS25),"")</f>
      </c>
      <c r="AT200" s="8">
        <f>IF((0=1),SUM(C25:AT25),"")</f>
      </c>
      <c r="AU200" s="8">
        <f>IF((0=1),SUM(C25:AU25),"")</f>
      </c>
      <c r="AV200" s="8">
        <f>IF((0=1),SUM(C25:AV25),"")</f>
      </c>
      <c r="AW200" s="8">
        <f>IF((0=1),SUM(C25:AW25),"")</f>
      </c>
      <c r="AX200" s="8">
        <f>IF((0=1),SUM(C25:AX25),"")</f>
      </c>
      <c r="AY200" s="8">
        <f>IF((0=1),SUM(C25:AY25),"")</f>
      </c>
      <c r="AZ200" s="8">
        <f>IF((0=1),SUM(C25:AZ25),"")</f>
      </c>
      <c r="BA200" s="8">
        <f>IF((0=1),SUM(C25:BA25),"")</f>
      </c>
      <c r="BB200" s="8">
        <f>IF((0=1),SUM(C25:BB25),"")</f>
      </c>
      <c r="BC200" s="8">
        <f>IF((0=1),SUM(C25:BC25),"")</f>
      </c>
      <c r="BD200" s="8">
        <f>IF((0=1),SUM(C25:BD25),"")</f>
      </c>
      <c r="BE200" s="8">
        <f>IF((0=1),SUM(C25:BE25),"")</f>
      </c>
      <c r="BF200" s="8">
        <f>IF((0=1),SUM(C25:BF25),"")</f>
      </c>
      <c r="BG200" s="8">
        <f>IF((0=1),SUM(C25:BG25),"")</f>
      </c>
      <c r="BH200" s="8">
        <f>IF((0=1),SUM(C25:BH25),"")</f>
      </c>
      <c r="BI200" s="8">
        <f>IF((0=1),SUM(C25:BI25),"")</f>
      </c>
      <c r="BJ200" s="8">
        <f>IF((0=1),SUM(C25:BJ25),"")</f>
      </c>
      <c r="BK200" s="8">
        <f>IF((0=1),SUM(C25:BK25),"")</f>
      </c>
      <c r="BL200" s="8">
        <f>IF((0=1),SUM(C25:BL25),"")</f>
      </c>
      <c r="BM200" s="8">
        <f>IF((0=1),SUM(C25:BM25),"")</f>
      </c>
      <c r="BN200" s="8">
        <f>IF((0=1),SUM(C25:BN25),"")</f>
      </c>
      <c r="BO200" s="8">
        <f>IF((0=1),SUM(C25:BO25),"")</f>
      </c>
      <c r="BP200" s="8">
        <f>IF((0=1),SUM(C25:BP25),"")</f>
      </c>
      <c r="BQ200" s="8">
        <f>IF((0=1),SUM(C25:BQ25),"")</f>
      </c>
      <c r="BR200" s="8">
        <f>IF((0=1),SUM(C25:BR25),"")</f>
      </c>
      <c r="BS200" s="8">
        <f>IF((0=1),SUM(C25:BS25),"")</f>
      </c>
      <c r="BT200" s="8">
        <f>IF((0=1),SUM(C25:BT25),"")</f>
      </c>
      <c r="BU200" s="8">
        <f>IF((0=1),SUM(C25:BU25),"")</f>
      </c>
      <c r="BV200" s="8">
        <f>IF((0=1),SUM(C25:BV25),"")</f>
      </c>
      <c r="BW200" s="8">
        <f>IF((0=1),SUM(C25:BW25),"")</f>
      </c>
      <c r="BX200" s="8">
        <f>IF((0=1),SUM(C25:BX25),"")</f>
      </c>
      <c r="BY200" s="8">
        <f>IF((0=1),SUM(C25:BY25),"")</f>
      </c>
      <c r="BZ200" s="8">
        <f>IF((0=1),SUM(C25:BZ25),"")</f>
      </c>
      <c r="CA200" s="8">
        <f>IF((0=1),SUM(C25:CA25),"")</f>
      </c>
      <c r="CB200" s="8">
        <f>IF((0=1),SUM(C25:CB25),"")</f>
      </c>
      <c r="CC200" s="8">
        <f>IF((0=1),SUM(C25:CC25),"")</f>
      </c>
      <c r="CD200" s="8">
        <f>IF((0=1),SUM(C25:CD25),"")</f>
      </c>
      <c r="CE200" s="8">
        <f>IF((0=1),SUM(C25:CE25),"")</f>
      </c>
      <c r="CF200" s="8">
        <f>IF((0=1),SUM(C25:CF25),"")</f>
      </c>
      <c r="CG200" s="8">
        <f>IF((0=1),SUM(C25:CG25),"")</f>
      </c>
      <c r="CH200" s="8">
        <f>IF((0=1),SUM(C25:CH25),"")</f>
      </c>
      <c r="CI200" s="8">
        <f>IF((0=1),SUM(C25:CI25),"")</f>
      </c>
      <c r="CJ200" s="8">
        <f>IF((0=1),SUM(C25:CJ25),"")</f>
      </c>
      <c r="CK200" s="8">
        <f>IF((0=1),SUM(C25:CK25),"")</f>
      </c>
      <c r="CL200" s="8">
        <f>IF((0=1),SUM(C25:CL25),"")</f>
      </c>
      <c r="CM200" s="8">
        <f>IF((0=1),SUM(C25:CM25),"")</f>
      </c>
      <c r="CN200" s="8">
        <f>IF((0=1),SUM(C25:CN25),"")</f>
      </c>
      <c r="CO200" s="8">
        <f>IF((0=1),SUM(C25:CO25),"")</f>
      </c>
      <c r="CP200" s="8">
        <f>IF((0=1),SUM(C25:CP25),"")</f>
      </c>
      <c r="CQ200" s="8">
        <f>IF((0=1),SUM(C25:CQ25),"")</f>
      </c>
      <c r="CR200" s="8">
        <f>IF((0=1),SUM(C25:CR25),"")</f>
      </c>
      <c r="CS200" s="8">
        <f>IF((0=1),SUM(C25:CS25),"")</f>
      </c>
      <c r="CT200" s="8">
        <f>IF((0=1),SUM(C25:CT25),"")</f>
      </c>
      <c r="CU200" s="8">
        <f>IF((0=1),SUM(C25:CU25),"")</f>
      </c>
      <c r="CV200" s="8">
        <f>IF((0=1),SUM(C25:CV25),"")</f>
      </c>
      <c r="CW200" s="8">
        <f>IF((0=1),SUM(C25:CW25),"")</f>
      </c>
      <c r="CX200" s="8">
        <f>IF((0=1),SUM(C25:CX25),"")</f>
      </c>
    </row>
    <row r="201">
      <c r="A201" s="0" t="inlineStr">
        <is>
          <t xml:space="preserve">Cumulative sector-neutral excess, bps</t>
        </is>
      </c>
      <c r="B201" s="0" t="inlineStr">
        <is>
          <t xml:space="preserve">Random 10</t>
        </is>
      </c>
      <c r="C201" s="8">
        <f>IF((1=1),SUM(C26),"")</f>
        <v>4.866</v>
      </c>
      <c r="D201" s="8">
        <f>IF((0=1),SUM(C26:D26),"")</f>
      </c>
      <c r="E201" s="8">
        <f>IF((0=1),SUM(C26:E26),"")</f>
      </c>
      <c r="F201" s="8">
        <f>IF((0=1),SUM(C26:F26),"")</f>
      </c>
      <c r="G201" s="8">
        <f>IF((0=1),SUM(C26:G26),"")</f>
      </c>
      <c r="H201" s="8">
        <f>IF((0=1),SUM(C26:H26),"")</f>
      </c>
      <c r="I201" s="8">
        <f>IF((0=1),SUM(C26:I26),"")</f>
      </c>
      <c r="J201" s="8">
        <f>IF((0=1),SUM(C26:J26),"")</f>
      </c>
      <c r="K201" s="8">
        <f>IF((0=1),SUM(C26:K26),"")</f>
      </c>
      <c r="L201" s="8">
        <f>IF((0=1),SUM(C26:L26),"")</f>
      </c>
      <c r="M201" s="8">
        <f>IF((0=1),SUM(C26:M26),"")</f>
      </c>
      <c r="N201" s="8">
        <f>IF((0=1),SUM(C26:N26),"")</f>
      </c>
      <c r="O201" s="8">
        <f>IF((0=1),SUM(C26:O26),"")</f>
      </c>
      <c r="P201" s="8">
        <f>IF((0=1),SUM(C26:P26),"")</f>
      </c>
      <c r="Q201" s="8">
        <f>IF((0=1),SUM(C26:Q26),"")</f>
      </c>
      <c r="R201" s="8">
        <f>IF((0=1),SUM(C26:R26),"")</f>
      </c>
      <c r="S201" s="8">
        <f>IF((0=1),SUM(C26:S26),"")</f>
      </c>
      <c r="T201" s="8">
        <f>IF((0=1),SUM(C26:T26),"")</f>
      </c>
      <c r="U201" s="8">
        <f>IF((0=1),SUM(C26:U26),"")</f>
      </c>
      <c r="V201" s="8">
        <f>IF((0=1),SUM(C26:V26),"")</f>
      </c>
      <c r="W201" s="8">
        <f>IF((0=1),SUM(C26:W26),"")</f>
      </c>
      <c r="X201" s="8">
        <f>IF((0=1),SUM(C26:X26),"")</f>
      </c>
      <c r="Y201" s="8">
        <f>IF((0=1),SUM(C26:Y26),"")</f>
      </c>
      <c r="Z201" s="8">
        <f>IF((0=1),SUM(C26:Z26),"")</f>
      </c>
      <c r="AA201" s="8">
        <f>IF((0=1),SUM(C26:AA26),"")</f>
      </c>
      <c r="AB201" s="8">
        <f>IF((0=1),SUM(C26:AB26),"")</f>
      </c>
      <c r="AC201" s="8">
        <f>IF((0=1),SUM(C26:AC26),"")</f>
      </c>
      <c r="AD201" s="8">
        <f>IF((0=1),SUM(C26:AD26),"")</f>
      </c>
      <c r="AE201" s="8">
        <f>IF((0=1),SUM(C26:AE26),"")</f>
      </c>
      <c r="AF201" s="8">
        <f>IF((0=1),SUM(C26:AF26),"")</f>
      </c>
      <c r="AG201" s="8">
        <f>IF((0=1),SUM(C26:AG26),"")</f>
      </c>
      <c r="AH201" s="8">
        <f>IF((0=1),SUM(C26:AH26),"")</f>
      </c>
      <c r="AI201" s="8">
        <f>IF((0=1),SUM(C26:AI26),"")</f>
      </c>
      <c r="AJ201" s="8">
        <f>IF((0=1),SUM(C26:AJ26),"")</f>
      </c>
      <c r="AK201" s="8">
        <f>IF((0=1),SUM(C26:AK26),"")</f>
      </c>
      <c r="AL201" s="8">
        <f>IF((0=1),SUM(C26:AL26),"")</f>
      </c>
      <c r="AM201" s="8">
        <f>IF((0=1),SUM(C26:AM26),"")</f>
      </c>
      <c r="AN201" s="8">
        <f>IF((0=1),SUM(C26:AN26),"")</f>
      </c>
      <c r="AO201" s="8">
        <f>IF((0=1),SUM(C26:AO26),"")</f>
      </c>
      <c r="AP201" s="8">
        <f>IF((0=1),SUM(C26:AP26),"")</f>
      </c>
      <c r="AQ201" s="8">
        <f>IF((0=1),SUM(C26:AQ26),"")</f>
      </c>
      <c r="AR201" s="8">
        <f>IF((0=1),SUM(C26:AR26),"")</f>
      </c>
      <c r="AS201" s="8">
        <f>IF((0=1),SUM(C26:AS26),"")</f>
      </c>
      <c r="AT201" s="8">
        <f>IF((0=1),SUM(C26:AT26),"")</f>
      </c>
      <c r="AU201" s="8">
        <f>IF((0=1),SUM(C26:AU26),"")</f>
      </c>
      <c r="AV201" s="8">
        <f>IF((0=1),SUM(C26:AV26),"")</f>
      </c>
      <c r="AW201" s="8">
        <f>IF((0=1),SUM(C26:AW26),"")</f>
      </c>
      <c r="AX201" s="8">
        <f>IF((0=1),SUM(C26:AX26),"")</f>
      </c>
      <c r="AY201" s="8">
        <f>IF((0=1),SUM(C26:AY26),"")</f>
      </c>
      <c r="AZ201" s="8">
        <f>IF((0=1),SUM(C26:AZ26),"")</f>
      </c>
      <c r="BA201" s="8">
        <f>IF((0=1),SUM(C26:BA26),"")</f>
      </c>
      <c r="BB201" s="8">
        <f>IF((0=1),SUM(C26:BB26),"")</f>
      </c>
      <c r="BC201" s="8">
        <f>IF((0=1),SUM(C26:BC26),"")</f>
      </c>
      <c r="BD201" s="8">
        <f>IF((0=1),SUM(C26:BD26),"")</f>
      </c>
      <c r="BE201" s="8">
        <f>IF((0=1),SUM(C26:BE26),"")</f>
      </c>
      <c r="BF201" s="8">
        <f>IF((0=1),SUM(C26:BF26),"")</f>
      </c>
      <c r="BG201" s="8">
        <f>IF((0=1),SUM(C26:BG26),"")</f>
      </c>
      <c r="BH201" s="8">
        <f>IF((0=1),SUM(C26:BH26),"")</f>
      </c>
      <c r="BI201" s="8">
        <f>IF((0=1),SUM(C26:BI26),"")</f>
      </c>
      <c r="BJ201" s="8">
        <f>IF((0=1),SUM(C26:BJ26),"")</f>
      </c>
      <c r="BK201" s="8">
        <f>IF((0=1),SUM(C26:BK26),"")</f>
      </c>
      <c r="BL201" s="8">
        <f>IF((0=1),SUM(C26:BL26),"")</f>
      </c>
      <c r="BM201" s="8">
        <f>IF((0=1),SUM(C26:BM26),"")</f>
      </c>
      <c r="BN201" s="8">
        <f>IF((0=1),SUM(C26:BN26),"")</f>
      </c>
      <c r="BO201" s="8">
        <f>IF((0=1),SUM(C26:BO26),"")</f>
      </c>
      <c r="BP201" s="8">
        <f>IF((0=1),SUM(C26:BP26),"")</f>
      </c>
      <c r="BQ201" s="8">
        <f>IF((0=1),SUM(C26:BQ26),"")</f>
      </c>
      <c r="BR201" s="8">
        <f>IF((0=1),SUM(C26:BR26),"")</f>
      </c>
      <c r="BS201" s="8">
        <f>IF((0=1),SUM(C26:BS26),"")</f>
      </c>
      <c r="BT201" s="8">
        <f>IF((0=1),SUM(C26:BT26),"")</f>
      </c>
      <c r="BU201" s="8">
        <f>IF((0=1),SUM(C26:BU26),"")</f>
      </c>
      <c r="BV201" s="8">
        <f>IF((0=1),SUM(C26:BV26),"")</f>
      </c>
      <c r="BW201" s="8">
        <f>IF((0=1),SUM(C26:BW26),"")</f>
      </c>
      <c r="BX201" s="8">
        <f>IF((0=1),SUM(C26:BX26),"")</f>
      </c>
      <c r="BY201" s="8">
        <f>IF((0=1),SUM(C26:BY26),"")</f>
      </c>
      <c r="BZ201" s="8">
        <f>IF((0=1),SUM(C26:BZ26),"")</f>
      </c>
      <c r="CA201" s="8">
        <f>IF((0=1),SUM(C26:CA26),"")</f>
      </c>
      <c r="CB201" s="8">
        <f>IF((0=1),SUM(C26:CB26),"")</f>
      </c>
      <c r="CC201" s="8">
        <f>IF((0=1),SUM(C26:CC26),"")</f>
      </c>
      <c r="CD201" s="8">
        <f>IF((0=1),SUM(C26:CD26),"")</f>
      </c>
      <c r="CE201" s="8">
        <f>IF((0=1),SUM(C26:CE26),"")</f>
      </c>
      <c r="CF201" s="8">
        <f>IF((0=1),SUM(C26:CF26),"")</f>
      </c>
      <c r="CG201" s="8">
        <f>IF((0=1),SUM(C26:CG26),"")</f>
      </c>
      <c r="CH201" s="8">
        <f>IF((0=1),SUM(C26:CH26),"")</f>
      </c>
      <c r="CI201" s="8">
        <f>IF((0=1),SUM(C26:CI26),"")</f>
      </c>
      <c r="CJ201" s="8">
        <f>IF((0=1),SUM(C26:CJ26),"")</f>
      </c>
      <c r="CK201" s="8">
        <f>IF((0=1),SUM(C26:CK26),"")</f>
      </c>
      <c r="CL201" s="8">
        <f>IF((0=1),SUM(C26:CL26),"")</f>
      </c>
      <c r="CM201" s="8">
        <f>IF((0=1),SUM(C26:CM26),"")</f>
      </c>
      <c r="CN201" s="8">
        <f>IF((0=1),SUM(C26:CN26),"")</f>
      </c>
      <c r="CO201" s="8">
        <f>IF((0=1),SUM(C26:CO26),"")</f>
      </c>
      <c r="CP201" s="8">
        <f>IF((0=1),SUM(C26:CP26),"")</f>
      </c>
      <c r="CQ201" s="8">
        <f>IF((0=1),SUM(C26:CQ26),"")</f>
      </c>
      <c r="CR201" s="8">
        <f>IF((0=1),SUM(C26:CR26),"")</f>
      </c>
      <c r="CS201" s="8">
        <f>IF((0=1),SUM(C26:CS26),"")</f>
      </c>
      <c r="CT201" s="8">
        <f>IF((0=1),SUM(C26:CT26),"")</f>
      </c>
      <c r="CU201" s="8">
        <f>IF((0=1),SUM(C26:CU26),"")</f>
      </c>
      <c r="CV201" s="8">
        <f>IF((0=1),SUM(C26:CV26),"")</f>
      </c>
      <c r="CW201" s="8">
        <f>IF((0=1),SUM(C26:CW26),"")</f>
      </c>
      <c r="CX201" s="8">
        <f>IF((0=1),SUM(C26:CX26),"")</f>
      </c>
    </row>
    <row r="202">
      <c r="A202" s="0" t="inlineStr">
        <is>
          <t xml:space="preserve">Cumulative sector-neutral excess, bps</t>
        </is>
      </c>
      <c r="B202" s="0" t="inlineStr">
        <is>
          <t xml:space="preserve">Random 11</t>
        </is>
      </c>
      <c r="C202" s="8">
        <f>IF((1=1),SUM(C27),"")</f>
        <v>13.888</v>
      </c>
      <c r="D202" s="8">
        <f>IF((0=1),SUM(C27:D27),"")</f>
      </c>
      <c r="E202" s="8">
        <f>IF((0=1),SUM(C27:E27),"")</f>
      </c>
      <c r="F202" s="8">
        <f>IF((0=1),SUM(C27:F27),"")</f>
      </c>
      <c r="G202" s="8">
        <f>IF((0=1),SUM(C27:G27),"")</f>
      </c>
      <c r="H202" s="8">
        <f>IF((0=1),SUM(C27:H27),"")</f>
      </c>
      <c r="I202" s="8">
        <f>IF((0=1),SUM(C27:I27),"")</f>
      </c>
      <c r="J202" s="8">
        <f>IF((0=1),SUM(C27:J27),"")</f>
      </c>
      <c r="K202" s="8">
        <f>IF((0=1),SUM(C27:K27),"")</f>
      </c>
      <c r="L202" s="8">
        <f>IF((0=1),SUM(C27:L27),"")</f>
      </c>
      <c r="M202" s="8">
        <f>IF((0=1),SUM(C27:M27),"")</f>
      </c>
      <c r="N202" s="8">
        <f>IF((0=1),SUM(C27:N27),"")</f>
      </c>
      <c r="O202" s="8">
        <f>IF((0=1),SUM(C27:O27),"")</f>
      </c>
      <c r="P202" s="8">
        <f>IF((0=1),SUM(C27:P27),"")</f>
      </c>
      <c r="Q202" s="8">
        <f>IF((0=1),SUM(C27:Q27),"")</f>
      </c>
      <c r="R202" s="8">
        <f>IF((0=1),SUM(C27:R27),"")</f>
      </c>
      <c r="S202" s="8">
        <f>IF((0=1),SUM(C27:S27),"")</f>
      </c>
      <c r="T202" s="8">
        <f>IF((0=1),SUM(C27:T27),"")</f>
      </c>
      <c r="U202" s="8">
        <f>IF((0=1),SUM(C27:U27),"")</f>
      </c>
      <c r="V202" s="8">
        <f>IF((0=1),SUM(C27:V27),"")</f>
      </c>
      <c r="W202" s="8">
        <f>IF((0=1),SUM(C27:W27),"")</f>
      </c>
      <c r="X202" s="8">
        <f>IF((0=1),SUM(C27:X27),"")</f>
      </c>
      <c r="Y202" s="8">
        <f>IF((0=1),SUM(C27:Y27),"")</f>
      </c>
      <c r="Z202" s="8">
        <f>IF((0=1),SUM(C27:Z27),"")</f>
      </c>
      <c r="AA202" s="8">
        <f>IF((0=1),SUM(C27:AA27),"")</f>
      </c>
      <c r="AB202" s="8">
        <f>IF((0=1),SUM(C27:AB27),"")</f>
      </c>
      <c r="AC202" s="8">
        <f>IF((0=1),SUM(C27:AC27),"")</f>
      </c>
      <c r="AD202" s="8">
        <f>IF((0=1),SUM(C27:AD27),"")</f>
      </c>
      <c r="AE202" s="8">
        <f>IF((0=1),SUM(C27:AE27),"")</f>
      </c>
      <c r="AF202" s="8">
        <f>IF((0=1),SUM(C27:AF27),"")</f>
      </c>
      <c r="AG202" s="8">
        <f>IF((0=1),SUM(C27:AG27),"")</f>
      </c>
      <c r="AH202" s="8">
        <f>IF((0=1),SUM(C27:AH27),"")</f>
      </c>
      <c r="AI202" s="8">
        <f>IF((0=1),SUM(C27:AI27),"")</f>
      </c>
      <c r="AJ202" s="8">
        <f>IF((0=1),SUM(C27:AJ27),"")</f>
      </c>
      <c r="AK202" s="8">
        <f>IF((0=1),SUM(C27:AK27),"")</f>
      </c>
      <c r="AL202" s="8">
        <f>IF((0=1),SUM(C27:AL27),"")</f>
      </c>
      <c r="AM202" s="8">
        <f>IF((0=1),SUM(C27:AM27),"")</f>
      </c>
      <c r="AN202" s="8">
        <f>IF((0=1),SUM(C27:AN27),"")</f>
      </c>
      <c r="AO202" s="8">
        <f>IF((0=1),SUM(C27:AO27),"")</f>
      </c>
      <c r="AP202" s="8">
        <f>IF((0=1),SUM(C27:AP27),"")</f>
      </c>
      <c r="AQ202" s="8">
        <f>IF((0=1),SUM(C27:AQ27),"")</f>
      </c>
      <c r="AR202" s="8">
        <f>IF((0=1),SUM(C27:AR27),"")</f>
      </c>
      <c r="AS202" s="8">
        <f>IF((0=1),SUM(C27:AS27),"")</f>
      </c>
      <c r="AT202" s="8">
        <f>IF((0=1),SUM(C27:AT27),"")</f>
      </c>
      <c r="AU202" s="8">
        <f>IF((0=1),SUM(C27:AU27),"")</f>
      </c>
      <c r="AV202" s="8">
        <f>IF((0=1),SUM(C27:AV27),"")</f>
      </c>
      <c r="AW202" s="8">
        <f>IF((0=1),SUM(C27:AW27),"")</f>
      </c>
      <c r="AX202" s="8">
        <f>IF((0=1),SUM(C27:AX27),"")</f>
      </c>
      <c r="AY202" s="8">
        <f>IF((0=1),SUM(C27:AY27),"")</f>
      </c>
      <c r="AZ202" s="8">
        <f>IF((0=1),SUM(C27:AZ27),"")</f>
      </c>
      <c r="BA202" s="8">
        <f>IF((0=1),SUM(C27:BA27),"")</f>
      </c>
      <c r="BB202" s="8">
        <f>IF((0=1),SUM(C27:BB27),"")</f>
      </c>
      <c r="BC202" s="8">
        <f>IF((0=1),SUM(C27:BC27),"")</f>
      </c>
      <c r="BD202" s="8">
        <f>IF((0=1),SUM(C27:BD27),"")</f>
      </c>
      <c r="BE202" s="8">
        <f>IF((0=1),SUM(C27:BE27),"")</f>
      </c>
      <c r="BF202" s="8">
        <f>IF((0=1),SUM(C27:BF27),"")</f>
      </c>
      <c r="BG202" s="8">
        <f>IF((0=1),SUM(C27:BG27),"")</f>
      </c>
      <c r="BH202" s="8">
        <f>IF((0=1),SUM(C27:BH27),"")</f>
      </c>
      <c r="BI202" s="8">
        <f>IF((0=1),SUM(C27:BI27),"")</f>
      </c>
      <c r="BJ202" s="8">
        <f>IF((0=1),SUM(C27:BJ27),"")</f>
      </c>
      <c r="BK202" s="8">
        <f>IF((0=1),SUM(C27:BK27),"")</f>
      </c>
      <c r="BL202" s="8">
        <f>IF((0=1),SUM(C27:BL27),"")</f>
      </c>
      <c r="BM202" s="8">
        <f>IF((0=1),SUM(C27:BM27),"")</f>
      </c>
      <c r="BN202" s="8">
        <f>IF((0=1),SUM(C27:BN27),"")</f>
      </c>
      <c r="BO202" s="8">
        <f>IF((0=1),SUM(C27:BO27),"")</f>
      </c>
      <c r="BP202" s="8">
        <f>IF((0=1),SUM(C27:BP27),"")</f>
      </c>
      <c r="BQ202" s="8">
        <f>IF((0=1),SUM(C27:BQ27),"")</f>
      </c>
      <c r="BR202" s="8">
        <f>IF((0=1),SUM(C27:BR27),"")</f>
      </c>
      <c r="BS202" s="8">
        <f>IF((0=1),SUM(C27:BS27),"")</f>
      </c>
      <c r="BT202" s="8">
        <f>IF((0=1),SUM(C27:BT27),"")</f>
      </c>
      <c r="BU202" s="8">
        <f>IF((0=1),SUM(C27:BU27),"")</f>
      </c>
      <c r="BV202" s="8">
        <f>IF((0=1),SUM(C27:BV27),"")</f>
      </c>
      <c r="BW202" s="8">
        <f>IF((0=1),SUM(C27:BW27),"")</f>
      </c>
      <c r="BX202" s="8">
        <f>IF((0=1),SUM(C27:BX27),"")</f>
      </c>
      <c r="BY202" s="8">
        <f>IF((0=1),SUM(C27:BY27),"")</f>
      </c>
      <c r="BZ202" s="8">
        <f>IF((0=1),SUM(C27:BZ27),"")</f>
      </c>
      <c r="CA202" s="8">
        <f>IF((0=1),SUM(C27:CA27),"")</f>
      </c>
      <c r="CB202" s="8">
        <f>IF((0=1),SUM(C27:CB27),"")</f>
      </c>
      <c r="CC202" s="8">
        <f>IF((0=1),SUM(C27:CC27),"")</f>
      </c>
      <c r="CD202" s="8">
        <f>IF((0=1),SUM(C27:CD27),"")</f>
      </c>
      <c r="CE202" s="8">
        <f>IF((0=1),SUM(C27:CE27),"")</f>
      </c>
      <c r="CF202" s="8">
        <f>IF((0=1),SUM(C27:CF27),"")</f>
      </c>
      <c r="CG202" s="8">
        <f>IF((0=1),SUM(C27:CG27),"")</f>
      </c>
      <c r="CH202" s="8">
        <f>IF((0=1),SUM(C27:CH27),"")</f>
      </c>
      <c r="CI202" s="8">
        <f>IF((0=1),SUM(C27:CI27),"")</f>
      </c>
      <c r="CJ202" s="8">
        <f>IF((0=1),SUM(C27:CJ27),"")</f>
      </c>
      <c r="CK202" s="8">
        <f>IF((0=1),SUM(C27:CK27),"")</f>
      </c>
      <c r="CL202" s="8">
        <f>IF((0=1),SUM(C27:CL27),"")</f>
      </c>
      <c r="CM202" s="8">
        <f>IF((0=1),SUM(C27:CM27),"")</f>
      </c>
      <c r="CN202" s="8">
        <f>IF((0=1),SUM(C27:CN27),"")</f>
      </c>
      <c r="CO202" s="8">
        <f>IF((0=1),SUM(C27:CO27),"")</f>
      </c>
      <c r="CP202" s="8">
        <f>IF((0=1),SUM(C27:CP27),"")</f>
      </c>
      <c r="CQ202" s="8">
        <f>IF((0=1),SUM(C27:CQ27),"")</f>
      </c>
      <c r="CR202" s="8">
        <f>IF((0=1),SUM(C27:CR27),"")</f>
      </c>
      <c r="CS202" s="8">
        <f>IF((0=1),SUM(C27:CS27),"")</f>
      </c>
      <c r="CT202" s="8">
        <f>IF((0=1),SUM(C27:CT27),"")</f>
      </c>
      <c r="CU202" s="8">
        <f>IF((0=1),SUM(C27:CU27),"")</f>
      </c>
      <c r="CV202" s="8">
        <f>IF((0=1),SUM(C27:CV27),"")</f>
      </c>
      <c r="CW202" s="8">
        <f>IF((0=1),SUM(C27:CW27),"")</f>
      </c>
      <c r="CX202" s="8">
        <f>IF((0=1),SUM(C27:CX27),"")</f>
      </c>
    </row>
    <row r="203">
      <c r="A203" s="0" t="inlineStr">
        <is>
          <t xml:space="preserve">Cumulative sector-neutral excess, bps</t>
        </is>
      </c>
      <c r="B203" s="0" t="inlineStr">
        <is>
          <t xml:space="preserve">Random 12</t>
        </is>
      </c>
      <c r="C203" s="8">
        <f>IF((1=1),SUM(C28),"")</f>
        <v>-0.503</v>
      </c>
      <c r="D203" s="8">
        <f>IF((0=1),SUM(C28:D28),"")</f>
      </c>
      <c r="E203" s="8">
        <f>IF((0=1),SUM(C28:E28),"")</f>
      </c>
      <c r="F203" s="8">
        <f>IF((0=1),SUM(C28:F28),"")</f>
      </c>
      <c r="G203" s="8">
        <f>IF((0=1),SUM(C28:G28),"")</f>
      </c>
      <c r="H203" s="8">
        <f>IF((0=1),SUM(C28:H28),"")</f>
      </c>
      <c r="I203" s="8">
        <f>IF((0=1),SUM(C28:I28),"")</f>
      </c>
      <c r="J203" s="8">
        <f>IF((0=1),SUM(C28:J28),"")</f>
      </c>
      <c r="K203" s="8">
        <f>IF((0=1),SUM(C28:K28),"")</f>
      </c>
      <c r="L203" s="8">
        <f>IF((0=1),SUM(C28:L28),"")</f>
      </c>
      <c r="M203" s="8">
        <f>IF((0=1),SUM(C28:M28),"")</f>
      </c>
      <c r="N203" s="8">
        <f>IF((0=1),SUM(C28:N28),"")</f>
      </c>
      <c r="O203" s="8">
        <f>IF((0=1),SUM(C28:O28),"")</f>
      </c>
      <c r="P203" s="8">
        <f>IF((0=1),SUM(C28:P28),"")</f>
      </c>
      <c r="Q203" s="8">
        <f>IF((0=1),SUM(C28:Q28),"")</f>
      </c>
      <c r="R203" s="8">
        <f>IF((0=1),SUM(C28:R28),"")</f>
      </c>
      <c r="S203" s="8">
        <f>IF((0=1),SUM(C28:S28),"")</f>
      </c>
      <c r="T203" s="8">
        <f>IF((0=1),SUM(C28:T28),"")</f>
      </c>
      <c r="U203" s="8">
        <f>IF((0=1),SUM(C28:U28),"")</f>
      </c>
      <c r="V203" s="8">
        <f>IF((0=1),SUM(C28:V28),"")</f>
      </c>
      <c r="W203" s="8">
        <f>IF((0=1),SUM(C28:W28),"")</f>
      </c>
      <c r="X203" s="8">
        <f>IF((0=1),SUM(C28:X28),"")</f>
      </c>
      <c r="Y203" s="8">
        <f>IF((0=1),SUM(C28:Y28),"")</f>
      </c>
      <c r="Z203" s="8">
        <f>IF((0=1),SUM(C28:Z28),"")</f>
      </c>
      <c r="AA203" s="8">
        <f>IF((0=1),SUM(C28:AA28),"")</f>
      </c>
      <c r="AB203" s="8">
        <f>IF((0=1),SUM(C28:AB28),"")</f>
      </c>
      <c r="AC203" s="8">
        <f>IF((0=1),SUM(C28:AC28),"")</f>
      </c>
      <c r="AD203" s="8">
        <f>IF((0=1),SUM(C28:AD28),"")</f>
      </c>
      <c r="AE203" s="8">
        <f>IF((0=1),SUM(C28:AE28),"")</f>
      </c>
      <c r="AF203" s="8">
        <f>IF((0=1),SUM(C28:AF28),"")</f>
      </c>
      <c r="AG203" s="8">
        <f>IF((0=1),SUM(C28:AG28),"")</f>
      </c>
      <c r="AH203" s="8">
        <f>IF((0=1),SUM(C28:AH28),"")</f>
      </c>
      <c r="AI203" s="8">
        <f>IF((0=1),SUM(C28:AI28),"")</f>
      </c>
      <c r="AJ203" s="8">
        <f>IF((0=1),SUM(C28:AJ28),"")</f>
      </c>
      <c r="AK203" s="8">
        <f>IF((0=1),SUM(C28:AK28),"")</f>
      </c>
      <c r="AL203" s="8">
        <f>IF((0=1),SUM(C28:AL28),"")</f>
      </c>
      <c r="AM203" s="8">
        <f>IF((0=1),SUM(C28:AM28),"")</f>
      </c>
      <c r="AN203" s="8">
        <f>IF((0=1),SUM(C28:AN28),"")</f>
      </c>
      <c r="AO203" s="8">
        <f>IF((0=1),SUM(C28:AO28),"")</f>
      </c>
      <c r="AP203" s="8">
        <f>IF((0=1),SUM(C28:AP28),"")</f>
      </c>
      <c r="AQ203" s="8">
        <f>IF((0=1),SUM(C28:AQ28),"")</f>
      </c>
      <c r="AR203" s="8">
        <f>IF((0=1),SUM(C28:AR28),"")</f>
      </c>
      <c r="AS203" s="8">
        <f>IF((0=1),SUM(C28:AS28),"")</f>
      </c>
      <c r="AT203" s="8">
        <f>IF((0=1),SUM(C28:AT28),"")</f>
      </c>
      <c r="AU203" s="8">
        <f>IF((0=1),SUM(C28:AU28),"")</f>
      </c>
      <c r="AV203" s="8">
        <f>IF((0=1),SUM(C28:AV28),"")</f>
      </c>
      <c r="AW203" s="8">
        <f>IF((0=1),SUM(C28:AW28),"")</f>
      </c>
      <c r="AX203" s="8">
        <f>IF((0=1),SUM(C28:AX28),"")</f>
      </c>
      <c r="AY203" s="8">
        <f>IF((0=1),SUM(C28:AY28),"")</f>
      </c>
      <c r="AZ203" s="8">
        <f>IF((0=1),SUM(C28:AZ28),"")</f>
      </c>
      <c r="BA203" s="8">
        <f>IF((0=1),SUM(C28:BA28),"")</f>
      </c>
      <c r="BB203" s="8">
        <f>IF((0=1),SUM(C28:BB28),"")</f>
      </c>
      <c r="BC203" s="8">
        <f>IF((0=1),SUM(C28:BC28),"")</f>
      </c>
      <c r="BD203" s="8">
        <f>IF((0=1),SUM(C28:BD28),"")</f>
      </c>
      <c r="BE203" s="8">
        <f>IF((0=1),SUM(C28:BE28),"")</f>
      </c>
      <c r="BF203" s="8">
        <f>IF((0=1),SUM(C28:BF28),"")</f>
      </c>
      <c r="BG203" s="8">
        <f>IF((0=1),SUM(C28:BG28),"")</f>
      </c>
      <c r="BH203" s="8">
        <f>IF((0=1),SUM(C28:BH28),"")</f>
      </c>
      <c r="BI203" s="8">
        <f>IF((0=1),SUM(C28:BI28),"")</f>
      </c>
      <c r="BJ203" s="8">
        <f>IF((0=1),SUM(C28:BJ28),"")</f>
      </c>
      <c r="BK203" s="8">
        <f>IF((0=1),SUM(C28:BK28),"")</f>
      </c>
      <c r="BL203" s="8">
        <f>IF((0=1),SUM(C28:BL28),"")</f>
      </c>
      <c r="BM203" s="8">
        <f>IF((0=1),SUM(C28:BM28),"")</f>
      </c>
      <c r="BN203" s="8">
        <f>IF((0=1),SUM(C28:BN28),"")</f>
      </c>
      <c r="BO203" s="8">
        <f>IF((0=1),SUM(C28:BO28),"")</f>
      </c>
      <c r="BP203" s="8">
        <f>IF((0=1),SUM(C28:BP28),"")</f>
      </c>
      <c r="BQ203" s="8">
        <f>IF((0=1),SUM(C28:BQ28),"")</f>
      </c>
      <c r="BR203" s="8">
        <f>IF((0=1),SUM(C28:BR28),"")</f>
      </c>
      <c r="BS203" s="8">
        <f>IF((0=1),SUM(C28:BS28),"")</f>
      </c>
      <c r="BT203" s="8">
        <f>IF((0=1),SUM(C28:BT28),"")</f>
      </c>
      <c r="BU203" s="8">
        <f>IF((0=1),SUM(C28:BU28),"")</f>
      </c>
      <c r="BV203" s="8">
        <f>IF((0=1),SUM(C28:BV28),"")</f>
      </c>
      <c r="BW203" s="8">
        <f>IF((0=1),SUM(C28:BW28),"")</f>
      </c>
      <c r="BX203" s="8">
        <f>IF((0=1),SUM(C28:BX28),"")</f>
      </c>
      <c r="BY203" s="8">
        <f>IF((0=1),SUM(C28:BY28),"")</f>
      </c>
      <c r="BZ203" s="8">
        <f>IF((0=1),SUM(C28:BZ28),"")</f>
      </c>
      <c r="CA203" s="8">
        <f>IF((0=1),SUM(C28:CA28),"")</f>
      </c>
      <c r="CB203" s="8">
        <f>IF((0=1),SUM(C28:CB28),"")</f>
      </c>
      <c r="CC203" s="8">
        <f>IF((0=1),SUM(C28:CC28),"")</f>
      </c>
      <c r="CD203" s="8">
        <f>IF((0=1),SUM(C28:CD28),"")</f>
      </c>
      <c r="CE203" s="8">
        <f>IF((0=1),SUM(C28:CE28),"")</f>
      </c>
      <c r="CF203" s="8">
        <f>IF((0=1),SUM(C28:CF28),"")</f>
      </c>
      <c r="CG203" s="8">
        <f>IF((0=1),SUM(C28:CG28),"")</f>
      </c>
      <c r="CH203" s="8">
        <f>IF((0=1),SUM(C28:CH28),"")</f>
      </c>
      <c r="CI203" s="8">
        <f>IF((0=1),SUM(C28:CI28),"")</f>
      </c>
      <c r="CJ203" s="8">
        <f>IF((0=1),SUM(C28:CJ28),"")</f>
      </c>
      <c r="CK203" s="8">
        <f>IF((0=1),SUM(C28:CK28),"")</f>
      </c>
      <c r="CL203" s="8">
        <f>IF((0=1),SUM(C28:CL28),"")</f>
      </c>
      <c r="CM203" s="8">
        <f>IF((0=1),SUM(C28:CM28),"")</f>
      </c>
      <c r="CN203" s="8">
        <f>IF((0=1),SUM(C28:CN28),"")</f>
      </c>
      <c r="CO203" s="8">
        <f>IF((0=1),SUM(C28:CO28),"")</f>
      </c>
      <c r="CP203" s="8">
        <f>IF((0=1),SUM(C28:CP28),"")</f>
      </c>
      <c r="CQ203" s="8">
        <f>IF((0=1),SUM(C28:CQ28),"")</f>
      </c>
      <c r="CR203" s="8">
        <f>IF((0=1),SUM(C28:CR28),"")</f>
      </c>
      <c r="CS203" s="8">
        <f>IF((0=1),SUM(C28:CS28),"")</f>
      </c>
      <c r="CT203" s="8">
        <f>IF((0=1),SUM(C28:CT28),"")</f>
      </c>
      <c r="CU203" s="8">
        <f>IF((0=1),SUM(C28:CU28),"")</f>
      </c>
      <c r="CV203" s="8">
        <f>IF((0=1),SUM(C28:CV28),"")</f>
      </c>
      <c r="CW203" s="8">
        <f>IF((0=1),SUM(C28:CW28),"")</f>
      </c>
      <c r="CX203" s="8">
        <f>IF((0=1),SUM(C28:CX28),"")</f>
      </c>
    </row>
    <row r="204">
      <c r="A204" s="0" t="inlineStr">
        <is>
          <t xml:space="preserve">Cumulative sector-neutral excess, bps</t>
        </is>
      </c>
      <c r="B204" s="0" t="inlineStr">
        <is>
          <t xml:space="preserve">Random 13</t>
        </is>
      </c>
      <c r="C204" s="8">
        <f>IF((1=1),SUM(C29),"")</f>
        <v>-8.316</v>
      </c>
      <c r="D204" s="8">
        <f>IF((0=1),SUM(C29:D29),"")</f>
      </c>
      <c r="E204" s="8">
        <f>IF((0=1),SUM(C29:E29),"")</f>
      </c>
      <c r="F204" s="8">
        <f>IF((0=1),SUM(C29:F29),"")</f>
      </c>
      <c r="G204" s="8">
        <f>IF((0=1),SUM(C29:G29),"")</f>
      </c>
      <c r="H204" s="8">
        <f>IF((0=1),SUM(C29:H29),"")</f>
      </c>
      <c r="I204" s="8">
        <f>IF((0=1),SUM(C29:I29),"")</f>
      </c>
      <c r="J204" s="8">
        <f>IF((0=1),SUM(C29:J29),"")</f>
      </c>
      <c r="K204" s="8">
        <f>IF((0=1),SUM(C29:K29),"")</f>
      </c>
      <c r="L204" s="8">
        <f>IF((0=1),SUM(C29:L29),"")</f>
      </c>
      <c r="M204" s="8">
        <f>IF((0=1),SUM(C29:M29),"")</f>
      </c>
      <c r="N204" s="8">
        <f>IF((0=1),SUM(C29:N29),"")</f>
      </c>
      <c r="O204" s="8">
        <f>IF((0=1),SUM(C29:O29),"")</f>
      </c>
      <c r="P204" s="8">
        <f>IF((0=1),SUM(C29:P29),"")</f>
      </c>
      <c r="Q204" s="8">
        <f>IF((0=1),SUM(C29:Q29),"")</f>
      </c>
      <c r="R204" s="8">
        <f>IF((0=1),SUM(C29:R29),"")</f>
      </c>
      <c r="S204" s="8">
        <f>IF((0=1),SUM(C29:S29),"")</f>
      </c>
      <c r="T204" s="8">
        <f>IF((0=1),SUM(C29:T29),"")</f>
      </c>
      <c r="U204" s="8">
        <f>IF((0=1),SUM(C29:U29),"")</f>
      </c>
      <c r="V204" s="8">
        <f>IF((0=1),SUM(C29:V29),"")</f>
      </c>
      <c r="W204" s="8">
        <f>IF((0=1),SUM(C29:W29),"")</f>
      </c>
      <c r="X204" s="8">
        <f>IF((0=1),SUM(C29:X29),"")</f>
      </c>
      <c r="Y204" s="8">
        <f>IF((0=1),SUM(C29:Y29),"")</f>
      </c>
      <c r="Z204" s="8">
        <f>IF((0=1),SUM(C29:Z29),"")</f>
      </c>
      <c r="AA204" s="8">
        <f>IF((0=1),SUM(C29:AA29),"")</f>
      </c>
      <c r="AB204" s="8">
        <f>IF((0=1),SUM(C29:AB29),"")</f>
      </c>
      <c r="AC204" s="8">
        <f>IF((0=1),SUM(C29:AC29),"")</f>
      </c>
      <c r="AD204" s="8">
        <f>IF((0=1),SUM(C29:AD29),"")</f>
      </c>
      <c r="AE204" s="8">
        <f>IF((0=1),SUM(C29:AE29),"")</f>
      </c>
      <c r="AF204" s="8">
        <f>IF((0=1),SUM(C29:AF29),"")</f>
      </c>
      <c r="AG204" s="8">
        <f>IF((0=1),SUM(C29:AG29),"")</f>
      </c>
      <c r="AH204" s="8">
        <f>IF((0=1),SUM(C29:AH29),"")</f>
      </c>
      <c r="AI204" s="8">
        <f>IF((0=1),SUM(C29:AI29),"")</f>
      </c>
      <c r="AJ204" s="8">
        <f>IF((0=1),SUM(C29:AJ29),"")</f>
      </c>
      <c r="AK204" s="8">
        <f>IF((0=1),SUM(C29:AK29),"")</f>
      </c>
      <c r="AL204" s="8">
        <f>IF((0=1),SUM(C29:AL29),"")</f>
      </c>
      <c r="AM204" s="8">
        <f>IF((0=1),SUM(C29:AM29),"")</f>
      </c>
      <c r="AN204" s="8">
        <f>IF((0=1),SUM(C29:AN29),"")</f>
      </c>
      <c r="AO204" s="8">
        <f>IF((0=1),SUM(C29:AO29),"")</f>
      </c>
      <c r="AP204" s="8">
        <f>IF((0=1),SUM(C29:AP29),"")</f>
      </c>
      <c r="AQ204" s="8">
        <f>IF((0=1),SUM(C29:AQ29),"")</f>
      </c>
      <c r="AR204" s="8">
        <f>IF((0=1),SUM(C29:AR29),"")</f>
      </c>
      <c r="AS204" s="8">
        <f>IF((0=1),SUM(C29:AS29),"")</f>
      </c>
      <c r="AT204" s="8">
        <f>IF((0=1),SUM(C29:AT29),"")</f>
      </c>
      <c r="AU204" s="8">
        <f>IF((0=1),SUM(C29:AU29),"")</f>
      </c>
      <c r="AV204" s="8">
        <f>IF((0=1),SUM(C29:AV29),"")</f>
      </c>
      <c r="AW204" s="8">
        <f>IF((0=1),SUM(C29:AW29),"")</f>
      </c>
      <c r="AX204" s="8">
        <f>IF((0=1),SUM(C29:AX29),"")</f>
      </c>
      <c r="AY204" s="8">
        <f>IF((0=1),SUM(C29:AY29),"")</f>
      </c>
      <c r="AZ204" s="8">
        <f>IF((0=1),SUM(C29:AZ29),"")</f>
      </c>
      <c r="BA204" s="8">
        <f>IF((0=1),SUM(C29:BA29),"")</f>
      </c>
      <c r="BB204" s="8">
        <f>IF((0=1),SUM(C29:BB29),"")</f>
      </c>
      <c r="BC204" s="8">
        <f>IF((0=1),SUM(C29:BC29),"")</f>
      </c>
      <c r="BD204" s="8">
        <f>IF((0=1),SUM(C29:BD29),"")</f>
      </c>
      <c r="BE204" s="8">
        <f>IF((0=1),SUM(C29:BE29),"")</f>
      </c>
      <c r="BF204" s="8">
        <f>IF((0=1),SUM(C29:BF29),"")</f>
      </c>
      <c r="BG204" s="8">
        <f>IF((0=1),SUM(C29:BG29),"")</f>
      </c>
      <c r="BH204" s="8">
        <f>IF((0=1),SUM(C29:BH29),"")</f>
      </c>
      <c r="BI204" s="8">
        <f>IF((0=1),SUM(C29:BI29),"")</f>
      </c>
      <c r="BJ204" s="8">
        <f>IF((0=1),SUM(C29:BJ29),"")</f>
      </c>
      <c r="BK204" s="8">
        <f>IF((0=1),SUM(C29:BK29),"")</f>
      </c>
      <c r="BL204" s="8">
        <f>IF((0=1),SUM(C29:BL29),"")</f>
      </c>
      <c r="BM204" s="8">
        <f>IF((0=1),SUM(C29:BM29),"")</f>
      </c>
      <c r="BN204" s="8">
        <f>IF((0=1),SUM(C29:BN29),"")</f>
      </c>
      <c r="BO204" s="8">
        <f>IF((0=1),SUM(C29:BO29),"")</f>
      </c>
      <c r="BP204" s="8">
        <f>IF((0=1),SUM(C29:BP29),"")</f>
      </c>
      <c r="BQ204" s="8">
        <f>IF((0=1),SUM(C29:BQ29),"")</f>
      </c>
      <c r="BR204" s="8">
        <f>IF((0=1),SUM(C29:BR29),"")</f>
      </c>
      <c r="BS204" s="8">
        <f>IF((0=1),SUM(C29:BS29),"")</f>
      </c>
      <c r="BT204" s="8">
        <f>IF((0=1),SUM(C29:BT29),"")</f>
      </c>
      <c r="BU204" s="8">
        <f>IF((0=1),SUM(C29:BU29),"")</f>
      </c>
      <c r="BV204" s="8">
        <f>IF((0=1),SUM(C29:BV29),"")</f>
      </c>
      <c r="BW204" s="8">
        <f>IF((0=1),SUM(C29:BW29),"")</f>
      </c>
      <c r="BX204" s="8">
        <f>IF((0=1),SUM(C29:BX29),"")</f>
      </c>
      <c r="BY204" s="8">
        <f>IF((0=1),SUM(C29:BY29),"")</f>
      </c>
      <c r="BZ204" s="8">
        <f>IF((0=1),SUM(C29:BZ29),"")</f>
      </c>
      <c r="CA204" s="8">
        <f>IF((0=1),SUM(C29:CA29),"")</f>
      </c>
      <c r="CB204" s="8">
        <f>IF((0=1),SUM(C29:CB29),"")</f>
      </c>
      <c r="CC204" s="8">
        <f>IF((0=1),SUM(C29:CC29),"")</f>
      </c>
      <c r="CD204" s="8">
        <f>IF((0=1),SUM(C29:CD29),"")</f>
      </c>
      <c r="CE204" s="8">
        <f>IF((0=1),SUM(C29:CE29),"")</f>
      </c>
      <c r="CF204" s="8">
        <f>IF((0=1),SUM(C29:CF29),"")</f>
      </c>
      <c r="CG204" s="8">
        <f>IF((0=1),SUM(C29:CG29),"")</f>
      </c>
      <c r="CH204" s="8">
        <f>IF((0=1),SUM(C29:CH29),"")</f>
      </c>
      <c r="CI204" s="8">
        <f>IF((0=1),SUM(C29:CI29),"")</f>
      </c>
      <c r="CJ204" s="8">
        <f>IF((0=1),SUM(C29:CJ29),"")</f>
      </c>
      <c r="CK204" s="8">
        <f>IF((0=1),SUM(C29:CK29),"")</f>
      </c>
      <c r="CL204" s="8">
        <f>IF((0=1),SUM(C29:CL29),"")</f>
      </c>
      <c r="CM204" s="8">
        <f>IF((0=1),SUM(C29:CM29),"")</f>
      </c>
      <c r="CN204" s="8">
        <f>IF((0=1),SUM(C29:CN29),"")</f>
      </c>
      <c r="CO204" s="8">
        <f>IF((0=1),SUM(C29:CO29),"")</f>
      </c>
      <c r="CP204" s="8">
        <f>IF((0=1),SUM(C29:CP29),"")</f>
      </c>
      <c r="CQ204" s="8">
        <f>IF((0=1),SUM(C29:CQ29),"")</f>
      </c>
      <c r="CR204" s="8">
        <f>IF((0=1),SUM(C29:CR29),"")</f>
      </c>
      <c r="CS204" s="8">
        <f>IF((0=1),SUM(C29:CS29),"")</f>
      </c>
      <c r="CT204" s="8">
        <f>IF((0=1),SUM(C29:CT29),"")</f>
      </c>
      <c r="CU204" s="8">
        <f>IF((0=1),SUM(C29:CU29),"")</f>
      </c>
      <c r="CV204" s="8">
        <f>IF((0=1),SUM(C29:CV29),"")</f>
      </c>
      <c r="CW204" s="8">
        <f>IF((0=1),SUM(C29:CW29),"")</f>
      </c>
      <c r="CX204" s="8">
        <f>IF((0=1),SUM(C29:CX29),"")</f>
      </c>
    </row>
    <row r="205">
      <c r="A205" s="0" t="inlineStr">
        <is>
          <t xml:space="preserve">Cumulative sector-neutral excess, bps</t>
        </is>
      </c>
      <c r="B205" s="0" t="inlineStr">
        <is>
          <t xml:space="preserve">Random 14</t>
        </is>
      </c>
      <c r="C205" s="8">
        <f>IF((1=1),SUM(C30),"")</f>
        <v>1.692</v>
      </c>
      <c r="D205" s="8">
        <f>IF((0=1),SUM(C30:D30),"")</f>
      </c>
      <c r="E205" s="8">
        <f>IF((0=1),SUM(C30:E30),"")</f>
      </c>
      <c r="F205" s="8">
        <f>IF((0=1),SUM(C30:F30),"")</f>
      </c>
      <c r="G205" s="8">
        <f>IF((0=1),SUM(C30:G30),"")</f>
      </c>
      <c r="H205" s="8">
        <f>IF((0=1),SUM(C30:H30),"")</f>
      </c>
      <c r="I205" s="8">
        <f>IF((0=1),SUM(C30:I30),"")</f>
      </c>
      <c r="J205" s="8">
        <f>IF((0=1),SUM(C30:J30),"")</f>
      </c>
      <c r="K205" s="8">
        <f>IF((0=1),SUM(C30:K30),"")</f>
      </c>
      <c r="L205" s="8">
        <f>IF((0=1),SUM(C30:L30),"")</f>
      </c>
      <c r="M205" s="8">
        <f>IF((0=1),SUM(C30:M30),"")</f>
      </c>
      <c r="N205" s="8">
        <f>IF((0=1),SUM(C30:N30),"")</f>
      </c>
      <c r="O205" s="8">
        <f>IF((0=1),SUM(C30:O30),"")</f>
      </c>
      <c r="P205" s="8">
        <f>IF((0=1),SUM(C30:P30),"")</f>
      </c>
      <c r="Q205" s="8">
        <f>IF((0=1),SUM(C30:Q30),"")</f>
      </c>
      <c r="R205" s="8">
        <f>IF((0=1),SUM(C30:R30),"")</f>
      </c>
      <c r="S205" s="8">
        <f>IF((0=1),SUM(C30:S30),"")</f>
      </c>
      <c r="T205" s="8">
        <f>IF((0=1),SUM(C30:T30),"")</f>
      </c>
      <c r="U205" s="8">
        <f>IF((0=1),SUM(C30:U30),"")</f>
      </c>
      <c r="V205" s="8">
        <f>IF((0=1),SUM(C30:V30),"")</f>
      </c>
      <c r="W205" s="8">
        <f>IF((0=1),SUM(C30:W30),"")</f>
      </c>
      <c r="X205" s="8">
        <f>IF((0=1),SUM(C30:X30),"")</f>
      </c>
      <c r="Y205" s="8">
        <f>IF((0=1),SUM(C30:Y30),"")</f>
      </c>
      <c r="Z205" s="8">
        <f>IF((0=1),SUM(C30:Z30),"")</f>
      </c>
      <c r="AA205" s="8">
        <f>IF((0=1),SUM(C30:AA30),"")</f>
      </c>
      <c r="AB205" s="8">
        <f>IF((0=1),SUM(C30:AB30),"")</f>
      </c>
      <c r="AC205" s="8">
        <f>IF((0=1),SUM(C30:AC30),"")</f>
      </c>
      <c r="AD205" s="8">
        <f>IF((0=1),SUM(C30:AD30),"")</f>
      </c>
      <c r="AE205" s="8">
        <f>IF((0=1),SUM(C30:AE30),"")</f>
      </c>
      <c r="AF205" s="8">
        <f>IF((0=1),SUM(C30:AF30),"")</f>
      </c>
      <c r="AG205" s="8">
        <f>IF((0=1),SUM(C30:AG30),"")</f>
      </c>
      <c r="AH205" s="8">
        <f>IF((0=1),SUM(C30:AH30),"")</f>
      </c>
      <c r="AI205" s="8">
        <f>IF((0=1),SUM(C30:AI30),"")</f>
      </c>
      <c r="AJ205" s="8">
        <f>IF((0=1),SUM(C30:AJ30),"")</f>
      </c>
      <c r="AK205" s="8">
        <f>IF((0=1),SUM(C30:AK30),"")</f>
      </c>
      <c r="AL205" s="8">
        <f>IF((0=1),SUM(C30:AL30),"")</f>
      </c>
      <c r="AM205" s="8">
        <f>IF((0=1),SUM(C30:AM30),"")</f>
      </c>
      <c r="AN205" s="8">
        <f>IF((0=1),SUM(C30:AN30),"")</f>
      </c>
      <c r="AO205" s="8">
        <f>IF((0=1),SUM(C30:AO30),"")</f>
      </c>
      <c r="AP205" s="8">
        <f>IF((0=1),SUM(C30:AP30),"")</f>
      </c>
      <c r="AQ205" s="8">
        <f>IF((0=1),SUM(C30:AQ30),"")</f>
      </c>
      <c r="AR205" s="8">
        <f>IF((0=1),SUM(C30:AR30),"")</f>
      </c>
      <c r="AS205" s="8">
        <f>IF((0=1),SUM(C30:AS30),"")</f>
      </c>
      <c r="AT205" s="8">
        <f>IF((0=1),SUM(C30:AT30),"")</f>
      </c>
      <c r="AU205" s="8">
        <f>IF((0=1),SUM(C30:AU30),"")</f>
      </c>
      <c r="AV205" s="8">
        <f>IF((0=1),SUM(C30:AV30),"")</f>
      </c>
      <c r="AW205" s="8">
        <f>IF((0=1),SUM(C30:AW30),"")</f>
      </c>
      <c r="AX205" s="8">
        <f>IF((0=1),SUM(C30:AX30),"")</f>
      </c>
      <c r="AY205" s="8">
        <f>IF((0=1),SUM(C30:AY30),"")</f>
      </c>
      <c r="AZ205" s="8">
        <f>IF((0=1),SUM(C30:AZ30),"")</f>
      </c>
      <c r="BA205" s="8">
        <f>IF((0=1),SUM(C30:BA30),"")</f>
      </c>
      <c r="BB205" s="8">
        <f>IF((0=1),SUM(C30:BB30),"")</f>
      </c>
      <c r="BC205" s="8">
        <f>IF((0=1),SUM(C30:BC30),"")</f>
      </c>
      <c r="BD205" s="8">
        <f>IF((0=1),SUM(C30:BD30),"")</f>
      </c>
      <c r="BE205" s="8">
        <f>IF((0=1),SUM(C30:BE30),"")</f>
      </c>
      <c r="BF205" s="8">
        <f>IF((0=1),SUM(C30:BF30),"")</f>
      </c>
      <c r="BG205" s="8">
        <f>IF((0=1),SUM(C30:BG30),"")</f>
      </c>
      <c r="BH205" s="8">
        <f>IF((0=1),SUM(C30:BH30),"")</f>
      </c>
      <c r="BI205" s="8">
        <f>IF((0=1),SUM(C30:BI30),"")</f>
      </c>
      <c r="BJ205" s="8">
        <f>IF((0=1),SUM(C30:BJ30),"")</f>
      </c>
      <c r="BK205" s="8">
        <f>IF((0=1),SUM(C30:BK30),"")</f>
      </c>
      <c r="BL205" s="8">
        <f>IF((0=1),SUM(C30:BL30),"")</f>
      </c>
      <c r="BM205" s="8">
        <f>IF((0=1),SUM(C30:BM30),"")</f>
      </c>
      <c r="BN205" s="8">
        <f>IF((0=1),SUM(C30:BN30),"")</f>
      </c>
      <c r="BO205" s="8">
        <f>IF((0=1),SUM(C30:BO30),"")</f>
      </c>
      <c r="BP205" s="8">
        <f>IF((0=1),SUM(C30:BP30),"")</f>
      </c>
      <c r="BQ205" s="8">
        <f>IF((0=1),SUM(C30:BQ30),"")</f>
      </c>
      <c r="BR205" s="8">
        <f>IF((0=1),SUM(C30:BR30),"")</f>
      </c>
      <c r="BS205" s="8">
        <f>IF((0=1),SUM(C30:BS30),"")</f>
      </c>
      <c r="BT205" s="8">
        <f>IF((0=1),SUM(C30:BT30),"")</f>
      </c>
      <c r="BU205" s="8">
        <f>IF((0=1),SUM(C30:BU30),"")</f>
      </c>
      <c r="BV205" s="8">
        <f>IF((0=1),SUM(C30:BV30),"")</f>
      </c>
      <c r="BW205" s="8">
        <f>IF((0=1),SUM(C30:BW30),"")</f>
      </c>
      <c r="BX205" s="8">
        <f>IF((0=1),SUM(C30:BX30),"")</f>
      </c>
      <c r="BY205" s="8">
        <f>IF((0=1),SUM(C30:BY30),"")</f>
      </c>
      <c r="BZ205" s="8">
        <f>IF((0=1),SUM(C30:BZ30),"")</f>
      </c>
      <c r="CA205" s="8">
        <f>IF((0=1),SUM(C30:CA30),"")</f>
      </c>
      <c r="CB205" s="8">
        <f>IF((0=1),SUM(C30:CB30),"")</f>
      </c>
      <c r="CC205" s="8">
        <f>IF((0=1),SUM(C30:CC30),"")</f>
      </c>
      <c r="CD205" s="8">
        <f>IF((0=1),SUM(C30:CD30),"")</f>
      </c>
      <c r="CE205" s="8">
        <f>IF((0=1),SUM(C30:CE30),"")</f>
      </c>
      <c r="CF205" s="8">
        <f>IF((0=1),SUM(C30:CF30),"")</f>
      </c>
      <c r="CG205" s="8">
        <f>IF((0=1),SUM(C30:CG30),"")</f>
      </c>
      <c r="CH205" s="8">
        <f>IF((0=1),SUM(C30:CH30),"")</f>
      </c>
      <c r="CI205" s="8">
        <f>IF((0=1),SUM(C30:CI30),"")</f>
      </c>
      <c r="CJ205" s="8">
        <f>IF((0=1),SUM(C30:CJ30),"")</f>
      </c>
      <c r="CK205" s="8">
        <f>IF((0=1),SUM(C30:CK30),"")</f>
      </c>
      <c r="CL205" s="8">
        <f>IF((0=1),SUM(C30:CL30),"")</f>
      </c>
      <c r="CM205" s="8">
        <f>IF((0=1),SUM(C30:CM30),"")</f>
      </c>
      <c r="CN205" s="8">
        <f>IF((0=1),SUM(C30:CN30),"")</f>
      </c>
      <c r="CO205" s="8">
        <f>IF((0=1),SUM(C30:CO30),"")</f>
      </c>
      <c r="CP205" s="8">
        <f>IF((0=1),SUM(C30:CP30),"")</f>
      </c>
      <c r="CQ205" s="8">
        <f>IF((0=1),SUM(C30:CQ30),"")</f>
      </c>
      <c r="CR205" s="8">
        <f>IF((0=1),SUM(C30:CR30),"")</f>
      </c>
      <c r="CS205" s="8">
        <f>IF((0=1),SUM(C30:CS30),"")</f>
      </c>
      <c r="CT205" s="8">
        <f>IF((0=1),SUM(C30:CT30),"")</f>
      </c>
      <c r="CU205" s="8">
        <f>IF((0=1),SUM(C30:CU30),"")</f>
      </c>
      <c r="CV205" s="8">
        <f>IF((0=1),SUM(C30:CV30),"")</f>
      </c>
      <c r="CW205" s="8">
        <f>IF((0=1),SUM(C30:CW30),"")</f>
      </c>
      <c r="CX205" s="8">
        <f>IF((0=1),SUM(C30:CX30),"")</f>
      </c>
    </row>
    <row r="206">
      <c r="A206" s="0" t="inlineStr">
        <is>
          <t xml:space="preserve">Cumulative sector-neutral excess, bps</t>
        </is>
      </c>
      <c r="B206" s="0" t="inlineStr">
        <is>
          <t xml:space="preserve">Random 15</t>
        </is>
      </c>
      <c r="C206" s="8">
        <f>IF((1=1),SUM(C31),"")</f>
        <v>-13.795</v>
      </c>
      <c r="D206" s="8">
        <f>IF((0=1),SUM(C31:D31),"")</f>
      </c>
      <c r="E206" s="8">
        <f>IF((0=1),SUM(C31:E31),"")</f>
      </c>
      <c r="F206" s="8">
        <f>IF((0=1),SUM(C31:F31),"")</f>
      </c>
      <c r="G206" s="8">
        <f>IF((0=1),SUM(C31:G31),"")</f>
      </c>
      <c r="H206" s="8">
        <f>IF((0=1),SUM(C31:H31),"")</f>
      </c>
      <c r="I206" s="8">
        <f>IF((0=1),SUM(C31:I31),"")</f>
      </c>
      <c r="J206" s="8">
        <f>IF((0=1),SUM(C31:J31),"")</f>
      </c>
      <c r="K206" s="8">
        <f>IF((0=1),SUM(C31:K31),"")</f>
      </c>
      <c r="L206" s="8">
        <f>IF((0=1),SUM(C31:L31),"")</f>
      </c>
      <c r="M206" s="8">
        <f>IF((0=1),SUM(C31:M31),"")</f>
      </c>
      <c r="N206" s="8">
        <f>IF((0=1),SUM(C31:N31),"")</f>
      </c>
      <c r="O206" s="8">
        <f>IF((0=1),SUM(C31:O31),"")</f>
      </c>
      <c r="P206" s="8">
        <f>IF((0=1),SUM(C31:P31),"")</f>
      </c>
      <c r="Q206" s="8">
        <f>IF((0=1),SUM(C31:Q31),"")</f>
      </c>
      <c r="R206" s="8">
        <f>IF((0=1),SUM(C31:R31),"")</f>
      </c>
      <c r="S206" s="8">
        <f>IF((0=1),SUM(C31:S31),"")</f>
      </c>
      <c r="T206" s="8">
        <f>IF((0=1),SUM(C31:T31),"")</f>
      </c>
      <c r="U206" s="8">
        <f>IF((0=1),SUM(C31:U31),"")</f>
      </c>
      <c r="V206" s="8">
        <f>IF((0=1),SUM(C31:V31),"")</f>
      </c>
      <c r="W206" s="8">
        <f>IF((0=1),SUM(C31:W31),"")</f>
      </c>
      <c r="X206" s="8">
        <f>IF((0=1),SUM(C31:X31),"")</f>
      </c>
      <c r="Y206" s="8">
        <f>IF((0=1),SUM(C31:Y31),"")</f>
      </c>
      <c r="Z206" s="8">
        <f>IF((0=1),SUM(C31:Z31),"")</f>
      </c>
      <c r="AA206" s="8">
        <f>IF((0=1),SUM(C31:AA31),"")</f>
      </c>
      <c r="AB206" s="8">
        <f>IF((0=1),SUM(C31:AB31),"")</f>
      </c>
      <c r="AC206" s="8">
        <f>IF((0=1),SUM(C31:AC31),"")</f>
      </c>
      <c r="AD206" s="8">
        <f>IF((0=1),SUM(C31:AD31),"")</f>
      </c>
      <c r="AE206" s="8">
        <f>IF((0=1),SUM(C31:AE31),"")</f>
      </c>
      <c r="AF206" s="8">
        <f>IF((0=1),SUM(C31:AF31),"")</f>
      </c>
      <c r="AG206" s="8">
        <f>IF((0=1),SUM(C31:AG31),"")</f>
      </c>
      <c r="AH206" s="8">
        <f>IF((0=1),SUM(C31:AH31),"")</f>
      </c>
      <c r="AI206" s="8">
        <f>IF((0=1),SUM(C31:AI31),"")</f>
      </c>
      <c r="AJ206" s="8">
        <f>IF((0=1),SUM(C31:AJ31),"")</f>
      </c>
      <c r="AK206" s="8">
        <f>IF((0=1),SUM(C31:AK31),"")</f>
      </c>
      <c r="AL206" s="8">
        <f>IF((0=1),SUM(C31:AL31),"")</f>
      </c>
      <c r="AM206" s="8">
        <f>IF((0=1),SUM(C31:AM31),"")</f>
      </c>
      <c r="AN206" s="8">
        <f>IF((0=1),SUM(C31:AN31),"")</f>
      </c>
      <c r="AO206" s="8">
        <f>IF((0=1),SUM(C31:AO31),"")</f>
      </c>
      <c r="AP206" s="8">
        <f>IF((0=1),SUM(C31:AP31),"")</f>
      </c>
      <c r="AQ206" s="8">
        <f>IF((0=1),SUM(C31:AQ31),"")</f>
      </c>
      <c r="AR206" s="8">
        <f>IF((0=1),SUM(C31:AR31),"")</f>
      </c>
      <c r="AS206" s="8">
        <f>IF((0=1),SUM(C31:AS31),"")</f>
      </c>
      <c r="AT206" s="8">
        <f>IF((0=1),SUM(C31:AT31),"")</f>
      </c>
      <c r="AU206" s="8">
        <f>IF((0=1),SUM(C31:AU31),"")</f>
      </c>
      <c r="AV206" s="8">
        <f>IF((0=1),SUM(C31:AV31),"")</f>
      </c>
      <c r="AW206" s="8">
        <f>IF((0=1),SUM(C31:AW31),"")</f>
      </c>
      <c r="AX206" s="8">
        <f>IF((0=1),SUM(C31:AX31),"")</f>
      </c>
      <c r="AY206" s="8">
        <f>IF((0=1),SUM(C31:AY31),"")</f>
      </c>
      <c r="AZ206" s="8">
        <f>IF((0=1),SUM(C31:AZ31),"")</f>
      </c>
      <c r="BA206" s="8">
        <f>IF((0=1),SUM(C31:BA31),"")</f>
      </c>
      <c r="BB206" s="8">
        <f>IF((0=1),SUM(C31:BB31),"")</f>
      </c>
      <c r="BC206" s="8">
        <f>IF((0=1),SUM(C31:BC31),"")</f>
      </c>
      <c r="BD206" s="8">
        <f>IF((0=1),SUM(C31:BD31),"")</f>
      </c>
      <c r="BE206" s="8">
        <f>IF((0=1),SUM(C31:BE31),"")</f>
      </c>
      <c r="BF206" s="8">
        <f>IF((0=1),SUM(C31:BF31),"")</f>
      </c>
      <c r="BG206" s="8">
        <f>IF((0=1),SUM(C31:BG31),"")</f>
      </c>
      <c r="BH206" s="8">
        <f>IF((0=1),SUM(C31:BH31),"")</f>
      </c>
      <c r="BI206" s="8">
        <f>IF((0=1),SUM(C31:BI31),"")</f>
      </c>
      <c r="BJ206" s="8">
        <f>IF((0=1),SUM(C31:BJ31),"")</f>
      </c>
      <c r="BK206" s="8">
        <f>IF((0=1),SUM(C31:BK31),"")</f>
      </c>
      <c r="BL206" s="8">
        <f>IF((0=1),SUM(C31:BL31),"")</f>
      </c>
      <c r="BM206" s="8">
        <f>IF((0=1),SUM(C31:BM31),"")</f>
      </c>
      <c r="BN206" s="8">
        <f>IF((0=1),SUM(C31:BN31),"")</f>
      </c>
      <c r="BO206" s="8">
        <f>IF((0=1),SUM(C31:BO31),"")</f>
      </c>
      <c r="BP206" s="8">
        <f>IF((0=1),SUM(C31:BP31),"")</f>
      </c>
      <c r="BQ206" s="8">
        <f>IF((0=1),SUM(C31:BQ31),"")</f>
      </c>
      <c r="BR206" s="8">
        <f>IF((0=1),SUM(C31:BR31),"")</f>
      </c>
      <c r="BS206" s="8">
        <f>IF((0=1),SUM(C31:BS31),"")</f>
      </c>
      <c r="BT206" s="8">
        <f>IF((0=1),SUM(C31:BT31),"")</f>
      </c>
      <c r="BU206" s="8">
        <f>IF((0=1),SUM(C31:BU31),"")</f>
      </c>
      <c r="BV206" s="8">
        <f>IF((0=1),SUM(C31:BV31),"")</f>
      </c>
      <c r="BW206" s="8">
        <f>IF((0=1),SUM(C31:BW31),"")</f>
      </c>
      <c r="BX206" s="8">
        <f>IF((0=1),SUM(C31:BX31),"")</f>
      </c>
      <c r="BY206" s="8">
        <f>IF((0=1),SUM(C31:BY31),"")</f>
      </c>
      <c r="BZ206" s="8">
        <f>IF((0=1),SUM(C31:BZ31),"")</f>
      </c>
      <c r="CA206" s="8">
        <f>IF((0=1),SUM(C31:CA31),"")</f>
      </c>
      <c r="CB206" s="8">
        <f>IF((0=1),SUM(C31:CB31),"")</f>
      </c>
      <c r="CC206" s="8">
        <f>IF((0=1),SUM(C31:CC31),"")</f>
      </c>
      <c r="CD206" s="8">
        <f>IF((0=1),SUM(C31:CD31),"")</f>
      </c>
      <c r="CE206" s="8">
        <f>IF((0=1),SUM(C31:CE31),"")</f>
      </c>
      <c r="CF206" s="8">
        <f>IF((0=1),SUM(C31:CF31),"")</f>
      </c>
      <c r="CG206" s="8">
        <f>IF((0=1),SUM(C31:CG31),"")</f>
      </c>
      <c r="CH206" s="8">
        <f>IF((0=1),SUM(C31:CH31),"")</f>
      </c>
      <c r="CI206" s="8">
        <f>IF((0=1),SUM(C31:CI31),"")</f>
      </c>
      <c r="CJ206" s="8">
        <f>IF((0=1),SUM(C31:CJ31),"")</f>
      </c>
      <c r="CK206" s="8">
        <f>IF((0=1),SUM(C31:CK31),"")</f>
      </c>
      <c r="CL206" s="8">
        <f>IF((0=1),SUM(C31:CL31),"")</f>
      </c>
      <c r="CM206" s="8">
        <f>IF((0=1),SUM(C31:CM31),"")</f>
      </c>
      <c r="CN206" s="8">
        <f>IF((0=1),SUM(C31:CN31),"")</f>
      </c>
      <c r="CO206" s="8">
        <f>IF((0=1),SUM(C31:CO31),"")</f>
      </c>
      <c r="CP206" s="8">
        <f>IF((0=1),SUM(C31:CP31),"")</f>
      </c>
      <c r="CQ206" s="8">
        <f>IF((0=1),SUM(C31:CQ31),"")</f>
      </c>
      <c r="CR206" s="8">
        <f>IF((0=1),SUM(C31:CR31),"")</f>
      </c>
      <c r="CS206" s="8">
        <f>IF((0=1),SUM(C31:CS31),"")</f>
      </c>
      <c r="CT206" s="8">
        <f>IF((0=1),SUM(C31:CT31),"")</f>
      </c>
      <c r="CU206" s="8">
        <f>IF((0=1),SUM(C31:CU31),"")</f>
      </c>
      <c r="CV206" s="8">
        <f>IF((0=1),SUM(C31:CV31),"")</f>
      </c>
      <c r="CW206" s="8">
        <f>IF((0=1),SUM(C31:CW31),"")</f>
      </c>
      <c r="CX206" s="8">
        <f>IF((0=1),SUM(C31:CX31),"")</f>
      </c>
    </row>
    <row r="207">
      <c r="A207" s="0" t="inlineStr">
        <is>
          <t xml:space="preserve">Cumulative sector-neutral excess, bps</t>
        </is>
      </c>
      <c r="B207" s="0" t="inlineStr">
        <is>
          <t xml:space="preserve">Random 16</t>
        </is>
      </c>
      <c r="C207" s="8">
        <f>IF((1=1),SUM(C32),"")</f>
        <v>-1.212</v>
      </c>
      <c r="D207" s="8">
        <f>IF((0=1),SUM(C32:D32),"")</f>
      </c>
      <c r="E207" s="8">
        <f>IF((0=1),SUM(C32:E32),"")</f>
      </c>
      <c r="F207" s="8">
        <f>IF((0=1),SUM(C32:F32),"")</f>
      </c>
      <c r="G207" s="8">
        <f>IF((0=1),SUM(C32:G32),"")</f>
      </c>
      <c r="H207" s="8">
        <f>IF((0=1),SUM(C32:H32),"")</f>
      </c>
      <c r="I207" s="8">
        <f>IF((0=1),SUM(C32:I32),"")</f>
      </c>
      <c r="J207" s="8">
        <f>IF((0=1),SUM(C32:J32),"")</f>
      </c>
      <c r="K207" s="8">
        <f>IF((0=1),SUM(C32:K32),"")</f>
      </c>
      <c r="L207" s="8">
        <f>IF((0=1),SUM(C32:L32),"")</f>
      </c>
      <c r="M207" s="8">
        <f>IF((0=1),SUM(C32:M32),"")</f>
      </c>
      <c r="N207" s="8">
        <f>IF((0=1),SUM(C32:N32),"")</f>
      </c>
      <c r="O207" s="8">
        <f>IF((0=1),SUM(C32:O32),"")</f>
      </c>
      <c r="P207" s="8">
        <f>IF((0=1),SUM(C32:P32),"")</f>
      </c>
      <c r="Q207" s="8">
        <f>IF((0=1),SUM(C32:Q32),"")</f>
      </c>
      <c r="R207" s="8">
        <f>IF((0=1),SUM(C32:R32),"")</f>
      </c>
      <c r="S207" s="8">
        <f>IF((0=1),SUM(C32:S32),"")</f>
      </c>
      <c r="T207" s="8">
        <f>IF((0=1),SUM(C32:T32),"")</f>
      </c>
      <c r="U207" s="8">
        <f>IF((0=1),SUM(C32:U32),"")</f>
      </c>
      <c r="V207" s="8">
        <f>IF((0=1),SUM(C32:V32),"")</f>
      </c>
      <c r="W207" s="8">
        <f>IF((0=1),SUM(C32:W32),"")</f>
      </c>
      <c r="X207" s="8">
        <f>IF((0=1),SUM(C32:X32),"")</f>
      </c>
      <c r="Y207" s="8">
        <f>IF((0=1),SUM(C32:Y32),"")</f>
      </c>
      <c r="Z207" s="8">
        <f>IF((0=1),SUM(C32:Z32),"")</f>
      </c>
      <c r="AA207" s="8">
        <f>IF((0=1),SUM(C32:AA32),"")</f>
      </c>
      <c r="AB207" s="8">
        <f>IF((0=1),SUM(C32:AB32),"")</f>
      </c>
      <c r="AC207" s="8">
        <f>IF((0=1),SUM(C32:AC32),"")</f>
      </c>
      <c r="AD207" s="8">
        <f>IF((0=1),SUM(C32:AD32),"")</f>
      </c>
      <c r="AE207" s="8">
        <f>IF((0=1),SUM(C32:AE32),"")</f>
      </c>
      <c r="AF207" s="8">
        <f>IF((0=1),SUM(C32:AF32),"")</f>
      </c>
      <c r="AG207" s="8">
        <f>IF((0=1),SUM(C32:AG32),"")</f>
      </c>
      <c r="AH207" s="8">
        <f>IF((0=1),SUM(C32:AH32),"")</f>
      </c>
      <c r="AI207" s="8">
        <f>IF((0=1),SUM(C32:AI32),"")</f>
      </c>
      <c r="AJ207" s="8">
        <f>IF((0=1),SUM(C32:AJ32),"")</f>
      </c>
      <c r="AK207" s="8">
        <f>IF((0=1),SUM(C32:AK32),"")</f>
      </c>
      <c r="AL207" s="8">
        <f>IF((0=1),SUM(C32:AL32),"")</f>
      </c>
      <c r="AM207" s="8">
        <f>IF((0=1),SUM(C32:AM32),"")</f>
      </c>
      <c r="AN207" s="8">
        <f>IF((0=1),SUM(C32:AN32),"")</f>
      </c>
      <c r="AO207" s="8">
        <f>IF((0=1),SUM(C32:AO32),"")</f>
      </c>
      <c r="AP207" s="8">
        <f>IF((0=1),SUM(C32:AP32),"")</f>
      </c>
      <c r="AQ207" s="8">
        <f>IF((0=1),SUM(C32:AQ32),"")</f>
      </c>
      <c r="AR207" s="8">
        <f>IF((0=1),SUM(C32:AR32),"")</f>
      </c>
      <c r="AS207" s="8">
        <f>IF((0=1),SUM(C32:AS32),"")</f>
      </c>
      <c r="AT207" s="8">
        <f>IF((0=1),SUM(C32:AT32),"")</f>
      </c>
      <c r="AU207" s="8">
        <f>IF((0=1),SUM(C32:AU32),"")</f>
      </c>
      <c r="AV207" s="8">
        <f>IF((0=1),SUM(C32:AV32),"")</f>
      </c>
      <c r="AW207" s="8">
        <f>IF((0=1),SUM(C32:AW32),"")</f>
      </c>
      <c r="AX207" s="8">
        <f>IF((0=1),SUM(C32:AX32),"")</f>
      </c>
      <c r="AY207" s="8">
        <f>IF((0=1),SUM(C32:AY32),"")</f>
      </c>
      <c r="AZ207" s="8">
        <f>IF((0=1),SUM(C32:AZ32),"")</f>
      </c>
      <c r="BA207" s="8">
        <f>IF((0=1),SUM(C32:BA32),"")</f>
      </c>
      <c r="BB207" s="8">
        <f>IF((0=1),SUM(C32:BB32),"")</f>
      </c>
      <c r="BC207" s="8">
        <f>IF((0=1),SUM(C32:BC32),"")</f>
      </c>
      <c r="BD207" s="8">
        <f>IF((0=1),SUM(C32:BD32),"")</f>
      </c>
      <c r="BE207" s="8">
        <f>IF((0=1),SUM(C32:BE32),"")</f>
      </c>
      <c r="BF207" s="8">
        <f>IF((0=1),SUM(C32:BF32),"")</f>
      </c>
      <c r="BG207" s="8">
        <f>IF((0=1),SUM(C32:BG32),"")</f>
      </c>
      <c r="BH207" s="8">
        <f>IF((0=1),SUM(C32:BH32),"")</f>
      </c>
      <c r="BI207" s="8">
        <f>IF((0=1),SUM(C32:BI32),"")</f>
      </c>
      <c r="BJ207" s="8">
        <f>IF((0=1),SUM(C32:BJ32),"")</f>
      </c>
      <c r="BK207" s="8">
        <f>IF((0=1),SUM(C32:BK32),"")</f>
      </c>
      <c r="BL207" s="8">
        <f>IF((0=1),SUM(C32:BL32),"")</f>
      </c>
      <c r="BM207" s="8">
        <f>IF((0=1),SUM(C32:BM32),"")</f>
      </c>
      <c r="BN207" s="8">
        <f>IF((0=1),SUM(C32:BN32),"")</f>
      </c>
      <c r="BO207" s="8">
        <f>IF((0=1),SUM(C32:BO32),"")</f>
      </c>
      <c r="BP207" s="8">
        <f>IF((0=1),SUM(C32:BP32),"")</f>
      </c>
      <c r="BQ207" s="8">
        <f>IF((0=1),SUM(C32:BQ32),"")</f>
      </c>
      <c r="BR207" s="8">
        <f>IF((0=1),SUM(C32:BR32),"")</f>
      </c>
      <c r="BS207" s="8">
        <f>IF((0=1),SUM(C32:BS32),"")</f>
      </c>
      <c r="BT207" s="8">
        <f>IF((0=1),SUM(C32:BT32),"")</f>
      </c>
      <c r="BU207" s="8">
        <f>IF((0=1),SUM(C32:BU32),"")</f>
      </c>
      <c r="BV207" s="8">
        <f>IF((0=1),SUM(C32:BV32),"")</f>
      </c>
      <c r="BW207" s="8">
        <f>IF((0=1),SUM(C32:BW32),"")</f>
      </c>
      <c r="BX207" s="8">
        <f>IF((0=1),SUM(C32:BX32),"")</f>
      </c>
      <c r="BY207" s="8">
        <f>IF((0=1),SUM(C32:BY32),"")</f>
      </c>
      <c r="BZ207" s="8">
        <f>IF((0=1),SUM(C32:BZ32),"")</f>
      </c>
      <c r="CA207" s="8">
        <f>IF((0=1),SUM(C32:CA32),"")</f>
      </c>
      <c r="CB207" s="8">
        <f>IF((0=1),SUM(C32:CB32),"")</f>
      </c>
      <c r="CC207" s="8">
        <f>IF((0=1),SUM(C32:CC32),"")</f>
      </c>
      <c r="CD207" s="8">
        <f>IF((0=1),SUM(C32:CD32),"")</f>
      </c>
      <c r="CE207" s="8">
        <f>IF((0=1),SUM(C32:CE32),"")</f>
      </c>
      <c r="CF207" s="8">
        <f>IF((0=1),SUM(C32:CF32),"")</f>
      </c>
      <c r="CG207" s="8">
        <f>IF((0=1),SUM(C32:CG32),"")</f>
      </c>
      <c r="CH207" s="8">
        <f>IF((0=1),SUM(C32:CH32),"")</f>
      </c>
      <c r="CI207" s="8">
        <f>IF((0=1),SUM(C32:CI32),"")</f>
      </c>
      <c r="CJ207" s="8">
        <f>IF((0=1),SUM(C32:CJ32),"")</f>
      </c>
      <c r="CK207" s="8">
        <f>IF((0=1),SUM(C32:CK32),"")</f>
      </c>
      <c r="CL207" s="8">
        <f>IF((0=1),SUM(C32:CL32),"")</f>
      </c>
      <c r="CM207" s="8">
        <f>IF((0=1),SUM(C32:CM32),"")</f>
      </c>
      <c r="CN207" s="8">
        <f>IF((0=1),SUM(C32:CN32),"")</f>
      </c>
      <c r="CO207" s="8">
        <f>IF((0=1),SUM(C32:CO32),"")</f>
      </c>
      <c r="CP207" s="8">
        <f>IF((0=1),SUM(C32:CP32),"")</f>
      </c>
      <c r="CQ207" s="8">
        <f>IF((0=1),SUM(C32:CQ32),"")</f>
      </c>
      <c r="CR207" s="8">
        <f>IF((0=1),SUM(C32:CR32),"")</f>
      </c>
      <c r="CS207" s="8">
        <f>IF((0=1),SUM(C32:CS32),"")</f>
      </c>
      <c r="CT207" s="8">
        <f>IF((0=1),SUM(C32:CT32),"")</f>
      </c>
      <c r="CU207" s="8">
        <f>IF((0=1),SUM(C32:CU32),"")</f>
      </c>
      <c r="CV207" s="8">
        <f>IF((0=1),SUM(C32:CV32),"")</f>
      </c>
      <c r="CW207" s="8">
        <f>IF((0=1),SUM(C32:CW32),"")</f>
      </c>
      <c r="CX207" s="8">
        <f>IF((0=1),SUM(C32:CX32),"")</f>
      </c>
    </row>
    <row r="208">
      <c r="A208" s="0" t="inlineStr">
        <is>
          <t xml:space="preserve">Cumulative sector-neutral excess, bps</t>
        </is>
      </c>
      <c r="B208" s="0" t="inlineStr">
        <is>
          <t xml:space="preserve">Random 17</t>
        </is>
      </c>
      <c r="C208" s="8">
        <f>IF((1=1),SUM(C33),"")</f>
        <v>-2.98</v>
      </c>
      <c r="D208" s="8">
        <f>IF((0=1),SUM(C33:D33),"")</f>
      </c>
      <c r="E208" s="8">
        <f>IF((0=1),SUM(C33:E33),"")</f>
      </c>
      <c r="F208" s="8">
        <f>IF((0=1),SUM(C33:F33),"")</f>
      </c>
      <c r="G208" s="8">
        <f>IF((0=1),SUM(C33:G33),"")</f>
      </c>
      <c r="H208" s="8">
        <f>IF((0=1),SUM(C33:H33),"")</f>
      </c>
      <c r="I208" s="8">
        <f>IF((0=1),SUM(C33:I33),"")</f>
      </c>
      <c r="J208" s="8">
        <f>IF((0=1),SUM(C33:J33),"")</f>
      </c>
      <c r="K208" s="8">
        <f>IF((0=1),SUM(C33:K33),"")</f>
      </c>
      <c r="L208" s="8">
        <f>IF((0=1),SUM(C33:L33),"")</f>
      </c>
      <c r="M208" s="8">
        <f>IF((0=1),SUM(C33:M33),"")</f>
      </c>
      <c r="N208" s="8">
        <f>IF((0=1),SUM(C33:N33),"")</f>
      </c>
      <c r="O208" s="8">
        <f>IF((0=1),SUM(C33:O33),"")</f>
      </c>
      <c r="P208" s="8">
        <f>IF((0=1),SUM(C33:P33),"")</f>
      </c>
      <c r="Q208" s="8">
        <f>IF((0=1),SUM(C33:Q33),"")</f>
      </c>
      <c r="R208" s="8">
        <f>IF((0=1),SUM(C33:R33),"")</f>
      </c>
      <c r="S208" s="8">
        <f>IF((0=1),SUM(C33:S33),"")</f>
      </c>
      <c r="T208" s="8">
        <f>IF((0=1),SUM(C33:T33),"")</f>
      </c>
      <c r="U208" s="8">
        <f>IF((0=1),SUM(C33:U33),"")</f>
      </c>
      <c r="V208" s="8">
        <f>IF((0=1),SUM(C33:V33),"")</f>
      </c>
      <c r="W208" s="8">
        <f>IF((0=1),SUM(C33:W33),"")</f>
      </c>
      <c r="X208" s="8">
        <f>IF((0=1),SUM(C33:X33),"")</f>
      </c>
      <c r="Y208" s="8">
        <f>IF((0=1),SUM(C33:Y33),"")</f>
      </c>
      <c r="Z208" s="8">
        <f>IF((0=1),SUM(C33:Z33),"")</f>
      </c>
      <c r="AA208" s="8">
        <f>IF((0=1),SUM(C33:AA33),"")</f>
      </c>
      <c r="AB208" s="8">
        <f>IF((0=1),SUM(C33:AB33),"")</f>
      </c>
      <c r="AC208" s="8">
        <f>IF((0=1),SUM(C33:AC33),"")</f>
      </c>
      <c r="AD208" s="8">
        <f>IF((0=1),SUM(C33:AD33),"")</f>
      </c>
      <c r="AE208" s="8">
        <f>IF((0=1),SUM(C33:AE33),"")</f>
      </c>
      <c r="AF208" s="8">
        <f>IF((0=1),SUM(C33:AF33),"")</f>
      </c>
      <c r="AG208" s="8">
        <f>IF((0=1),SUM(C33:AG33),"")</f>
      </c>
      <c r="AH208" s="8">
        <f>IF((0=1),SUM(C33:AH33),"")</f>
      </c>
      <c r="AI208" s="8">
        <f>IF((0=1),SUM(C33:AI33),"")</f>
      </c>
      <c r="AJ208" s="8">
        <f>IF((0=1),SUM(C33:AJ33),"")</f>
      </c>
      <c r="AK208" s="8">
        <f>IF((0=1),SUM(C33:AK33),"")</f>
      </c>
      <c r="AL208" s="8">
        <f>IF((0=1),SUM(C33:AL33),"")</f>
      </c>
      <c r="AM208" s="8">
        <f>IF((0=1),SUM(C33:AM33),"")</f>
      </c>
      <c r="AN208" s="8">
        <f>IF((0=1),SUM(C33:AN33),"")</f>
      </c>
      <c r="AO208" s="8">
        <f>IF((0=1),SUM(C33:AO33),"")</f>
      </c>
      <c r="AP208" s="8">
        <f>IF((0=1),SUM(C33:AP33),"")</f>
      </c>
      <c r="AQ208" s="8">
        <f>IF((0=1),SUM(C33:AQ33),"")</f>
      </c>
      <c r="AR208" s="8">
        <f>IF((0=1),SUM(C33:AR33),"")</f>
      </c>
      <c r="AS208" s="8">
        <f>IF((0=1),SUM(C33:AS33),"")</f>
      </c>
      <c r="AT208" s="8">
        <f>IF((0=1),SUM(C33:AT33),"")</f>
      </c>
      <c r="AU208" s="8">
        <f>IF((0=1),SUM(C33:AU33),"")</f>
      </c>
      <c r="AV208" s="8">
        <f>IF((0=1),SUM(C33:AV33),"")</f>
      </c>
      <c r="AW208" s="8">
        <f>IF((0=1),SUM(C33:AW33),"")</f>
      </c>
      <c r="AX208" s="8">
        <f>IF((0=1),SUM(C33:AX33),"")</f>
      </c>
      <c r="AY208" s="8">
        <f>IF((0=1),SUM(C33:AY33),"")</f>
      </c>
      <c r="AZ208" s="8">
        <f>IF((0=1),SUM(C33:AZ33),"")</f>
      </c>
      <c r="BA208" s="8">
        <f>IF((0=1),SUM(C33:BA33),"")</f>
      </c>
      <c r="BB208" s="8">
        <f>IF((0=1),SUM(C33:BB33),"")</f>
      </c>
      <c r="BC208" s="8">
        <f>IF((0=1),SUM(C33:BC33),"")</f>
      </c>
      <c r="BD208" s="8">
        <f>IF((0=1),SUM(C33:BD33),"")</f>
      </c>
      <c r="BE208" s="8">
        <f>IF((0=1),SUM(C33:BE33),"")</f>
      </c>
      <c r="BF208" s="8">
        <f>IF((0=1),SUM(C33:BF33),"")</f>
      </c>
      <c r="BG208" s="8">
        <f>IF((0=1),SUM(C33:BG33),"")</f>
      </c>
      <c r="BH208" s="8">
        <f>IF((0=1),SUM(C33:BH33),"")</f>
      </c>
      <c r="BI208" s="8">
        <f>IF((0=1),SUM(C33:BI33),"")</f>
      </c>
      <c r="BJ208" s="8">
        <f>IF((0=1),SUM(C33:BJ33),"")</f>
      </c>
      <c r="BK208" s="8">
        <f>IF((0=1),SUM(C33:BK33),"")</f>
      </c>
      <c r="BL208" s="8">
        <f>IF((0=1),SUM(C33:BL33),"")</f>
      </c>
      <c r="BM208" s="8">
        <f>IF((0=1),SUM(C33:BM33),"")</f>
      </c>
      <c r="BN208" s="8">
        <f>IF((0=1),SUM(C33:BN33),"")</f>
      </c>
      <c r="BO208" s="8">
        <f>IF((0=1),SUM(C33:BO33),"")</f>
      </c>
      <c r="BP208" s="8">
        <f>IF((0=1),SUM(C33:BP33),"")</f>
      </c>
      <c r="BQ208" s="8">
        <f>IF((0=1),SUM(C33:BQ33),"")</f>
      </c>
      <c r="BR208" s="8">
        <f>IF((0=1),SUM(C33:BR33),"")</f>
      </c>
      <c r="BS208" s="8">
        <f>IF((0=1),SUM(C33:BS33),"")</f>
      </c>
      <c r="BT208" s="8">
        <f>IF((0=1),SUM(C33:BT33),"")</f>
      </c>
      <c r="BU208" s="8">
        <f>IF((0=1),SUM(C33:BU33),"")</f>
      </c>
      <c r="BV208" s="8">
        <f>IF((0=1),SUM(C33:BV33),"")</f>
      </c>
      <c r="BW208" s="8">
        <f>IF((0=1),SUM(C33:BW33),"")</f>
      </c>
      <c r="BX208" s="8">
        <f>IF((0=1),SUM(C33:BX33),"")</f>
      </c>
      <c r="BY208" s="8">
        <f>IF((0=1),SUM(C33:BY33),"")</f>
      </c>
      <c r="BZ208" s="8">
        <f>IF((0=1),SUM(C33:BZ33),"")</f>
      </c>
      <c r="CA208" s="8">
        <f>IF((0=1),SUM(C33:CA33),"")</f>
      </c>
      <c r="CB208" s="8">
        <f>IF((0=1),SUM(C33:CB33),"")</f>
      </c>
      <c r="CC208" s="8">
        <f>IF((0=1),SUM(C33:CC33),"")</f>
      </c>
      <c r="CD208" s="8">
        <f>IF((0=1),SUM(C33:CD33),"")</f>
      </c>
      <c r="CE208" s="8">
        <f>IF((0=1),SUM(C33:CE33),"")</f>
      </c>
      <c r="CF208" s="8">
        <f>IF((0=1),SUM(C33:CF33),"")</f>
      </c>
      <c r="CG208" s="8">
        <f>IF((0=1),SUM(C33:CG33),"")</f>
      </c>
      <c r="CH208" s="8">
        <f>IF((0=1),SUM(C33:CH33),"")</f>
      </c>
      <c r="CI208" s="8">
        <f>IF((0=1),SUM(C33:CI33),"")</f>
      </c>
      <c r="CJ208" s="8">
        <f>IF((0=1),SUM(C33:CJ33),"")</f>
      </c>
      <c r="CK208" s="8">
        <f>IF((0=1),SUM(C33:CK33),"")</f>
      </c>
      <c r="CL208" s="8">
        <f>IF((0=1),SUM(C33:CL33),"")</f>
      </c>
      <c r="CM208" s="8">
        <f>IF((0=1),SUM(C33:CM33),"")</f>
      </c>
      <c r="CN208" s="8">
        <f>IF((0=1),SUM(C33:CN33),"")</f>
      </c>
      <c r="CO208" s="8">
        <f>IF((0=1),SUM(C33:CO33),"")</f>
      </c>
      <c r="CP208" s="8">
        <f>IF((0=1),SUM(C33:CP33),"")</f>
      </c>
      <c r="CQ208" s="8">
        <f>IF((0=1),SUM(C33:CQ33),"")</f>
      </c>
      <c r="CR208" s="8">
        <f>IF((0=1),SUM(C33:CR33),"")</f>
      </c>
      <c r="CS208" s="8">
        <f>IF((0=1),SUM(C33:CS33),"")</f>
      </c>
      <c r="CT208" s="8">
        <f>IF((0=1),SUM(C33:CT33),"")</f>
      </c>
      <c r="CU208" s="8">
        <f>IF((0=1),SUM(C33:CU33),"")</f>
      </c>
      <c r="CV208" s="8">
        <f>IF((0=1),SUM(C33:CV33),"")</f>
      </c>
      <c r="CW208" s="8">
        <f>IF((0=1),SUM(C33:CW33),"")</f>
      </c>
      <c r="CX208" s="8">
        <f>IF((0=1),SUM(C33:CX33),"")</f>
      </c>
    </row>
    <row r="209">
      <c r="A209" s="0" t="inlineStr">
        <is>
          <t xml:space="preserve">Cumulative sector-neutral excess, bps</t>
        </is>
      </c>
      <c r="B209" s="0" t="inlineStr">
        <is>
          <t xml:space="preserve">Random 18</t>
        </is>
      </c>
      <c r="C209" s="8">
        <f>IF((1=1),SUM(C34),"")</f>
        <v>10.83</v>
      </c>
      <c r="D209" s="8">
        <f>IF((0=1),SUM(C34:D34),"")</f>
      </c>
      <c r="E209" s="8">
        <f>IF((0=1),SUM(C34:E34),"")</f>
      </c>
      <c r="F209" s="8">
        <f>IF((0=1),SUM(C34:F34),"")</f>
      </c>
      <c r="G209" s="8">
        <f>IF((0=1),SUM(C34:G34),"")</f>
      </c>
      <c r="H209" s="8">
        <f>IF((0=1),SUM(C34:H34),"")</f>
      </c>
      <c r="I209" s="8">
        <f>IF((0=1),SUM(C34:I34),"")</f>
      </c>
      <c r="J209" s="8">
        <f>IF((0=1),SUM(C34:J34),"")</f>
      </c>
      <c r="K209" s="8">
        <f>IF((0=1),SUM(C34:K34),"")</f>
      </c>
      <c r="L209" s="8">
        <f>IF((0=1),SUM(C34:L34),"")</f>
      </c>
      <c r="M209" s="8">
        <f>IF((0=1),SUM(C34:M34),"")</f>
      </c>
      <c r="N209" s="8">
        <f>IF((0=1),SUM(C34:N34),"")</f>
      </c>
      <c r="O209" s="8">
        <f>IF((0=1),SUM(C34:O34),"")</f>
      </c>
      <c r="P209" s="8">
        <f>IF((0=1),SUM(C34:P34),"")</f>
      </c>
      <c r="Q209" s="8">
        <f>IF((0=1),SUM(C34:Q34),"")</f>
      </c>
      <c r="R209" s="8">
        <f>IF((0=1),SUM(C34:R34),"")</f>
      </c>
      <c r="S209" s="8">
        <f>IF((0=1),SUM(C34:S34),"")</f>
      </c>
      <c r="T209" s="8">
        <f>IF((0=1),SUM(C34:T34),"")</f>
      </c>
      <c r="U209" s="8">
        <f>IF((0=1),SUM(C34:U34),"")</f>
      </c>
      <c r="V209" s="8">
        <f>IF((0=1),SUM(C34:V34),"")</f>
      </c>
      <c r="W209" s="8">
        <f>IF((0=1),SUM(C34:W34),"")</f>
      </c>
      <c r="X209" s="8">
        <f>IF((0=1),SUM(C34:X34),"")</f>
      </c>
      <c r="Y209" s="8">
        <f>IF((0=1),SUM(C34:Y34),"")</f>
      </c>
      <c r="Z209" s="8">
        <f>IF((0=1),SUM(C34:Z34),"")</f>
      </c>
      <c r="AA209" s="8">
        <f>IF((0=1),SUM(C34:AA34),"")</f>
      </c>
      <c r="AB209" s="8">
        <f>IF((0=1),SUM(C34:AB34),"")</f>
      </c>
      <c r="AC209" s="8">
        <f>IF((0=1),SUM(C34:AC34),"")</f>
      </c>
      <c r="AD209" s="8">
        <f>IF((0=1),SUM(C34:AD34),"")</f>
      </c>
      <c r="AE209" s="8">
        <f>IF((0=1),SUM(C34:AE34),"")</f>
      </c>
      <c r="AF209" s="8">
        <f>IF((0=1),SUM(C34:AF34),"")</f>
      </c>
      <c r="AG209" s="8">
        <f>IF((0=1),SUM(C34:AG34),"")</f>
      </c>
      <c r="AH209" s="8">
        <f>IF((0=1),SUM(C34:AH34),"")</f>
      </c>
      <c r="AI209" s="8">
        <f>IF((0=1),SUM(C34:AI34),"")</f>
      </c>
      <c r="AJ209" s="8">
        <f>IF((0=1),SUM(C34:AJ34),"")</f>
      </c>
      <c r="AK209" s="8">
        <f>IF((0=1),SUM(C34:AK34),"")</f>
      </c>
      <c r="AL209" s="8">
        <f>IF((0=1),SUM(C34:AL34),"")</f>
      </c>
      <c r="AM209" s="8">
        <f>IF((0=1),SUM(C34:AM34),"")</f>
      </c>
      <c r="AN209" s="8">
        <f>IF((0=1),SUM(C34:AN34),"")</f>
      </c>
      <c r="AO209" s="8">
        <f>IF((0=1),SUM(C34:AO34),"")</f>
      </c>
      <c r="AP209" s="8">
        <f>IF((0=1),SUM(C34:AP34),"")</f>
      </c>
      <c r="AQ209" s="8">
        <f>IF((0=1),SUM(C34:AQ34),"")</f>
      </c>
      <c r="AR209" s="8">
        <f>IF((0=1),SUM(C34:AR34),"")</f>
      </c>
      <c r="AS209" s="8">
        <f>IF((0=1),SUM(C34:AS34),"")</f>
      </c>
      <c r="AT209" s="8">
        <f>IF((0=1),SUM(C34:AT34),"")</f>
      </c>
      <c r="AU209" s="8">
        <f>IF((0=1),SUM(C34:AU34),"")</f>
      </c>
      <c r="AV209" s="8">
        <f>IF((0=1),SUM(C34:AV34),"")</f>
      </c>
      <c r="AW209" s="8">
        <f>IF((0=1),SUM(C34:AW34),"")</f>
      </c>
      <c r="AX209" s="8">
        <f>IF((0=1),SUM(C34:AX34),"")</f>
      </c>
      <c r="AY209" s="8">
        <f>IF((0=1),SUM(C34:AY34),"")</f>
      </c>
      <c r="AZ209" s="8">
        <f>IF((0=1),SUM(C34:AZ34),"")</f>
      </c>
      <c r="BA209" s="8">
        <f>IF((0=1),SUM(C34:BA34),"")</f>
      </c>
      <c r="BB209" s="8">
        <f>IF((0=1),SUM(C34:BB34),"")</f>
      </c>
      <c r="BC209" s="8">
        <f>IF((0=1),SUM(C34:BC34),"")</f>
      </c>
      <c r="BD209" s="8">
        <f>IF((0=1),SUM(C34:BD34),"")</f>
      </c>
      <c r="BE209" s="8">
        <f>IF((0=1),SUM(C34:BE34),"")</f>
      </c>
      <c r="BF209" s="8">
        <f>IF((0=1),SUM(C34:BF34),"")</f>
      </c>
      <c r="BG209" s="8">
        <f>IF((0=1),SUM(C34:BG34),"")</f>
      </c>
      <c r="BH209" s="8">
        <f>IF((0=1),SUM(C34:BH34),"")</f>
      </c>
      <c r="BI209" s="8">
        <f>IF((0=1),SUM(C34:BI34),"")</f>
      </c>
      <c r="BJ209" s="8">
        <f>IF((0=1),SUM(C34:BJ34),"")</f>
      </c>
      <c r="BK209" s="8">
        <f>IF((0=1),SUM(C34:BK34),"")</f>
      </c>
      <c r="BL209" s="8">
        <f>IF((0=1),SUM(C34:BL34),"")</f>
      </c>
      <c r="BM209" s="8">
        <f>IF((0=1),SUM(C34:BM34),"")</f>
      </c>
      <c r="BN209" s="8">
        <f>IF((0=1),SUM(C34:BN34),"")</f>
      </c>
      <c r="BO209" s="8">
        <f>IF((0=1),SUM(C34:BO34),"")</f>
      </c>
      <c r="BP209" s="8">
        <f>IF((0=1),SUM(C34:BP34),"")</f>
      </c>
      <c r="BQ209" s="8">
        <f>IF((0=1),SUM(C34:BQ34),"")</f>
      </c>
      <c r="BR209" s="8">
        <f>IF((0=1),SUM(C34:BR34),"")</f>
      </c>
      <c r="BS209" s="8">
        <f>IF((0=1),SUM(C34:BS34),"")</f>
      </c>
      <c r="BT209" s="8">
        <f>IF((0=1),SUM(C34:BT34),"")</f>
      </c>
      <c r="BU209" s="8">
        <f>IF((0=1),SUM(C34:BU34),"")</f>
      </c>
      <c r="BV209" s="8">
        <f>IF((0=1),SUM(C34:BV34),"")</f>
      </c>
      <c r="BW209" s="8">
        <f>IF((0=1),SUM(C34:BW34),"")</f>
      </c>
      <c r="BX209" s="8">
        <f>IF((0=1),SUM(C34:BX34),"")</f>
      </c>
      <c r="BY209" s="8">
        <f>IF((0=1),SUM(C34:BY34),"")</f>
      </c>
      <c r="BZ209" s="8">
        <f>IF((0=1),SUM(C34:BZ34),"")</f>
      </c>
      <c r="CA209" s="8">
        <f>IF((0=1),SUM(C34:CA34),"")</f>
      </c>
      <c r="CB209" s="8">
        <f>IF((0=1),SUM(C34:CB34),"")</f>
      </c>
      <c r="CC209" s="8">
        <f>IF((0=1),SUM(C34:CC34),"")</f>
      </c>
      <c r="CD209" s="8">
        <f>IF((0=1),SUM(C34:CD34),"")</f>
      </c>
      <c r="CE209" s="8">
        <f>IF((0=1),SUM(C34:CE34),"")</f>
      </c>
      <c r="CF209" s="8">
        <f>IF((0=1),SUM(C34:CF34),"")</f>
      </c>
      <c r="CG209" s="8">
        <f>IF((0=1),SUM(C34:CG34),"")</f>
      </c>
      <c r="CH209" s="8">
        <f>IF((0=1),SUM(C34:CH34),"")</f>
      </c>
      <c r="CI209" s="8">
        <f>IF((0=1),SUM(C34:CI34),"")</f>
      </c>
      <c r="CJ209" s="8">
        <f>IF((0=1),SUM(C34:CJ34),"")</f>
      </c>
      <c r="CK209" s="8">
        <f>IF((0=1),SUM(C34:CK34),"")</f>
      </c>
      <c r="CL209" s="8">
        <f>IF((0=1),SUM(C34:CL34),"")</f>
      </c>
      <c r="CM209" s="8">
        <f>IF((0=1),SUM(C34:CM34),"")</f>
      </c>
      <c r="CN209" s="8">
        <f>IF((0=1),SUM(C34:CN34),"")</f>
      </c>
      <c r="CO209" s="8">
        <f>IF((0=1),SUM(C34:CO34),"")</f>
      </c>
      <c r="CP209" s="8">
        <f>IF((0=1),SUM(C34:CP34),"")</f>
      </c>
      <c r="CQ209" s="8">
        <f>IF((0=1),SUM(C34:CQ34),"")</f>
      </c>
      <c r="CR209" s="8">
        <f>IF((0=1),SUM(C34:CR34),"")</f>
      </c>
      <c r="CS209" s="8">
        <f>IF((0=1),SUM(C34:CS34),"")</f>
      </c>
      <c r="CT209" s="8">
        <f>IF((0=1),SUM(C34:CT34),"")</f>
      </c>
      <c r="CU209" s="8">
        <f>IF((0=1),SUM(C34:CU34),"")</f>
      </c>
      <c r="CV209" s="8">
        <f>IF((0=1),SUM(C34:CV34),"")</f>
      </c>
      <c r="CW209" s="8">
        <f>IF((0=1),SUM(C34:CW34),"")</f>
      </c>
      <c r="CX209" s="8">
        <f>IF((0=1),SUM(C34:CX34),"")</f>
      </c>
    </row>
    <row r="210">
      <c r="A210" s="0" t="inlineStr">
        <is>
          <t xml:space="preserve">Cumulative sector-neutral excess, bps</t>
        </is>
      </c>
      <c r="B210" s="0" t="inlineStr">
        <is>
          <t xml:space="preserve">Random 19</t>
        </is>
      </c>
      <c r="C210" s="8">
        <f>IF((1=1),SUM(C35),"")</f>
        <v>5.56</v>
      </c>
      <c r="D210" s="8">
        <f>IF((0=1),SUM(C35:D35),"")</f>
      </c>
      <c r="E210" s="8">
        <f>IF((0=1),SUM(C35:E35),"")</f>
      </c>
      <c r="F210" s="8">
        <f>IF((0=1),SUM(C35:F35),"")</f>
      </c>
      <c r="G210" s="8">
        <f>IF((0=1),SUM(C35:G35),"")</f>
      </c>
      <c r="H210" s="8">
        <f>IF((0=1),SUM(C35:H35),"")</f>
      </c>
      <c r="I210" s="8">
        <f>IF((0=1),SUM(C35:I35),"")</f>
      </c>
      <c r="J210" s="8">
        <f>IF((0=1),SUM(C35:J35),"")</f>
      </c>
      <c r="K210" s="8">
        <f>IF((0=1),SUM(C35:K35),"")</f>
      </c>
      <c r="L210" s="8">
        <f>IF((0=1),SUM(C35:L35),"")</f>
      </c>
      <c r="M210" s="8">
        <f>IF((0=1),SUM(C35:M35),"")</f>
      </c>
      <c r="N210" s="8">
        <f>IF((0=1),SUM(C35:N35),"")</f>
      </c>
      <c r="O210" s="8">
        <f>IF((0=1),SUM(C35:O35),"")</f>
      </c>
      <c r="P210" s="8">
        <f>IF((0=1),SUM(C35:P35),"")</f>
      </c>
      <c r="Q210" s="8">
        <f>IF((0=1),SUM(C35:Q35),"")</f>
      </c>
      <c r="R210" s="8">
        <f>IF((0=1),SUM(C35:R35),"")</f>
      </c>
      <c r="S210" s="8">
        <f>IF((0=1),SUM(C35:S35),"")</f>
      </c>
      <c r="T210" s="8">
        <f>IF((0=1),SUM(C35:T35),"")</f>
      </c>
      <c r="U210" s="8">
        <f>IF((0=1),SUM(C35:U35),"")</f>
      </c>
      <c r="V210" s="8">
        <f>IF((0=1),SUM(C35:V35),"")</f>
      </c>
      <c r="W210" s="8">
        <f>IF((0=1),SUM(C35:W35),"")</f>
      </c>
      <c r="X210" s="8">
        <f>IF((0=1),SUM(C35:X35),"")</f>
      </c>
      <c r="Y210" s="8">
        <f>IF((0=1),SUM(C35:Y35),"")</f>
      </c>
      <c r="Z210" s="8">
        <f>IF((0=1),SUM(C35:Z35),"")</f>
      </c>
      <c r="AA210" s="8">
        <f>IF((0=1),SUM(C35:AA35),"")</f>
      </c>
      <c r="AB210" s="8">
        <f>IF((0=1),SUM(C35:AB35),"")</f>
      </c>
      <c r="AC210" s="8">
        <f>IF((0=1),SUM(C35:AC35),"")</f>
      </c>
      <c r="AD210" s="8">
        <f>IF((0=1),SUM(C35:AD35),"")</f>
      </c>
      <c r="AE210" s="8">
        <f>IF((0=1),SUM(C35:AE35),"")</f>
      </c>
      <c r="AF210" s="8">
        <f>IF((0=1),SUM(C35:AF35),"")</f>
      </c>
      <c r="AG210" s="8">
        <f>IF((0=1),SUM(C35:AG35),"")</f>
      </c>
      <c r="AH210" s="8">
        <f>IF((0=1),SUM(C35:AH35),"")</f>
      </c>
      <c r="AI210" s="8">
        <f>IF((0=1),SUM(C35:AI35),"")</f>
      </c>
      <c r="AJ210" s="8">
        <f>IF((0=1),SUM(C35:AJ35),"")</f>
      </c>
      <c r="AK210" s="8">
        <f>IF((0=1),SUM(C35:AK35),"")</f>
      </c>
      <c r="AL210" s="8">
        <f>IF((0=1),SUM(C35:AL35),"")</f>
      </c>
      <c r="AM210" s="8">
        <f>IF((0=1),SUM(C35:AM35),"")</f>
      </c>
      <c r="AN210" s="8">
        <f>IF((0=1),SUM(C35:AN35),"")</f>
      </c>
      <c r="AO210" s="8">
        <f>IF((0=1),SUM(C35:AO35),"")</f>
      </c>
      <c r="AP210" s="8">
        <f>IF((0=1),SUM(C35:AP35),"")</f>
      </c>
      <c r="AQ210" s="8">
        <f>IF((0=1),SUM(C35:AQ35),"")</f>
      </c>
      <c r="AR210" s="8">
        <f>IF((0=1),SUM(C35:AR35),"")</f>
      </c>
      <c r="AS210" s="8">
        <f>IF((0=1),SUM(C35:AS35),"")</f>
      </c>
      <c r="AT210" s="8">
        <f>IF((0=1),SUM(C35:AT35),"")</f>
      </c>
      <c r="AU210" s="8">
        <f>IF((0=1),SUM(C35:AU35),"")</f>
      </c>
      <c r="AV210" s="8">
        <f>IF((0=1),SUM(C35:AV35),"")</f>
      </c>
      <c r="AW210" s="8">
        <f>IF((0=1),SUM(C35:AW35),"")</f>
      </c>
      <c r="AX210" s="8">
        <f>IF((0=1),SUM(C35:AX35),"")</f>
      </c>
      <c r="AY210" s="8">
        <f>IF((0=1),SUM(C35:AY35),"")</f>
      </c>
      <c r="AZ210" s="8">
        <f>IF((0=1),SUM(C35:AZ35),"")</f>
      </c>
      <c r="BA210" s="8">
        <f>IF((0=1),SUM(C35:BA35),"")</f>
      </c>
      <c r="BB210" s="8">
        <f>IF((0=1),SUM(C35:BB35),"")</f>
      </c>
      <c r="BC210" s="8">
        <f>IF((0=1),SUM(C35:BC35),"")</f>
      </c>
      <c r="BD210" s="8">
        <f>IF((0=1),SUM(C35:BD35),"")</f>
      </c>
      <c r="BE210" s="8">
        <f>IF((0=1),SUM(C35:BE35),"")</f>
      </c>
      <c r="BF210" s="8">
        <f>IF((0=1),SUM(C35:BF35),"")</f>
      </c>
      <c r="BG210" s="8">
        <f>IF((0=1),SUM(C35:BG35),"")</f>
      </c>
      <c r="BH210" s="8">
        <f>IF((0=1),SUM(C35:BH35),"")</f>
      </c>
      <c r="BI210" s="8">
        <f>IF((0=1),SUM(C35:BI35),"")</f>
      </c>
      <c r="BJ210" s="8">
        <f>IF((0=1),SUM(C35:BJ35),"")</f>
      </c>
      <c r="BK210" s="8">
        <f>IF((0=1),SUM(C35:BK35),"")</f>
      </c>
      <c r="BL210" s="8">
        <f>IF((0=1),SUM(C35:BL35),"")</f>
      </c>
      <c r="BM210" s="8">
        <f>IF((0=1),SUM(C35:BM35),"")</f>
      </c>
      <c r="BN210" s="8">
        <f>IF((0=1),SUM(C35:BN35),"")</f>
      </c>
      <c r="BO210" s="8">
        <f>IF((0=1),SUM(C35:BO35),"")</f>
      </c>
      <c r="BP210" s="8">
        <f>IF((0=1),SUM(C35:BP35),"")</f>
      </c>
      <c r="BQ210" s="8">
        <f>IF((0=1),SUM(C35:BQ35),"")</f>
      </c>
      <c r="BR210" s="8">
        <f>IF((0=1),SUM(C35:BR35),"")</f>
      </c>
      <c r="BS210" s="8">
        <f>IF((0=1),SUM(C35:BS35),"")</f>
      </c>
      <c r="BT210" s="8">
        <f>IF((0=1),SUM(C35:BT35),"")</f>
      </c>
      <c r="BU210" s="8">
        <f>IF((0=1),SUM(C35:BU35),"")</f>
      </c>
      <c r="BV210" s="8">
        <f>IF((0=1),SUM(C35:BV35),"")</f>
      </c>
      <c r="BW210" s="8">
        <f>IF((0=1),SUM(C35:BW35),"")</f>
      </c>
      <c r="BX210" s="8">
        <f>IF((0=1),SUM(C35:BX35),"")</f>
      </c>
      <c r="BY210" s="8">
        <f>IF((0=1),SUM(C35:BY35),"")</f>
      </c>
      <c r="BZ210" s="8">
        <f>IF((0=1),SUM(C35:BZ35),"")</f>
      </c>
      <c r="CA210" s="8">
        <f>IF((0=1),SUM(C35:CA35),"")</f>
      </c>
      <c r="CB210" s="8">
        <f>IF((0=1),SUM(C35:CB35),"")</f>
      </c>
      <c r="CC210" s="8">
        <f>IF((0=1),SUM(C35:CC35),"")</f>
      </c>
      <c r="CD210" s="8">
        <f>IF((0=1),SUM(C35:CD35),"")</f>
      </c>
      <c r="CE210" s="8">
        <f>IF((0=1),SUM(C35:CE35),"")</f>
      </c>
      <c r="CF210" s="8">
        <f>IF((0=1),SUM(C35:CF35),"")</f>
      </c>
      <c r="CG210" s="8">
        <f>IF((0=1),SUM(C35:CG35),"")</f>
      </c>
      <c r="CH210" s="8">
        <f>IF((0=1),SUM(C35:CH35),"")</f>
      </c>
      <c r="CI210" s="8">
        <f>IF((0=1),SUM(C35:CI35),"")</f>
      </c>
      <c r="CJ210" s="8">
        <f>IF((0=1),SUM(C35:CJ35),"")</f>
      </c>
      <c r="CK210" s="8">
        <f>IF((0=1),SUM(C35:CK35),"")</f>
      </c>
      <c r="CL210" s="8">
        <f>IF((0=1),SUM(C35:CL35),"")</f>
      </c>
      <c r="CM210" s="8">
        <f>IF((0=1),SUM(C35:CM35),"")</f>
      </c>
      <c r="CN210" s="8">
        <f>IF((0=1),SUM(C35:CN35),"")</f>
      </c>
      <c r="CO210" s="8">
        <f>IF((0=1),SUM(C35:CO35),"")</f>
      </c>
      <c r="CP210" s="8">
        <f>IF((0=1),SUM(C35:CP35),"")</f>
      </c>
      <c r="CQ210" s="8">
        <f>IF((0=1),SUM(C35:CQ35),"")</f>
      </c>
      <c r="CR210" s="8">
        <f>IF((0=1),SUM(C35:CR35),"")</f>
      </c>
      <c r="CS210" s="8">
        <f>IF((0=1),SUM(C35:CS35),"")</f>
      </c>
      <c r="CT210" s="8">
        <f>IF((0=1),SUM(C35:CT35),"")</f>
      </c>
      <c r="CU210" s="8">
        <f>IF((0=1),SUM(C35:CU35),"")</f>
      </c>
      <c r="CV210" s="8">
        <f>IF((0=1),SUM(C35:CV35),"")</f>
      </c>
      <c r="CW210" s="8">
        <f>IF((0=1),SUM(C35:CW35),"")</f>
      </c>
      <c r="CX210" s="8">
        <f>IF((0=1),SUM(C35:CX35),"")</f>
      </c>
    </row>
    <row r="211">
      <c r="A211" s="0" t="inlineStr">
        <is>
          <t xml:space="preserve">Cumulative sector-neutral excess, bps</t>
        </is>
      </c>
      <c r="B211" s="0" t="inlineStr">
        <is>
          <t xml:space="preserve">Random 20</t>
        </is>
      </c>
      <c r="C211" s="8">
        <f>IF((1=1),SUM(C36),"")</f>
        <v>5.013</v>
      </c>
      <c r="D211" s="8">
        <f>IF((0=1),SUM(C36:D36),"")</f>
      </c>
      <c r="E211" s="8">
        <f>IF((0=1),SUM(C36:E36),"")</f>
      </c>
      <c r="F211" s="8">
        <f>IF((0=1),SUM(C36:F36),"")</f>
      </c>
      <c r="G211" s="8">
        <f>IF((0=1),SUM(C36:G36),"")</f>
      </c>
      <c r="H211" s="8">
        <f>IF((0=1),SUM(C36:H36),"")</f>
      </c>
      <c r="I211" s="8">
        <f>IF((0=1),SUM(C36:I36),"")</f>
      </c>
      <c r="J211" s="8">
        <f>IF((0=1),SUM(C36:J36),"")</f>
      </c>
      <c r="K211" s="8">
        <f>IF((0=1),SUM(C36:K36),"")</f>
      </c>
      <c r="L211" s="8">
        <f>IF((0=1),SUM(C36:L36),"")</f>
      </c>
      <c r="M211" s="8">
        <f>IF((0=1),SUM(C36:M36),"")</f>
      </c>
      <c r="N211" s="8">
        <f>IF((0=1),SUM(C36:N36),"")</f>
      </c>
      <c r="O211" s="8">
        <f>IF((0=1),SUM(C36:O36),"")</f>
      </c>
      <c r="P211" s="8">
        <f>IF((0=1),SUM(C36:P36),"")</f>
      </c>
      <c r="Q211" s="8">
        <f>IF((0=1),SUM(C36:Q36),"")</f>
      </c>
      <c r="R211" s="8">
        <f>IF((0=1),SUM(C36:R36),"")</f>
      </c>
      <c r="S211" s="8">
        <f>IF((0=1),SUM(C36:S36),"")</f>
      </c>
      <c r="T211" s="8">
        <f>IF((0=1),SUM(C36:T36),"")</f>
      </c>
      <c r="U211" s="8">
        <f>IF((0=1),SUM(C36:U36),"")</f>
      </c>
      <c r="V211" s="8">
        <f>IF((0=1),SUM(C36:V36),"")</f>
      </c>
      <c r="W211" s="8">
        <f>IF((0=1),SUM(C36:W36),"")</f>
      </c>
      <c r="X211" s="8">
        <f>IF((0=1),SUM(C36:X36),"")</f>
      </c>
      <c r="Y211" s="8">
        <f>IF((0=1),SUM(C36:Y36),"")</f>
      </c>
      <c r="Z211" s="8">
        <f>IF((0=1),SUM(C36:Z36),"")</f>
      </c>
      <c r="AA211" s="8">
        <f>IF((0=1),SUM(C36:AA36),"")</f>
      </c>
      <c r="AB211" s="8">
        <f>IF((0=1),SUM(C36:AB36),"")</f>
      </c>
      <c r="AC211" s="8">
        <f>IF((0=1),SUM(C36:AC36),"")</f>
      </c>
      <c r="AD211" s="8">
        <f>IF((0=1),SUM(C36:AD36),"")</f>
      </c>
      <c r="AE211" s="8">
        <f>IF((0=1),SUM(C36:AE36),"")</f>
      </c>
      <c r="AF211" s="8">
        <f>IF((0=1),SUM(C36:AF36),"")</f>
      </c>
      <c r="AG211" s="8">
        <f>IF((0=1),SUM(C36:AG36),"")</f>
      </c>
      <c r="AH211" s="8">
        <f>IF((0=1),SUM(C36:AH36),"")</f>
      </c>
      <c r="AI211" s="8">
        <f>IF((0=1),SUM(C36:AI36),"")</f>
      </c>
      <c r="AJ211" s="8">
        <f>IF((0=1),SUM(C36:AJ36),"")</f>
      </c>
      <c r="AK211" s="8">
        <f>IF((0=1),SUM(C36:AK36),"")</f>
      </c>
      <c r="AL211" s="8">
        <f>IF((0=1),SUM(C36:AL36),"")</f>
      </c>
      <c r="AM211" s="8">
        <f>IF((0=1),SUM(C36:AM36),"")</f>
      </c>
      <c r="AN211" s="8">
        <f>IF((0=1),SUM(C36:AN36),"")</f>
      </c>
      <c r="AO211" s="8">
        <f>IF((0=1),SUM(C36:AO36),"")</f>
      </c>
      <c r="AP211" s="8">
        <f>IF((0=1),SUM(C36:AP36),"")</f>
      </c>
      <c r="AQ211" s="8">
        <f>IF((0=1),SUM(C36:AQ36),"")</f>
      </c>
      <c r="AR211" s="8">
        <f>IF((0=1),SUM(C36:AR36),"")</f>
      </c>
      <c r="AS211" s="8">
        <f>IF((0=1),SUM(C36:AS36),"")</f>
      </c>
      <c r="AT211" s="8">
        <f>IF((0=1),SUM(C36:AT36),"")</f>
      </c>
      <c r="AU211" s="8">
        <f>IF((0=1),SUM(C36:AU36),"")</f>
      </c>
      <c r="AV211" s="8">
        <f>IF((0=1),SUM(C36:AV36),"")</f>
      </c>
      <c r="AW211" s="8">
        <f>IF((0=1),SUM(C36:AW36),"")</f>
      </c>
      <c r="AX211" s="8">
        <f>IF((0=1),SUM(C36:AX36),"")</f>
      </c>
      <c r="AY211" s="8">
        <f>IF((0=1),SUM(C36:AY36),"")</f>
      </c>
      <c r="AZ211" s="8">
        <f>IF((0=1),SUM(C36:AZ36),"")</f>
      </c>
      <c r="BA211" s="8">
        <f>IF((0=1),SUM(C36:BA36),"")</f>
      </c>
      <c r="BB211" s="8">
        <f>IF((0=1),SUM(C36:BB36),"")</f>
      </c>
      <c r="BC211" s="8">
        <f>IF((0=1),SUM(C36:BC36),"")</f>
      </c>
      <c r="BD211" s="8">
        <f>IF((0=1),SUM(C36:BD36),"")</f>
      </c>
      <c r="BE211" s="8">
        <f>IF((0=1),SUM(C36:BE36),"")</f>
      </c>
      <c r="BF211" s="8">
        <f>IF((0=1),SUM(C36:BF36),"")</f>
      </c>
      <c r="BG211" s="8">
        <f>IF((0=1),SUM(C36:BG36),"")</f>
      </c>
      <c r="BH211" s="8">
        <f>IF((0=1),SUM(C36:BH36),"")</f>
      </c>
      <c r="BI211" s="8">
        <f>IF((0=1),SUM(C36:BI36),"")</f>
      </c>
      <c r="BJ211" s="8">
        <f>IF((0=1),SUM(C36:BJ36),"")</f>
      </c>
      <c r="BK211" s="8">
        <f>IF((0=1),SUM(C36:BK36),"")</f>
      </c>
      <c r="BL211" s="8">
        <f>IF((0=1),SUM(C36:BL36),"")</f>
      </c>
      <c r="BM211" s="8">
        <f>IF((0=1),SUM(C36:BM36),"")</f>
      </c>
      <c r="BN211" s="8">
        <f>IF((0=1),SUM(C36:BN36),"")</f>
      </c>
      <c r="BO211" s="8">
        <f>IF((0=1),SUM(C36:BO36),"")</f>
      </c>
      <c r="BP211" s="8">
        <f>IF((0=1),SUM(C36:BP36),"")</f>
      </c>
      <c r="BQ211" s="8">
        <f>IF((0=1),SUM(C36:BQ36),"")</f>
      </c>
      <c r="BR211" s="8">
        <f>IF((0=1),SUM(C36:BR36),"")</f>
      </c>
      <c r="BS211" s="8">
        <f>IF((0=1),SUM(C36:BS36),"")</f>
      </c>
      <c r="BT211" s="8">
        <f>IF((0=1),SUM(C36:BT36),"")</f>
      </c>
      <c r="BU211" s="8">
        <f>IF((0=1),SUM(C36:BU36),"")</f>
      </c>
      <c r="BV211" s="8">
        <f>IF((0=1),SUM(C36:BV36),"")</f>
      </c>
      <c r="BW211" s="8">
        <f>IF((0=1),SUM(C36:BW36),"")</f>
      </c>
      <c r="BX211" s="8">
        <f>IF((0=1),SUM(C36:BX36),"")</f>
      </c>
      <c r="BY211" s="8">
        <f>IF((0=1),SUM(C36:BY36),"")</f>
      </c>
      <c r="BZ211" s="8">
        <f>IF((0=1),SUM(C36:BZ36),"")</f>
      </c>
      <c r="CA211" s="8">
        <f>IF((0=1),SUM(C36:CA36),"")</f>
      </c>
      <c r="CB211" s="8">
        <f>IF((0=1),SUM(C36:CB36),"")</f>
      </c>
      <c r="CC211" s="8">
        <f>IF((0=1),SUM(C36:CC36),"")</f>
      </c>
      <c r="CD211" s="8">
        <f>IF((0=1),SUM(C36:CD36),"")</f>
      </c>
      <c r="CE211" s="8">
        <f>IF((0=1),SUM(C36:CE36),"")</f>
      </c>
      <c r="CF211" s="8">
        <f>IF((0=1),SUM(C36:CF36),"")</f>
      </c>
      <c r="CG211" s="8">
        <f>IF((0=1),SUM(C36:CG36),"")</f>
      </c>
      <c r="CH211" s="8">
        <f>IF((0=1),SUM(C36:CH36),"")</f>
      </c>
      <c r="CI211" s="8">
        <f>IF((0=1),SUM(C36:CI36),"")</f>
      </c>
      <c r="CJ211" s="8">
        <f>IF((0=1),SUM(C36:CJ36),"")</f>
      </c>
      <c r="CK211" s="8">
        <f>IF((0=1),SUM(C36:CK36),"")</f>
      </c>
      <c r="CL211" s="8">
        <f>IF((0=1),SUM(C36:CL36),"")</f>
      </c>
      <c r="CM211" s="8">
        <f>IF((0=1),SUM(C36:CM36),"")</f>
      </c>
      <c r="CN211" s="8">
        <f>IF((0=1),SUM(C36:CN36),"")</f>
      </c>
      <c r="CO211" s="8">
        <f>IF((0=1),SUM(C36:CO36),"")</f>
      </c>
      <c r="CP211" s="8">
        <f>IF((0=1),SUM(C36:CP36),"")</f>
      </c>
      <c r="CQ211" s="8">
        <f>IF((0=1),SUM(C36:CQ36),"")</f>
      </c>
      <c r="CR211" s="8">
        <f>IF((0=1),SUM(C36:CR36),"")</f>
      </c>
      <c r="CS211" s="8">
        <f>IF((0=1),SUM(C36:CS36),"")</f>
      </c>
      <c r="CT211" s="8">
        <f>IF((0=1),SUM(C36:CT36),"")</f>
      </c>
      <c r="CU211" s="8">
        <f>IF((0=1),SUM(C36:CU36),"")</f>
      </c>
      <c r="CV211" s="8">
        <f>IF((0=1),SUM(C36:CV36),"")</f>
      </c>
      <c r="CW211" s="8">
        <f>IF((0=1),SUM(C36:CW36),"")</f>
      </c>
      <c r="CX211" s="8">
        <f>IF((0=1),SUM(C36:CX36),"")</f>
      </c>
    </row>
    <row r="212">
      <c r="A212" s="0" t="inlineStr">
        <is>
          <t xml:space="preserve">Evaluated days to date</t>
        </is>
      </c>
      <c r="B212" s="0" t="inlineStr">
        <is>
          <t xml:space="preserve">worst 100 by yesterday's close-to-close return</t>
        </is>
      </c>
      <c r="C212" s="4">
        <f>IF((1=1),COUNT(C2),"")</f>
        <v>1</v>
      </c>
      <c r="D212" s="4">
        <f>IF((0=1),COUNT(C2:D2),"")</f>
      </c>
      <c r="E212" s="4">
        <f>IF((0=1),COUNT(C2:E2),"")</f>
      </c>
      <c r="F212" s="4">
        <f>IF((0=1),COUNT(C2:F2),"")</f>
      </c>
      <c r="G212" s="4">
        <f>IF((0=1),COUNT(C2:G2),"")</f>
      </c>
      <c r="H212" s="4">
        <f>IF((0=1),COUNT(C2:H2),"")</f>
      </c>
      <c r="I212" s="4">
        <f>IF((0=1),COUNT(C2:I2),"")</f>
      </c>
      <c r="J212" s="4">
        <f>IF((0=1),COUNT(C2:J2),"")</f>
      </c>
      <c r="K212" s="4">
        <f>IF((0=1),COUNT(C2:K2),"")</f>
      </c>
      <c r="L212" s="4">
        <f>IF((0=1),COUNT(C2:L2),"")</f>
      </c>
      <c r="M212" s="4">
        <f>IF((0=1),COUNT(C2:M2),"")</f>
      </c>
      <c r="N212" s="4">
        <f>IF((0=1),COUNT(C2:N2),"")</f>
      </c>
      <c r="O212" s="4">
        <f>IF((0=1),COUNT(C2:O2),"")</f>
      </c>
      <c r="P212" s="4">
        <f>IF((0=1),COUNT(C2:P2),"")</f>
      </c>
      <c r="Q212" s="4">
        <f>IF((0=1),COUNT(C2:Q2),"")</f>
      </c>
      <c r="R212" s="4">
        <f>IF((0=1),COUNT(C2:R2),"")</f>
      </c>
      <c r="S212" s="4">
        <f>IF((0=1),COUNT(C2:S2),"")</f>
      </c>
      <c r="T212" s="4">
        <f>IF((0=1),COUNT(C2:T2),"")</f>
      </c>
      <c r="U212" s="4">
        <f>IF((0=1),COUNT(C2:U2),"")</f>
      </c>
      <c r="V212" s="4">
        <f>IF((0=1),COUNT(C2:V2),"")</f>
      </c>
      <c r="W212" s="4">
        <f>IF((0=1),COUNT(C2:W2),"")</f>
      </c>
      <c r="X212" s="4">
        <f>IF((0=1),COUNT(C2:X2),"")</f>
      </c>
      <c r="Y212" s="4">
        <f>IF((0=1),COUNT(C2:Y2),"")</f>
      </c>
      <c r="Z212" s="4">
        <f>IF((0=1),COUNT(C2:Z2),"")</f>
      </c>
      <c r="AA212" s="4">
        <f>IF((0=1),COUNT(C2:AA2),"")</f>
      </c>
      <c r="AB212" s="4">
        <f>IF((0=1),COUNT(C2:AB2),"")</f>
      </c>
      <c r="AC212" s="4">
        <f>IF((0=1),COUNT(C2:AC2),"")</f>
      </c>
      <c r="AD212" s="4">
        <f>IF((0=1),COUNT(C2:AD2),"")</f>
      </c>
      <c r="AE212" s="4">
        <f>IF((0=1),COUNT(C2:AE2),"")</f>
      </c>
      <c r="AF212" s="4">
        <f>IF((0=1),COUNT(C2:AF2),"")</f>
      </c>
      <c r="AG212" s="4">
        <f>IF((0=1),COUNT(C2:AG2),"")</f>
      </c>
      <c r="AH212" s="4">
        <f>IF((0=1),COUNT(C2:AH2),"")</f>
      </c>
      <c r="AI212" s="4">
        <f>IF((0=1),COUNT(C2:AI2),"")</f>
      </c>
      <c r="AJ212" s="4">
        <f>IF((0=1),COUNT(C2:AJ2),"")</f>
      </c>
      <c r="AK212" s="4">
        <f>IF((0=1),COUNT(C2:AK2),"")</f>
      </c>
      <c r="AL212" s="4">
        <f>IF((0=1),COUNT(C2:AL2),"")</f>
      </c>
      <c r="AM212" s="4">
        <f>IF((0=1),COUNT(C2:AM2),"")</f>
      </c>
      <c r="AN212" s="4">
        <f>IF((0=1),COUNT(C2:AN2),"")</f>
      </c>
      <c r="AO212" s="4">
        <f>IF((0=1),COUNT(C2:AO2),"")</f>
      </c>
      <c r="AP212" s="4">
        <f>IF((0=1),COUNT(C2:AP2),"")</f>
      </c>
      <c r="AQ212" s="4">
        <f>IF((0=1),COUNT(C2:AQ2),"")</f>
      </c>
      <c r="AR212" s="4">
        <f>IF((0=1),COUNT(C2:AR2),"")</f>
      </c>
      <c r="AS212" s="4">
        <f>IF((0=1),COUNT(C2:AS2),"")</f>
      </c>
      <c r="AT212" s="4">
        <f>IF((0=1),COUNT(C2:AT2),"")</f>
      </c>
      <c r="AU212" s="4">
        <f>IF((0=1),COUNT(C2:AU2),"")</f>
      </c>
      <c r="AV212" s="4">
        <f>IF((0=1),COUNT(C2:AV2),"")</f>
      </c>
      <c r="AW212" s="4">
        <f>IF((0=1),COUNT(C2:AW2),"")</f>
      </c>
      <c r="AX212" s="4">
        <f>IF((0=1),COUNT(C2:AX2),"")</f>
      </c>
      <c r="AY212" s="4">
        <f>IF((0=1),COUNT(C2:AY2),"")</f>
      </c>
      <c r="AZ212" s="4">
        <f>IF((0=1),COUNT(C2:AZ2),"")</f>
      </c>
      <c r="BA212" s="4">
        <f>IF((0=1),COUNT(C2:BA2),"")</f>
      </c>
      <c r="BB212" s="4">
        <f>IF((0=1),COUNT(C2:BB2),"")</f>
      </c>
      <c r="BC212" s="4">
        <f>IF((0=1),COUNT(C2:BC2),"")</f>
      </c>
      <c r="BD212" s="4">
        <f>IF((0=1),COUNT(C2:BD2),"")</f>
      </c>
      <c r="BE212" s="4">
        <f>IF((0=1),COUNT(C2:BE2),"")</f>
      </c>
      <c r="BF212" s="4">
        <f>IF((0=1),COUNT(C2:BF2),"")</f>
      </c>
      <c r="BG212" s="4">
        <f>IF((0=1),COUNT(C2:BG2),"")</f>
      </c>
      <c r="BH212" s="4">
        <f>IF((0=1),COUNT(C2:BH2),"")</f>
      </c>
      <c r="BI212" s="4">
        <f>IF((0=1),COUNT(C2:BI2),"")</f>
      </c>
      <c r="BJ212" s="4">
        <f>IF((0=1),COUNT(C2:BJ2),"")</f>
      </c>
      <c r="BK212" s="4">
        <f>IF((0=1),COUNT(C2:BK2),"")</f>
      </c>
      <c r="BL212" s="4">
        <f>IF((0=1),COUNT(C2:BL2),"")</f>
      </c>
      <c r="BM212" s="4">
        <f>IF((0=1),COUNT(C2:BM2),"")</f>
      </c>
      <c r="BN212" s="4">
        <f>IF((0=1),COUNT(C2:BN2),"")</f>
      </c>
      <c r="BO212" s="4">
        <f>IF((0=1),COUNT(C2:BO2),"")</f>
      </c>
      <c r="BP212" s="4">
        <f>IF((0=1),COUNT(C2:BP2),"")</f>
      </c>
      <c r="BQ212" s="4">
        <f>IF((0=1),COUNT(C2:BQ2),"")</f>
      </c>
      <c r="BR212" s="4">
        <f>IF((0=1),COUNT(C2:BR2),"")</f>
      </c>
      <c r="BS212" s="4">
        <f>IF((0=1),COUNT(C2:BS2),"")</f>
      </c>
      <c r="BT212" s="4">
        <f>IF((0=1),COUNT(C2:BT2),"")</f>
      </c>
      <c r="BU212" s="4">
        <f>IF((0=1),COUNT(C2:BU2),"")</f>
      </c>
      <c r="BV212" s="4">
        <f>IF((0=1),COUNT(C2:BV2),"")</f>
      </c>
      <c r="BW212" s="4">
        <f>IF((0=1),COUNT(C2:BW2),"")</f>
      </c>
      <c r="BX212" s="4">
        <f>IF((0=1),COUNT(C2:BX2),"")</f>
      </c>
      <c r="BY212" s="4">
        <f>IF((0=1),COUNT(C2:BY2),"")</f>
      </c>
      <c r="BZ212" s="4">
        <f>IF((0=1),COUNT(C2:BZ2),"")</f>
      </c>
      <c r="CA212" s="4">
        <f>IF((0=1),COUNT(C2:CA2),"")</f>
      </c>
      <c r="CB212" s="4">
        <f>IF((0=1),COUNT(C2:CB2),"")</f>
      </c>
      <c r="CC212" s="4">
        <f>IF((0=1),COUNT(C2:CC2),"")</f>
      </c>
      <c r="CD212" s="4">
        <f>IF((0=1),COUNT(C2:CD2),"")</f>
      </c>
      <c r="CE212" s="4">
        <f>IF((0=1),COUNT(C2:CE2),"")</f>
      </c>
      <c r="CF212" s="4">
        <f>IF((0=1),COUNT(C2:CF2),"")</f>
      </c>
      <c r="CG212" s="4">
        <f>IF((0=1),COUNT(C2:CG2),"")</f>
      </c>
      <c r="CH212" s="4">
        <f>IF((0=1),COUNT(C2:CH2),"")</f>
      </c>
      <c r="CI212" s="4">
        <f>IF((0=1),COUNT(C2:CI2),"")</f>
      </c>
      <c r="CJ212" s="4">
        <f>IF((0=1),COUNT(C2:CJ2),"")</f>
      </c>
      <c r="CK212" s="4">
        <f>IF((0=1),COUNT(C2:CK2),"")</f>
      </c>
      <c r="CL212" s="4">
        <f>IF((0=1),COUNT(C2:CL2),"")</f>
      </c>
      <c r="CM212" s="4">
        <f>IF((0=1),COUNT(C2:CM2),"")</f>
      </c>
      <c r="CN212" s="4">
        <f>IF((0=1),COUNT(C2:CN2),"")</f>
      </c>
      <c r="CO212" s="4">
        <f>IF((0=1),COUNT(C2:CO2),"")</f>
      </c>
      <c r="CP212" s="4">
        <f>IF((0=1),COUNT(C2:CP2),"")</f>
      </c>
      <c r="CQ212" s="4">
        <f>IF((0=1),COUNT(C2:CQ2),"")</f>
      </c>
      <c r="CR212" s="4">
        <f>IF((0=1),COUNT(C2:CR2),"")</f>
      </c>
      <c r="CS212" s="4">
        <f>IF((0=1),COUNT(C2:CS2),"")</f>
      </c>
      <c r="CT212" s="4">
        <f>IF((0=1),COUNT(C2:CT2),"")</f>
      </c>
      <c r="CU212" s="4">
        <f>IF((0=1),COUNT(C2:CU2),"")</f>
      </c>
      <c r="CV212" s="4">
        <f>IF((0=1),COUNT(C2:CV2),"")</f>
      </c>
      <c r="CW212" s="4">
        <f>IF((0=1),COUNT(C2:CW2),"")</f>
      </c>
      <c r="CX212" s="4">
        <f>IF((0=1),COUNT(C2:CX2),"")</f>
      </c>
    </row>
    <row r="213">
      <c r="A213" s="0" t="inlineStr">
        <is>
          <t xml:space="preserve">Evaluated days to date</t>
        </is>
      </c>
      <c r="B213" s="0" t="inlineStr">
        <is>
          <t xml:space="preserve">lowest 100 by 60-day volatility</t>
        </is>
      </c>
      <c r="C213" s="4">
        <f>IF((1=1),COUNT(C3),"")</f>
        <v>1</v>
      </c>
      <c r="D213" s="4">
        <f>IF((0=1),COUNT(C3:D3),"")</f>
      </c>
      <c r="E213" s="4">
        <f>IF((0=1),COUNT(C3:E3),"")</f>
      </c>
      <c r="F213" s="4">
        <f>IF((0=1),COUNT(C3:F3),"")</f>
      </c>
      <c r="G213" s="4">
        <f>IF((0=1),COUNT(C3:G3),"")</f>
      </c>
      <c r="H213" s="4">
        <f>IF((0=1),COUNT(C3:H3),"")</f>
      </c>
      <c r="I213" s="4">
        <f>IF((0=1),COUNT(C3:I3),"")</f>
      </c>
      <c r="J213" s="4">
        <f>IF((0=1),COUNT(C3:J3),"")</f>
      </c>
      <c r="K213" s="4">
        <f>IF((0=1),COUNT(C3:K3),"")</f>
      </c>
      <c r="L213" s="4">
        <f>IF((0=1),COUNT(C3:L3),"")</f>
      </c>
      <c r="M213" s="4">
        <f>IF((0=1),COUNT(C3:M3),"")</f>
      </c>
      <c r="N213" s="4">
        <f>IF((0=1),COUNT(C3:N3),"")</f>
      </c>
      <c r="O213" s="4">
        <f>IF((0=1),COUNT(C3:O3),"")</f>
      </c>
      <c r="P213" s="4">
        <f>IF((0=1),COUNT(C3:P3),"")</f>
      </c>
      <c r="Q213" s="4">
        <f>IF((0=1),COUNT(C3:Q3),"")</f>
      </c>
      <c r="R213" s="4">
        <f>IF((0=1),COUNT(C3:R3),"")</f>
      </c>
      <c r="S213" s="4">
        <f>IF((0=1),COUNT(C3:S3),"")</f>
      </c>
      <c r="T213" s="4">
        <f>IF((0=1),COUNT(C3:T3),"")</f>
      </c>
      <c r="U213" s="4">
        <f>IF((0=1),COUNT(C3:U3),"")</f>
      </c>
      <c r="V213" s="4">
        <f>IF((0=1),COUNT(C3:V3),"")</f>
      </c>
      <c r="W213" s="4">
        <f>IF((0=1),COUNT(C3:W3),"")</f>
      </c>
      <c r="X213" s="4">
        <f>IF((0=1),COUNT(C3:X3),"")</f>
      </c>
      <c r="Y213" s="4">
        <f>IF((0=1),COUNT(C3:Y3),"")</f>
      </c>
      <c r="Z213" s="4">
        <f>IF((0=1),COUNT(C3:Z3),"")</f>
      </c>
      <c r="AA213" s="4">
        <f>IF((0=1),COUNT(C3:AA3),"")</f>
      </c>
      <c r="AB213" s="4">
        <f>IF((0=1),COUNT(C3:AB3),"")</f>
      </c>
      <c r="AC213" s="4">
        <f>IF((0=1),COUNT(C3:AC3),"")</f>
      </c>
      <c r="AD213" s="4">
        <f>IF((0=1),COUNT(C3:AD3),"")</f>
      </c>
      <c r="AE213" s="4">
        <f>IF((0=1),COUNT(C3:AE3),"")</f>
      </c>
      <c r="AF213" s="4">
        <f>IF((0=1),COUNT(C3:AF3),"")</f>
      </c>
      <c r="AG213" s="4">
        <f>IF((0=1),COUNT(C3:AG3),"")</f>
      </c>
      <c r="AH213" s="4">
        <f>IF((0=1),COUNT(C3:AH3),"")</f>
      </c>
      <c r="AI213" s="4">
        <f>IF((0=1),COUNT(C3:AI3),"")</f>
      </c>
      <c r="AJ213" s="4">
        <f>IF((0=1),COUNT(C3:AJ3),"")</f>
      </c>
      <c r="AK213" s="4">
        <f>IF((0=1),COUNT(C3:AK3),"")</f>
      </c>
      <c r="AL213" s="4">
        <f>IF((0=1),COUNT(C3:AL3),"")</f>
      </c>
      <c r="AM213" s="4">
        <f>IF((0=1),COUNT(C3:AM3),"")</f>
      </c>
      <c r="AN213" s="4">
        <f>IF((0=1),COUNT(C3:AN3),"")</f>
      </c>
      <c r="AO213" s="4">
        <f>IF((0=1),COUNT(C3:AO3),"")</f>
      </c>
      <c r="AP213" s="4">
        <f>IF((0=1),COUNT(C3:AP3),"")</f>
      </c>
      <c r="AQ213" s="4">
        <f>IF((0=1),COUNT(C3:AQ3),"")</f>
      </c>
      <c r="AR213" s="4">
        <f>IF((0=1),COUNT(C3:AR3),"")</f>
      </c>
      <c r="AS213" s="4">
        <f>IF((0=1),COUNT(C3:AS3),"")</f>
      </c>
      <c r="AT213" s="4">
        <f>IF((0=1),COUNT(C3:AT3),"")</f>
      </c>
      <c r="AU213" s="4">
        <f>IF((0=1),COUNT(C3:AU3),"")</f>
      </c>
      <c r="AV213" s="4">
        <f>IF((0=1),COUNT(C3:AV3),"")</f>
      </c>
      <c r="AW213" s="4">
        <f>IF((0=1),COUNT(C3:AW3),"")</f>
      </c>
      <c r="AX213" s="4">
        <f>IF((0=1),COUNT(C3:AX3),"")</f>
      </c>
      <c r="AY213" s="4">
        <f>IF((0=1),COUNT(C3:AY3),"")</f>
      </c>
      <c r="AZ213" s="4">
        <f>IF((0=1),COUNT(C3:AZ3),"")</f>
      </c>
      <c r="BA213" s="4">
        <f>IF((0=1),COUNT(C3:BA3),"")</f>
      </c>
      <c r="BB213" s="4">
        <f>IF((0=1),COUNT(C3:BB3),"")</f>
      </c>
      <c r="BC213" s="4">
        <f>IF((0=1),COUNT(C3:BC3),"")</f>
      </c>
      <c r="BD213" s="4">
        <f>IF((0=1),COUNT(C3:BD3),"")</f>
      </c>
      <c r="BE213" s="4">
        <f>IF((0=1),COUNT(C3:BE3),"")</f>
      </c>
      <c r="BF213" s="4">
        <f>IF((0=1),COUNT(C3:BF3),"")</f>
      </c>
      <c r="BG213" s="4">
        <f>IF((0=1),COUNT(C3:BG3),"")</f>
      </c>
      <c r="BH213" s="4">
        <f>IF((0=1),COUNT(C3:BH3),"")</f>
      </c>
      <c r="BI213" s="4">
        <f>IF((0=1),COUNT(C3:BI3),"")</f>
      </c>
      <c r="BJ213" s="4">
        <f>IF((0=1),COUNT(C3:BJ3),"")</f>
      </c>
      <c r="BK213" s="4">
        <f>IF((0=1),COUNT(C3:BK3),"")</f>
      </c>
      <c r="BL213" s="4">
        <f>IF((0=1),COUNT(C3:BL3),"")</f>
      </c>
      <c r="BM213" s="4">
        <f>IF((0=1),COUNT(C3:BM3),"")</f>
      </c>
      <c r="BN213" s="4">
        <f>IF((0=1),COUNT(C3:BN3),"")</f>
      </c>
      <c r="BO213" s="4">
        <f>IF((0=1),COUNT(C3:BO3),"")</f>
      </c>
      <c r="BP213" s="4">
        <f>IF((0=1),COUNT(C3:BP3),"")</f>
      </c>
      <c r="BQ213" s="4">
        <f>IF((0=1),COUNT(C3:BQ3),"")</f>
      </c>
      <c r="BR213" s="4">
        <f>IF((0=1),COUNT(C3:BR3),"")</f>
      </c>
      <c r="BS213" s="4">
        <f>IF((0=1),COUNT(C3:BS3),"")</f>
      </c>
      <c r="BT213" s="4">
        <f>IF((0=1),COUNT(C3:BT3),"")</f>
      </c>
      <c r="BU213" s="4">
        <f>IF((0=1),COUNT(C3:BU3),"")</f>
      </c>
      <c r="BV213" s="4">
        <f>IF((0=1),COUNT(C3:BV3),"")</f>
      </c>
      <c r="BW213" s="4">
        <f>IF((0=1),COUNT(C3:BW3),"")</f>
      </c>
      <c r="BX213" s="4">
        <f>IF((0=1),COUNT(C3:BX3),"")</f>
      </c>
      <c r="BY213" s="4">
        <f>IF((0=1),COUNT(C3:BY3),"")</f>
      </c>
      <c r="BZ213" s="4">
        <f>IF((0=1),COUNT(C3:BZ3),"")</f>
      </c>
      <c r="CA213" s="4">
        <f>IF((0=1),COUNT(C3:CA3),"")</f>
      </c>
      <c r="CB213" s="4">
        <f>IF((0=1),COUNT(C3:CB3),"")</f>
      </c>
      <c r="CC213" s="4">
        <f>IF((0=1),COUNT(C3:CC3),"")</f>
      </c>
      <c r="CD213" s="4">
        <f>IF((0=1),COUNT(C3:CD3),"")</f>
      </c>
      <c r="CE213" s="4">
        <f>IF((0=1),COUNT(C3:CE3),"")</f>
      </c>
      <c r="CF213" s="4">
        <f>IF((0=1),COUNT(C3:CF3),"")</f>
      </c>
      <c r="CG213" s="4">
        <f>IF((0=1),COUNT(C3:CG3),"")</f>
      </c>
      <c r="CH213" s="4">
        <f>IF((0=1),COUNT(C3:CH3),"")</f>
      </c>
      <c r="CI213" s="4">
        <f>IF((0=1),COUNT(C3:CI3),"")</f>
      </c>
      <c r="CJ213" s="4">
        <f>IF((0=1),COUNT(C3:CJ3),"")</f>
      </c>
      <c r="CK213" s="4">
        <f>IF((0=1),COUNT(C3:CK3),"")</f>
      </c>
      <c r="CL213" s="4">
        <f>IF((0=1),COUNT(C3:CL3),"")</f>
      </c>
      <c r="CM213" s="4">
        <f>IF((0=1),COUNT(C3:CM3),"")</f>
      </c>
      <c r="CN213" s="4">
        <f>IF((0=1),COUNT(C3:CN3),"")</f>
      </c>
      <c r="CO213" s="4">
        <f>IF((0=1),COUNT(C3:CO3),"")</f>
      </c>
      <c r="CP213" s="4">
        <f>IF((0=1),COUNT(C3:CP3),"")</f>
      </c>
      <c r="CQ213" s="4">
        <f>IF((0=1),COUNT(C3:CQ3),"")</f>
      </c>
      <c r="CR213" s="4">
        <f>IF((0=1),COUNT(C3:CR3),"")</f>
      </c>
      <c r="CS213" s="4">
        <f>IF((0=1),COUNT(C3:CS3),"")</f>
      </c>
      <c r="CT213" s="4">
        <f>IF((0=1),COUNT(C3:CT3),"")</f>
      </c>
      <c r="CU213" s="4">
        <f>IF((0=1),COUNT(C3:CU3),"")</f>
      </c>
      <c r="CV213" s="4">
        <f>IF((0=1),COUNT(C3:CV3),"")</f>
      </c>
      <c r="CW213" s="4">
        <f>IF((0=1),COUNT(C3:CW3),"")</f>
      </c>
      <c r="CX213" s="4">
        <f>IF((0=1),COUNT(C3:CX3),"")</f>
      </c>
    </row>
    <row r="214">
      <c r="A214" s="0" t="inlineStr">
        <is>
          <t xml:space="preserve">Evaluated days to date</t>
        </is>
      </c>
      <c r="B214" s="0" t="inlineStr">
        <is>
          <t xml:space="preserve">largest 100 by market cap</t>
        </is>
      </c>
      <c r="C214" s="4">
        <f>IF((1=1),COUNT(C4),"")</f>
        <v>1</v>
      </c>
      <c r="D214" s="4">
        <f>IF((0=1),COUNT(C4:D4),"")</f>
      </c>
      <c r="E214" s="4">
        <f>IF((0=1),COUNT(C4:E4),"")</f>
      </c>
      <c r="F214" s="4">
        <f>IF((0=1),COUNT(C4:F4),"")</f>
      </c>
      <c r="G214" s="4">
        <f>IF((0=1),COUNT(C4:G4),"")</f>
      </c>
      <c r="H214" s="4">
        <f>IF((0=1),COUNT(C4:H4),"")</f>
      </c>
      <c r="I214" s="4">
        <f>IF((0=1),COUNT(C4:I4),"")</f>
      </c>
      <c r="J214" s="4">
        <f>IF((0=1),COUNT(C4:J4),"")</f>
      </c>
      <c r="K214" s="4">
        <f>IF((0=1),COUNT(C4:K4),"")</f>
      </c>
      <c r="L214" s="4">
        <f>IF((0=1),COUNT(C4:L4),"")</f>
      </c>
      <c r="M214" s="4">
        <f>IF((0=1),COUNT(C4:M4),"")</f>
      </c>
      <c r="N214" s="4">
        <f>IF((0=1),COUNT(C4:N4),"")</f>
      </c>
      <c r="O214" s="4">
        <f>IF((0=1),COUNT(C4:O4),"")</f>
      </c>
      <c r="P214" s="4">
        <f>IF((0=1),COUNT(C4:P4),"")</f>
      </c>
      <c r="Q214" s="4">
        <f>IF((0=1),COUNT(C4:Q4),"")</f>
      </c>
      <c r="R214" s="4">
        <f>IF((0=1),COUNT(C4:R4),"")</f>
      </c>
      <c r="S214" s="4">
        <f>IF((0=1),COUNT(C4:S4),"")</f>
      </c>
      <c r="T214" s="4">
        <f>IF((0=1),COUNT(C4:T4),"")</f>
      </c>
      <c r="U214" s="4">
        <f>IF((0=1),COUNT(C4:U4),"")</f>
      </c>
      <c r="V214" s="4">
        <f>IF((0=1),COUNT(C4:V4),"")</f>
      </c>
      <c r="W214" s="4">
        <f>IF((0=1),COUNT(C4:W4),"")</f>
      </c>
      <c r="X214" s="4">
        <f>IF((0=1),COUNT(C4:X4),"")</f>
      </c>
      <c r="Y214" s="4">
        <f>IF((0=1),COUNT(C4:Y4),"")</f>
      </c>
      <c r="Z214" s="4">
        <f>IF((0=1),COUNT(C4:Z4),"")</f>
      </c>
      <c r="AA214" s="4">
        <f>IF((0=1),COUNT(C4:AA4),"")</f>
      </c>
      <c r="AB214" s="4">
        <f>IF((0=1),COUNT(C4:AB4),"")</f>
      </c>
      <c r="AC214" s="4">
        <f>IF((0=1),COUNT(C4:AC4),"")</f>
      </c>
      <c r="AD214" s="4">
        <f>IF((0=1),COUNT(C4:AD4),"")</f>
      </c>
      <c r="AE214" s="4">
        <f>IF((0=1),COUNT(C4:AE4),"")</f>
      </c>
      <c r="AF214" s="4">
        <f>IF((0=1),COUNT(C4:AF4),"")</f>
      </c>
      <c r="AG214" s="4">
        <f>IF((0=1),COUNT(C4:AG4),"")</f>
      </c>
      <c r="AH214" s="4">
        <f>IF((0=1),COUNT(C4:AH4),"")</f>
      </c>
      <c r="AI214" s="4">
        <f>IF((0=1),COUNT(C4:AI4),"")</f>
      </c>
      <c r="AJ214" s="4">
        <f>IF((0=1),COUNT(C4:AJ4),"")</f>
      </c>
      <c r="AK214" s="4">
        <f>IF((0=1),COUNT(C4:AK4),"")</f>
      </c>
      <c r="AL214" s="4">
        <f>IF((0=1),COUNT(C4:AL4),"")</f>
      </c>
      <c r="AM214" s="4">
        <f>IF((0=1),COUNT(C4:AM4),"")</f>
      </c>
      <c r="AN214" s="4">
        <f>IF((0=1),COUNT(C4:AN4),"")</f>
      </c>
      <c r="AO214" s="4">
        <f>IF((0=1),COUNT(C4:AO4),"")</f>
      </c>
      <c r="AP214" s="4">
        <f>IF((0=1),COUNT(C4:AP4),"")</f>
      </c>
      <c r="AQ214" s="4">
        <f>IF((0=1),COUNT(C4:AQ4),"")</f>
      </c>
      <c r="AR214" s="4">
        <f>IF((0=1),COUNT(C4:AR4),"")</f>
      </c>
      <c r="AS214" s="4">
        <f>IF((0=1),COUNT(C4:AS4),"")</f>
      </c>
      <c r="AT214" s="4">
        <f>IF((0=1),COUNT(C4:AT4),"")</f>
      </c>
      <c r="AU214" s="4">
        <f>IF((0=1),COUNT(C4:AU4),"")</f>
      </c>
      <c r="AV214" s="4">
        <f>IF((0=1),COUNT(C4:AV4),"")</f>
      </c>
      <c r="AW214" s="4">
        <f>IF((0=1),COUNT(C4:AW4),"")</f>
      </c>
      <c r="AX214" s="4">
        <f>IF((0=1),COUNT(C4:AX4),"")</f>
      </c>
      <c r="AY214" s="4">
        <f>IF((0=1),COUNT(C4:AY4),"")</f>
      </c>
      <c r="AZ214" s="4">
        <f>IF((0=1),COUNT(C4:AZ4),"")</f>
      </c>
      <c r="BA214" s="4">
        <f>IF((0=1),COUNT(C4:BA4),"")</f>
      </c>
      <c r="BB214" s="4">
        <f>IF((0=1),COUNT(C4:BB4),"")</f>
      </c>
      <c r="BC214" s="4">
        <f>IF((0=1),COUNT(C4:BC4),"")</f>
      </c>
      <c r="BD214" s="4">
        <f>IF((0=1),COUNT(C4:BD4),"")</f>
      </c>
      <c r="BE214" s="4">
        <f>IF((0=1),COUNT(C4:BE4),"")</f>
      </c>
      <c r="BF214" s="4">
        <f>IF((0=1),COUNT(C4:BF4),"")</f>
      </c>
      <c r="BG214" s="4">
        <f>IF((0=1),COUNT(C4:BG4),"")</f>
      </c>
      <c r="BH214" s="4">
        <f>IF((0=1),COUNT(C4:BH4),"")</f>
      </c>
      <c r="BI214" s="4">
        <f>IF((0=1),COUNT(C4:BI4),"")</f>
      </c>
      <c r="BJ214" s="4">
        <f>IF((0=1),COUNT(C4:BJ4),"")</f>
      </c>
      <c r="BK214" s="4">
        <f>IF((0=1),COUNT(C4:BK4),"")</f>
      </c>
      <c r="BL214" s="4">
        <f>IF((0=1),COUNT(C4:BL4),"")</f>
      </c>
      <c r="BM214" s="4">
        <f>IF((0=1),COUNT(C4:BM4),"")</f>
      </c>
      <c r="BN214" s="4">
        <f>IF((0=1),COUNT(C4:BN4),"")</f>
      </c>
      <c r="BO214" s="4">
        <f>IF((0=1),COUNT(C4:BO4),"")</f>
      </c>
      <c r="BP214" s="4">
        <f>IF((0=1),COUNT(C4:BP4),"")</f>
      </c>
      <c r="BQ214" s="4">
        <f>IF((0=1),COUNT(C4:BQ4),"")</f>
      </c>
      <c r="BR214" s="4">
        <f>IF((0=1),COUNT(C4:BR4),"")</f>
      </c>
      <c r="BS214" s="4">
        <f>IF((0=1),COUNT(C4:BS4),"")</f>
      </c>
      <c r="BT214" s="4">
        <f>IF((0=1),COUNT(C4:BT4),"")</f>
      </c>
      <c r="BU214" s="4">
        <f>IF((0=1),COUNT(C4:BU4),"")</f>
      </c>
      <c r="BV214" s="4">
        <f>IF((0=1),COUNT(C4:BV4),"")</f>
      </c>
      <c r="BW214" s="4">
        <f>IF((0=1),COUNT(C4:BW4),"")</f>
      </c>
      <c r="BX214" s="4">
        <f>IF((0=1),COUNT(C4:BX4),"")</f>
      </c>
      <c r="BY214" s="4">
        <f>IF((0=1),COUNT(C4:BY4),"")</f>
      </c>
      <c r="BZ214" s="4">
        <f>IF((0=1),COUNT(C4:BZ4),"")</f>
      </c>
      <c r="CA214" s="4">
        <f>IF((0=1),COUNT(C4:CA4),"")</f>
      </c>
      <c r="CB214" s="4">
        <f>IF((0=1),COUNT(C4:CB4),"")</f>
      </c>
      <c r="CC214" s="4">
        <f>IF((0=1),COUNT(C4:CC4),"")</f>
      </c>
      <c r="CD214" s="4">
        <f>IF((0=1),COUNT(C4:CD4),"")</f>
      </c>
      <c r="CE214" s="4">
        <f>IF((0=1),COUNT(C4:CE4),"")</f>
      </c>
      <c r="CF214" s="4">
        <f>IF((0=1),COUNT(C4:CF4),"")</f>
      </c>
      <c r="CG214" s="4">
        <f>IF((0=1),COUNT(C4:CG4),"")</f>
      </c>
      <c r="CH214" s="4">
        <f>IF((0=1),COUNT(C4:CH4),"")</f>
      </c>
      <c r="CI214" s="4">
        <f>IF((0=1),COUNT(C4:CI4),"")</f>
      </c>
      <c r="CJ214" s="4">
        <f>IF((0=1),COUNT(C4:CJ4),"")</f>
      </c>
      <c r="CK214" s="4">
        <f>IF((0=1),COUNT(C4:CK4),"")</f>
      </c>
      <c r="CL214" s="4">
        <f>IF((0=1),COUNT(C4:CL4),"")</f>
      </c>
      <c r="CM214" s="4">
        <f>IF((0=1),COUNT(C4:CM4),"")</f>
      </c>
      <c r="CN214" s="4">
        <f>IF((0=1),COUNT(C4:CN4),"")</f>
      </c>
      <c r="CO214" s="4">
        <f>IF((0=1),COUNT(C4:CO4),"")</f>
      </c>
      <c r="CP214" s="4">
        <f>IF((0=1),COUNT(C4:CP4),"")</f>
      </c>
      <c r="CQ214" s="4">
        <f>IF((0=1),COUNT(C4:CQ4),"")</f>
      </c>
      <c r="CR214" s="4">
        <f>IF((0=1),COUNT(C4:CR4),"")</f>
      </c>
      <c r="CS214" s="4">
        <f>IF((0=1),COUNT(C4:CS4),"")</f>
      </c>
      <c r="CT214" s="4">
        <f>IF((0=1),COUNT(C4:CT4),"")</f>
      </c>
      <c r="CU214" s="4">
        <f>IF((0=1),COUNT(C4:CU4),"")</f>
      </c>
      <c r="CV214" s="4">
        <f>IF((0=1),COUNT(C4:CV4),"")</f>
      </c>
      <c r="CW214" s="4">
        <f>IF((0=1),COUNT(C4:CW4),"")</f>
      </c>
      <c r="CX214" s="4">
        <f>IF((0=1),COUNT(C4:CX4),"")</f>
      </c>
    </row>
    <row r="215">
      <c r="A215" s="0" t="inlineStr">
        <is>
          <t xml:space="preserve">Evaluated days to date</t>
        </is>
      </c>
      <c r="B215" s="0" t="inlineStr">
        <is>
          <t xml:space="preserve">top 100 by 12-1 month return</t>
        </is>
      </c>
      <c r="C215" s="4">
        <f>IF((1=1),COUNT(C5),"")</f>
        <v>1</v>
      </c>
      <c r="D215" s="4">
        <f>IF((0=1),COUNT(C5:D5),"")</f>
      </c>
      <c r="E215" s="4">
        <f>IF((0=1),COUNT(C5:E5),"")</f>
      </c>
      <c r="F215" s="4">
        <f>IF((0=1),COUNT(C5:F5),"")</f>
      </c>
      <c r="G215" s="4">
        <f>IF((0=1),COUNT(C5:G5),"")</f>
      </c>
      <c r="H215" s="4">
        <f>IF((0=1),COUNT(C5:H5),"")</f>
      </c>
      <c r="I215" s="4">
        <f>IF((0=1),COUNT(C5:I5),"")</f>
      </c>
      <c r="J215" s="4">
        <f>IF((0=1),COUNT(C5:J5),"")</f>
      </c>
      <c r="K215" s="4">
        <f>IF((0=1),COUNT(C5:K5),"")</f>
      </c>
      <c r="L215" s="4">
        <f>IF((0=1),COUNT(C5:L5),"")</f>
      </c>
      <c r="M215" s="4">
        <f>IF((0=1),COUNT(C5:M5),"")</f>
      </c>
      <c r="N215" s="4">
        <f>IF((0=1),COUNT(C5:N5),"")</f>
      </c>
      <c r="O215" s="4">
        <f>IF((0=1),COUNT(C5:O5),"")</f>
      </c>
      <c r="P215" s="4">
        <f>IF((0=1),COUNT(C5:P5),"")</f>
      </c>
      <c r="Q215" s="4">
        <f>IF((0=1),COUNT(C5:Q5),"")</f>
      </c>
      <c r="R215" s="4">
        <f>IF((0=1),COUNT(C5:R5),"")</f>
      </c>
      <c r="S215" s="4">
        <f>IF((0=1),COUNT(C5:S5),"")</f>
      </c>
      <c r="T215" s="4">
        <f>IF((0=1),COUNT(C5:T5),"")</f>
      </c>
      <c r="U215" s="4">
        <f>IF((0=1),COUNT(C5:U5),"")</f>
      </c>
      <c r="V215" s="4">
        <f>IF((0=1),COUNT(C5:V5),"")</f>
      </c>
      <c r="W215" s="4">
        <f>IF((0=1),COUNT(C5:W5),"")</f>
      </c>
      <c r="X215" s="4">
        <f>IF((0=1),COUNT(C5:X5),"")</f>
      </c>
      <c r="Y215" s="4">
        <f>IF((0=1),COUNT(C5:Y5),"")</f>
      </c>
      <c r="Z215" s="4">
        <f>IF((0=1),COUNT(C5:Z5),"")</f>
      </c>
      <c r="AA215" s="4">
        <f>IF((0=1),COUNT(C5:AA5),"")</f>
      </c>
      <c r="AB215" s="4">
        <f>IF((0=1),COUNT(C5:AB5),"")</f>
      </c>
      <c r="AC215" s="4">
        <f>IF((0=1),COUNT(C5:AC5),"")</f>
      </c>
      <c r="AD215" s="4">
        <f>IF((0=1),COUNT(C5:AD5),"")</f>
      </c>
      <c r="AE215" s="4">
        <f>IF((0=1),COUNT(C5:AE5),"")</f>
      </c>
      <c r="AF215" s="4">
        <f>IF((0=1),COUNT(C5:AF5),"")</f>
      </c>
      <c r="AG215" s="4">
        <f>IF((0=1),COUNT(C5:AG5),"")</f>
      </c>
      <c r="AH215" s="4">
        <f>IF((0=1),COUNT(C5:AH5),"")</f>
      </c>
      <c r="AI215" s="4">
        <f>IF((0=1),COUNT(C5:AI5),"")</f>
      </c>
      <c r="AJ215" s="4">
        <f>IF((0=1),COUNT(C5:AJ5),"")</f>
      </c>
      <c r="AK215" s="4">
        <f>IF((0=1),COUNT(C5:AK5),"")</f>
      </c>
      <c r="AL215" s="4">
        <f>IF((0=1),COUNT(C5:AL5),"")</f>
      </c>
      <c r="AM215" s="4">
        <f>IF((0=1),COUNT(C5:AM5),"")</f>
      </c>
      <c r="AN215" s="4">
        <f>IF((0=1),COUNT(C5:AN5),"")</f>
      </c>
      <c r="AO215" s="4">
        <f>IF((0=1),COUNT(C5:AO5),"")</f>
      </c>
      <c r="AP215" s="4">
        <f>IF((0=1),COUNT(C5:AP5),"")</f>
      </c>
      <c r="AQ215" s="4">
        <f>IF((0=1),COUNT(C5:AQ5),"")</f>
      </c>
      <c r="AR215" s="4">
        <f>IF((0=1),COUNT(C5:AR5),"")</f>
      </c>
      <c r="AS215" s="4">
        <f>IF((0=1),COUNT(C5:AS5),"")</f>
      </c>
      <c r="AT215" s="4">
        <f>IF((0=1),COUNT(C5:AT5),"")</f>
      </c>
      <c r="AU215" s="4">
        <f>IF((0=1),COUNT(C5:AU5),"")</f>
      </c>
      <c r="AV215" s="4">
        <f>IF((0=1),COUNT(C5:AV5),"")</f>
      </c>
      <c r="AW215" s="4">
        <f>IF((0=1),COUNT(C5:AW5),"")</f>
      </c>
      <c r="AX215" s="4">
        <f>IF((0=1),COUNT(C5:AX5),"")</f>
      </c>
      <c r="AY215" s="4">
        <f>IF((0=1),COUNT(C5:AY5),"")</f>
      </c>
      <c r="AZ215" s="4">
        <f>IF((0=1),COUNT(C5:AZ5),"")</f>
      </c>
      <c r="BA215" s="4">
        <f>IF((0=1),COUNT(C5:BA5),"")</f>
      </c>
      <c r="BB215" s="4">
        <f>IF((0=1),COUNT(C5:BB5),"")</f>
      </c>
      <c r="BC215" s="4">
        <f>IF((0=1),COUNT(C5:BC5),"")</f>
      </c>
      <c r="BD215" s="4">
        <f>IF((0=1),COUNT(C5:BD5),"")</f>
      </c>
      <c r="BE215" s="4">
        <f>IF((0=1),COUNT(C5:BE5),"")</f>
      </c>
      <c r="BF215" s="4">
        <f>IF((0=1),COUNT(C5:BF5),"")</f>
      </c>
      <c r="BG215" s="4">
        <f>IF((0=1),COUNT(C5:BG5),"")</f>
      </c>
      <c r="BH215" s="4">
        <f>IF((0=1),COUNT(C5:BH5),"")</f>
      </c>
      <c r="BI215" s="4">
        <f>IF((0=1),COUNT(C5:BI5),"")</f>
      </c>
      <c r="BJ215" s="4">
        <f>IF((0=1),COUNT(C5:BJ5),"")</f>
      </c>
      <c r="BK215" s="4">
        <f>IF((0=1),COUNT(C5:BK5),"")</f>
      </c>
      <c r="BL215" s="4">
        <f>IF((0=1),COUNT(C5:BL5),"")</f>
      </c>
      <c r="BM215" s="4">
        <f>IF((0=1),COUNT(C5:BM5),"")</f>
      </c>
      <c r="BN215" s="4">
        <f>IF((0=1),COUNT(C5:BN5),"")</f>
      </c>
      <c r="BO215" s="4">
        <f>IF((0=1),COUNT(C5:BO5),"")</f>
      </c>
      <c r="BP215" s="4">
        <f>IF((0=1),COUNT(C5:BP5),"")</f>
      </c>
      <c r="BQ215" s="4">
        <f>IF((0=1),COUNT(C5:BQ5),"")</f>
      </c>
      <c r="BR215" s="4">
        <f>IF((0=1),COUNT(C5:BR5),"")</f>
      </c>
      <c r="BS215" s="4">
        <f>IF((0=1),COUNT(C5:BS5),"")</f>
      </c>
      <c r="BT215" s="4">
        <f>IF((0=1),COUNT(C5:BT5),"")</f>
      </c>
      <c r="BU215" s="4">
        <f>IF((0=1),COUNT(C5:BU5),"")</f>
      </c>
      <c r="BV215" s="4">
        <f>IF((0=1),COUNT(C5:BV5),"")</f>
      </c>
      <c r="BW215" s="4">
        <f>IF((0=1),COUNT(C5:BW5),"")</f>
      </c>
      <c r="BX215" s="4">
        <f>IF((0=1),COUNT(C5:BX5),"")</f>
      </c>
      <c r="BY215" s="4">
        <f>IF((0=1),COUNT(C5:BY5),"")</f>
      </c>
      <c r="BZ215" s="4">
        <f>IF((0=1),COUNT(C5:BZ5),"")</f>
      </c>
      <c r="CA215" s="4">
        <f>IF((0=1),COUNT(C5:CA5),"")</f>
      </c>
      <c r="CB215" s="4">
        <f>IF((0=1),COUNT(C5:CB5),"")</f>
      </c>
      <c r="CC215" s="4">
        <f>IF((0=1),COUNT(C5:CC5),"")</f>
      </c>
      <c r="CD215" s="4">
        <f>IF((0=1),COUNT(C5:CD5),"")</f>
      </c>
      <c r="CE215" s="4">
        <f>IF((0=1),COUNT(C5:CE5),"")</f>
      </c>
      <c r="CF215" s="4">
        <f>IF((0=1),COUNT(C5:CF5),"")</f>
      </c>
      <c r="CG215" s="4">
        <f>IF((0=1),COUNT(C5:CG5),"")</f>
      </c>
      <c r="CH215" s="4">
        <f>IF((0=1),COUNT(C5:CH5),"")</f>
      </c>
      <c r="CI215" s="4">
        <f>IF((0=1),COUNT(C5:CI5),"")</f>
      </c>
      <c r="CJ215" s="4">
        <f>IF((0=1),COUNT(C5:CJ5),"")</f>
      </c>
      <c r="CK215" s="4">
        <f>IF((0=1),COUNT(C5:CK5),"")</f>
      </c>
      <c r="CL215" s="4">
        <f>IF((0=1),COUNT(C5:CL5),"")</f>
      </c>
      <c r="CM215" s="4">
        <f>IF((0=1),COUNT(C5:CM5),"")</f>
      </c>
      <c r="CN215" s="4">
        <f>IF((0=1),COUNT(C5:CN5),"")</f>
      </c>
      <c r="CO215" s="4">
        <f>IF((0=1),COUNT(C5:CO5),"")</f>
      </c>
      <c r="CP215" s="4">
        <f>IF((0=1),COUNT(C5:CP5),"")</f>
      </c>
      <c r="CQ215" s="4">
        <f>IF((0=1),COUNT(C5:CQ5),"")</f>
      </c>
      <c r="CR215" s="4">
        <f>IF((0=1),COUNT(C5:CR5),"")</f>
      </c>
      <c r="CS215" s="4">
        <f>IF((0=1),COUNT(C5:CS5),"")</f>
      </c>
      <c r="CT215" s="4">
        <f>IF((0=1),COUNT(C5:CT5),"")</f>
      </c>
      <c r="CU215" s="4">
        <f>IF((0=1),COUNT(C5:CU5),"")</f>
      </c>
      <c r="CV215" s="4">
        <f>IF((0=1),COUNT(C5:CV5),"")</f>
      </c>
      <c r="CW215" s="4">
        <f>IF((0=1),COUNT(C5:CW5),"")</f>
      </c>
      <c r="CX215" s="4">
        <f>IF((0=1),COUNT(C5:CX5),"")</f>
      </c>
    </row>
    <row r="216">
      <c r="A216" s="0" t="inlineStr">
        <is>
          <t xml:space="preserve">Evaluated days to date</t>
        </is>
      </c>
      <c r="B216" s="0" t="inlineStr">
        <is>
          <t xml:space="preserve">best 100 by yesterday's close-to-close return</t>
        </is>
      </c>
      <c r="C216" s="4">
        <f>IF((1=1),COUNT(C6),"")</f>
        <v>1</v>
      </c>
      <c r="D216" s="4">
        <f>IF((0=1),COUNT(C6:D6),"")</f>
      </c>
      <c r="E216" s="4">
        <f>IF((0=1),COUNT(C6:E6),"")</f>
      </c>
      <c r="F216" s="4">
        <f>IF((0=1),COUNT(C6:F6),"")</f>
      </c>
      <c r="G216" s="4">
        <f>IF((0=1),COUNT(C6:G6),"")</f>
      </c>
      <c r="H216" s="4">
        <f>IF((0=1),COUNT(C6:H6),"")</f>
      </c>
      <c r="I216" s="4">
        <f>IF((0=1),COUNT(C6:I6),"")</f>
      </c>
      <c r="J216" s="4">
        <f>IF((0=1),COUNT(C6:J6),"")</f>
      </c>
      <c r="K216" s="4">
        <f>IF((0=1),COUNT(C6:K6),"")</f>
      </c>
      <c r="L216" s="4">
        <f>IF((0=1),COUNT(C6:L6),"")</f>
      </c>
      <c r="M216" s="4">
        <f>IF((0=1),COUNT(C6:M6),"")</f>
      </c>
      <c r="N216" s="4">
        <f>IF((0=1),COUNT(C6:N6),"")</f>
      </c>
      <c r="O216" s="4">
        <f>IF((0=1),COUNT(C6:O6),"")</f>
      </c>
      <c r="P216" s="4">
        <f>IF((0=1),COUNT(C6:P6),"")</f>
      </c>
      <c r="Q216" s="4">
        <f>IF((0=1),COUNT(C6:Q6),"")</f>
      </c>
      <c r="R216" s="4">
        <f>IF((0=1),COUNT(C6:R6),"")</f>
      </c>
      <c r="S216" s="4">
        <f>IF((0=1),COUNT(C6:S6),"")</f>
      </c>
      <c r="T216" s="4">
        <f>IF((0=1),COUNT(C6:T6),"")</f>
      </c>
      <c r="U216" s="4">
        <f>IF((0=1),COUNT(C6:U6),"")</f>
      </c>
      <c r="V216" s="4">
        <f>IF((0=1),COUNT(C6:V6),"")</f>
      </c>
      <c r="W216" s="4">
        <f>IF((0=1),COUNT(C6:W6),"")</f>
      </c>
      <c r="X216" s="4">
        <f>IF((0=1),COUNT(C6:X6),"")</f>
      </c>
      <c r="Y216" s="4">
        <f>IF((0=1),COUNT(C6:Y6),"")</f>
      </c>
      <c r="Z216" s="4">
        <f>IF((0=1),COUNT(C6:Z6),"")</f>
      </c>
      <c r="AA216" s="4">
        <f>IF((0=1),COUNT(C6:AA6),"")</f>
      </c>
      <c r="AB216" s="4">
        <f>IF((0=1),COUNT(C6:AB6),"")</f>
      </c>
      <c r="AC216" s="4">
        <f>IF((0=1),COUNT(C6:AC6),"")</f>
      </c>
      <c r="AD216" s="4">
        <f>IF((0=1),COUNT(C6:AD6),"")</f>
      </c>
      <c r="AE216" s="4">
        <f>IF((0=1),COUNT(C6:AE6),"")</f>
      </c>
      <c r="AF216" s="4">
        <f>IF((0=1),COUNT(C6:AF6),"")</f>
      </c>
      <c r="AG216" s="4">
        <f>IF((0=1),COUNT(C6:AG6),"")</f>
      </c>
      <c r="AH216" s="4">
        <f>IF((0=1),COUNT(C6:AH6),"")</f>
      </c>
      <c r="AI216" s="4">
        <f>IF((0=1),COUNT(C6:AI6),"")</f>
      </c>
      <c r="AJ216" s="4">
        <f>IF((0=1),COUNT(C6:AJ6),"")</f>
      </c>
      <c r="AK216" s="4">
        <f>IF((0=1),COUNT(C6:AK6),"")</f>
      </c>
      <c r="AL216" s="4">
        <f>IF((0=1),COUNT(C6:AL6),"")</f>
      </c>
      <c r="AM216" s="4">
        <f>IF((0=1),COUNT(C6:AM6),"")</f>
      </c>
      <c r="AN216" s="4">
        <f>IF((0=1),COUNT(C6:AN6),"")</f>
      </c>
      <c r="AO216" s="4">
        <f>IF((0=1),COUNT(C6:AO6),"")</f>
      </c>
      <c r="AP216" s="4">
        <f>IF((0=1),COUNT(C6:AP6),"")</f>
      </c>
      <c r="AQ216" s="4">
        <f>IF((0=1),COUNT(C6:AQ6),"")</f>
      </c>
      <c r="AR216" s="4">
        <f>IF((0=1),COUNT(C6:AR6),"")</f>
      </c>
      <c r="AS216" s="4">
        <f>IF((0=1),COUNT(C6:AS6),"")</f>
      </c>
      <c r="AT216" s="4">
        <f>IF((0=1),COUNT(C6:AT6),"")</f>
      </c>
      <c r="AU216" s="4">
        <f>IF((0=1),COUNT(C6:AU6),"")</f>
      </c>
      <c r="AV216" s="4">
        <f>IF((0=1),COUNT(C6:AV6),"")</f>
      </c>
      <c r="AW216" s="4">
        <f>IF((0=1),COUNT(C6:AW6),"")</f>
      </c>
      <c r="AX216" s="4">
        <f>IF((0=1),COUNT(C6:AX6),"")</f>
      </c>
      <c r="AY216" s="4">
        <f>IF((0=1),COUNT(C6:AY6),"")</f>
      </c>
      <c r="AZ216" s="4">
        <f>IF((0=1),COUNT(C6:AZ6),"")</f>
      </c>
      <c r="BA216" s="4">
        <f>IF((0=1),COUNT(C6:BA6),"")</f>
      </c>
      <c r="BB216" s="4">
        <f>IF((0=1),COUNT(C6:BB6),"")</f>
      </c>
      <c r="BC216" s="4">
        <f>IF((0=1),COUNT(C6:BC6),"")</f>
      </c>
      <c r="BD216" s="4">
        <f>IF((0=1),COUNT(C6:BD6),"")</f>
      </c>
      <c r="BE216" s="4">
        <f>IF((0=1),COUNT(C6:BE6),"")</f>
      </c>
      <c r="BF216" s="4">
        <f>IF((0=1),COUNT(C6:BF6),"")</f>
      </c>
      <c r="BG216" s="4">
        <f>IF((0=1),COUNT(C6:BG6),"")</f>
      </c>
      <c r="BH216" s="4">
        <f>IF((0=1),COUNT(C6:BH6),"")</f>
      </c>
      <c r="BI216" s="4">
        <f>IF((0=1),COUNT(C6:BI6),"")</f>
      </c>
      <c r="BJ216" s="4">
        <f>IF((0=1),COUNT(C6:BJ6),"")</f>
      </c>
      <c r="BK216" s="4">
        <f>IF((0=1),COUNT(C6:BK6),"")</f>
      </c>
      <c r="BL216" s="4">
        <f>IF((0=1),COUNT(C6:BL6),"")</f>
      </c>
      <c r="BM216" s="4">
        <f>IF((0=1),COUNT(C6:BM6),"")</f>
      </c>
      <c r="BN216" s="4">
        <f>IF((0=1),COUNT(C6:BN6),"")</f>
      </c>
      <c r="BO216" s="4">
        <f>IF((0=1),COUNT(C6:BO6),"")</f>
      </c>
      <c r="BP216" s="4">
        <f>IF((0=1),COUNT(C6:BP6),"")</f>
      </c>
      <c r="BQ216" s="4">
        <f>IF((0=1),COUNT(C6:BQ6),"")</f>
      </c>
      <c r="BR216" s="4">
        <f>IF((0=1),COUNT(C6:BR6),"")</f>
      </c>
      <c r="BS216" s="4">
        <f>IF((0=1),COUNT(C6:BS6),"")</f>
      </c>
      <c r="BT216" s="4">
        <f>IF((0=1),COUNT(C6:BT6),"")</f>
      </c>
      <c r="BU216" s="4">
        <f>IF((0=1),COUNT(C6:BU6),"")</f>
      </c>
      <c r="BV216" s="4">
        <f>IF((0=1),COUNT(C6:BV6),"")</f>
      </c>
      <c r="BW216" s="4">
        <f>IF((0=1),COUNT(C6:BW6),"")</f>
      </c>
      <c r="BX216" s="4">
        <f>IF((0=1),COUNT(C6:BX6),"")</f>
      </c>
      <c r="BY216" s="4">
        <f>IF((0=1),COUNT(C6:BY6),"")</f>
      </c>
      <c r="BZ216" s="4">
        <f>IF((0=1),COUNT(C6:BZ6),"")</f>
      </c>
      <c r="CA216" s="4">
        <f>IF((0=1),COUNT(C6:CA6),"")</f>
      </c>
      <c r="CB216" s="4">
        <f>IF((0=1),COUNT(C6:CB6),"")</f>
      </c>
      <c r="CC216" s="4">
        <f>IF((0=1),COUNT(C6:CC6),"")</f>
      </c>
      <c r="CD216" s="4">
        <f>IF((0=1),COUNT(C6:CD6),"")</f>
      </c>
      <c r="CE216" s="4">
        <f>IF((0=1),COUNT(C6:CE6),"")</f>
      </c>
      <c r="CF216" s="4">
        <f>IF((0=1),COUNT(C6:CF6),"")</f>
      </c>
      <c r="CG216" s="4">
        <f>IF((0=1),COUNT(C6:CG6),"")</f>
      </c>
      <c r="CH216" s="4">
        <f>IF((0=1),COUNT(C6:CH6),"")</f>
      </c>
      <c r="CI216" s="4">
        <f>IF((0=1),COUNT(C6:CI6),"")</f>
      </c>
      <c r="CJ216" s="4">
        <f>IF((0=1),COUNT(C6:CJ6),"")</f>
      </c>
      <c r="CK216" s="4">
        <f>IF((0=1),COUNT(C6:CK6),"")</f>
      </c>
      <c r="CL216" s="4">
        <f>IF((0=1),COUNT(C6:CL6),"")</f>
      </c>
      <c r="CM216" s="4">
        <f>IF((0=1),COUNT(C6:CM6),"")</f>
      </c>
      <c r="CN216" s="4">
        <f>IF((0=1),COUNT(C6:CN6),"")</f>
      </c>
      <c r="CO216" s="4">
        <f>IF((0=1),COUNT(C6:CO6),"")</f>
      </c>
      <c r="CP216" s="4">
        <f>IF((0=1),COUNT(C6:CP6),"")</f>
      </c>
      <c r="CQ216" s="4">
        <f>IF((0=1),COUNT(C6:CQ6),"")</f>
      </c>
      <c r="CR216" s="4">
        <f>IF((0=1),COUNT(C6:CR6),"")</f>
      </c>
      <c r="CS216" s="4">
        <f>IF((0=1),COUNT(C6:CS6),"")</f>
      </c>
      <c r="CT216" s="4">
        <f>IF((0=1),COUNT(C6:CT6),"")</f>
      </c>
      <c r="CU216" s="4">
        <f>IF((0=1),COUNT(C6:CU6),"")</f>
      </c>
      <c r="CV216" s="4">
        <f>IF((0=1),COUNT(C6:CV6),"")</f>
      </c>
      <c r="CW216" s="4">
        <f>IF((0=1),COUNT(C6:CW6),"")</f>
      </c>
      <c r="CX216" s="4">
        <f>IF((0=1),COUNT(C6:CX6),"")</f>
      </c>
    </row>
    <row r="217">
      <c r="A217" s="0" t="inlineStr">
        <is>
          <t xml:space="preserve">Evaluated days to date</t>
        </is>
      </c>
      <c r="B217" s="0" t="inlineStr">
        <is>
          <t xml:space="preserve">Retail Attention Overnight</t>
        </is>
      </c>
      <c r="C217" s="4">
        <f>IF((1=1),COUNT(C7),"")</f>
        <v>1</v>
      </c>
      <c r="D217" s="4">
        <f>IF((0=1),COUNT(C7:D7),"")</f>
      </c>
      <c r="E217" s="4">
        <f>IF((0=1),COUNT(C7:E7),"")</f>
      </c>
      <c r="F217" s="4">
        <f>IF((0=1),COUNT(C7:F7),"")</f>
      </c>
      <c r="G217" s="4">
        <f>IF((0=1),COUNT(C7:G7),"")</f>
      </c>
      <c r="H217" s="4">
        <f>IF((0=1),COUNT(C7:H7),"")</f>
      </c>
      <c r="I217" s="4">
        <f>IF((0=1),COUNT(C7:I7),"")</f>
      </c>
      <c r="J217" s="4">
        <f>IF((0=1),COUNT(C7:J7),"")</f>
      </c>
      <c r="K217" s="4">
        <f>IF((0=1),COUNT(C7:K7),"")</f>
      </c>
      <c r="L217" s="4">
        <f>IF((0=1),COUNT(C7:L7),"")</f>
      </c>
      <c r="M217" s="4">
        <f>IF((0=1),COUNT(C7:M7),"")</f>
      </c>
      <c r="N217" s="4">
        <f>IF((0=1),COUNT(C7:N7),"")</f>
      </c>
      <c r="O217" s="4">
        <f>IF((0=1),COUNT(C7:O7),"")</f>
      </c>
      <c r="P217" s="4">
        <f>IF((0=1),COUNT(C7:P7),"")</f>
      </c>
      <c r="Q217" s="4">
        <f>IF((0=1),COUNT(C7:Q7),"")</f>
      </c>
      <c r="R217" s="4">
        <f>IF((0=1),COUNT(C7:R7),"")</f>
      </c>
      <c r="S217" s="4">
        <f>IF((0=1),COUNT(C7:S7),"")</f>
      </c>
      <c r="T217" s="4">
        <f>IF((0=1),COUNT(C7:T7),"")</f>
      </c>
      <c r="U217" s="4">
        <f>IF((0=1),COUNT(C7:U7),"")</f>
      </c>
      <c r="V217" s="4">
        <f>IF((0=1),COUNT(C7:V7),"")</f>
      </c>
      <c r="W217" s="4">
        <f>IF((0=1),COUNT(C7:W7),"")</f>
      </c>
      <c r="X217" s="4">
        <f>IF((0=1),COUNT(C7:X7),"")</f>
      </c>
      <c r="Y217" s="4">
        <f>IF((0=1),COUNT(C7:Y7),"")</f>
      </c>
      <c r="Z217" s="4">
        <f>IF((0=1),COUNT(C7:Z7),"")</f>
      </c>
      <c r="AA217" s="4">
        <f>IF((0=1),COUNT(C7:AA7),"")</f>
      </c>
      <c r="AB217" s="4">
        <f>IF((0=1),COUNT(C7:AB7),"")</f>
      </c>
      <c r="AC217" s="4">
        <f>IF((0=1),COUNT(C7:AC7),"")</f>
      </c>
      <c r="AD217" s="4">
        <f>IF((0=1),COUNT(C7:AD7),"")</f>
      </c>
      <c r="AE217" s="4">
        <f>IF((0=1),COUNT(C7:AE7),"")</f>
      </c>
      <c r="AF217" s="4">
        <f>IF((0=1),COUNT(C7:AF7),"")</f>
      </c>
      <c r="AG217" s="4">
        <f>IF((0=1),COUNT(C7:AG7),"")</f>
      </c>
      <c r="AH217" s="4">
        <f>IF((0=1),COUNT(C7:AH7),"")</f>
      </c>
      <c r="AI217" s="4">
        <f>IF((0=1),COUNT(C7:AI7),"")</f>
      </c>
      <c r="AJ217" s="4">
        <f>IF((0=1),COUNT(C7:AJ7),"")</f>
      </c>
      <c r="AK217" s="4">
        <f>IF((0=1),COUNT(C7:AK7),"")</f>
      </c>
      <c r="AL217" s="4">
        <f>IF((0=1),COUNT(C7:AL7),"")</f>
      </c>
      <c r="AM217" s="4">
        <f>IF((0=1),COUNT(C7:AM7),"")</f>
      </c>
      <c r="AN217" s="4">
        <f>IF((0=1),COUNT(C7:AN7),"")</f>
      </c>
      <c r="AO217" s="4">
        <f>IF((0=1),COUNT(C7:AO7),"")</f>
      </c>
      <c r="AP217" s="4">
        <f>IF((0=1),COUNT(C7:AP7),"")</f>
      </c>
      <c r="AQ217" s="4">
        <f>IF((0=1),COUNT(C7:AQ7),"")</f>
      </c>
      <c r="AR217" s="4">
        <f>IF((0=1),COUNT(C7:AR7),"")</f>
      </c>
      <c r="AS217" s="4">
        <f>IF((0=1),COUNT(C7:AS7),"")</f>
      </c>
      <c r="AT217" s="4">
        <f>IF((0=1),COUNT(C7:AT7),"")</f>
      </c>
      <c r="AU217" s="4">
        <f>IF((0=1),COUNT(C7:AU7),"")</f>
      </c>
      <c r="AV217" s="4">
        <f>IF((0=1),COUNT(C7:AV7),"")</f>
      </c>
      <c r="AW217" s="4">
        <f>IF((0=1),COUNT(C7:AW7),"")</f>
      </c>
      <c r="AX217" s="4">
        <f>IF((0=1),COUNT(C7:AX7),"")</f>
      </c>
      <c r="AY217" s="4">
        <f>IF((0=1),COUNT(C7:AY7),"")</f>
      </c>
      <c r="AZ217" s="4">
        <f>IF((0=1),COUNT(C7:AZ7),"")</f>
      </c>
      <c r="BA217" s="4">
        <f>IF((0=1),COUNT(C7:BA7),"")</f>
      </c>
      <c r="BB217" s="4">
        <f>IF((0=1),COUNT(C7:BB7),"")</f>
      </c>
      <c r="BC217" s="4">
        <f>IF((0=1),COUNT(C7:BC7),"")</f>
      </c>
      <c r="BD217" s="4">
        <f>IF((0=1),COUNT(C7:BD7),"")</f>
      </c>
      <c r="BE217" s="4">
        <f>IF((0=1),COUNT(C7:BE7),"")</f>
      </c>
      <c r="BF217" s="4">
        <f>IF((0=1),COUNT(C7:BF7),"")</f>
      </c>
      <c r="BG217" s="4">
        <f>IF((0=1),COUNT(C7:BG7),"")</f>
      </c>
      <c r="BH217" s="4">
        <f>IF((0=1),COUNT(C7:BH7),"")</f>
      </c>
      <c r="BI217" s="4">
        <f>IF((0=1),COUNT(C7:BI7),"")</f>
      </c>
      <c r="BJ217" s="4">
        <f>IF((0=1),COUNT(C7:BJ7),"")</f>
      </c>
      <c r="BK217" s="4">
        <f>IF((0=1),COUNT(C7:BK7),"")</f>
      </c>
      <c r="BL217" s="4">
        <f>IF((0=1),COUNT(C7:BL7),"")</f>
      </c>
      <c r="BM217" s="4">
        <f>IF((0=1),COUNT(C7:BM7),"")</f>
      </c>
      <c r="BN217" s="4">
        <f>IF((0=1),COUNT(C7:BN7),"")</f>
      </c>
      <c r="BO217" s="4">
        <f>IF((0=1),COUNT(C7:BO7),"")</f>
      </c>
      <c r="BP217" s="4">
        <f>IF((0=1),COUNT(C7:BP7),"")</f>
      </c>
      <c r="BQ217" s="4">
        <f>IF((0=1),COUNT(C7:BQ7),"")</f>
      </c>
      <c r="BR217" s="4">
        <f>IF((0=1),COUNT(C7:BR7),"")</f>
      </c>
      <c r="BS217" s="4">
        <f>IF((0=1),COUNT(C7:BS7),"")</f>
      </c>
      <c r="BT217" s="4">
        <f>IF((0=1),COUNT(C7:BT7),"")</f>
      </c>
      <c r="BU217" s="4">
        <f>IF((0=1),COUNT(C7:BU7),"")</f>
      </c>
      <c r="BV217" s="4">
        <f>IF((0=1),COUNT(C7:BV7),"")</f>
      </c>
      <c r="BW217" s="4">
        <f>IF((0=1),COUNT(C7:BW7),"")</f>
      </c>
      <c r="BX217" s="4">
        <f>IF((0=1),COUNT(C7:BX7),"")</f>
      </c>
      <c r="BY217" s="4">
        <f>IF((0=1),COUNT(C7:BY7),"")</f>
      </c>
      <c r="BZ217" s="4">
        <f>IF((0=1),COUNT(C7:BZ7),"")</f>
      </c>
      <c r="CA217" s="4">
        <f>IF((0=1),COUNT(C7:CA7),"")</f>
      </c>
      <c r="CB217" s="4">
        <f>IF((0=1),COUNT(C7:CB7),"")</f>
      </c>
      <c r="CC217" s="4">
        <f>IF((0=1),COUNT(C7:CC7),"")</f>
      </c>
      <c r="CD217" s="4">
        <f>IF((0=1),COUNT(C7:CD7),"")</f>
      </c>
      <c r="CE217" s="4">
        <f>IF((0=1),COUNT(C7:CE7),"")</f>
      </c>
      <c r="CF217" s="4">
        <f>IF((0=1),COUNT(C7:CF7),"")</f>
      </c>
      <c r="CG217" s="4">
        <f>IF((0=1),COUNT(C7:CG7),"")</f>
      </c>
      <c r="CH217" s="4">
        <f>IF((0=1),COUNT(C7:CH7),"")</f>
      </c>
      <c r="CI217" s="4">
        <f>IF((0=1),COUNT(C7:CI7),"")</f>
      </c>
      <c r="CJ217" s="4">
        <f>IF((0=1),COUNT(C7:CJ7),"")</f>
      </c>
      <c r="CK217" s="4">
        <f>IF((0=1),COUNT(C7:CK7),"")</f>
      </c>
      <c r="CL217" s="4">
        <f>IF((0=1),COUNT(C7:CL7),"")</f>
      </c>
      <c r="CM217" s="4">
        <f>IF((0=1),COUNT(C7:CM7),"")</f>
      </c>
      <c r="CN217" s="4">
        <f>IF((0=1),COUNT(C7:CN7),"")</f>
      </c>
      <c r="CO217" s="4">
        <f>IF((0=1),COUNT(C7:CO7),"")</f>
      </c>
      <c r="CP217" s="4">
        <f>IF((0=1),COUNT(C7:CP7),"")</f>
      </c>
      <c r="CQ217" s="4">
        <f>IF((0=1),COUNT(C7:CQ7),"")</f>
      </c>
      <c r="CR217" s="4">
        <f>IF((0=1),COUNT(C7:CR7),"")</f>
      </c>
      <c r="CS217" s="4">
        <f>IF((0=1),COUNT(C7:CS7),"")</f>
      </c>
      <c r="CT217" s="4">
        <f>IF((0=1),COUNT(C7:CT7),"")</f>
      </c>
      <c r="CU217" s="4">
        <f>IF((0=1),COUNT(C7:CU7),"")</f>
      </c>
      <c r="CV217" s="4">
        <f>IF((0=1),COUNT(C7:CV7),"")</f>
      </c>
      <c r="CW217" s="4">
        <f>IF((0=1),COUNT(C7:CW7),"")</f>
      </c>
      <c r="CX217" s="4">
        <f>IF((0=1),COUNT(C7:CX7),"")</f>
      </c>
    </row>
    <row r="218">
      <c r="A218" s="0" t="inlineStr">
        <is>
          <t xml:space="preserve">Evaluated days to date</t>
        </is>
      </c>
      <c r="B218" s="0" t="inlineStr">
        <is>
          <t xml:space="preserve">Post-Earnings Drift, Overnight Leg</t>
        </is>
      </c>
      <c r="C218" s="4">
        <f>IF((1=1),COUNT(C8),"")</f>
        <v>1</v>
      </c>
      <c r="D218" s="4">
        <f>IF((0=1),COUNT(C8:D8),"")</f>
      </c>
      <c r="E218" s="4">
        <f>IF((0=1),COUNT(C8:E8),"")</f>
      </c>
      <c r="F218" s="4">
        <f>IF((0=1),COUNT(C8:F8),"")</f>
      </c>
      <c r="G218" s="4">
        <f>IF((0=1),COUNT(C8:G8),"")</f>
      </c>
      <c r="H218" s="4">
        <f>IF((0=1),COUNT(C8:H8),"")</f>
      </c>
      <c r="I218" s="4">
        <f>IF((0=1),COUNT(C8:I8),"")</f>
      </c>
      <c r="J218" s="4">
        <f>IF((0=1),COUNT(C8:J8),"")</f>
      </c>
      <c r="K218" s="4">
        <f>IF((0=1),COUNT(C8:K8),"")</f>
      </c>
      <c r="L218" s="4">
        <f>IF((0=1),COUNT(C8:L8),"")</f>
      </c>
      <c r="M218" s="4">
        <f>IF((0=1),COUNT(C8:M8),"")</f>
      </c>
      <c r="N218" s="4">
        <f>IF((0=1),COUNT(C8:N8),"")</f>
      </c>
      <c r="O218" s="4">
        <f>IF((0=1),COUNT(C8:O8),"")</f>
      </c>
      <c r="P218" s="4">
        <f>IF((0=1),COUNT(C8:P8),"")</f>
      </c>
      <c r="Q218" s="4">
        <f>IF((0=1),COUNT(C8:Q8),"")</f>
      </c>
      <c r="R218" s="4">
        <f>IF((0=1),COUNT(C8:R8),"")</f>
      </c>
      <c r="S218" s="4">
        <f>IF((0=1),COUNT(C8:S8),"")</f>
      </c>
      <c r="T218" s="4">
        <f>IF((0=1),COUNT(C8:T8),"")</f>
      </c>
      <c r="U218" s="4">
        <f>IF((0=1),COUNT(C8:U8),"")</f>
      </c>
      <c r="V218" s="4">
        <f>IF((0=1),COUNT(C8:V8),"")</f>
      </c>
      <c r="W218" s="4">
        <f>IF((0=1),COUNT(C8:W8),"")</f>
      </c>
      <c r="X218" s="4">
        <f>IF((0=1),COUNT(C8:X8),"")</f>
      </c>
      <c r="Y218" s="4">
        <f>IF((0=1),COUNT(C8:Y8),"")</f>
      </c>
      <c r="Z218" s="4">
        <f>IF((0=1),COUNT(C8:Z8),"")</f>
      </c>
      <c r="AA218" s="4">
        <f>IF((0=1),COUNT(C8:AA8),"")</f>
      </c>
      <c r="AB218" s="4">
        <f>IF((0=1),COUNT(C8:AB8),"")</f>
      </c>
      <c r="AC218" s="4">
        <f>IF((0=1),COUNT(C8:AC8),"")</f>
      </c>
      <c r="AD218" s="4">
        <f>IF((0=1),COUNT(C8:AD8),"")</f>
      </c>
      <c r="AE218" s="4">
        <f>IF((0=1),COUNT(C8:AE8),"")</f>
      </c>
      <c r="AF218" s="4">
        <f>IF((0=1),COUNT(C8:AF8),"")</f>
      </c>
      <c r="AG218" s="4">
        <f>IF((0=1),COUNT(C8:AG8),"")</f>
      </c>
      <c r="AH218" s="4">
        <f>IF((0=1),COUNT(C8:AH8),"")</f>
      </c>
      <c r="AI218" s="4">
        <f>IF((0=1),COUNT(C8:AI8),"")</f>
      </c>
      <c r="AJ218" s="4">
        <f>IF((0=1),COUNT(C8:AJ8),"")</f>
      </c>
      <c r="AK218" s="4">
        <f>IF((0=1),COUNT(C8:AK8),"")</f>
      </c>
      <c r="AL218" s="4">
        <f>IF((0=1),COUNT(C8:AL8),"")</f>
      </c>
      <c r="AM218" s="4">
        <f>IF((0=1),COUNT(C8:AM8),"")</f>
      </c>
      <c r="AN218" s="4">
        <f>IF((0=1),COUNT(C8:AN8),"")</f>
      </c>
      <c r="AO218" s="4">
        <f>IF((0=1),COUNT(C8:AO8),"")</f>
      </c>
      <c r="AP218" s="4">
        <f>IF((0=1),COUNT(C8:AP8),"")</f>
      </c>
      <c r="AQ218" s="4">
        <f>IF((0=1),COUNT(C8:AQ8),"")</f>
      </c>
      <c r="AR218" s="4">
        <f>IF((0=1),COUNT(C8:AR8),"")</f>
      </c>
      <c r="AS218" s="4">
        <f>IF((0=1),COUNT(C8:AS8),"")</f>
      </c>
      <c r="AT218" s="4">
        <f>IF((0=1),COUNT(C8:AT8),"")</f>
      </c>
      <c r="AU218" s="4">
        <f>IF((0=1),COUNT(C8:AU8),"")</f>
      </c>
      <c r="AV218" s="4">
        <f>IF((0=1),COUNT(C8:AV8),"")</f>
      </c>
      <c r="AW218" s="4">
        <f>IF((0=1),COUNT(C8:AW8),"")</f>
      </c>
      <c r="AX218" s="4">
        <f>IF((0=1),COUNT(C8:AX8),"")</f>
      </c>
      <c r="AY218" s="4">
        <f>IF((0=1),COUNT(C8:AY8),"")</f>
      </c>
      <c r="AZ218" s="4">
        <f>IF((0=1),COUNT(C8:AZ8),"")</f>
      </c>
      <c r="BA218" s="4">
        <f>IF((0=1),COUNT(C8:BA8),"")</f>
      </c>
      <c r="BB218" s="4">
        <f>IF((0=1),COUNT(C8:BB8),"")</f>
      </c>
      <c r="BC218" s="4">
        <f>IF((0=1),COUNT(C8:BC8),"")</f>
      </c>
      <c r="BD218" s="4">
        <f>IF((0=1),COUNT(C8:BD8),"")</f>
      </c>
      <c r="BE218" s="4">
        <f>IF((0=1),COUNT(C8:BE8),"")</f>
      </c>
      <c r="BF218" s="4">
        <f>IF((0=1),COUNT(C8:BF8),"")</f>
      </c>
      <c r="BG218" s="4">
        <f>IF((0=1),COUNT(C8:BG8),"")</f>
      </c>
      <c r="BH218" s="4">
        <f>IF((0=1),COUNT(C8:BH8),"")</f>
      </c>
      <c r="BI218" s="4">
        <f>IF((0=1),COUNT(C8:BI8),"")</f>
      </c>
      <c r="BJ218" s="4">
        <f>IF((0=1),COUNT(C8:BJ8),"")</f>
      </c>
      <c r="BK218" s="4">
        <f>IF((0=1),COUNT(C8:BK8),"")</f>
      </c>
      <c r="BL218" s="4">
        <f>IF((0=1),COUNT(C8:BL8),"")</f>
      </c>
      <c r="BM218" s="4">
        <f>IF((0=1),COUNT(C8:BM8),"")</f>
      </c>
      <c r="BN218" s="4">
        <f>IF((0=1),COUNT(C8:BN8),"")</f>
      </c>
      <c r="BO218" s="4">
        <f>IF((0=1),COUNT(C8:BO8),"")</f>
      </c>
      <c r="BP218" s="4">
        <f>IF((0=1),COUNT(C8:BP8),"")</f>
      </c>
      <c r="BQ218" s="4">
        <f>IF((0=1),COUNT(C8:BQ8),"")</f>
      </c>
      <c r="BR218" s="4">
        <f>IF((0=1),COUNT(C8:BR8),"")</f>
      </c>
      <c r="BS218" s="4">
        <f>IF((0=1),COUNT(C8:BS8),"")</f>
      </c>
      <c r="BT218" s="4">
        <f>IF((0=1),COUNT(C8:BT8),"")</f>
      </c>
      <c r="BU218" s="4">
        <f>IF((0=1),COUNT(C8:BU8),"")</f>
      </c>
      <c r="BV218" s="4">
        <f>IF((0=1),COUNT(C8:BV8),"")</f>
      </c>
      <c r="BW218" s="4">
        <f>IF((0=1),COUNT(C8:BW8),"")</f>
      </c>
      <c r="BX218" s="4">
        <f>IF((0=1),COUNT(C8:BX8),"")</f>
      </c>
      <c r="BY218" s="4">
        <f>IF((0=1),COUNT(C8:BY8),"")</f>
      </c>
      <c r="BZ218" s="4">
        <f>IF((0=1),COUNT(C8:BZ8),"")</f>
      </c>
      <c r="CA218" s="4">
        <f>IF((0=1),COUNT(C8:CA8),"")</f>
      </c>
      <c r="CB218" s="4">
        <f>IF((0=1),COUNT(C8:CB8),"")</f>
      </c>
      <c r="CC218" s="4">
        <f>IF((0=1),COUNT(C8:CC8),"")</f>
      </c>
      <c r="CD218" s="4">
        <f>IF((0=1),COUNT(C8:CD8),"")</f>
      </c>
      <c r="CE218" s="4">
        <f>IF((0=1),COUNT(C8:CE8),"")</f>
      </c>
      <c r="CF218" s="4">
        <f>IF((0=1),COUNT(C8:CF8),"")</f>
      </c>
      <c r="CG218" s="4">
        <f>IF((0=1),COUNT(C8:CG8),"")</f>
      </c>
      <c r="CH218" s="4">
        <f>IF((0=1),COUNT(C8:CH8),"")</f>
      </c>
      <c r="CI218" s="4">
        <f>IF((0=1),COUNT(C8:CI8),"")</f>
      </c>
      <c r="CJ218" s="4">
        <f>IF((0=1),COUNT(C8:CJ8),"")</f>
      </c>
      <c r="CK218" s="4">
        <f>IF((0=1),COUNT(C8:CK8),"")</f>
      </c>
      <c r="CL218" s="4">
        <f>IF((0=1),COUNT(C8:CL8),"")</f>
      </c>
      <c r="CM218" s="4">
        <f>IF((0=1),COUNT(C8:CM8),"")</f>
      </c>
      <c r="CN218" s="4">
        <f>IF((0=1),COUNT(C8:CN8),"")</f>
      </c>
      <c r="CO218" s="4">
        <f>IF((0=1),COUNT(C8:CO8),"")</f>
      </c>
      <c r="CP218" s="4">
        <f>IF((0=1),COUNT(C8:CP8),"")</f>
      </c>
      <c r="CQ218" s="4">
        <f>IF((0=1),COUNT(C8:CQ8),"")</f>
      </c>
      <c r="CR218" s="4">
        <f>IF((0=1),COUNT(C8:CR8),"")</f>
      </c>
      <c r="CS218" s="4">
        <f>IF((0=1),COUNT(C8:CS8),"")</f>
      </c>
      <c r="CT218" s="4">
        <f>IF((0=1),COUNT(C8:CT8),"")</f>
      </c>
      <c r="CU218" s="4">
        <f>IF((0=1),COUNT(C8:CU8),"")</f>
      </c>
      <c r="CV218" s="4">
        <f>IF((0=1),COUNT(C8:CV8),"")</f>
      </c>
      <c r="CW218" s="4">
        <f>IF((0=1),COUNT(C8:CW8),"")</f>
      </c>
      <c r="CX218" s="4">
        <f>IF((0=1),COUNT(C8:CX8),"")</f>
      </c>
    </row>
    <row r="219">
      <c r="A219" s="0" t="inlineStr">
        <is>
          <t xml:space="preserve">Evaluated days to date</t>
        </is>
      </c>
      <c r="B219" s="0" t="inlineStr">
        <is>
          <t xml:space="preserve">Intraday-to-Overnight Reversal</t>
        </is>
      </c>
      <c r="C219" s="4">
        <f>IF((1=1),COUNT(C9),"")</f>
        <v>1</v>
      </c>
      <c r="D219" s="4">
        <f>IF((0=1),COUNT(C9:D9),"")</f>
      </c>
      <c r="E219" s="4">
        <f>IF((0=1),COUNT(C9:E9),"")</f>
      </c>
      <c r="F219" s="4">
        <f>IF((0=1),COUNT(C9:F9),"")</f>
      </c>
      <c r="G219" s="4">
        <f>IF((0=1),COUNT(C9:G9),"")</f>
      </c>
      <c r="H219" s="4">
        <f>IF((0=1),COUNT(C9:H9),"")</f>
      </c>
      <c r="I219" s="4">
        <f>IF((0=1),COUNT(C9:I9),"")</f>
      </c>
      <c r="J219" s="4">
        <f>IF((0=1),COUNT(C9:J9),"")</f>
      </c>
      <c r="K219" s="4">
        <f>IF((0=1),COUNT(C9:K9),"")</f>
      </c>
      <c r="L219" s="4">
        <f>IF((0=1),COUNT(C9:L9),"")</f>
      </c>
      <c r="M219" s="4">
        <f>IF((0=1),COUNT(C9:M9),"")</f>
      </c>
      <c r="N219" s="4">
        <f>IF((0=1),COUNT(C9:N9),"")</f>
      </c>
      <c r="O219" s="4">
        <f>IF((0=1),COUNT(C9:O9),"")</f>
      </c>
      <c r="P219" s="4">
        <f>IF((0=1),COUNT(C9:P9),"")</f>
      </c>
      <c r="Q219" s="4">
        <f>IF((0=1),COUNT(C9:Q9),"")</f>
      </c>
      <c r="R219" s="4">
        <f>IF((0=1),COUNT(C9:R9),"")</f>
      </c>
      <c r="S219" s="4">
        <f>IF((0=1),COUNT(C9:S9),"")</f>
      </c>
      <c r="T219" s="4">
        <f>IF((0=1),COUNT(C9:T9),"")</f>
      </c>
      <c r="U219" s="4">
        <f>IF((0=1),COUNT(C9:U9),"")</f>
      </c>
      <c r="V219" s="4">
        <f>IF((0=1),COUNT(C9:V9),"")</f>
      </c>
      <c r="W219" s="4">
        <f>IF((0=1),COUNT(C9:W9),"")</f>
      </c>
      <c r="X219" s="4">
        <f>IF((0=1),COUNT(C9:X9),"")</f>
      </c>
      <c r="Y219" s="4">
        <f>IF((0=1),COUNT(C9:Y9),"")</f>
      </c>
      <c r="Z219" s="4">
        <f>IF((0=1),COUNT(C9:Z9),"")</f>
      </c>
      <c r="AA219" s="4">
        <f>IF((0=1),COUNT(C9:AA9),"")</f>
      </c>
      <c r="AB219" s="4">
        <f>IF((0=1),COUNT(C9:AB9),"")</f>
      </c>
      <c r="AC219" s="4">
        <f>IF((0=1),COUNT(C9:AC9),"")</f>
      </c>
      <c r="AD219" s="4">
        <f>IF((0=1),COUNT(C9:AD9),"")</f>
      </c>
      <c r="AE219" s="4">
        <f>IF((0=1),COUNT(C9:AE9),"")</f>
      </c>
      <c r="AF219" s="4">
        <f>IF((0=1),COUNT(C9:AF9),"")</f>
      </c>
      <c r="AG219" s="4">
        <f>IF((0=1),COUNT(C9:AG9),"")</f>
      </c>
      <c r="AH219" s="4">
        <f>IF((0=1),COUNT(C9:AH9),"")</f>
      </c>
      <c r="AI219" s="4">
        <f>IF((0=1),COUNT(C9:AI9),"")</f>
      </c>
      <c r="AJ219" s="4">
        <f>IF((0=1),COUNT(C9:AJ9),"")</f>
      </c>
      <c r="AK219" s="4">
        <f>IF((0=1),COUNT(C9:AK9),"")</f>
      </c>
      <c r="AL219" s="4">
        <f>IF((0=1),COUNT(C9:AL9),"")</f>
      </c>
      <c r="AM219" s="4">
        <f>IF((0=1),COUNT(C9:AM9),"")</f>
      </c>
      <c r="AN219" s="4">
        <f>IF((0=1),COUNT(C9:AN9),"")</f>
      </c>
      <c r="AO219" s="4">
        <f>IF((0=1),COUNT(C9:AO9),"")</f>
      </c>
      <c r="AP219" s="4">
        <f>IF((0=1),COUNT(C9:AP9),"")</f>
      </c>
      <c r="AQ219" s="4">
        <f>IF((0=1),COUNT(C9:AQ9),"")</f>
      </c>
      <c r="AR219" s="4">
        <f>IF((0=1),COUNT(C9:AR9),"")</f>
      </c>
      <c r="AS219" s="4">
        <f>IF((0=1),COUNT(C9:AS9),"")</f>
      </c>
      <c r="AT219" s="4">
        <f>IF((0=1),COUNT(C9:AT9),"")</f>
      </c>
      <c r="AU219" s="4">
        <f>IF((0=1),COUNT(C9:AU9),"")</f>
      </c>
      <c r="AV219" s="4">
        <f>IF((0=1),COUNT(C9:AV9),"")</f>
      </c>
      <c r="AW219" s="4">
        <f>IF((0=1),COUNT(C9:AW9),"")</f>
      </c>
      <c r="AX219" s="4">
        <f>IF((0=1),COUNT(C9:AX9),"")</f>
      </c>
      <c r="AY219" s="4">
        <f>IF((0=1),COUNT(C9:AY9),"")</f>
      </c>
      <c r="AZ219" s="4">
        <f>IF((0=1),COUNT(C9:AZ9),"")</f>
      </c>
      <c r="BA219" s="4">
        <f>IF((0=1),COUNT(C9:BA9),"")</f>
      </c>
      <c r="BB219" s="4">
        <f>IF((0=1),COUNT(C9:BB9),"")</f>
      </c>
      <c r="BC219" s="4">
        <f>IF((0=1),COUNT(C9:BC9),"")</f>
      </c>
      <c r="BD219" s="4">
        <f>IF((0=1),COUNT(C9:BD9),"")</f>
      </c>
      <c r="BE219" s="4">
        <f>IF((0=1),COUNT(C9:BE9),"")</f>
      </c>
      <c r="BF219" s="4">
        <f>IF((0=1),COUNT(C9:BF9),"")</f>
      </c>
      <c r="BG219" s="4">
        <f>IF((0=1),COUNT(C9:BG9),"")</f>
      </c>
      <c r="BH219" s="4">
        <f>IF((0=1),COUNT(C9:BH9),"")</f>
      </c>
      <c r="BI219" s="4">
        <f>IF((0=1),COUNT(C9:BI9),"")</f>
      </c>
      <c r="BJ219" s="4">
        <f>IF((0=1),COUNT(C9:BJ9),"")</f>
      </c>
      <c r="BK219" s="4">
        <f>IF((0=1),COUNT(C9:BK9),"")</f>
      </c>
      <c r="BL219" s="4">
        <f>IF((0=1),COUNT(C9:BL9),"")</f>
      </c>
      <c r="BM219" s="4">
        <f>IF((0=1),COUNT(C9:BM9),"")</f>
      </c>
      <c r="BN219" s="4">
        <f>IF((0=1),COUNT(C9:BN9),"")</f>
      </c>
      <c r="BO219" s="4">
        <f>IF((0=1),COUNT(C9:BO9),"")</f>
      </c>
      <c r="BP219" s="4">
        <f>IF((0=1),COUNT(C9:BP9),"")</f>
      </c>
      <c r="BQ219" s="4">
        <f>IF((0=1),COUNT(C9:BQ9),"")</f>
      </c>
      <c r="BR219" s="4">
        <f>IF((0=1),COUNT(C9:BR9),"")</f>
      </c>
      <c r="BS219" s="4">
        <f>IF((0=1),COUNT(C9:BS9),"")</f>
      </c>
      <c r="BT219" s="4">
        <f>IF((0=1),COUNT(C9:BT9),"")</f>
      </c>
      <c r="BU219" s="4">
        <f>IF((0=1),COUNT(C9:BU9),"")</f>
      </c>
      <c r="BV219" s="4">
        <f>IF((0=1),COUNT(C9:BV9),"")</f>
      </c>
      <c r="BW219" s="4">
        <f>IF((0=1),COUNT(C9:BW9),"")</f>
      </c>
      <c r="BX219" s="4">
        <f>IF((0=1),COUNT(C9:BX9),"")</f>
      </c>
      <c r="BY219" s="4">
        <f>IF((0=1),COUNT(C9:BY9),"")</f>
      </c>
      <c r="BZ219" s="4">
        <f>IF((0=1),COUNT(C9:BZ9),"")</f>
      </c>
      <c r="CA219" s="4">
        <f>IF((0=1),COUNT(C9:CA9),"")</f>
      </c>
      <c r="CB219" s="4">
        <f>IF((0=1),COUNT(C9:CB9),"")</f>
      </c>
      <c r="CC219" s="4">
        <f>IF((0=1),COUNT(C9:CC9),"")</f>
      </c>
      <c r="CD219" s="4">
        <f>IF((0=1),COUNT(C9:CD9),"")</f>
      </c>
      <c r="CE219" s="4">
        <f>IF((0=1),COUNT(C9:CE9),"")</f>
      </c>
      <c r="CF219" s="4">
        <f>IF((0=1),COUNT(C9:CF9),"")</f>
      </c>
      <c r="CG219" s="4">
        <f>IF((0=1),COUNT(C9:CG9),"")</f>
      </c>
      <c r="CH219" s="4">
        <f>IF((0=1),COUNT(C9:CH9),"")</f>
      </c>
      <c r="CI219" s="4">
        <f>IF((0=1),COUNT(C9:CI9),"")</f>
      </c>
      <c r="CJ219" s="4">
        <f>IF((0=1),COUNT(C9:CJ9),"")</f>
      </c>
      <c r="CK219" s="4">
        <f>IF((0=1),COUNT(C9:CK9),"")</f>
      </c>
      <c r="CL219" s="4">
        <f>IF((0=1),COUNT(C9:CL9),"")</f>
      </c>
      <c r="CM219" s="4">
        <f>IF((0=1),COUNT(C9:CM9),"")</f>
      </c>
      <c r="CN219" s="4">
        <f>IF((0=1),COUNT(C9:CN9),"")</f>
      </c>
      <c r="CO219" s="4">
        <f>IF((0=1),COUNT(C9:CO9),"")</f>
      </c>
      <c r="CP219" s="4">
        <f>IF((0=1),COUNT(C9:CP9),"")</f>
      </c>
      <c r="CQ219" s="4">
        <f>IF((0=1),COUNT(C9:CQ9),"")</f>
      </c>
      <c r="CR219" s="4">
        <f>IF((0=1),COUNT(C9:CR9),"")</f>
      </c>
      <c r="CS219" s="4">
        <f>IF((0=1),COUNT(C9:CS9),"")</f>
      </c>
      <c r="CT219" s="4">
        <f>IF((0=1),COUNT(C9:CT9),"")</f>
      </c>
      <c r="CU219" s="4">
        <f>IF((0=1),COUNT(C9:CU9),"")</f>
      </c>
      <c r="CV219" s="4">
        <f>IF((0=1),COUNT(C9:CV9),"")</f>
      </c>
      <c r="CW219" s="4">
        <f>IF((0=1),COUNT(C9:CW9),"")</f>
      </c>
      <c r="CX219" s="4">
        <f>IF((0=1),COUNT(C9:CX9),"")</f>
      </c>
    </row>
    <row r="220">
      <c r="A220" s="0" t="inlineStr">
        <is>
          <t xml:space="preserve">Evaluated days to date</t>
        </is>
      </c>
      <c r="B220" s="0" t="inlineStr">
        <is>
          <t xml:space="preserve">Analyst Revision Momentum</t>
        </is>
      </c>
      <c r="C220" s="4">
        <f>IF((1=1),COUNT(C10),"")</f>
        <v>1</v>
      </c>
      <c r="D220" s="4">
        <f>IF((0=1),COUNT(C10:D10),"")</f>
      </c>
      <c r="E220" s="4">
        <f>IF((0=1),COUNT(C10:E10),"")</f>
      </c>
      <c r="F220" s="4">
        <f>IF((0=1),COUNT(C10:F10),"")</f>
      </c>
      <c r="G220" s="4">
        <f>IF((0=1),COUNT(C10:G10),"")</f>
      </c>
      <c r="H220" s="4">
        <f>IF((0=1),COUNT(C10:H10),"")</f>
      </c>
      <c r="I220" s="4">
        <f>IF((0=1),COUNT(C10:I10),"")</f>
      </c>
      <c r="J220" s="4">
        <f>IF((0=1),COUNT(C10:J10),"")</f>
      </c>
      <c r="K220" s="4">
        <f>IF((0=1),COUNT(C10:K10),"")</f>
      </c>
      <c r="L220" s="4">
        <f>IF((0=1),COUNT(C10:L10),"")</f>
      </c>
      <c r="M220" s="4">
        <f>IF((0=1),COUNT(C10:M10),"")</f>
      </c>
      <c r="N220" s="4">
        <f>IF((0=1),COUNT(C10:N10),"")</f>
      </c>
      <c r="O220" s="4">
        <f>IF((0=1),COUNT(C10:O10),"")</f>
      </c>
      <c r="P220" s="4">
        <f>IF((0=1),COUNT(C10:P10),"")</f>
      </c>
      <c r="Q220" s="4">
        <f>IF((0=1),COUNT(C10:Q10),"")</f>
      </c>
      <c r="R220" s="4">
        <f>IF((0=1),COUNT(C10:R10),"")</f>
      </c>
      <c r="S220" s="4">
        <f>IF((0=1),COUNT(C10:S10),"")</f>
      </c>
      <c r="T220" s="4">
        <f>IF((0=1),COUNT(C10:T10),"")</f>
      </c>
      <c r="U220" s="4">
        <f>IF((0=1),COUNT(C10:U10),"")</f>
      </c>
      <c r="V220" s="4">
        <f>IF((0=1),COUNT(C10:V10),"")</f>
      </c>
      <c r="W220" s="4">
        <f>IF((0=1),COUNT(C10:W10),"")</f>
      </c>
      <c r="X220" s="4">
        <f>IF((0=1),COUNT(C10:X10),"")</f>
      </c>
      <c r="Y220" s="4">
        <f>IF((0=1),COUNT(C10:Y10),"")</f>
      </c>
      <c r="Z220" s="4">
        <f>IF((0=1),COUNT(C10:Z10),"")</f>
      </c>
      <c r="AA220" s="4">
        <f>IF((0=1),COUNT(C10:AA10),"")</f>
      </c>
      <c r="AB220" s="4">
        <f>IF((0=1),COUNT(C10:AB10),"")</f>
      </c>
      <c r="AC220" s="4">
        <f>IF((0=1),COUNT(C10:AC10),"")</f>
      </c>
      <c r="AD220" s="4">
        <f>IF((0=1),COUNT(C10:AD10),"")</f>
      </c>
      <c r="AE220" s="4">
        <f>IF((0=1),COUNT(C10:AE10),"")</f>
      </c>
      <c r="AF220" s="4">
        <f>IF((0=1),COUNT(C10:AF10),"")</f>
      </c>
      <c r="AG220" s="4">
        <f>IF((0=1),COUNT(C10:AG10),"")</f>
      </c>
      <c r="AH220" s="4">
        <f>IF((0=1),COUNT(C10:AH10),"")</f>
      </c>
      <c r="AI220" s="4">
        <f>IF((0=1),COUNT(C10:AI10),"")</f>
      </c>
      <c r="AJ220" s="4">
        <f>IF((0=1),COUNT(C10:AJ10),"")</f>
      </c>
      <c r="AK220" s="4">
        <f>IF((0=1),COUNT(C10:AK10),"")</f>
      </c>
      <c r="AL220" s="4">
        <f>IF((0=1),COUNT(C10:AL10),"")</f>
      </c>
      <c r="AM220" s="4">
        <f>IF((0=1),COUNT(C10:AM10),"")</f>
      </c>
      <c r="AN220" s="4">
        <f>IF((0=1),COUNT(C10:AN10),"")</f>
      </c>
      <c r="AO220" s="4">
        <f>IF((0=1),COUNT(C10:AO10),"")</f>
      </c>
      <c r="AP220" s="4">
        <f>IF((0=1),COUNT(C10:AP10),"")</f>
      </c>
      <c r="AQ220" s="4">
        <f>IF((0=1),COUNT(C10:AQ10),"")</f>
      </c>
      <c r="AR220" s="4">
        <f>IF((0=1),COUNT(C10:AR10),"")</f>
      </c>
      <c r="AS220" s="4">
        <f>IF((0=1),COUNT(C10:AS10),"")</f>
      </c>
      <c r="AT220" s="4">
        <f>IF((0=1),COUNT(C10:AT10),"")</f>
      </c>
      <c r="AU220" s="4">
        <f>IF((0=1),COUNT(C10:AU10),"")</f>
      </c>
      <c r="AV220" s="4">
        <f>IF((0=1),COUNT(C10:AV10),"")</f>
      </c>
      <c r="AW220" s="4">
        <f>IF((0=1),COUNT(C10:AW10),"")</f>
      </c>
      <c r="AX220" s="4">
        <f>IF((0=1),COUNT(C10:AX10),"")</f>
      </c>
      <c r="AY220" s="4">
        <f>IF((0=1),COUNT(C10:AY10),"")</f>
      </c>
      <c r="AZ220" s="4">
        <f>IF((0=1),COUNT(C10:AZ10),"")</f>
      </c>
      <c r="BA220" s="4">
        <f>IF((0=1),COUNT(C10:BA10),"")</f>
      </c>
      <c r="BB220" s="4">
        <f>IF((0=1),COUNT(C10:BB10),"")</f>
      </c>
      <c r="BC220" s="4">
        <f>IF((0=1),COUNT(C10:BC10),"")</f>
      </c>
      <c r="BD220" s="4">
        <f>IF((0=1),COUNT(C10:BD10),"")</f>
      </c>
      <c r="BE220" s="4">
        <f>IF((0=1),COUNT(C10:BE10),"")</f>
      </c>
      <c r="BF220" s="4">
        <f>IF((0=1),COUNT(C10:BF10),"")</f>
      </c>
      <c r="BG220" s="4">
        <f>IF((0=1),COUNT(C10:BG10),"")</f>
      </c>
      <c r="BH220" s="4">
        <f>IF((0=1),COUNT(C10:BH10),"")</f>
      </c>
      <c r="BI220" s="4">
        <f>IF((0=1),COUNT(C10:BI10),"")</f>
      </c>
      <c r="BJ220" s="4">
        <f>IF((0=1),COUNT(C10:BJ10),"")</f>
      </c>
      <c r="BK220" s="4">
        <f>IF((0=1),COUNT(C10:BK10),"")</f>
      </c>
      <c r="BL220" s="4">
        <f>IF((0=1),COUNT(C10:BL10),"")</f>
      </c>
      <c r="BM220" s="4">
        <f>IF((0=1),COUNT(C10:BM10),"")</f>
      </c>
      <c r="BN220" s="4">
        <f>IF((0=1),COUNT(C10:BN10),"")</f>
      </c>
      <c r="BO220" s="4">
        <f>IF((0=1),COUNT(C10:BO10),"")</f>
      </c>
      <c r="BP220" s="4">
        <f>IF((0=1),COUNT(C10:BP10),"")</f>
      </c>
      <c r="BQ220" s="4">
        <f>IF((0=1),COUNT(C10:BQ10),"")</f>
      </c>
      <c r="BR220" s="4">
        <f>IF((0=1),COUNT(C10:BR10),"")</f>
      </c>
      <c r="BS220" s="4">
        <f>IF((0=1),COUNT(C10:BS10),"")</f>
      </c>
      <c r="BT220" s="4">
        <f>IF((0=1),COUNT(C10:BT10),"")</f>
      </c>
      <c r="BU220" s="4">
        <f>IF((0=1),COUNT(C10:BU10),"")</f>
      </c>
      <c r="BV220" s="4">
        <f>IF((0=1),COUNT(C10:BV10),"")</f>
      </c>
      <c r="BW220" s="4">
        <f>IF((0=1),COUNT(C10:BW10),"")</f>
      </c>
      <c r="BX220" s="4">
        <f>IF((0=1),COUNT(C10:BX10),"")</f>
      </c>
      <c r="BY220" s="4">
        <f>IF((0=1),COUNT(C10:BY10),"")</f>
      </c>
      <c r="BZ220" s="4">
        <f>IF((0=1),COUNT(C10:BZ10),"")</f>
      </c>
      <c r="CA220" s="4">
        <f>IF((0=1),COUNT(C10:CA10),"")</f>
      </c>
      <c r="CB220" s="4">
        <f>IF((0=1),COUNT(C10:CB10),"")</f>
      </c>
      <c r="CC220" s="4">
        <f>IF((0=1),COUNT(C10:CC10),"")</f>
      </c>
      <c r="CD220" s="4">
        <f>IF((0=1),COUNT(C10:CD10),"")</f>
      </c>
      <c r="CE220" s="4">
        <f>IF((0=1),COUNT(C10:CE10),"")</f>
      </c>
      <c r="CF220" s="4">
        <f>IF((0=1),COUNT(C10:CF10),"")</f>
      </c>
      <c r="CG220" s="4">
        <f>IF((0=1),COUNT(C10:CG10),"")</f>
      </c>
      <c r="CH220" s="4">
        <f>IF((0=1),COUNT(C10:CH10),"")</f>
      </c>
      <c r="CI220" s="4">
        <f>IF((0=1),COUNT(C10:CI10),"")</f>
      </c>
      <c r="CJ220" s="4">
        <f>IF((0=1),COUNT(C10:CJ10),"")</f>
      </c>
      <c r="CK220" s="4">
        <f>IF((0=1),COUNT(C10:CK10),"")</f>
      </c>
      <c r="CL220" s="4">
        <f>IF((0=1),COUNT(C10:CL10),"")</f>
      </c>
      <c r="CM220" s="4">
        <f>IF((0=1),COUNT(C10:CM10),"")</f>
      </c>
      <c r="CN220" s="4">
        <f>IF((0=1),COUNT(C10:CN10),"")</f>
      </c>
      <c r="CO220" s="4">
        <f>IF((0=1),COUNT(C10:CO10),"")</f>
      </c>
      <c r="CP220" s="4">
        <f>IF((0=1),COUNT(C10:CP10),"")</f>
      </c>
      <c r="CQ220" s="4">
        <f>IF((0=1),COUNT(C10:CQ10),"")</f>
      </c>
      <c r="CR220" s="4">
        <f>IF((0=1),COUNT(C10:CR10),"")</f>
      </c>
      <c r="CS220" s="4">
        <f>IF((0=1),COUNT(C10:CS10),"")</f>
      </c>
      <c r="CT220" s="4">
        <f>IF((0=1),COUNT(C10:CT10),"")</f>
      </c>
      <c r="CU220" s="4">
        <f>IF((0=1),COUNT(C10:CU10),"")</f>
      </c>
      <c r="CV220" s="4">
        <f>IF((0=1),COUNT(C10:CV10),"")</f>
      </c>
      <c r="CW220" s="4">
        <f>IF((0=1),COUNT(C10:CW10),"")</f>
      </c>
      <c r="CX220" s="4">
        <f>IF((0=1),COUNT(C10:CX10),"")</f>
      </c>
    </row>
    <row r="221">
      <c r="A221" s="0" t="inlineStr">
        <is>
          <t xml:space="preserve">Evaluated days to date</t>
        </is>
      </c>
      <c r="B221" s="0" t="inlineStr">
        <is>
          <t xml:space="preserve">Clustered Insider Buying</t>
        </is>
      </c>
      <c r="C221" s="4">
        <f>IF((1=1),COUNT(C11),"")</f>
        <v>1</v>
      </c>
      <c r="D221" s="4">
        <f>IF((0=1),COUNT(C11:D11),"")</f>
      </c>
      <c r="E221" s="4">
        <f>IF((0=1),COUNT(C11:E11),"")</f>
      </c>
      <c r="F221" s="4">
        <f>IF((0=1),COUNT(C11:F11),"")</f>
      </c>
      <c r="G221" s="4">
        <f>IF((0=1),COUNT(C11:G11),"")</f>
      </c>
      <c r="H221" s="4">
        <f>IF((0=1),COUNT(C11:H11),"")</f>
      </c>
      <c r="I221" s="4">
        <f>IF((0=1),COUNT(C11:I11),"")</f>
      </c>
      <c r="J221" s="4">
        <f>IF((0=1),COUNT(C11:J11),"")</f>
      </c>
      <c r="K221" s="4">
        <f>IF((0=1),COUNT(C11:K11),"")</f>
      </c>
      <c r="L221" s="4">
        <f>IF((0=1),COUNT(C11:L11),"")</f>
      </c>
      <c r="M221" s="4">
        <f>IF((0=1),COUNT(C11:M11),"")</f>
      </c>
      <c r="N221" s="4">
        <f>IF((0=1),COUNT(C11:N11),"")</f>
      </c>
      <c r="O221" s="4">
        <f>IF((0=1),COUNT(C11:O11),"")</f>
      </c>
      <c r="P221" s="4">
        <f>IF((0=1),COUNT(C11:P11),"")</f>
      </c>
      <c r="Q221" s="4">
        <f>IF((0=1),COUNT(C11:Q11),"")</f>
      </c>
      <c r="R221" s="4">
        <f>IF((0=1),COUNT(C11:R11),"")</f>
      </c>
      <c r="S221" s="4">
        <f>IF((0=1),COUNT(C11:S11),"")</f>
      </c>
      <c r="T221" s="4">
        <f>IF((0=1),COUNT(C11:T11),"")</f>
      </c>
      <c r="U221" s="4">
        <f>IF((0=1),COUNT(C11:U11),"")</f>
      </c>
      <c r="V221" s="4">
        <f>IF((0=1),COUNT(C11:V11),"")</f>
      </c>
      <c r="W221" s="4">
        <f>IF((0=1),COUNT(C11:W11),"")</f>
      </c>
      <c r="X221" s="4">
        <f>IF((0=1),COUNT(C11:X11),"")</f>
      </c>
      <c r="Y221" s="4">
        <f>IF((0=1),COUNT(C11:Y11),"")</f>
      </c>
      <c r="Z221" s="4">
        <f>IF((0=1),COUNT(C11:Z11),"")</f>
      </c>
      <c r="AA221" s="4">
        <f>IF((0=1),COUNT(C11:AA11),"")</f>
      </c>
      <c r="AB221" s="4">
        <f>IF((0=1),COUNT(C11:AB11),"")</f>
      </c>
      <c r="AC221" s="4">
        <f>IF((0=1),COUNT(C11:AC11),"")</f>
      </c>
      <c r="AD221" s="4">
        <f>IF((0=1),COUNT(C11:AD11),"")</f>
      </c>
      <c r="AE221" s="4">
        <f>IF((0=1),COUNT(C11:AE11),"")</f>
      </c>
      <c r="AF221" s="4">
        <f>IF((0=1),COUNT(C11:AF11),"")</f>
      </c>
      <c r="AG221" s="4">
        <f>IF((0=1),COUNT(C11:AG11),"")</f>
      </c>
      <c r="AH221" s="4">
        <f>IF((0=1),COUNT(C11:AH11),"")</f>
      </c>
      <c r="AI221" s="4">
        <f>IF((0=1),COUNT(C11:AI11),"")</f>
      </c>
      <c r="AJ221" s="4">
        <f>IF((0=1),COUNT(C11:AJ11),"")</f>
      </c>
      <c r="AK221" s="4">
        <f>IF((0=1),COUNT(C11:AK11),"")</f>
      </c>
      <c r="AL221" s="4">
        <f>IF((0=1),COUNT(C11:AL11),"")</f>
      </c>
      <c r="AM221" s="4">
        <f>IF((0=1),COUNT(C11:AM11),"")</f>
      </c>
      <c r="AN221" s="4">
        <f>IF((0=1),COUNT(C11:AN11),"")</f>
      </c>
      <c r="AO221" s="4">
        <f>IF((0=1),COUNT(C11:AO11),"")</f>
      </c>
      <c r="AP221" s="4">
        <f>IF((0=1),COUNT(C11:AP11),"")</f>
      </c>
      <c r="AQ221" s="4">
        <f>IF((0=1),COUNT(C11:AQ11),"")</f>
      </c>
      <c r="AR221" s="4">
        <f>IF((0=1),COUNT(C11:AR11),"")</f>
      </c>
      <c r="AS221" s="4">
        <f>IF((0=1),COUNT(C11:AS11),"")</f>
      </c>
      <c r="AT221" s="4">
        <f>IF((0=1),COUNT(C11:AT11),"")</f>
      </c>
      <c r="AU221" s="4">
        <f>IF((0=1),COUNT(C11:AU11),"")</f>
      </c>
      <c r="AV221" s="4">
        <f>IF((0=1),COUNT(C11:AV11),"")</f>
      </c>
      <c r="AW221" s="4">
        <f>IF((0=1),COUNT(C11:AW11),"")</f>
      </c>
      <c r="AX221" s="4">
        <f>IF((0=1),COUNT(C11:AX11),"")</f>
      </c>
      <c r="AY221" s="4">
        <f>IF((0=1),COUNT(C11:AY11),"")</f>
      </c>
      <c r="AZ221" s="4">
        <f>IF((0=1),COUNT(C11:AZ11),"")</f>
      </c>
      <c r="BA221" s="4">
        <f>IF((0=1),COUNT(C11:BA11),"")</f>
      </c>
      <c r="BB221" s="4">
        <f>IF((0=1),COUNT(C11:BB11),"")</f>
      </c>
      <c r="BC221" s="4">
        <f>IF((0=1),COUNT(C11:BC11),"")</f>
      </c>
      <c r="BD221" s="4">
        <f>IF((0=1),COUNT(C11:BD11),"")</f>
      </c>
      <c r="BE221" s="4">
        <f>IF((0=1),COUNT(C11:BE11),"")</f>
      </c>
      <c r="BF221" s="4">
        <f>IF((0=1),COUNT(C11:BF11),"")</f>
      </c>
      <c r="BG221" s="4">
        <f>IF((0=1),COUNT(C11:BG11),"")</f>
      </c>
      <c r="BH221" s="4">
        <f>IF((0=1),COUNT(C11:BH11),"")</f>
      </c>
      <c r="BI221" s="4">
        <f>IF((0=1),COUNT(C11:BI11),"")</f>
      </c>
      <c r="BJ221" s="4">
        <f>IF((0=1),COUNT(C11:BJ11),"")</f>
      </c>
      <c r="BK221" s="4">
        <f>IF((0=1),COUNT(C11:BK11),"")</f>
      </c>
      <c r="BL221" s="4">
        <f>IF((0=1),COUNT(C11:BL11),"")</f>
      </c>
      <c r="BM221" s="4">
        <f>IF((0=1),COUNT(C11:BM11),"")</f>
      </c>
      <c r="BN221" s="4">
        <f>IF((0=1),COUNT(C11:BN11),"")</f>
      </c>
      <c r="BO221" s="4">
        <f>IF((0=1),COUNT(C11:BO11),"")</f>
      </c>
      <c r="BP221" s="4">
        <f>IF((0=1),COUNT(C11:BP11),"")</f>
      </c>
      <c r="BQ221" s="4">
        <f>IF((0=1),COUNT(C11:BQ11),"")</f>
      </c>
      <c r="BR221" s="4">
        <f>IF((0=1),COUNT(C11:BR11),"")</f>
      </c>
      <c r="BS221" s="4">
        <f>IF((0=1),COUNT(C11:BS11),"")</f>
      </c>
      <c r="BT221" s="4">
        <f>IF((0=1),COUNT(C11:BT11),"")</f>
      </c>
      <c r="BU221" s="4">
        <f>IF((0=1),COUNT(C11:BU11),"")</f>
      </c>
      <c r="BV221" s="4">
        <f>IF((0=1),COUNT(C11:BV11),"")</f>
      </c>
      <c r="BW221" s="4">
        <f>IF((0=1),COUNT(C11:BW11),"")</f>
      </c>
      <c r="BX221" s="4">
        <f>IF((0=1),COUNT(C11:BX11),"")</f>
      </c>
      <c r="BY221" s="4">
        <f>IF((0=1),COUNT(C11:BY11),"")</f>
      </c>
      <c r="BZ221" s="4">
        <f>IF((0=1),COUNT(C11:BZ11),"")</f>
      </c>
      <c r="CA221" s="4">
        <f>IF((0=1),COUNT(C11:CA11),"")</f>
      </c>
      <c r="CB221" s="4">
        <f>IF((0=1),COUNT(C11:CB11),"")</f>
      </c>
      <c r="CC221" s="4">
        <f>IF((0=1),COUNT(C11:CC11),"")</f>
      </c>
      <c r="CD221" s="4">
        <f>IF((0=1),COUNT(C11:CD11),"")</f>
      </c>
      <c r="CE221" s="4">
        <f>IF((0=1),COUNT(C11:CE11),"")</f>
      </c>
      <c r="CF221" s="4">
        <f>IF((0=1),COUNT(C11:CF11),"")</f>
      </c>
      <c r="CG221" s="4">
        <f>IF((0=1),COUNT(C11:CG11),"")</f>
      </c>
      <c r="CH221" s="4">
        <f>IF((0=1),COUNT(C11:CH11),"")</f>
      </c>
      <c r="CI221" s="4">
        <f>IF((0=1),COUNT(C11:CI11),"")</f>
      </c>
      <c r="CJ221" s="4">
        <f>IF((0=1),COUNT(C11:CJ11),"")</f>
      </c>
      <c r="CK221" s="4">
        <f>IF((0=1),COUNT(C11:CK11),"")</f>
      </c>
      <c r="CL221" s="4">
        <f>IF((0=1),COUNT(C11:CL11),"")</f>
      </c>
      <c r="CM221" s="4">
        <f>IF((0=1),COUNT(C11:CM11),"")</f>
      </c>
      <c r="CN221" s="4">
        <f>IF((0=1),COUNT(C11:CN11),"")</f>
      </c>
      <c r="CO221" s="4">
        <f>IF((0=1),COUNT(C11:CO11),"")</f>
      </c>
      <c r="CP221" s="4">
        <f>IF((0=1),COUNT(C11:CP11),"")</f>
      </c>
      <c r="CQ221" s="4">
        <f>IF((0=1),COUNT(C11:CQ11),"")</f>
      </c>
      <c r="CR221" s="4">
        <f>IF((0=1),COUNT(C11:CR11),"")</f>
      </c>
      <c r="CS221" s="4">
        <f>IF((0=1),COUNT(C11:CS11),"")</f>
      </c>
      <c r="CT221" s="4">
        <f>IF((0=1),COUNT(C11:CT11),"")</f>
      </c>
      <c r="CU221" s="4">
        <f>IF((0=1),COUNT(C11:CU11),"")</f>
      </c>
      <c r="CV221" s="4">
        <f>IF((0=1),COUNT(C11:CV11),"")</f>
      </c>
      <c r="CW221" s="4">
        <f>IF((0=1),COUNT(C11:CW11),"")</f>
      </c>
      <c r="CX221" s="4">
        <f>IF((0=1),COUNT(C11:CX11),"")</f>
      </c>
    </row>
    <row r="222">
      <c r="A222" s="0" t="inlineStr">
        <is>
          <t xml:space="preserve">Evaluated days to date</t>
        </is>
      </c>
      <c r="B222" s="0" t="inlineStr">
        <is>
          <t xml:space="preserve">Same-Month Seasonality</t>
        </is>
      </c>
      <c r="C222" s="4">
        <f>IF((1=1),COUNT(C12),"")</f>
        <v>1</v>
      </c>
      <c r="D222" s="4">
        <f>IF((0=1),COUNT(C12:D12),"")</f>
      </c>
      <c r="E222" s="4">
        <f>IF((0=1),COUNT(C12:E12),"")</f>
      </c>
      <c r="F222" s="4">
        <f>IF((0=1),COUNT(C12:F12),"")</f>
      </c>
      <c r="G222" s="4">
        <f>IF((0=1),COUNT(C12:G12),"")</f>
      </c>
      <c r="H222" s="4">
        <f>IF((0=1),COUNT(C12:H12),"")</f>
      </c>
      <c r="I222" s="4">
        <f>IF((0=1),COUNT(C12:I12),"")</f>
      </c>
      <c r="J222" s="4">
        <f>IF((0=1),COUNT(C12:J12),"")</f>
      </c>
      <c r="K222" s="4">
        <f>IF((0=1),COUNT(C12:K12),"")</f>
      </c>
      <c r="L222" s="4">
        <f>IF((0=1),COUNT(C12:L12),"")</f>
      </c>
      <c r="M222" s="4">
        <f>IF((0=1),COUNT(C12:M12),"")</f>
      </c>
      <c r="N222" s="4">
        <f>IF((0=1),COUNT(C12:N12),"")</f>
      </c>
      <c r="O222" s="4">
        <f>IF((0=1),COUNT(C12:O12),"")</f>
      </c>
      <c r="P222" s="4">
        <f>IF((0=1),COUNT(C12:P12),"")</f>
      </c>
      <c r="Q222" s="4">
        <f>IF((0=1),COUNT(C12:Q12),"")</f>
      </c>
      <c r="R222" s="4">
        <f>IF((0=1),COUNT(C12:R12),"")</f>
      </c>
      <c r="S222" s="4">
        <f>IF((0=1),COUNT(C12:S12),"")</f>
      </c>
      <c r="T222" s="4">
        <f>IF((0=1),COUNT(C12:T12),"")</f>
      </c>
      <c r="U222" s="4">
        <f>IF((0=1),COUNT(C12:U12),"")</f>
      </c>
      <c r="V222" s="4">
        <f>IF((0=1),COUNT(C12:V12),"")</f>
      </c>
      <c r="W222" s="4">
        <f>IF((0=1),COUNT(C12:W12),"")</f>
      </c>
      <c r="X222" s="4">
        <f>IF((0=1),COUNT(C12:X12),"")</f>
      </c>
      <c r="Y222" s="4">
        <f>IF((0=1),COUNT(C12:Y12),"")</f>
      </c>
      <c r="Z222" s="4">
        <f>IF((0=1),COUNT(C12:Z12),"")</f>
      </c>
      <c r="AA222" s="4">
        <f>IF((0=1),COUNT(C12:AA12),"")</f>
      </c>
      <c r="AB222" s="4">
        <f>IF((0=1),COUNT(C12:AB12),"")</f>
      </c>
      <c r="AC222" s="4">
        <f>IF((0=1),COUNT(C12:AC12),"")</f>
      </c>
      <c r="AD222" s="4">
        <f>IF((0=1),COUNT(C12:AD12),"")</f>
      </c>
      <c r="AE222" s="4">
        <f>IF((0=1),COUNT(C12:AE12),"")</f>
      </c>
      <c r="AF222" s="4">
        <f>IF((0=1),COUNT(C12:AF12),"")</f>
      </c>
      <c r="AG222" s="4">
        <f>IF((0=1),COUNT(C12:AG12),"")</f>
      </c>
      <c r="AH222" s="4">
        <f>IF((0=1),COUNT(C12:AH12),"")</f>
      </c>
      <c r="AI222" s="4">
        <f>IF((0=1),COUNT(C12:AI12),"")</f>
      </c>
      <c r="AJ222" s="4">
        <f>IF((0=1),COUNT(C12:AJ12),"")</f>
      </c>
      <c r="AK222" s="4">
        <f>IF((0=1),COUNT(C12:AK12),"")</f>
      </c>
      <c r="AL222" s="4">
        <f>IF((0=1),COUNT(C12:AL12),"")</f>
      </c>
      <c r="AM222" s="4">
        <f>IF((0=1),COUNT(C12:AM12),"")</f>
      </c>
      <c r="AN222" s="4">
        <f>IF((0=1),COUNT(C12:AN12),"")</f>
      </c>
      <c r="AO222" s="4">
        <f>IF((0=1),COUNT(C12:AO12),"")</f>
      </c>
      <c r="AP222" s="4">
        <f>IF((0=1),COUNT(C12:AP12),"")</f>
      </c>
      <c r="AQ222" s="4">
        <f>IF((0=1),COUNT(C12:AQ12),"")</f>
      </c>
      <c r="AR222" s="4">
        <f>IF((0=1),COUNT(C12:AR12),"")</f>
      </c>
      <c r="AS222" s="4">
        <f>IF((0=1),COUNT(C12:AS12),"")</f>
      </c>
      <c r="AT222" s="4">
        <f>IF((0=1),COUNT(C12:AT12),"")</f>
      </c>
      <c r="AU222" s="4">
        <f>IF((0=1),COUNT(C12:AU12),"")</f>
      </c>
      <c r="AV222" s="4">
        <f>IF((0=1),COUNT(C12:AV12),"")</f>
      </c>
      <c r="AW222" s="4">
        <f>IF((0=1),COUNT(C12:AW12),"")</f>
      </c>
      <c r="AX222" s="4">
        <f>IF((0=1),COUNT(C12:AX12),"")</f>
      </c>
      <c r="AY222" s="4">
        <f>IF((0=1),COUNT(C12:AY12),"")</f>
      </c>
      <c r="AZ222" s="4">
        <f>IF((0=1),COUNT(C12:AZ12),"")</f>
      </c>
      <c r="BA222" s="4">
        <f>IF((0=1),COUNT(C12:BA12),"")</f>
      </c>
      <c r="BB222" s="4">
        <f>IF((0=1),COUNT(C12:BB12),"")</f>
      </c>
      <c r="BC222" s="4">
        <f>IF((0=1),COUNT(C12:BC12),"")</f>
      </c>
      <c r="BD222" s="4">
        <f>IF((0=1),COUNT(C12:BD12),"")</f>
      </c>
      <c r="BE222" s="4">
        <f>IF((0=1),COUNT(C12:BE12),"")</f>
      </c>
      <c r="BF222" s="4">
        <f>IF((0=1),COUNT(C12:BF12),"")</f>
      </c>
      <c r="BG222" s="4">
        <f>IF((0=1),COUNT(C12:BG12),"")</f>
      </c>
      <c r="BH222" s="4">
        <f>IF((0=1),COUNT(C12:BH12),"")</f>
      </c>
      <c r="BI222" s="4">
        <f>IF((0=1),COUNT(C12:BI12),"")</f>
      </c>
      <c r="BJ222" s="4">
        <f>IF((0=1),COUNT(C12:BJ12),"")</f>
      </c>
      <c r="BK222" s="4">
        <f>IF((0=1),COUNT(C12:BK12),"")</f>
      </c>
      <c r="BL222" s="4">
        <f>IF((0=1),COUNT(C12:BL12),"")</f>
      </c>
      <c r="BM222" s="4">
        <f>IF((0=1),COUNT(C12:BM12),"")</f>
      </c>
      <c r="BN222" s="4">
        <f>IF((0=1),COUNT(C12:BN12),"")</f>
      </c>
      <c r="BO222" s="4">
        <f>IF((0=1),COUNT(C12:BO12),"")</f>
      </c>
      <c r="BP222" s="4">
        <f>IF((0=1),COUNT(C12:BP12),"")</f>
      </c>
      <c r="BQ222" s="4">
        <f>IF((0=1),COUNT(C12:BQ12),"")</f>
      </c>
      <c r="BR222" s="4">
        <f>IF((0=1),COUNT(C12:BR12),"")</f>
      </c>
      <c r="BS222" s="4">
        <f>IF((0=1),COUNT(C12:BS12),"")</f>
      </c>
      <c r="BT222" s="4">
        <f>IF((0=1),COUNT(C12:BT12),"")</f>
      </c>
      <c r="BU222" s="4">
        <f>IF((0=1),COUNT(C12:BU12),"")</f>
      </c>
      <c r="BV222" s="4">
        <f>IF((0=1),COUNT(C12:BV12),"")</f>
      </c>
      <c r="BW222" s="4">
        <f>IF((0=1),COUNT(C12:BW12),"")</f>
      </c>
      <c r="BX222" s="4">
        <f>IF((0=1),COUNT(C12:BX12),"")</f>
      </c>
      <c r="BY222" s="4">
        <f>IF((0=1),COUNT(C12:BY12),"")</f>
      </c>
      <c r="BZ222" s="4">
        <f>IF((0=1),COUNT(C12:BZ12),"")</f>
      </c>
      <c r="CA222" s="4">
        <f>IF((0=1),COUNT(C12:CA12),"")</f>
      </c>
      <c r="CB222" s="4">
        <f>IF((0=1),COUNT(C12:CB12),"")</f>
      </c>
      <c r="CC222" s="4">
        <f>IF((0=1),COUNT(C12:CC12),"")</f>
      </c>
      <c r="CD222" s="4">
        <f>IF((0=1),COUNT(C12:CD12),"")</f>
      </c>
      <c r="CE222" s="4">
        <f>IF((0=1),COUNT(C12:CE12),"")</f>
      </c>
      <c r="CF222" s="4">
        <f>IF((0=1),COUNT(C12:CF12),"")</f>
      </c>
      <c r="CG222" s="4">
        <f>IF((0=1),COUNT(C12:CG12),"")</f>
      </c>
      <c r="CH222" s="4">
        <f>IF((0=1),COUNT(C12:CH12),"")</f>
      </c>
      <c r="CI222" s="4">
        <f>IF((0=1),COUNT(C12:CI12),"")</f>
      </c>
      <c r="CJ222" s="4">
        <f>IF((0=1),COUNT(C12:CJ12),"")</f>
      </c>
      <c r="CK222" s="4">
        <f>IF((0=1),COUNT(C12:CK12),"")</f>
      </c>
      <c r="CL222" s="4">
        <f>IF((0=1),COUNT(C12:CL12),"")</f>
      </c>
      <c r="CM222" s="4">
        <f>IF((0=1),COUNT(C12:CM12),"")</f>
      </c>
      <c r="CN222" s="4">
        <f>IF((0=1),COUNT(C12:CN12),"")</f>
      </c>
      <c r="CO222" s="4">
        <f>IF((0=1),COUNT(C12:CO12),"")</f>
      </c>
      <c r="CP222" s="4">
        <f>IF((0=1),COUNT(C12:CP12),"")</f>
      </c>
      <c r="CQ222" s="4">
        <f>IF((0=1),COUNT(C12:CQ12),"")</f>
      </c>
      <c r="CR222" s="4">
        <f>IF((0=1),COUNT(C12:CR12),"")</f>
      </c>
      <c r="CS222" s="4">
        <f>IF((0=1),COUNT(C12:CS12),"")</f>
      </c>
      <c r="CT222" s="4">
        <f>IF((0=1),COUNT(C12:CT12),"")</f>
      </c>
      <c r="CU222" s="4">
        <f>IF((0=1),COUNT(C12:CU12),"")</f>
      </c>
      <c r="CV222" s="4">
        <f>IF((0=1),COUNT(C12:CV12),"")</f>
      </c>
      <c r="CW222" s="4">
        <f>IF((0=1),COUNT(C12:CW12),"")</f>
      </c>
      <c r="CX222" s="4">
        <f>IF((0=1),COUNT(C12:CX12),"")</f>
      </c>
    </row>
    <row r="223">
      <c r="A223" s="0" t="inlineStr">
        <is>
          <t xml:space="preserve">Evaluated days to date</t>
        </is>
      </c>
      <c r="B223" s="0" t="inlineStr">
        <is>
          <t xml:space="preserve">Quality at a Reasonable Price</t>
        </is>
      </c>
      <c r="C223" s="4">
        <f>IF((1=1),COUNT(C13),"")</f>
        <v>1</v>
      </c>
      <c r="D223" s="4">
        <f>IF((0=1),COUNT(C13:D13),"")</f>
      </c>
      <c r="E223" s="4">
        <f>IF((0=1),COUNT(C13:E13),"")</f>
      </c>
      <c r="F223" s="4">
        <f>IF((0=1),COUNT(C13:F13),"")</f>
      </c>
      <c r="G223" s="4">
        <f>IF((0=1),COUNT(C13:G13),"")</f>
      </c>
      <c r="H223" s="4">
        <f>IF((0=1),COUNT(C13:H13),"")</f>
      </c>
      <c r="I223" s="4">
        <f>IF((0=1),COUNT(C13:I13),"")</f>
      </c>
      <c r="J223" s="4">
        <f>IF((0=1),COUNT(C13:J13),"")</f>
      </c>
      <c r="K223" s="4">
        <f>IF((0=1),COUNT(C13:K13),"")</f>
      </c>
      <c r="L223" s="4">
        <f>IF((0=1),COUNT(C13:L13),"")</f>
      </c>
      <c r="M223" s="4">
        <f>IF((0=1),COUNT(C13:M13),"")</f>
      </c>
      <c r="N223" s="4">
        <f>IF((0=1),COUNT(C13:N13),"")</f>
      </c>
      <c r="O223" s="4">
        <f>IF((0=1),COUNT(C13:O13),"")</f>
      </c>
      <c r="P223" s="4">
        <f>IF((0=1),COUNT(C13:P13),"")</f>
      </c>
      <c r="Q223" s="4">
        <f>IF((0=1),COUNT(C13:Q13),"")</f>
      </c>
      <c r="R223" s="4">
        <f>IF((0=1),COUNT(C13:R13),"")</f>
      </c>
      <c r="S223" s="4">
        <f>IF((0=1),COUNT(C13:S13),"")</f>
      </c>
      <c r="T223" s="4">
        <f>IF((0=1),COUNT(C13:T13),"")</f>
      </c>
      <c r="U223" s="4">
        <f>IF((0=1),COUNT(C13:U13),"")</f>
      </c>
      <c r="V223" s="4">
        <f>IF((0=1),COUNT(C13:V13),"")</f>
      </c>
      <c r="W223" s="4">
        <f>IF((0=1),COUNT(C13:W13),"")</f>
      </c>
      <c r="X223" s="4">
        <f>IF((0=1),COUNT(C13:X13),"")</f>
      </c>
      <c r="Y223" s="4">
        <f>IF((0=1),COUNT(C13:Y13),"")</f>
      </c>
      <c r="Z223" s="4">
        <f>IF((0=1),COUNT(C13:Z13),"")</f>
      </c>
      <c r="AA223" s="4">
        <f>IF((0=1),COUNT(C13:AA13),"")</f>
      </c>
      <c r="AB223" s="4">
        <f>IF((0=1),COUNT(C13:AB13),"")</f>
      </c>
      <c r="AC223" s="4">
        <f>IF((0=1),COUNT(C13:AC13),"")</f>
      </c>
      <c r="AD223" s="4">
        <f>IF((0=1),COUNT(C13:AD13),"")</f>
      </c>
      <c r="AE223" s="4">
        <f>IF((0=1),COUNT(C13:AE13),"")</f>
      </c>
      <c r="AF223" s="4">
        <f>IF((0=1),COUNT(C13:AF13),"")</f>
      </c>
      <c r="AG223" s="4">
        <f>IF((0=1),COUNT(C13:AG13),"")</f>
      </c>
      <c r="AH223" s="4">
        <f>IF((0=1),COUNT(C13:AH13),"")</f>
      </c>
      <c r="AI223" s="4">
        <f>IF((0=1),COUNT(C13:AI13),"")</f>
      </c>
      <c r="AJ223" s="4">
        <f>IF((0=1),COUNT(C13:AJ13),"")</f>
      </c>
      <c r="AK223" s="4">
        <f>IF((0=1),COUNT(C13:AK13),"")</f>
      </c>
      <c r="AL223" s="4">
        <f>IF((0=1),COUNT(C13:AL13),"")</f>
      </c>
      <c r="AM223" s="4">
        <f>IF((0=1),COUNT(C13:AM13),"")</f>
      </c>
      <c r="AN223" s="4">
        <f>IF((0=1),COUNT(C13:AN13),"")</f>
      </c>
      <c r="AO223" s="4">
        <f>IF((0=1),COUNT(C13:AO13),"")</f>
      </c>
      <c r="AP223" s="4">
        <f>IF((0=1),COUNT(C13:AP13),"")</f>
      </c>
      <c r="AQ223" s="4">
        <f>IF((0=1),COUNT(C13:AQ13),"")</f>
      </c>
      <c r="AR223" s="4">
        <f>IF((0=1),COUNT(C13:AR13),"")</f>
      </c>
      <c r="AS223" s="4">
        <f>IF((0=1),COUNT(C13:AS13),"")</f>
      </c>
      <c r="AT223" s="4">
        <f>IF((0=1),COUNT(C13:AT13),"")</f>
      </c>
      <c r="AU223" s="4">
        <f>IF((0=1),COUNT(C13:AU13),"")</f>
      </c>
      <c r="AV223" s="4">
        <f>IF((0=1),COUNT(C13:AV13),"")</f>
      </c>
      <c r="AW223" s="4">
        <f>IF((0=1),COUNT(C13:AW13),"")</f>
      </c>
      <c r="AX223" s="4">
        <f>IF((0=1),COUNT(C13:AX13),"")</f>
      </c>
      <c r="AY223" s="4">
        <f>IF((0=1),COUNT(C13:AY13),"")</f>
      </c>
      <c r="AZ223" s="4">
        <f>IF((0=1),COUNT(C13:AZ13),"")</f>
      </c>
      <c r="BA223" s="4">
        <f>IF((0=1),COUNT(C13:BA13),"")</f>
      </c>
      <c r="BB223" s="4">
        <f>IF((0=1),COUNT(C13:BB13),"")</f>
      </c>
      <c r="BC223" s="4">
        <f>IF((0=1),COUNT(C13:BC13),"")</f>
      </c>
      <c r="BD223" s="4">
        <f>IF((0=1),COUNT(C13:BD13),"")</f>
      </c>
      <c r="BE223" s="4">
        <f>IF((0=1),COUNT(C13:BE13),"")</f>
      </c>
      <c r="BF223" s="4">
        <f>IF((0=1),COUNT(C13:BF13),"")</f>
      </c>
      <c r="BG223" s="4">
        <f>IF((0=1),COUNT(C13:BG13),"")</f>
      </c>
      <c r="BH223" s="4">
        <f>IF((0=1),COUNT(C13:BH13),"")</f>
      </c>
      <c r="BI223" s="4">
        <f>IF((0=1),COUNT(C13:BI13),"")</f>
      </c>
      <c r="BJ223" s="4">
        <f>IF((0=1),COUNT(C13:BJ13),"")</f>
      </c>
      <c r="BK223" s="4">
        <f>IF((0=1),COUNT(C13:BK13),"")</f>
      </c>
      <c r="BL223" s="4">
        <f>IF((0=1),COUNT(C13:BL13),"")</f>
      </c>
      <c r="BM223" s="4">
        <f>IF((0=1),COUNT(C13:BM13),"")</f>
      </c>
      <c r="BN223" s="4">
        <f>IF((0=1),COUNT(C13:BN13),"")</f>
      </c>
      <c r="BO223" s="4">
        <f>IF((0=1),COUNT(C13:BO13),"")</f>
      </c>
      <c r="BP223" s="4">
        <f>IF((0=1),COUNT(C13:BP13),"")</f>
      </c>
      <c r="BQ223" s="4">
        <f>IF((0=1),COUNT(C13:BQ13),"")</f>
      </c>
      <c r="BR223" s="4">
        <f>IF((0=1),COUNT(C13:BR13),"")</f>
      </c>
      <c r="BS223" s="4">
        <f>IF((0=1),COUNT(C13:BS13),"")</f>
      </c>
      <c r="BT223" s="4">
        <f>IF((0=1),COUNT(C13:BT13),"")</f>
      </c>
      <c r="BU223" s="4">
        <f>IF((0=1),COUNT(C13:BU13),"")</f>
      </c>
      <c r="BV223" s="4">
        <f>IF((0=1),COUNT(C13:BV13),"")</f>
      </c>
      <c r="BW223" s="4">
        <f>IF((0=1),COUNT(C13:BW13),"")</f>
      </c>
      <c r="BX223" s="4">
        <f>IF((0=1),COUNT(C13:BX13),"")</f>
      </c>
      <c r="BY223" s="4">
        <f>IF((0=1),COUNT(C13:BY13),"")</f>
      </c>
      <c r="BZ223" s="4">
        <f>IF((0=1),COUNT(C13:BZ13),"")</f>
      </c>
      <c r="CA223" s="4">
        <f>IF((0=1),COUNT(C13:CA13),"")</f>
      </c>
      <c r="CB223" s="4">
        <f>IF((0=1),COUNT(C13:CB13),"")</f>
      </c>
      <c r="CC223" s="4">
        <f>IF((0=1),COUNT(C13:CC13),"")</f>
      </c>
      <c r="CD223" s="4">
        <f>IF((0=1),COUNT(C13:CD13),"")</f>
      </c>
      <c r="CE223" s="4">
        <f>IF((0=1),COUNT(C13:CE13),"")</f>
      </c>
      <c r="CF223" s="4">
        <f>IF((0=1),COUNT(C13:CF13),"")</f>
      </c>
      <c r="CG223" s="4">
        <f>IF((0=1),COUNT(C13:CG13),"")</f>
      </c>
      <c r="CH223" s="4">
        <f>IF((0=1),COUNT(C13:CH13),"")</f>
      </c>
      <c r="CI223" s="4">
        <f>IF((0=1),COUNT(C13:CI13),"")</f>
      </c>
      <c r="CJ223" s="4">
        <f>IF((0=1),COUNT(C13:CJ13),"")</f>
      </c>
      <c r="CK223" s="4">
        <f>IF((0=1),COUNT(C13:CK13),"")</f>
      </c>
      <c r="CL223" s="4">
        <f>IF((0=1),COUNT(C13:CL13),"")</f>
      </c>
      <c r="CM223" s="4">
        <f>IF((0=1),COUNT(C13:CM13),"")</f>
      </c>
      <c r="CN223" s="4">
        <f>IF((0=1),COUNT(C13:CN13),"")</f>
      </c>
      <c r="CO223" s="4">
        <f>IF((0=1),COUNT(C13:CO13),"")</f>
      </c>
      <c r="CP223" s="4">
        <f>IF((0=1),COUNT(C13:CP13),"")</f>
      </c>
      <c r="CQ223" s="4">
        <f>IF((0=1),COUNT(C13:CQ13),"")</f>
      </c>
      <c r="CR223" s="4">
        <f>IF((0=1),COUNT(C13:CR13),"")</f>
      </c>
      <c r="CS223" s="4">
        <f>IF((0=1),COUNT(C13:CS13),"")</f>
      </c>
      <c r="CT223" s="4">
        <f>IF((0=1),COUNT(C13:CT13),"")</f>
      </c>
      <c r="CU223" s="4">
        <f>IF((0=1),COUNT(C13:CU13),"")</f>
      </c>
      <c r="CV223" s="4">
        <f>IF((0=1),COUNT(C13:CV13),"")</f>
      </c>
      <c r="CW223" s="4">
        <f>IF((0=1),COUNT(C13:CW13),"")</f>
      </c>
      <c r="CX223" s="4">
        <f>IF((0=1),COUNT(C13:CX13),"")</f>
      </c>
    </row>
    <row r="224">
      <c r="A224" s="0" t="inlineStr">
        <is>
          <t xml:space="preserve">Evaluated days to date</t>
        </is>
      </c>
      <c r="B224" s="0" t="inlineStr">
        <is>
          <t xml:space="preserve">Residual Momentum</t>
        </is>
      </c>
      <c r="C224" s="4">
        <f>IF((1=1),COUNT(C14),"")</f>
        <v>1</v>
      </c>
      <c r="D224" s="4">
        <f>IF((0=1),COUNT(C14:D14),"")</f>
      </c>
      <c r="E224" s="4">
        <f>IF((0=1),COUNT(C14:E14),"")</f>
      </c>
      <c r="F224" s="4">
        <f>IF((0=1),COUNT(C14:F14),"")</f>
      </c>
      <c r="G224" s="4">
        <f>IF((0=1),COUNT(C14:G14),"")</f>
      </c>
      <c r="H224" s="4">
        <f>IF((0=1),COUNT(C14:H14),"")</f>
      </c>
      <c r="I224" s="4">
        <f>IF((0=1),COUNT(C14:I14),"")</f>
      </c>
      <c r="J224" s="4">
        <f>IF((0=1),COUNT(C14:J14),"")</f>
      </c>
      <c r="K224" s="4">
        <f>IF((0=1),COUNT(C14:K14),"")</f>
      </c>
      <c r="L224" s="4">
        <f>IF((0=1),COUNT(C14:L14),"")</f>
      </c>
      <c r="M224" s="4">
        <f>IF((0=1),COUNT(C14:M14),"")</f>
      </c>
      <c r="N224" s="4">
        <f>IF((0=1),COUNT(C14:N14),"")</f>
      </c>
      <c r="O224" s="4">
        <f>IF((0=1),COUNT(C14:O14),"")</f>
      </c>
      <c r="P224" s="4">
        <f>IF((0=1),COUNT(C14:P14),"")</f>
      </c>
      <c r="Q224" s="4">
        <f>IF((0=1),COUNT(C14:Q14),"")</f>
      </c>
      <c r="R224" s="4">
        <f>IF((0=1),COUNT(C14:R14),"")</f>
      </c>
      <c r="S224" s="4">
        <f>IF((0=1),COUNT(C14:S14),"")</f>
      </c>
      <c r="T224" s="4">
        <f>IF((0=1),COUNT(C14:T14),"")</f>
      </c>
      <c r="U224" s="4">
        <f>IF((0=1),COUNT(C14:U14),"")</f>
      </c>
      <c r="V224" s="4">
        <f>IF((0=1),COUNT(C14:V14),"")</f>
      </c>
      <c r="W224" s="4">
        <f>IF((0=1),COUNT(C14:W14),"")</f>
      </c>
      <c r="X224" s="4">
        <f>IF((0=1),COUNT(C14:X14),"")</f>
      </c>
      <c r="Y224" s="4">
        <f>IF((0=1),COUNT(C14:Y14),"")</f>
      </c>
      <c r="Z224" s="4">
        <f>IF((0=1),COUNT(C14:Z14),"")</f>
      </c>
      <c r="AA224" s="4">
        <f>IF((0=1),COUNT(C14:AA14),"")</f>
      </c>
      <c r="AB224" s="4">
        <f>IF((0=1),COUNT(C14:AB14),"")</f>
      </c>
      <c r="AC224" s="4">
        <f>IF((0=1),COUNT(C14:AC14),"")</f>
      </c>
      <c r="AD224" s="4">
        <f>IF((0=1),COUNT(C14:AD14),"")</f>
      </c>
      <c r="AE224" s="4">
        <f>IF((0=1),COUNT(C14:AE14),"")</f>
      </c>
      <c r="AF224" s="4">
        <f>IF((0=1),COUNT(C14:AF14),"")</f>
      </c>
      <c r="AG224" s="4">
        <f>IF((0=1),COUNT(C14:AG14),"")</f>
      </c>
      <c r="AH224" s="4">
        <f>IF((0=1),COUNT(C14:AH14),"")</f>
      </c>
      <c r="AI224" s="4">
        <f>IF((0=1),COUNT(C14:AI14),"")</f>
      </c>
      <c r="AJ224" s="4">
        <f>IF((0=1),COUNT(C14:AJ14),"")</f>
      </c>
      <c r="AK224" s="4">
        <f>IF((0=1),COUNT(C14:AK14),"")</f>
      </c>
      <c r="AL224" s="4">
        <f>IF((0=1),COUNT(C14:AL14),"")</f>
      </c>
      <c r="AM224" s="4">
        <f>IF((0=1),COUNT(C14:AM14),"")</f>
      </c>
      <c r="AN224" s="4">
        <f>IF((0=1),COUNT(C14:AN14),"")</f>
      </c>
      <c r="AO224" s="4">
        <f>IF((0=1),COUNT(C14:AO14),"")</f>
      </c>
      <c r="AP224" s="4">
        <f>IF((0=1),COUNT(C14:AP14),"")</f>
      </c>
      <c r="AQ224" s="4">
        <f>IF((0=1),COUNT(C14:AQ14),"")</f>
      </c>
      <c r="AR224" s="4">
        <f>IF((0=1),COUNT(C14:AR14),"")</f>
      </c>
      <c r="AS224" s="4">
        <f>IF((0=1),COUNT(C14:AS14),"")</f>
      </c>
      <c r="AT224" s="4">
        <f>IF((0=1),COUNT(C14:AT14),"")</f>
      </c>
      <c r="AU224" s="4">
        <f>IF((0=1),COUNT(C14:AU14),"")</f>
      </c>
      <c r="AV224" s="4">
        <f>IF((0=1),COUNT(C14:AV14),"")</f>
      </c>
      <c r="AW224" s="4">
        <f>IF((0=1),COUNT(C14:AW14),"")</f>
      </c>
      <c r="AX224" s="4">
        <f>IF((0=1),COUNT(C14:AX14),"")</f>
      </c>
      <c r="AY224" s="4">
        <f>IF((0=1),COUNT(C14:AY14),"")</f>
      </c>
      <c r="AZ224" s="4">
        <f>IF((0=1),COUNT(C14:AZ14),"")</f>
      </c>
      <c r="BA224" s="4">
        <f>IF((0=1),COUNT(C14:BA14),"")</f>
      </c>
      <c r="BB224" s="4">
        <f>IF((0=1),COUNT(C14:BB14),"")</f>
      </c>
      <c r="BC224" s="4">
        <f>IF((0=1),COUNT(C14:BC14),"")</f>
      </c>
      <c r="BD224" s="4">
        <f>IF((0=1),COUNT(C14:BD14),"")</f>
      </c>
      <c r="BE224" s="4">
        <f>IF((0=1),COUNT(C14:BE14),"")</f>
      </c>
      <c r="BF224" s="4">
        <f>IF((0=1),COUNT(C14:BF14),"")</f>
      </c>
      <c r="BG224" s="4">
        <f>IF((0=1),COUNT(C14:BG14),"")</f>
      </c>
      <c r="BH224" s="4">
        <f>IF((0=1),COUNT(C14:BH14),"")</f>
      </c>
      <c r="BI224" s="4">
        <f>IF((0=1),COUNT(C14:BI14),"")</f>
      </c>
      <c r="BJ224" s="4">
        <f>IF((0=1),COUNT(C14:BJ14),"")</f>
      </c>
      <c r="BK224" s="4">
        <f>IF((0=1),COUNT(C14:BK14),"")</f>
      </c>
      <c r="BL224" s="4">
        <f>IF((0=1),COUNT(C14:BL14),"")</f>
      </c>
      <c r="BM224" s="4">
        <f>IF((0=1),COUNT(C14:BM14),"")</f>
      </c>
      <c r="BN224" s="4">
        <f>IF((0=1),COUNT(C14:BN14),"")</f>
      </c>
      <c r="BO224" s="4">
        <f>IF((0=1),COUNT(C14:BO14),"")</f>
      </c>
      <c r="BP224" s="4">
        <f>IF((0=1),COUNT(C14:BP14),"")</f>
      </c>
      <c r="BQ224" s="4">
        <f>IF((0=1),COUNT(C14:BQ14),"")</f>
      </c>
      <c r="BR224" s="4">
        <f>IF((0=1),COUNT(C14:BR14),"")</f>
      </c>
      <c r="BS224" s="4">
        <f>IF((0=1),COUNT(C14:BS14),"")</f>
      </c>
      <c r="BT224" s="4">
        <f>IF((0=1),COUNT(C14:BT14),"")</f>
      </c>
      <c r="BU224" s="4">
        <f>IF((0=1),COUNT(C14:BU14),"")</f>
      </c>
      <c r="BV224" s="4">
        <f>IF((0=1),COUNT(C14:BV14),"")</f>
      </c>
      <c r="BW224" s="4">
        <f>IF((0=1),COUNT(C14:BW14),"")</f>
      </c>
      <c r="BX224" s="4">
        <f>IF((0=1),COUNT(C14:BX14),"")</f>
      </c>
      <c r="BY224" s="4">
        <f>IF((0=1),COUNT(C14:BY14),"")</f>
      </c>
      <c r="BZ224" s="4">
        <f>IF((0=1),COUNT(C14:BZ14),"")</f>
      </c>
      <c r="CA224" s="4">
        <f>IF((0=1),COUNT(C14:CA14),"")</f>
      </c>
      <c r="CB224" s="4">
        <f>IF((0=1),COUNT(C14:CB14),"")</f>
      </c>
      <c r="CC224" s="4">
        <f>IF((0=1),COUNT(C14:CC14),"")</f>
      </c>
      <c r="CD224" s="4">
        <f>IF((0=1),COUNT(C14:CD14),"")</f>
      </c>
      <c r="CE224" s="4">
        <f>IF((0=1),COUNT(C14:CE14),"")</f>
      </c>
      <c r="CF224" s="4">
        <f>IF((0=1),COUNT(C14:CF14),"")</f>
      </c>
      <c r="CG224" s="4">
        <f>IF((0=1),COUNT(C14:CG14),"")</f>
      </c>
      <c r="CH224" s="4">
        <f>IF((0=1),COUNT(C14:CH14),"")</f>
      </c>
      <c r="CI224" s="4">
        <f>IF((0=1),COUNT(C14:CI14),"")</f>
      </c>
      <c r="CJ224" s="4">
        <f>IF((0=1),COUNT(C14:CJ14),"")</f>
      </c>
      <c r="CK224" s="4">
        <f>IF((0=1),COUNT(C14:CK14),"")</f>
      </c>
      <c r="CL224" s="4">
        <f>IF((0=1),COUNT(C14:CL14),"")</f>
      </c>
      <c r="CM224" s="4">
        <f>IF((0=1),COUNT(C14:CM14),"")</f>
      </c>
      <c r="CN224" s="4">
        <f>IF((0=1),COUNT(C14:CN14),"")</f>
      </c>
      <c r="CO224" s="4">
        <f>IF((0=1),COUNT(C14:CO14),"")</f>
      </c>
      <c r="CP224" s="4">
        <f>IF((0=1),COUNT(C14:CP14),"")</f>
      </c>
      <c r="CQ224" s="4">
        <f>IF((0=1),COUNT(C14:CQ14),"")</f>
      </c>
      <c r="CR224" s="4">
        <f>IF((0=1),COUNT(C14:CR14),"")</f>
      </c>
      <c r="CS224" s="4">
        <f>IF((0=1),COUNT(C14:CS14),"")</f>
      </c>
      <c r="CT224" s="4">
        <f>IF((0=1),COUNT(C14:CT14),"")</f>
      </c>
      <c r="CU224" s="4">
        <f>IF((0=1),COUNT(C14:CU14),"")</f>
      </c>
      <c r="CV224" s="4">
        <f>IF((0=1),COUNT(C14:CV14),"")</f>
      </c>
      <c r="CW224" s="4">
        <f>IF((0=1),COUNT(C14:CW14),"")</f>
      </c>
      <c r="CX224" s="4">
        <f>IF((0=1),COUNT(C14:CX14),"")</f>
      </c>
    </row>
    <row r="225">
      <c r="A225" s="0" t="inlineStr">
        <is>
          <t xml:space="preserve">Evaluated days to date</t>
        </is>
      </c>
      <c r="B225" s="0" t="inlineStr">
        <is>
          <t xml:space="preserve">Overnight Return Persistence</t>
        </is>
      </c>
      <c r="C225" s="4">
        <f>IF((1=1),COUNT(C15),"")</f>
        <v>1</v>
      </c>
      <c r="D225" s="4">
        <f>IF((0=1),COUNT(C15:D15),"")</f>
      </c>
      <c r="E225" s="4">
        <f>IF((0=1),COUNT(C15:E15),"")</f>
      </c>
      <c r="F225" s="4">
        <f>IF((0=1),COUNT(C15:F15),"")</f>
      </c>
      <c r="G225" s="4">
        <f>IF((0=1),COUNT(C15:G15),"")</f>
      </c>
      <c r="H225" s="4">
        <f>IF((0=1),COUNT(C15:H15),"")</f>
      </c>
      <c r="I225" s="4">
        <f>IF((0=1),COUNT(C15:I15),"")</f>
      </c>
      <c r="J225" s="4">
        <f>IF((0=1),COUNT(C15:J15),"")</f>
      </c>
      <c r="K225" s="4">
        <f>IF((0=1),COUNT(C15:K15),"")</f>
      </c>
      <c r="L225" s="4">
        <f>IF((0=1),COUNT(C15:L15),"")</f>
      </c>
      <c r="M225" s="4">
        <f>IF((0=1),COUNT(C15:M15),"")</f>
      </c>
      <c r="N225" s="4">
        <f>IF((0=1),COUNT(C15:N15),"")</f>
      </c>
      <c r="O225" s="4">
        <f>IF((0=1),COUNT(C15:O15),"")</f>
      </c>
      <c r="P225" s="4">
        <f>IF((0=1),COUNT(C15:P15),"")</f>
      </c>
      <c r="Q225" s="4">
        <f>IF((0=1),COUNT(C15:Q15),"")</f>
      </c>
      <c r="R225" s="4">
        <f>IF((0=1),COUNT(C15:R15),"")</f>
      </c>
      <c r="S225" s="4">
        <f>IF((0=1),COUNT(C15:S15),"")</f>
      </c>
      <c r="T225" s="4">
        <f>IF((0=1),COUNT(C15:T15),"")</f>
      </c>
      <c r="U225" s="4">
        <f>IF((0=1),COUNT(C15:U15),"")</f>
      </c>
      <c r="V225" s="4">
        <f>IF((0=1),COUNT(C15:V15),"")</f>
      </c>
      <c r="W225" s="4">
        <f>IF((0=1),COUNT(C15:W15),"")</f>
      </c>
      <c r="X225" s="4">
        <f>IF((0=1),COUNT(C15:X15),"")</f>
      </c>
      <c r="Y225" s="4">
        <f>IF((0=1),COUNT(C15:Y15),"")</f>
      </c>
      <c r="Z225" s="4">
        <f>IF((0=1),COUNT(C15:Z15),"")</f>
      </c>
      <c r="AA225" s="4">
        <f>IF((0=1),COUNT(C15:AA15),"")</f>
      </c>
      <c r="AB225" s="4">
        <f>IF((0=1),COUNT(C15:AB15),"")</f>
      </c>
      <c r="AC225" s="4">
        <f>IF((0=1),COUNT(C15:AC15),"")</f>
      </c>
      <c r="AD225" s="4">
        <f>IF((0=1),COUNT(C15:AD15),"")</f>
      </c>
      <c r="AE225" s="4">
        <f>IF((0=1),COUNT(C15:AE15),"")</f>
      </c>
      <c r="AF225" s="4">
        <f>IF((0=1),COUNT(C15:AF15),"")</f>
      </c>
      <c r="AG225" s="4">
        <f>IF((0=1),COUNT(C15:AG15),"")</f>
      </c>
      <c r="AH225" s="4">
        <f>IF((0=1),COUNT(C15:AH15),"")</f>
      </c>
      <c r="AI225" s="4">
        <f>IF((0=1),COUNT(C15:AI15),"")</f>
      </c>
      <c r="AJ225" s="4">
        <f>IF((0=1),COUNT(C15:AJ15),"")</f>
      </c>
      <c r="AK225" s="4">
        <f>IF((0=1),COUNT(C15:AK15),"")</f>
      </c>
      <c r="AL225" s="4">
        <f>IF((0=1),COUNT(C15:AL15),"")</f>
      </c>
      <c r="AM225" s="4">
        <f>IF((0=1),COUNT(C15:AM15),"")</f>
      </c>
      <c r="AN225" s="4">
        <f>IF((0=1),COUNT(C15:AN15),"")</f>
      </c>
      <c r="AO225" s="4">
        <f>IF((0=1),COUNT(C15:AO15),"")</f>
      </c>
      <c r="AP225" s="4">
        <f>IF((0=1),COUNT(C15:AP15),"")</f>
      </c>
      <c r="AQ225" s="4">
        <f>IF((0=1),COUNT(C15:AQ15),"")</f>
      </c>
      <c r="AR225" s="4">
        <f>IF((0=1),COUNT(C15:AR15),"")</f>
      </c>
      <c r="AS225" s="4">
        <f>IF((0=1),COUNT(C15:AS15),"")</f>
      </c>
      <c r="AT225" s="4">
        <f>IF((0=1),COUNT(C15:AT15),"")</f>
      </c>
      <c r="AU225" s="4">
        <f>IF((0=1),COUNT(C15:AU15),"")</f>
      </c>
      <c r="AV225" s="4">
        <f>IF((0=1),COUNT(C15:AV15),"")</f>
      </c>
      <c r="AW225" s="4">
        <f>IF((0=1),COUNT(C15:AW15),"")</f>
      </c>
      <c r="AX225" s="4">
        <f>IF((0=1),COUNT(C15:AX15),"")</f>
      </c>
      <c r="AY225" s="4">
        <f>IF((0=1),COUNT(C15:AY15),"")</f>
      </c>
      <c r="AZ225" s="4">
        <f>IF((0=1),COUNT(C15:AZ15),"")</f>
      </c>
      <c r="BA225" s="4">
        <f>IF((0=1),COUNT(C15:BA15),"")</f>
      </c>
      <c r="BB225" s="4">
        <f>IF((0=1),COUNT(C15:BB15),"")</f>
      </c>
      <c r="BC225" s="4">
        <f>IF((0=1),COUNT(C15:BC15),"")</f>
      </c>
      <c r="BD225" s="4">
        <f>IF((0=1),COUNT(C15:BD15),"")</f>
      </c>
      <c r="BE225" s="4">
        <f>IF((0=1),COUNT(C15:BE15),"")</f>
      </c>
      <c r="BF225" s="4">
        <f>IF((0=1),COUNT(C15:BF15),"")</f>
      </c>
      <c r="BG225" s="4">
        <f>IF((0=1),COUNT(C15:BG15),"")</f>
      </c>
      <c r="BH225" s="4">
        <f>IF((0=1),COUNT(C15:BH15),"")</f>
      </c>
      <c r="BI225" s="4">
        <f>IF((0=1),COUNT(C15:BI15),"")</f>
      </c>
      <c r="BJ225" s="4">
        <f>IF((0=1),COUNT(C15:BJ15),"")</f>
      </c>
      <c r="BK225" s="4">
        <f>IF((0=1),COUNT(C15:BK15),"")</f>
      </c>
      <c r="BL225" s="4">
        <f>IF((0=1),COUNT(C15:BL15),"")</f>
      </c>
      <c r="BM225" s="4">
        <f>IF((0=1),COUNT(C15:BM15),"")</f>
      </c>
      <c r="BN225" s="4">
        <f>IF((0=1),COUNT(C15:BN15),"")</f>
      </c>
      <c r="BO225" s="4">
        <f>IF((0=1),COUNT(C15:BO15),"")</f>
      </c>
      <c r="BP225" s="4">
        <f>IF((0=1),COUNT(C15:BP15),"")</f>
      </c>
      <c r="BQ225" s="4">
        <f>IF((0=1),COUNT(C15:BQ15),"")</f>
      </c>
      <c r="BR225" s="4">
        <f>IF((0=1),COUNT(C15:BR15),"")</f>
      </c>
      <c r="BS225" s="4">
        <f>IF((0=1),COUNT(C15:BS15),"")</f>
      </c>
      <c r="BT225" s="4">
        <f>IF((0=1),COUNT(C15:BT15),"")</f>
      </c>
      <c r="BU225" s="4">
        <f>IF((0=1),COUNT(C15:BU15),"")</f>
      </c>
      <c r="BV225" s="4">
        <f>IF((0=1),COUNT(C15:BV15),"")</f>
      </c>
      <c r="BW225" s="4">
        <f>IF((0=1),COUNT(C15:BW15),"")</f>
      </c>
      <c r="BX225" s="4">
        <f>IF((0=1),COUNT(C15:BX15),"")</f>
      </c>
      <c r="BY225" s="4">
        <f>IF((0=1),COUNT(C15:BY15),"")</f>
      </c>
      <c r="BZ225" s="4">
        <f>IF((0=1),COUNT(C15:BZ15),"")</f>
      </c>
      <c r="CA225" s="4">
        <f>IF((0=1),COUNT(C15:CA15),"")</f>
      </c>
      <c r="CB225" s="4">
        <f>IF((0=1),COUNT(C15:CB15),"")</f>
      </c>
      <c r="CC225" s="4">
        <f>IF((0=1),COUNT(C15:CC15),"")</f>
      </c>
      <c r="CD225" s="4">
        <f>IF((0=1),COUNT(C15:CD15),"")</f>
      </c>
      <c r="CE225" s="4">
        <f>IF((0=1),COUNT(C15:CE15),"")</f>
      </c>
      <c r="CF225" s="4">
        <f>IF((0=1),COUNT(C15:CF15),"")</f>
      </c>
      <c r="CG225" s="4">
        <f>IF((0=1),COUNT(C15:CG15),"")</f>
      </c>
      <c r="CH225" s="4">
        <f>IF((0=1),COUNT(C15:CH15),"")</f>
      </c>
      <c r="CI225" s="4">
        <f>IF((0=1),COUNT(C15:CI15),"")</f>
      </c>
      <c r="CJ225" s="4">
        <f>IF((0=1),COUNT(C15:CJ15),"")</f>
      </c>
      <c r="CK225" s="4">
        <f>IF((0=1),COUNT(C15:CK15),"")</f>
      </c>
      <c r="CL225" s="4">
        <f>IF((0=1),COUNT(C15:CL15),"")</f>
      </c>
      <c r="CM225" s="4">
        <f>IF((0=1),COUNT(C15:CM15),"")</f>
      </c>
      <c r="CN225" s="4">
        <f>IF((0=1),COUNT(C15:CN15),"")</f>
      </c>
      <c r="CO225" s="4">
        <f>IF((0=1),COUNT(C15:CO15),"")</f>
      </c>
      <c r="CP225" s="4">
        <f>IF((0=1),COUNT(C15:CP15),"")</f>
      </c>
      <c r="CQ225" s="4">
        <f>IF((0=1),COUNT(C15:CQ15),"")</f>
      </c>
      <c r="CR225" s="4">
        <f>IF((0=1),COUNT(C15:CR15),"")</f>
      </c>
      <c r="CS225" s="4">
        <f>IF((0=1),COUNT(C15:CS15),"")</f>
      </c>
      <c r="CT225" s="4">
        <f>IF((0=1),COUNT(C15:CT15),"")</f>
      </c>
      <c r="CU225" s="4">
        <f>IF((0=1),COUNT(C15:CU15),"")</f>
      </c>
      <c r="CV225" s="4">
        <f>IF((0=1),COUNT(C15:CV15),"")</f>
      </c>
      <c r="CW225" s="4">
        <f>IF((0=1),COUNT(C15:CW15),"")</f>
      </c>
      <c r="CX225" s="4">
        <f>IF((0=1),COUNT(C15:CX15),"")</f>
      </c>
    </row>
    <row r="226">
      <c r="A226" s="0" t="inlineStr">
        <is>
          <t xml:space="preserve">Evaluated days to date</t>
        </is>
      </c>
      <c r="B226" s="0" t="inlineStr">
        <is>
          <t xml:space="preserve">52-Week-High Anchoring</t>
        </is>
      </c>
      <c r="C226" s="4">
        <f>IF((1=1),COUNT(C16),"")</f>
        <v>1</v>
      </c>
      <c r="D226" s="4">
        <f>IF((0=1),COUNT(C16:D16),"")</f>
      </c>
      <c r="E226" s="4">
        <f>IF((0=1),COUNT(C16:E16),"")</f>
      </c>
      <c r="F226" s="4">
        <f>IF((0=1),COUNT(C16:F16),"")</f>
      </c>
      <c r="G226" s="4">
        <f>IF((0=1),COUNT(C16:G16),"")</f>
      </c>
      <c r="H226" s="4">
        <f>IF((0=1),COUNT(C16:H16),"")</f>
      </c>
      <c r="I226" s="4">
        <f>IF((0=1),COUNT(C16:I16),"")</f>
      </c>
      <c r="J226" s="4">
        <f>IF((0=1),COUNT(C16:J16),"")</f>
      </c>
      <c r="K226" s="4">
        <f>IF((0=1),COUNT(C16:K16),"")</f>
      </c>
      <c r="L226" s="4">
        <f>IF((0=1),COUNT(C16:L16),"")</f>
      </c>
      <c r="M226" s="4">
        <f>IF((0=1),COUNT(C16:M16),"")</f>
      </c>
      <c r="N226" s="4">
        <f>IF((0=1),COUNT(C16:N16),"")</f>
      </c>
      <c r="O226" s="4">
        <f>IF((0=1),COUNT(C16:O16),"")</f>
      </c>
      <c r="P226" s="4">
        <f>IF((0=1),COUNT(C16:P16),"")</f>
      </c>
      <c r="Q226" s="4">
        <f>IF((0=1),COUNT(C16:Q16),"")</f>
      </c>
      <c r="R226" s="4">
        <f>IF((0=1),COUNT(C16:R16),"")</f>
      </c>
      <c r="S226" s="4">
        <f>IF((0=1),COUNT(C16:S16),"")</f>
      </c>
      <c r="T226" s="4">
        <f>IF((0=1),COUNT(C16:T16),"")</f>
      </c>
      <c r="U226" s="4">
        <f>IF((0=1),COUNT(C16:U16),"")</f>
      </c>
      <c r="V226" s="4">
        <f>IF((0=1),COUNT(C16:V16),"")</f>
      </c>
      <c r="W226" s="4">
        <f>IF((0=1),COUNT(C16:W16),"")</f>
      </c>
      <c r="X226" s="4">
        <f>IF((0=1),COUNT(C16:X16),"")</f>
      </c>
      <c r="Y226" s="4">
        <f>IF((0=1),COUNT(C16:Y16),"")</f>
      </c>
      <c r="Z226" s="4">
        <f>IF((0=1),COUNT(C16:Z16),"")</f>
      </c>
      <c r="AA226" s="4">
        <f>IF((0=1),COUNT(C16:AA16),"")</f>
      </c>
      <c r="AB226" s="4">
        <f>IF((0=1),COUNT(C16:AB16),"")</f>
      </c>
      <c r="AC226" s="4">
        <f>IF((0=1),COUNT(C16:AC16),"")</f>
      </c>
      <c r="AD226" s="4">
        <f>IF((0=1),COUNT(C16:AD16),"")</f>
      </c>
      <c r="AE226" s="4">
        <f>IF((0=1),COUNT(C16:AE16),"")</f>
      </c>
      <c r="AF226" s="4">
        <f>IF((0=1),COUNT(C16:AF16),"")</f>
      </c>
      <c r="AG226" s="4">
        <f>IF((0=1),COUNT(C16:AG16),"")</f>
      </c>
      <c r="AH226" s="4">
        <f>IF((0=1),COUNT(C16:AH16),"")</f>
      </c>
      <c r="AI226" s="4">
        <f>IF((0=1),COUNT(C16:AI16),"")</f>
      </c>
      <c r="AJ226" s="4">
        <f>IF((0=1),COUNT(C16:AJ16),"")</f>
      </c>
      <c r="AK226" s="4">
        <f>IF((0=1),COUNT(C16:AK16),"")</f>
      </c>
      <c r="AL226" s="4">
        <f>IF((0=1),COUNT(C16:AL16),"")</f>
      </c>
      <c r="AM226" s="4">
        <f>IF((0=1),COUNT(C16:AM16),"")</f>
      </c>
      <c r="AN226" s="4">
        <f>IF((0=1),COUNT(C16:AN16),"")</f>
      </c>
      <c r="AO226" s="4">
        <f>IF((0=1),COUNT(C16:AO16),"")</f>
      </c>
      <c r="AP226" s="4">
        <f>IF((0=1),COUNT(C16:AP16),"")</f>
      </c>
      <c r="AQ226" s="4">
        <f>IF((0=1),COUNT(C16:AQ16),"")</f>
      </c>
      <c r="AR226" s="4">
        <f>IF((0=1),COUNT(C16:AR16),"")</f>
      </c>
      <c r="AS226" s="4">
        <f>IF((0=1),COUNT(C16:AS16),"")</f>
      </c>
      <c r="AT226" s="4">
        <f>IF((0=1),COUNT(C16:AT16),"")</f>
      </c>
      <c r="AU226" s="4">
        <f>IF((0=1),COUNT(C16:AU16),"")</f>
      </c>
      <c r="AV226" s="4">
        <f>IF((0=1),COUNT(C16:AV16),"")</f>
      </c>
      <c r="AW226" s="4">
        <f>IF((0=1),COUNT(C16:AW16),"")</f>
      </c>
      <c r="AX226" s="4">
        <f>IF((0=1),COUNT(C16:AX16),"")</f>
      </c>
      <c r="AY226" s="4">
        <f>IF((0=1),COUNT(C16:AY16),"")</f>
      </c>
      <c r="AZ226" s="4">
        <f>IF((0=1),COUNT(C16:AZ16),"")</f>
      </c>
      <c r="BA226" s="4">
        <f>IF((0=1),COUNT(C16:BA16),"")</f>
      </c>
      <c r="BB226" s="4">
        <f>IF((0=1),COUNT(C16:BB16),"")</f>
      </c>
      <c r="BC226" s="4">
        <f>IF((0=1),COUNT(C16:BC16),"")</f>
      </c>
      <c r="BD226" s="4">
        <f>IF((0=1),COUNT(C16:BD16),"")</f>
      </c>
      <c r="BE226" s="4">
        <f>IF((0=1),COUNT(C16:BE16),"")</f>
      </c>
      <c r="BF226" s="4">
        <f>IF((0=1),COUNT(C16:BF16),"")</f>
      </c>
      <c r="BG226" s="4">
        <f>IF((0=1),COUNT(C16:BG16),"")</f>
      </c>
      <c r="BH226" s="4">
        <f>IF((0=1),COUNT(C16:BH16),"")</f>
      </c>
      <c r="BI226" s="4">
        <f>IF((0=1),COUNT(C16:BI16),"")</f>
      </c>
      <c r="BJ226" s="4">
        <f>IF((0=1),COUNT(C16:BJ16),"")</f>
      </c>
      <c r="BK226" s="4">
        <f>IF((0=1),COUNT(C16:BK16),"")</f>
      </c>
      <c r="BL226" s="4">
        <f>IF((0=1),COUNT(C16:BL16),"")</f>
      </c>
      <c r="BM226" s="4">
        <f>IF((0=1),COUNT(C16:BM16),"")</f>
      </c>
      <c r="BN226" s="4">
        <f>IF((0=1),COUNT(C16:BN16),"")</f>
      </c>
      <c r="BO226" s="4">
        <f>IF((0=1),COUNT(C16:BO16),"")</f>
      </c>
      <c r="BP226" s="4">
        <f>IF((0=1),COUNT(C16:BP16),"")</f>
      </c>
      <c r="BQ226" s="4">
        <f>IF((0=1),COUNT(C16:BQ16),"")</f>
      </c>
      <c r="BR226" s="4">
        <f>IF((0=1),COUNT(C16:BR16),"")</f>
      </c>
      <c r="BS226" s="4">
        <f>IF((0=1),COUNT(C16:BS16),"")</f>
      </c>
      <c r="BT226" s="4">
        <f>IF((0=1),COUNT(C16:BT16),"")</f>
      </c>
      <c r="BU226" s="4">
        <f>IF((0=1),COUNT(C16:BU16),"")</f>
      </c>
      <c r="BV226" s="4">
        <f>IF((0=1),COUNT(C16:BV16),"")</f>
      </c>
      <c r="BW226" s="4">
        <f>IF((0=1),COUNT(C16:BW16),"")</f>
      </c>
      <c r="BX226" s="4">
        <f>IF((0=1),COUNT(C16:BX16),"")</f>
      </c>
      <c r="BY226" s="4">
        <f>IF((0=1),COUNT(C16:BY16),"")</f>
      </c>
      <c r="BZ226" s="4">
        <f>IF((0=1),COUNT(C16:BZ16),"")</f>
      </c>
      <c r="CA226" s="4">
        <f>IF((0=1),COUNT(C16:CA16),"")</f>
      </c>
      <c r="CB226" s="4">
        <f>IF((0=1),COUNT(C16:CB16),"")</f>
      </c>
      <c r="CC226" s="4">
        <f>IF((0=1),COUNT(C16:CC16),"")</f>
      </c>
      <c r="CD226" s="4">
        <f>IF((0=1),COUNT(C16:CD16),"")</f>
      </c>
      <c r="CE226" s="4">
        <f>IF((0=1),COUNT(C16:CE16),"")</f>
      </c>
      <c r="CF226" s="4">
        <f>IF((0=1),COUNT(C16:CF16),"")</f>
      </c>
      <c r="CG226" s="4">
        <f>IF((0=1),COUNT(C16:CG16),"")</f>
      </c>
      <c r="CH226" s="4">
        <f>IF((0=1),COUNT(C16:CH16),"")</f>
      </c>
      <c r="CI226" s="4">
        <f>IF((0=1),COUNT(C16:CI16),"")</f>
      </c>
      <c r="CJ226" s="4">
        <f>IF((0=1),COUNT(C16:CJ16),"")</f>
      </c>
      <c r="CK226" s="4">
        <f>IF((0=1),COUNT(C16:CK16),"")</f>
      </c>
      <c r="CL226" s="4">
        <f>IF((0=1),COUNT(C16:CL16),"")</f>
      </c>
      <c r="CM226" s="4">
        <f>IF((0=1),COUNT(C16:CM16),"")</f>
      </c>
      <c r="CN226" s="4">
        <f>IF((0=1),COUNT(C16:CN16),"")</f>
      </c>
      <c r="CO226" s="4">
        <f>IF((0=1),COUNT(C16:CO16),"")</f>
      </c>
      <c r="CP226" s="4">
        <f>IF((0=1),COUNT(C16:CP16),"")</f>
      </c>
      <c r="CQ226" s="4">
        <f>IF((0=1),COUNT(C16:CQ16),"")</f>
      </c>
      <c r="CR226" s="4">
        <f>IF((0=1),COUNT(C16:CR16),"")</f>
      </c>
      <c r="CS226" s="4">
        <f>IF((0=1),COUNT(C16:CS16),"")</f>
      </c>
      <c r="CT226" s="4">
        <f>IF((0=1),COUNT(C16:CT16),"")</f>
      </c>
      <c r="CU226" s="4">
        <f>IF((0=1),COUNT(C16:CU16),"")</f>
      </c>
      <c r="CV226" s="4">
        <f>IF((0=1),COUNT(C16:CV16),"")</f>
      </c>
      <c r="CW226" s="4">
        <f>IF((0=1),COUNT(C16:CW16),"")</f>
      </c>
      <c r="CX226" s="4">
        <f>IF((0=1),COUNT(C16:CX16),"")</f>
      </c>
    </row>
    <row r="227">
      <c r="A227" s="0" t="inlineStr">
        <is>
          <t xml:space="preserve">Evaluated days to date</t>
        </is>
      </c>
      <c r="B227" s="0" t="inlineStr">
        <is>
          <t xml:space="preserve">Random 1</t>
        </is>
      </c>
      <c r="C227" s="4">
        <f>IF((1=1),COUNT(C17),"")</f>
        <v>1</v>
      </c>
      <c r="D227" s="4">
        <f>IF((0=1),COUNT(C17:D17),"")</f>
      </c>
      <c r="E227" s="4">
        <f>IF((0=1),COUNT(C17:E17),"")</f>
      </c>
      <c r="F227" s="4">
        <f>IF((0=1),COUNT(C17:F17),"")</f>
      </c>
      <c r="G227" s="4">
        <f>IF((0=1),COUNT(C17:G17),"")</f>
      </c>
      <c r="H227" s="4">
        <f>IF((0=1),COUNT(C17:H17),"")</f>
      </c>
      <c r="I227" s="4">
        <f>IF((0=1),COUNT(C17:I17),"")</f>
      </c>
      <c r="J227" s="4">
        <f>IF((0=1),COUNT(C17:J17),"")</f>
      </c>
      <c r="K227" s="4">
        <f>IF((0=1),COUNT(C17:K17),"")</f>
      </c>
      <c r="L227" s="4">
        <f>IF((0=1),COUNT(C17:L17),"")</f>
      </c>
      <c r="M227" s="4">
        <f>IF((0=1),COUNT(C17:M17),"")</f>
      </c>
      <c r="N227" s="4">
        <f>IF((0=1),COUNT(C17:N17),"")</f>
      </c>
      <c r="O227" s="4">
        <f>IF((0=1),COUNT(C17:O17),"")</f>
      </c>
      <c r="P227" s="4">
        <f>IF((0=1),COUNT(C17:P17),"")</f>
      </c>
      <c r="Q227" s="4">
        <f>IF((0=1),COUNT(C17:Q17),"")</f>
      </c>
      <c r="R227" s="4">
        <f>IF((0=1),COUNT(C17:R17),"")</f>
      </c>
      <c r="S227" s="4">
        <f>IF((0=1),COUNT(C17:S17),"")</f>
      </c>
      <c r="T227" s="4">
        <f>IF((0=1),COUNT(C17:T17),"")</f>
      </c>
      <c r="U227" s="4">
        <f>IF((0=1),COUNT(C17:U17),"")</f>
      </c>
      <c r="V227" s="4">
        <f>IF((0=1),COUNT(C17:V17),"")</f>
      </c>
      <c r="W227" s="4">
        <f>IF((0=1),COUNT(C17:W17),"")</f>
      </c>
      <c r="X227" s="4">
        <f>IF((0=1),COUNT(C17:X17),"")</f>
      </c>
      <c r="Y227" s="4">
        <f>IF((0=1),COUNT(C17:Y17),"")</f>
      </c>
      <c r="Z227" s="4">
        <f>IF((0=1),COUNT(C17:Z17),"")</f>
      </c>
      <c r="AA227" s="4">
        <f>IF((0=1),COUNT(C17:AA17),"")</f>
      </c>
      <c r="AB227" s="4">
        <f>IF((0=1),COUNT(C17:AB17),"")</f>
      </c>
      <c r="AC227" s="4">
        <f>IF((0=1),COUNT(C17:AC17),"")</f>
      </c>
      <c r="AD227" s="4">
        <f>IF((0=1),COUNT(C17:AD17),"")</f>
      </c>
      <c r="AE227" s="4">
        <f>IF((0=1),COUNT(C17:AE17),"")</f>
      </c>
      <c r="AF227" s="4">
        <f>IF((0=1),COUNT(C17:AF17),"")</f>
      </c>
      <c r="AG227" s="4">
        <f>IF((0=1),COUNT(C17:AG17),"")</f>
      </c>
      <c r="AH227" s="4">
        <f>IF((0=1),COUNT(C17:AH17),"")</f>
      </c>
      <c r="AI227" s="4">
        <f>IF((0=1),COUNT(C17:AI17),"")</f>
      </c>
      <c r="AJ227" s="4">
        <f>IF((0=1),COUNT(C17:AJ17),"")</f>
      </c>
      <c r="AK227" s="4">
        <f>IF((0=1),COUNT(C17:AK17),"")</f>
      </c>
      <c r="AL227" s="4">
        <f>IF((0=1),COUNT(C17:AL17),"")</f>
      </c>
      <c r="AM227" s="4">
        <f>IF((0=1),COUNT(C17:AM17),"")</f>
      </c>
      <c r="AN227" s="4">
        <f>IF((0=1),COUNT(C17:AN17),"")</f>
      </c>
      <c r="AO227" s="4">
        <f>IF((0=1),COUNT(C17:AO17),"")</f>
      </c>
      <c r="AP227" s="4">
        <f>IF((0=1),COUNT(C17:AP17),"")</f>
      </c>
      <c r="AQ227" s="4">
        <f>IF((0=1),COUNT(C17:AQ17),"")</f>
      </c>
      <c r="AR227" s="4">
        <f>IF((0=1),COUNT(C17:AR17),"")</f>
      </c>
      <c r="AS227" s="4">
        <f>IF((0=1),COUNT(C17:AS17),"")</f>
      </c>
      <c r="AT227" s="4">
        <f>IF((0=1),COUNT(C17:AT17),"")</f>
      </c>
      <c r="AU227" s="4">
        <f>IF((0=1),COUNT(C17:AU17),"")</f>
      </c>
      <c r="AV227" s="4">
        <f>IF((0=1),COUNT(C17:AV17),"")</f>
      </c>
      <c r="AW227" s="4">
        <f>IF((0=1),COUNT(C17:AW17),"")</f>
      </c>
      <c r="AX227" s="4">
        <f>IF((0=1),COUNT(C17:AX17),"")</f>
      </c>
      <c r="AY227" s="4">
        <f>IF((0=1),COUNT(C17:AY17),"")</f>
      </c>
      <c r="AZ227" s="4">
        <f>IF((0=1),COUNT(C17:AZ17),"")</f>
      </c>
      <c r="BA227" s="4">
        <f>IF((0=1),COUNT(C17:BA17),"")</f>
      </c>
      <c r="BB227" s="4">
        <f>IF((0=1),COUNT(C17:BB17),"")</f>
      </c>
      <c r="BC227" s="4">
        <f>IF((0=1),COUNT(C17:BC17),"")</f>
      </c>
      <c r="BD227" s="4">
        <f>IF((0=1),COUNT(C17:BD17),"")</f>
      </c>
      <c r="BE227" s="4">
        <f>IF((0=1),COUNT(C17:BE17),"")</f>
      </c>
      <c r="BF227" s="4">
        <f>IF((0=1),COUNT(C17:BF17),"")</f>
      </c>
      <c r="BG227" s="4">
        <f>IF((0=1),COUNT(C17:BG17),"")</f>
      </c>
      <c r="BH227" s="4">
        <f>IF((0=1),COUNT(C17:BH17),"")</f>
      </c>
      <c r="BI227" s="4">
        <f>IF((0=1),COUNT(C17:BI17),"")</f>
      </c>
      <c r="BJ227" s="4">
        <f>IF((0=1),COUNT(C17:BJ17),"")</f>
      </c>
      <c r="BK227" s="4">
        <f>IF((0=1),COUNT(C17:BK17),"")</f>
      </c>
      <c r="BL227" s="4">
        <f>IF((0=1),COUNT(C17:BL17),"")</f>
      </c>
      <c r="BM227" s="4">
        <f>IF((0=1),COUNT(C17:BM17),"")</f>
      </c>
      <c r="BN227" s="4">
        <f>IF((0=1),COUNT(C17:BN17),"")</f>
      </c>
      <c r="BO227" s="4">
        <f>IF((0=1),COUNT(C17:BO17),"")</f>
      </c>
      <c r="BP227" s="4">
        <f>IF((0=1),COUNT(C17:BP17),"")</f>
      </c>
      <c r="BQ227" s="4">
        <f>IF((0=1),COUNT(C17:BQ17),"")</f>
      </c>
      <c r="BR227" s="4">
        <f>IF((0=1),COUNT(C17:BR17),"")</f>
      </c>
      <c r="BS227" s="4">
        <f>IF((0=1),COUNT(C17:BS17),"")</f>
      </c>
      <c r="BT227" s="4">
        <f>IF((0=1),COUNT(C17:BT17),"")</f>
      </c>
      <c r="BU227" s="4">
        <f>IF((0=1),COUNT(C17:BU17),"")</f>
      </c>
      <c r="BV227" s="4">
        <f>IF((0=1),COUNT(C17:BV17),"")</f>
      </c>
      <c r="BW227" s="4">
        <f>IF((0=1),COUNT(C17:BW17),"")</f>
      </c>
      <c r="BX227" s="4">
        <f>IF((0=1),COUNT(C17:BX17),"")</f>
      </c>
      <c r="BY227" s="4">
        <f>IF((0=1),COUNT(C17:BY17),"")</f>
      </c>
      <c r="BZ227" s="4">
        <f>IF((0=1),COUNT(C17:BZ17),"")</f>
      </c>
      <c r="CA227" s="4">
        <f>IF((0=1),COUNT(C17:CA17),"")</f>
      </c>
      <c r="CB227" s="4">
        <f>IF((0=1),COUNT(C17:CB17),"")</f>
      </c>
      <c r="CC227" s="4">
        <f>IF((0=1),COUNT(C17:CC17),"")</f>
      </c>
      <c r="CD227" s="4">
        <f>IF((0=1),COUNT(C17:CD17),"")</f>
      </c>
      <c r="CE227" s="4">
        <f>IF((0=1),COUNT(C17:CE17),"")</f>
      </c>
      <c r="CF227" s="4">
        <f>IF((0=1),COUNT(C17:CF17),"")</f>
      </c>
      <c r="CG227" s="4">
        <f>IF((0=1),COUNT(C17:CG17),"")</f>
      </c>
      <c r="CH227" s="4">
        <f>IF((0=1),COUNT(C17:CH17),"")</f>
      </c>
      <c r="CI227" s="4">
        <f>IF((0=1),COUNT(C17:CI17),"")</f>
      </c>
      <c r="CJ227" s="4">
        <f>IF((0=1),COUNT(C17:CJ17),"")</f>
      </c>
      <c r="CK227" s="4">
        <f>IF((0=1),COUNT(C17:CK17),"")</f>
      </c>
      <c r="CL227" s="4">
        <f>IF((0=1),COUNT(C17:CL17),"")</f>
      </c>
      <c r="CM227" s="4">
        <f>IF((0=1),COUNT(C17:CM17),"")</f>
      </c>
      <c r="CN227" s="4">
        <f>IF((0=1),COUNT(C17:CN17),"")</f>
      </c>
      <c r="CO227" s="4">
        <f>IF((0=1),COUNT(C17:CO17),"")</f>
      </c>
      <c r="CP227" s="4">
        <f>IF((0=1),COUNT(C17:CP17),"")</f>
      </c>
      <c r="CQ227" s="4">
        <f>IF((0=1),COUNT(C17:CQ17),"")</f>
      </c>
      <c r="CR227" s="4">
        <f>IF((0=1),COUNT(C17:CR17),"")</f>
      </c>
      <c r="CS227" s="4">
        <f>IF((0=1),COUNT(C17:CS17),"")</f>
      </c>
      <c r="CT227" s="4">
        <f>IF((0=1),COUNT(C17:CT17),"")</f>
      </c>
      <c r="CU227" s="4">
        <f>IF((0=1),COUNT(C17:CU17),"")</f>
      </c>
      <c r="CV227" s="4">
        <f>IF((0=1),COUNT(C17:CV17),"")</f>
      </c>
      <c r="CW227" s="4">
        <f>IF((0=1),COUNT(C17:CW17),"")</f>
      </c>
      <c r="CX227" s="4">
        <f>IF((0=1),COUNT(C17:CX17),"")</f>
      </c>
    </row>
    <row r="228">
      <c r="A228" s="0" t="inlineStr">
        <is>
          <t xml:space="preserve">Evaluated days to date</t>
        </is>
      </c>
      <c r="B228" s="0" t="inlineStr">
        <is>
          <t xml:space="preserve">Random 2</t>
        </is>
      </c>
      <c r="C228" s="4">
        <f>IF((1=1),COUNT(C18),"")</f>
        <v>1</v>
      </c>
      <c r="D228" s="4">
        <f>IF((0=1),COUNT(C18:D18),"")</f>
      </c>
      <c r="E228" s="4">
        <f>IF((0=1),COUNT(C18:E18),"")</f>
      </c>
      <c r="F228" s="4">
        <f>IF((0=1),COUNT(C18:F18),"")</f>
      </c>
      <c r="G228" s="4">
        <f>IF((0=1),COUNT(C18:G18),"")</f>
      </c>
      <c r="H228" s="4">
        <f>IF((0=1),COUNT(C18:H18),"")</f>
      </c>
      <c r="I228" s="4">
        <f>IF((0=1),COUNT(C18:I18),"")</f>
      </c>
      <c r="J228" s="4">
        <f>IF((0=1),COUNT(C18:J18),"")</f>
      </c>
      <c r="K228" s="4">
        <f>IF((0=1),COUNT(C18:K18),"")</f>
      </c>
      <c r="L228" s="4">
        <f>IF((0=1),COUNT(C18:L18),"")</f>
      </c>
      <c r="M228" s="4">
        <f>IF((0=1),COUNT(C18:M18),"")</f>
      </c>
      <c r="N228" s="4">
        <f>IF((0=1),COUNT(C18:N18),"")</f>
      </c>
      <c r="O228" s="4">
        <f>IF((0=1),COUNT(C18:O18),"")</f>
      </c>
      <c r="P228" s="4">
        <f>IF((0=1),COUNT(C18:P18),"")</f>
      </c>
      <c r="Q228" s="4">
        <f>IF((0=1),COUNT(C18:Q18),"")</f>
      </c>
      <c r="R228" s="4">
        <f>IF((0=1),COUNT(C18:R18),"")</f>
      </c>
      <c r="S228" s="4">
        <f>IF((0=1),COUNT(C18:S18),"")</f>
      </c>
      <c r="T228" s="4">
        <f>IF((0=1),COUNT(C18:T18),"")</f>
      </c>
      <c r="U228" s="4">
        <f>IF((0=1),COUNT(C18:U18),"")</f>
      </c>
      <c r="V228" s="4">
        <f>IF((0=1),COUNT(C18:V18),"")</f>
      </c>
      <c r="W228" s="4">
        <f>IF((0=1),COUNT(C18:W18),"")</f>
      </c>
      <c r="X228" s="4">
        <f>IF((0=1),COUNT(C18:X18),"")</f>
      </c>
      <c r="Y228" s="4">
        <f>IF((0=1),COUNT(C18:Y18),"")</f>
      </c>
      <c r="Z228" s="4">
        <f>IF((0=1),COUNT(C18:Z18),"")</f>
      </c>
      <c r="AA228" s="4">
        <f>IF((0=1),COUNT(C18:AA18),"")</f>
      </c>
      <c r="AB228" s="4">
        <f>IF((0=1),COUNT(C18:AB18),"")</f>
      </c>
      <c r="AC228" s="4">
        <f>IF((0=1),COUNT(C18:AC18),"")</f>
      </c>
      <c r="AD228" s="4">
        <f>IF((0=1),COUNT(C18:AD18),"")</f>
      </c>
      <c r="AE228" s="4">
        <f>IF((0=1),COUNT(C18:AE18),"")</f>
      </c>
      <c r="AF228" s="4">
        <f>IF((0=1),COUNT(C18:AF18),"")</f>
      </c>
      <c r="AG228" s="4">
        <f>IF((0=1),COUNT(C18:AG18),"")</f>
      </c>
      <c r="AH228" s="4">
        <f>IF((0=1),COUNT(C18:AH18),"")</f>
      </c>
      <c r="AI228" s="4">
        <f>IF((0=1),COUNT(C18:AI18),"")</f>
      </c>
      <c r="AJ228" s="4">
        <f>IF((0=1),COUNT(C18:AJ18),"")</f>
      </c>
      <c r="AK228" s="4">
        <f>IF((0=1),COUNT(C18:AK18),"")</f>
      </c>
      <c r="AL228" s="4">
        <f>IF((0=1),COUNT(C18:AL18),"")</f>
      </c>
      <c r="AM228" s="4">
        <f>IF((0=1),COUNT(C18:AM18),"")</f>
      </c>
      <c r="AN228" s="4">
        <f>IF((0=1),COUNT(C18:AN18),"")</f>
      </c>
      <c r="AO228" s="4">
        <f>IF((0=1),COUNT(C18:AO18),"")</f>
      </c>
      <c r="AP228" s="4">
        <f>IF((0=1),COUNT(C18:AP18),"")</f>
      </c>
      <c r="AQ228" s="4">
        <f>IF((0=1),COUNT(C18:AQ18),"")</f>
      </c>
      <c r="AR228" s="4">
        <f>IF((0=1),COUNT(C18:AR18),"")</f>
      </c>
      <c r="AS228" s="4">
        <f>IF((0=1),COUNT(C18:AS18),"")</f>
      </c>
      <c r="AT228" s="4">
        <f>IF((0=1),COUNT(C18:AT18),"")</f>
      </c>
      <c r="AU228" s="4">
        <f>IF((0=1),COUNT(C18:AU18),"")</f>
      </c>
      <c r="AV228" s="4">
        <f>IF((0=1),COUNT(C18:AV18),"")</f>
      </c>
      <c r="AW228" s="4">
        <f>IF((0=1),COUNT(C18:AW18),"")</f>
      </c>
      <c r="AX228" s="4">
        <f>IF((0=1),COUNT(C18:AX18),"")</f>
      </c>
      <c r="AY228" s="4">
        <f>IF((0=1),COUNT(C18:AY18),"")</f>
      </c>
      <c r="AZ228" s="4">
        <f>IF((0=1),COUNT(C18:AZ18),"")</f>
      </c>
      <c r="BA228" s="4">
        <f>IF((0=1),COUNT(C18:BA18),"")</f>
      </c>
      <c r="BB228" s="4">
        <f>IF((0=1),COUNT(C18:BB18),"")</f>
      </c>
      <c r="BC228" s="4">
        <f>IF((0=1),COUNT(C18:BC18),"")</f>
      </c>
      <c r="BD228" s="4">
        <f>IF((0=1),COUNT(C18:BD18),"")</f>
      </c>
      <c r="BE228" s="4">
        <f>IF((0=1),COUNT(C18:BE18),"")</f>
      </c>
      <c r="BF228" s="4">
        <f>IF((0=1),COUNT(C18:BF18),"")</f>
      </c>
      <c r="BG228" s="4">
        <f>IF((0=1),COUNT(C18:BG18),"")</f>
      </c>
      <c r="BH228" s="4">
        <f>IF((0=1),COUNT(C18:BH18),"")</f>
      </c>
      <c r="BI228" s="4">
        <f>IF((0=1),COUNT(C18:BI18),"")</f>
      </c>
      <c r="BJ228" s="4">
        <f>IF((0=1),COUNT(C18:BJ18),"")</f>
      </c>
      <c r="BK228" s="4">
        <f>IF((0=1),COUNT(C18:BK18),"")</f>
      </c>
      <c r="BL228" s="4">
        <f>IF((0=1),COUNT(C18:BL18),"")</f>
      </c>
      <c r="BM228" s="4">
        <f>IF((0=1),COUNT(C18:BM18),"")</f>
      </c>
      <c r="BN228" s="4">
        <f>IF((0=1),COUNT(C18:BN18),"")</f>
      </c>
      <c r="BO228" s="4">
        <f>IF((0=1),COUNT(C18:BO18),"")</f>
      </c>
      <c r="BP228" s="4">
        <f>IF((0=1),COUNT(C18:BP18),"")</f>
      </c>
      <c r="BQ228" s="4">
        <f>IF((0=1),COUNT(C18:BQ18),"")</f>
      </c>
      <c r="BR228" s="4">
        <f>IF((0=1),COUNT(C18:BR18),"")</f>
      </c>
      <c r="BS228" s="4">
        <f>IF((0=1),COUNT(C18:BS18),"")</f>
      </c>
      <c r="BT228" s="4">
        <f>IF((0=1),COUNT(C18:BT18),"")</f>
      </c>
      <c r="BU228" s="4">
        <f>IF((0=1),COUNT(C18:BU18),"")</f>
      </c>
      <c r="BV228" s="4">
        <f>IF((0=1),COUNT(C18:BV18),"")</f>
      </c>
      <c r="BW228" s="4">
        <f>IF((0=1),COUNT(C18:BW18),"")</f>
      </c>
      <c r="BX228" s="4">
        <f>IF((0=1),COUNT(C18:BX18),"")</f>
      </c>
      <c r="BY228" s="4">
        <f>IF((0=1),COUNT(C18:BY18),"")</f>
      </c>
      <c r="BZ228" s="4">
        <f>IF((0=1),COUNT(C18:BZ18),"")</f>
      </c>
      <c r="CA228" s="4">
        <f>IF((0=1),COUNT(C18:CA18),"")</f>
      </c>
      <c r="CB228" s="4">
        <f>IF((0=1),COUNT(C18:CB18),"")</f>
      </c>
      <c r="CC228" s="4">
        <f>IF((0=1),COUNT(C18:CC18),"")</f>
      </c>
      <c r="CD228" s="4">
        <f>IF((0=1),COUNT(C18:CD18),"")</f>
      </c>
      <c r="CE228" s="4">
        <f>IF((0=1),COUNT(C18:CE18),"")</f>
      </c>
      <c r="CF228" s="4">
        <f>IF((0=1),COUNT(C18:CF18),"")</f>
      </c>
      <c r="CG228" s="4">
        <f>IF((0=1),COUNT(C18:CG18),"")</f>
      </c>
      <c r="CH228" s="4">
        <f>IF((0=1),COUNT(C18:CH18),"")</f>
      </c>
      <c r="CI228" s="4">
        <f>IF((0=1),COUNT(C18:CI18),"")</f>
      </c>
      <c r="CJ228" s="4">
        <f>IF((0=1),COUNT(C18:CJ18),"")</f>
      </c>
      <c r="CK228" s="4">
        <f>IF((0=1),COUNT(C18:CK18),"")</f>
      </c>
      <c r="CL228" s="4">
        <f>IF((0=1),COUNT(C18:CL18),"")</f>
      </c>
      <c r="CM228" s="4">
        <f>IF((0=1),COUNT(C18:CM18),"")</f>
      </c>
      <c r="CN228" s="4">
        <f>IF((0=1),COUNT(C18:CN18),"")</f>
      </c>
      <c r="CO228" s="4">
        <f>IF((0=1),COUNT(C18:CO18),"")</f>
      </c>
      <c r="CP228" s="4">
        <f>IF((0=1),COUNT(C18:CP18),"")</f>
      </c>
      <c r="CQ228" s="4">
        <f>IF((0=1),COUNT(C18:CQ18),"")</f>
      </c>
      <c r="CR228" s="4">
        <f>IF((0=1),COUNT(C18:CR18),"")</f>
      </c>
      <c r="CS228" s="4">
        <f>IF((0=1),COUNT(C18:CS18),"")</f>
      </c>
      <c r="CT228" s="4">
        <f>IF((0=1),COUNT(C18:CT18),"")</f>
      </c>
      <c r="CU228" s="4">
        <f>IF((0=1),COUNT(C18:CU18),"")</f>
      </c>
      <c r="CV228" s="4">
        <f>IF((0=1),COUNT(C18:CV18),"")</f>
      </c>
      <c r="CW228" s="4">
        <f>IF((0=1),COUNT(C18:CW18),"")</f>
      </c>
      <c r="CX228" s="4">
        <f>IF((0=1),COUNT(C18:CX18),"")</f>
      </c>
    </row>
    <row r="229">
      <c r="A229" s="0" t="inlineStr">
        <is>
          <t xml:space="preserve">Evaluated days to date</t>
        </is>
      </c>
      <c r="B229" s="0" t="inlineStr">
        <is>
          <t xml:space="preserve">Random 3</t>
        </is>
      </c>
      <c r="C229" s="4">
        <f>IF((1=1),COUNT(C19),"")</f>
        <v>1</v>
      </c>
      <c r="D229" s="4">
        <f>IF((0=1),COUNT(C19:D19),"")</f>
      </c>
      <c r="E229" s="4">
        <f>IF((0=1),COUNT(C19:E19),"")</f>
      </c>
      <c r="F229" s="4">
        <f>IF((0=1),COUNT(C19:F19),"")</f>
      </c>
      <c r="G229" s="4">
        <f>IF((0=1),COUNT(C19:G19),"")</f>
      </c>
      <c r="H229" s="4">
        <f>IF((0=1),COUNT(C19:H19),"")</f>
      </c>
      <c r="I229" s="4">
        <f>IF((0=1),COUNT(C19:I19),"")</f>
      </c>
      <c r="J229" s="4">
        <f>IF((0=1),COUNT(C19:J19),"")</f>
      </c>
      <c r="K229" s="4">
        <f>IF((0=1),COUNT(C19:K19),"")</f>
      </c>
      <c r="L229" s="4">
        <f>IF((0=1),COUNT(C19:L19),"")</f>
      </c>
      <c r="M229" s="4">
        <f>IF((0=1),COUNT(C19:M19),"")</f>
      </c>
      <c r="N229" s="4">
        <f>IF((0=1),COUNT(C19:N19),"")</f>
      </c>
      <c r="O229" s="4">
        <f>IF((0=1),COUNT(C19:O19),"")</f>
      </c>
      <c r="P229" s="4">
        <f>IF((0=1),COUNT(C19:P19),"")</f>
      </c>
      <c r="Q229" s="4">
        <f>IF((0=1),COUNT(C19:Q19),"")</f>
      </c>
      <c r="R229" s="4">
        <f>IF((0=1),COUNT(C19:R19),"")</f>
      </c>
      <c r="S229" s="4">
        <f>IF((0=1),COUNT(C19:S19),"")</f>
      </c>
      <c r="T229" s="4">
        <f>IF((0=1),COUNT(C19:T19),"")</f>
      </c>
      <c r="U229" s="4">
        <f>IF((0=1),COUNT(C19:U19),"")</f>
      </c>
      <c r="V229" s="4">
        <f>IF((0=1),COUNT(C19:V19),"")</f>
      </c>
      <c r="W229" s="4">
        <f>IF((0=1),COUNT(C19:W19),"")</f>
      </c>
      <c r="X229" s="4">
        <f>IF((0=1),COUNT(C19:X19),"")</f>
      </c>
      <c r="Y229" s="4">
        <f>IF((0=1),COUNT(C19:Y19),"")</f>
      </c>
      <c r="Z229" s="4">
        <f>IF((0=1),COUNT(C19:Z19),"")</f>
      </c>
      <c r="AA229" s="4">
        <f>IF((0=1),COUNT(C19:AA19),"")</f>
      </c>
      <c r="AB229" s="4">
        <f>IF((0=1),COUNT(C19:AB19),"")</f>
      </c>
      <c r="AC229" s="4">
        <f>IF((0=1),COUNT(C19:AC19),"")</f>
      </c>
      <c r="AD229" s="4">
        <f>IF((0=1),COUNT(C19:AD19),"")</f>
      </c>
      <c r="AE229" s="4">
        <f>IF((0=1),COUNT(C19:AE19),"")</f>
      </c>
      <c r="AF229" s="4">
        <f>IF((0=1),COUNT(C19:AF19),"")</f>
      </c>
      <c r="AG229" s="4">
        <f>IF((0=1),COUNT(C19:AG19),"")</f>
      </c>
      <c r="AH229" s="4">
        <f>IF((0=1),COUNT(C19:AH19),"")</f>
      </c>
      <c r="AI229" s="4">
        <f>IF((0=1),COUNT(C19:AI19),"")</f>
      </c>
      <c r="AJ229" s="4">
        <f>IF((0=1),COUNT(C19:AJ19),"")</f>
      </c>
      <c r="AK229" s="4">
        <f>IF((0=1),COUNT(C19:AK19),"")</f>
      </c>
      <c r="AL229" s="4">
        <f>IF((0=1),COUNT(C19:AL19),"")</f>
      </c>
      <c r="AM229" s="4">
        <f>IF((0=1),COUNT(C19:AM19),"")</f>
      </c>
      <c r="AN229" s="4">
        <f>IF((0=1),COUNT(C19:AN19),"")</f>
      </c>
      <c r="AO229" s="4">
        <f>IF((0=1),COUNT(C19:AO19),"")</f>
      </c>
      <c r="AP229" s="4">
        <f>IF((0=1),COUNT(C19:AP19),"")</f>
      </c>
      <c r="AQ229" s="4">
        <f>IF((0=1),COUNT(C19:AQ19),"")</f>
      </c>
      <c r="AR229" s="4">
        <f>IF((0=1),COUNT(C19:AR19),"")</f>
      </c>
      <c r="AS229" s="4">
        <f>IF((0=1),COUNT(C19:AS19),"")</f>
      </c>
      <c r="AT229" s="4">
        <f>IF((0=1),COUNT(C19:AT19),"")</f>
      </c>
      <c r="AU229" s="4">
        <f>IF((0=1),COUNT(C19:AU19),"")</f>
      </c>
      <c r="AV229" s="4">
        <f>IF((0=1),COUNT(C19:AV19),"")</f>
      </c>
      <c r="AW229" s="4">
        <f>IF((0=1),COUNT(C19:AW19),"")</f>
      </c>
      <c r="AX229" s="4">
        <f>IF((0=1),COUNT(C19:AX19),"")</f>
      </c>
      <c r="AY229" s="4">
        <f>IF((0=1),COUNT(C19:AY19),"")</f>
      </c>
      <c r="AZ229" s="4">
        <f>IF((0=1),COUNT(C19:AZ19),"")</f>
      </c>
      <c r="BA229" s="4">
        <f>IF((0=1),COUNT(C19:BA19),"")</f>
      </c>
      <c r="BB229" s="4">
        <f>IF((0=1),COUNT(C19:BB19),"")</f>
      </c>
      <c r="BC229" s="4">
        <f>IF((0=1),COUNT(C19:BC19),"")</f>
      </c>
      <c r="BD229" s="4">
        <f>IF((0=1),COUNT(C19:BD19),"")</f>
      </c>
      <c r="BE229" s="4">
        <f>IF((0=1),COUNT(C19:BE19),"")</f>
      </c>
      <c r="BF229" s="4">
        <f>IF((0=1),COUNT(C19:BF19),"")</f>
      </c>
      <c r="BG229" s="4">
        <f>IF((0=1),COUNT(C19:BG19),"")</f>
      </c>
      <c r="BH229" s="4">
        <f>IF((0=1),COUNT(C19:BH19),"")</f>
      </c>
      <c r="BI229" s="4">
        <f>IF((0=1),COUNT(C19:BI19),"")</f>
      </c>
      <c r="BJ229" s="4">
        <f>IF((0=1),COUNT(C19:BJ19),"")</f>
      </c>
      <c r="BK229" s="4">
        <f>IF((0=1),COUNT(C19:BK19),"")</f>
      </c>
      <c r="BL229" s="4">
        <f>IF((0=1),COUNT(C19:BL19),"")</f>
      </c>
      <c r="BM229" s="4">
        <f>IF((0=1),COUNT(C19:BM19),"")</f>
      </c>
      <c r="BN229" s="4">
        <f>IF((0=1),COUNT(C19:BN19),"")</f>
      </c>
      <c r="BO229" s="4">
        <f>IF((0=1),COUNT(C19:BO19),"")</f>
      </c>
      <c r="BP229" s="4">
        <f>IF((0=1),COUNT(C19:BP19),"")</f>
      </c>
      <c r="BQ229" s="4">
        <f>IF((0=1),COUNT(C19:BQ19),"")</f>
      </c>
      <c r="BR229" s="4">
        <f>IF((0=1),COUNT(C19:BR19),"")</f>
      </c>
      <c r="BS229" s="4">
        <f>IF((0=1),COUNT(C19:BS19),"")</f>
      </c>
      <c r="BT229" s="4">
        <f>IF((0=1),COUNT(C19:BT19),"")</f>
      </c>
      <c r="BU229" s="4">
        <f>IF((0=1),COUNT(C19:BU19),"")</f>
      </c>
      <c r="BV229" s="4">
        <f>IF((0=1),COUNT(C19:BV19),"")</f>
      </c>
      <c r="BW229" s="4">
        <f>IF((0=1),COUNT(C19:BW19),"")</f>
      </c>
      <c r="BX229" s="4">
        <f>IF((0=1),COUNT(C19:BX19),"")</f>
      </c>
      <c r="BY229" s="4">
        <f>IF((0=1),COUNT(C19:BY19),"")</f>
      </c>
      <c r="BZ229" s="4">
        <f>IF((0=1),COUNT(C19:BZ19),"")</f>
      </c>
      <c r="CA229" s="4">
        <f>IF((0=1),COUNT(C19:CA19),"")</f>
      </c>
      <c r="CB229" s="4">
        <f>IF((0=1),COUNT(C19:CB19),"")</f>
      </c>
      <c r="CC229" s="4">
        <f>IF((0=1),COUNT(C19:CC19),"")</f>
      </c>
      <c r="CD229" s="4">
        <f>IF((0=1),COUNT(C19:CD19),"")</f>
      </c>
      <c r="CE229" s="4">
        <f>IF((0=1),COUNT(C19:CE19),"")</f>
      </c>
      <c r="CF229" s="4">
        <f>IF((0=1),COUNT(C19:CF19),"")</f>
      </c>
      <c r="CG229" s="4">
        <f>IF((0=1),COUNT(C19:CG19),"")</f>
      </c>
      <c r="CH229" s="4">
        <f>IF((0=1),COUNT(C19:CH19),"")</f>
      </c>
      <c r="CI229" s="4">
        <f>IF((0=1),COUNT(C19:CI19),"")</f>
      </c>
      <c r="CJ229" s="4">
        <f>IF((0=1),COUNT(C19:CJ19),"")</f>
      </c>
      <c r="CK229" s="4">
        <f>IF((0=1),COUNT(C19:CK19),"")</f>
      </c>
      <c r="CL229" s="4">
        <f>IF((0=1),COUNT(C19:CL19),"")</f>
      </c>
      <c r="CM229" s="4">
        <f>IF((0=1),COUNT(C19:CM19),"")</f>
      </c>
      <c r="CN229" s="4">
        <f>IF((0=1),COUNT(C19:CN19),"")</f>
      </c>
      <c r="CO229" s="4">
        <f>IF((0=1),COUNT(C19:CO19),"")</f>
      </c>
      <c r="CP229" s="4">
        <f>IF((0=1),COUNT(C19:CP19),"")</f>
      </c>
      <c r="CQ229" s="4">
        <f>IF((0=1),COUNT(C19:CQ19),"")</f>
      </c>
      <c r="CR229" s="4">
        <f>IF((0=1),COUNT(C19:CR19),"")</f>
      </c>
      <c r="CS229" s="4">
        <f>IF((0=1),COUNT(C19:CS19),"")</f>
      </c>
      <c r="CT229" s="4">
        <f>IF((0=1),COUNT(C19:CT19),"")</f>
      </c>
      <c r="CU229" s="4">
        <f>IF((0=1),COUNT(C19:CU19),"")</f>
      </c>
      <c r="CV229" s="4">
        <f>IF((0=1),COUNT(C19:CV19),"")</f>
      </c>
      <c r="CW229" s="4">
        <f>IF((0=1),COUNT(C19:CW19),"")</f>
      </c>
      <c r="CX229" s="4">
        <f>IF((0=1),COUNT(C19:CX19),"")</f>
      </c>
    </row>
    <row r="230">
      <c r="A230" s="0" t="inlineStr">
        <is>
          <t xml:space="preserve">Evaluated days to date</t>
        </is>
      </c>
      <c r="B230" s="0" t="inlineStr">
        <is>
          <t xml:space="preserve">Random 4</t>
        </is>
      </c>
      <c r="C230" s="4">
        <f>IF((1=1),COUNT(C20),"")</f>
        <v>1</v>
      </c>
      <c r="D230" s="4">
        <f>IF((0=1),COUNT(C20:D20),"")</f>
      </c>
      <c r="E230" s="4">
        <f>IF((0=1),COUNT(C20:E20),"")</f>
      </c>
      <c r="F230" s="4">
        <f>IF((0=1),COUNT(C20:F20),"")</f>
      </c>
      <c r="G230" s="4">
        <f>IF((0=1),COUNT(C20:G20),"")</f>
      </c>
      <c r="H230" s="4">
        <f>IF((0=1),COUNT(C20:H20),"")</f>
      </c>
      <c r="I230" s="4">
        <f>IF((0=1),COUNT(C20:I20),"")</f>
      </c>
      <c r="J230" s="4">
        <f>IF((0=1),COUNT(C20:J20),"")</f>
      </c>
      <c r="K230" s="4">
        <f>IF((0=1),COUNT(C20:K20),"")</f>
      </c>
      <c r="L230" s="4">
        <f>IF((0=1),COUNT(C20:L20),"")</f>
      </c>
      <c r="M230" s="4">
        <f>IF((0=1),COUNT(C20:M20),"")</f>
      </c>
      <c r="N230" s="4">
        <f>IF((0=1),COUNT(C20:N20),"")</f>
      </c>
      <c r="O230" s="4">
        <f>IF((0=1),COUNT(C20:O20),"")</f>
      </c>
      <c r="P230" s="4">
        <f>IF((0=1),COUNT(C20:P20),"")</f>
      </c>
      <c r="Q230" s="4">
        <f>IF((0=1),COUNT(C20:Q20),"")</f>
      </c>
      <c r="R230" s="4">
        <f>IF((0=1),COUNT(C20:R20),"")</f>
      </c>
      <c r="S230" s="4">
        <f>IF((0=1),COUNT(C20:S20),"")</f>
      </c>
      <c r="T230" s="4">
        <f>IF((0=1),COUNT(C20:T20),"")</f>
      </c>
      <c r="U230" s="4">
        <f>IF((0=1),COUNT(C20:U20),"")</f>
      </c>
      <c r="V230" s="4">
        <f>IF((0=1),COUNT(C20:V20),"")</f>
      </c>
      <c r="W230" s="4">
        <f>IF((0=1),COUNT(C20:W20),"")</f>
      </c>
      <c r="X230" s="4">
        <f>IF((0=1),COUNT(C20:X20),"")</f>
      </c>
      <c r="Y230" s="4">
        <f>IF((0=1),COUNT(C20:Y20),"")</f>
      </c>
      <c r="Z230" s="4">
        <f>IF((0=1),COUNT(C20:Z20),"")</f>
      </c>
      <c r="AA230" s="4">
        <f>IF((0=1),COUNT(C20:AA20),"")</f>
      </c>
      <c r="AB230" s="4">
        <f>IF((0=1),COUNT(C20:AB20),"")</f>
      </c>
      <c r="AC230" s="4">
        <f>IF((0=1),COUNT(C20:AC20),"")</f>
      </c>
      <c r="AD230" s="4">
        <f>IF((0=1),COUNT(C20:AD20),"")</f>
      </c>
      <c r="AE230" s="4">
        <f>IF((0=1),COUNT(C20:AE20),"")</f>
      </c>
      <c r="AF230" s="4">
        <f>IF((0=1),COUNT(C20:AF20),"")</f>
      </c>
      <c r="AG230" s="4">
        <f>IF((0=1),COUNT(C20:AG20),"")</f>
      </c>
      <c r="AH230" s="4">
        <f>IF((0=1),COUNT(C20:AH20),"")</f>
      </c>
      <c r="AI230" s="4">
        <f>IF((0=1),COUNT(C20:AI20),"")</f>
      </c>
      <c r="AJ230" s="4">
        <f>IF((0=1),COUNT(C20:AJ20),"")</f>
      </c>
      <c r="AK230" s="4">
        <f>IF((0=1),COUNT(C20:AK20),"")</f>
      </c>
      <c r="AL230" s="4">
        <f>IF((0=1),COUNT(C20:AL20),"")</f>
      </c>
      <c r="AM230" s="4">
        <f>IF((0=1),COUNT(C20:AM20),"")</f>
      </c>
      <c r="AN230" s="4">
        <f>IF((0=1),COUNT(C20:AN20),"")</f>
      </c>
      <c r="AO230" s="4">
        <f>IF((0=1),COUNT(C20:AO20),"")</f>
      </c>
      <c r="AP230" s="4">
        <f>IF((0=1),COUNT(C20:AP20),"")</f>
      </c>
      <c r="AQ230" s="4">
        <f>IF((0=1),COUNT(C20:AQ20),"")</f>
      </c>
      <c r="AR230" s="4">
        <f>IF((0=1),COUNT(C20:AR20),"")</f>
      </c>
      <c r="AS230" s="4">
        <f>IF((0=1),COUNT(C20:AS20),"")</f>
      </c>
      <c r="AT230" s="4">
        <f>IF((0=1),COUNT(C20:AT20),"")</f>
      </c>
      <c r="AU230" s="4">
        <f>IF((0=1),COUNT(C20:AU20),"")</f>
      </c>
      <c r="AV230" s="4">
        <f>IF((0=1),COUNT(C20:AV20),"")</f>
      </c>
      <c r="AW230" s="4">
        <f>IF((0=1),COUNT(C20:AW20),"")</f>
      </c>
      <c r="AX230" s="4">
        <f>IF((0=1),COUNT(C20:AX20),"")</f>
      </c>
      <c r="AY230" s="4">
        <f>IF((0=1),COUNT(C20:AY20),"")</f>
      </c>
      <c r="AZ230" s="4">
        <f>IF((0=1),COUNT(C20:AZ20),"")</f>
      </c>
      <c r="BA230" s="4">
        <f>IF((0=1),COUNT(C20:BA20),"")</f>
      </c>
      <c r="BB230" s="4">
        <f>IF((0=1),COUNT(C20:BB20),"")</f>
      </c>
      <c r="BC230" s="4">
        <f>IF((0=1),COUNT(C20:BC20),"")</f>
      </c>
      <c r="BD230" s="4">
        <f>IF((0=1),COUNT(C20:BD20),"")</f>
      </c>
      <c r="BE230" s="4">
        <f>IF((0=1),COUNT(C20:BE20),"")</f>
      </c>
      <c r="BF230" s="4">
        <f>IF((0=1),COUNT(C20:BF20),"")</f>
      </c>
      <c r="BG230" s="4">
        <f>IF((0=1),COUNT(C20:BG20),"")</f>
      </c>
      <c r="BH230" s="4">
        <f>IF((0=1),COUNT(C20:BH20),"")</f>
      </c>
      <c r="BI230" s="4">
        <f>IF((0=1),COUNT(C20:BI20),"")</f>
      </c>
      <c r="BJ230" s="4">
        <f>IF((0=1),COUNT(C20:BJ20),"")</f>
      </c>
      <c r="BK230" s="4">
        <f>IF((0=1),COUNT(C20:BK20),"")</f>
      </c>
      <c r="BL230" s="4">
        <f>IF((0=1),COUNT(C20:BL20),"")</f>
      </c>
      <c r="BM230" s="4">
        <f>IF((0=1),COUNT(C20:BM20),"")</f>
      </c>
      <c r="BN230" s="4">
        <f>IF((0=1),COUNT(C20:BN20),"")</f>
      </c>
      <c r="BO230" s="4">
        <f>IF((0=1),COUNT(C20:BO20),"")</f>
      </c>
      <c r="BP230" s="4">
        <f>IF((0=1),COUNT(C20:BP20),"")</f>
      </c>
      <c r="BQ230" s="4">
        <f>IF((0=1),COUNT(C20:BQ20),"")</f>
      </c>
      <c r="BR230" s="4">
        <f>IF((0=1),COUNT(C20:BR20),"")</f>
      </c>
      <c r="BS230" s="4">
        <f>IF((0=1),COUNT(C20:BS20),"")</f>
      </c>
      <c r="BT230" s="4">
        <f>IF((0=1),COUNT(C20:BT20),"")</f>
      </c>
      <c r="BU230" s="4">
        <f>IF((0=1),COUNT(C20:BU20),"")</f>
      </c>
      <c r="BV230" s="4">
        <f>IF((0=1),COUNT(C20:BV20),"")</f>
      </c>
      <c r="BW230" s="4">
        <f>IF((0=1),COUNT(C20:BW20),"")</f>
      </c>
      <c r="BX230" s="4">
        <f>IF((0=1),COUNT(C20:BX20),"")</f>
      </c>
      <c r="BY230" s="4">
        <f>IF((0=1),COUNT(C20:BY20),"")</f>
      </c>
      <c r="BZ230" s="4">
        <f>IF((0=1),COUNT(C20:BZ20),"")</f>
      </c>
      <c r="CA230" s="4">
        <f>IF((0=1),COUNT(C20:CA20),"")</f>
      </c>
      <c r="CB230" s="4">
        <f>IF((0=1),COUNT(C20:CB20),"")</f>
      </c>
      <c r="CC230" s="4">
        <f>IF((0=1),COUNT(C20:CC20),"")</f>
      </c>
      <c r="CD230" s="4">
        <f>IF((0=1),COUNT(C20:CD20),"")</f>
      </c>
      <c r="CE230" s="4">
        <f>IF((0=1),COUNT(C20:CE20),"")</f>
      </c>
      <c r="CF230" s="4">
        <f>IF((0=1),COUNT(C20:CF20),"")</f>
      </c>
      <c r="CG230" s="4">
        <f>IF((0=1),COUNT(C20:CG20),"")</f>
      </c>
      <c r="CH230" s="4">
        <f>IF((0=1),COUNT(C20:CH20),"")</f>
      </c>
      <c r="CI230" s="4">
        <f>IF((0=1),COUNT(C20:CI20),"")</f>
      </c>
      <c r="CJ230" s="4">
        <f>IF((0=1),COUNT(C20:CJ20),"")</f>
      </c>
      <c r="CK230" s="4">
        <f>IF((0=1),COUNT(C20:CK20),"")</f>
      </c>
      <c r="CL230" s="4">
        <f>IF((0=1),COUNT(C20:CL20),"")</f>
      </c>
      <c r="CM230" s="4">
        <f>IF((0=1),COUNT(C20:CM20),"")</f>
      </c>
      <c r="CN230" s="4">
        <f>IF((0=1),COUNT(C20:CN20),"")</f>
      </c>
      <c r="CO230" s="4">
        <f>IF((0=1),COUNT(C20:CO20),"")</f>
      </c>
      <c r="CP230" s="4">
        <f>IF((0=1),COUNT(C20:CP20),"")</f>
      </c>
      <c r="CQ230" s="4">
        <f>IF((0=1),COUNT(C20:CQ20),"")</f>
      </c>
      <c r="CR230" s="4">
        <f>IF((0=1),COUNT(C20:CR20),"")</f>
      </c>
      <c r="CS230" s="4">
        <f>IF((0=1),COUNT(C20:CS20),"")</f>
      </c>
      <c r="CT230" s="4">
        <f>IF((0=1),COUNT(C20:CT20),"")</f>
      </c>
      <c r="CU230" s="4">
        <f>IF((0=1),COUNT(C20:CU20),"")</f>
      </c>
      <c r="CV230" s="4">
        <f>IF((0=1),COUNT(C20:CV20),"")</f>
      </c>
      <c r="CW230" s="4">
        <f>IF((0=1),COUNT(C20:CW20),"")</f>
      </c>
      <c r="CX230" s="4">
        <f>IF((0=1),COUNT(C20:CX20),"")</f>
      </c>
    </row>
    <row r="231">
      <c r="A231" s="0" t="inlineStr">
        <is>
          <t xml:space="preserve">Evaluated days to date</t>
        </is>
      </c>
      <c r="B231" s="0" t="inlineStr">
        <is>
          <t xml:space="preserve">Random 5</t>
        </is>
      </c>
      <c r="C231" s="4">
        <f>IF((1=1),COUNT(C21),"")</f>
        <v>1</v>
      </c>
      <c r="D231" s="4">
        <f>IF((0=1),COUNT(C21:D21),"")</f>
      </c>
      <c r="E231" s="4">
        <f>IF((0=1),COUNT(C21:E21),"")</f>
      </c>
      <c r="F231" s="4">
        <f>IF((0=1),COUNT(C21:F21),"")</f>
      </c>
      <c r="G231" s="4">
        <f>IF((0=1),COUNT(C21:G21),"")</f>
      </c>
      <c r="H231" s="4">
        <f>IF((0=1),COUNT(C21:H21),"")</f>
      </c>
      <c r="I231" s="4">
        <f>IF((0=1),COUNT(C21:I21),"")</f>
      </c>
      <c r="J231" s="4">
        <f>IF((0=1),COUNT(C21:J21),"")</f>
      </c>
      <c r="K231" s="4">
        <f>IF((0=1),COUNT(C21:K21),"")</f>
      </c>
      <c r="L231" s="4">
        <f>IF((0=1),COUNT(C21:L21),"")</f>
      </c>
      <c r="M231" s="4">
        <f>IF((0=1),COUNT(C21:M21),"")</f>
      </c>
      <c r="N231" s="4">
        <f>IF((0=1),COUNT(C21:N21),"")</f>
      </c>
      <c r="O231" s="4">
        <f>IF((0=1),COUNT(C21:O21),"")</f>
      </c>
      <c r="P231" s="4">
        <f>IF((0=1),COUNT(C21:P21),"")</f>
      </c>
      <c r="Q231" s="4">
        <f>IF((0=1),COUNT(C21:Q21),"")</f>
      </c>
      <c r="R231" s="4">
        <f>IF((0=1),COUNT(C21:R21),"")</f>
      </c>
      <c r="S231" s="4">
        <f>IF((0=1),COUNT(C21:S21),"")</f>
      </c>
      <c r="T231" s="4">
        <f>IF((0=1),COUNT(C21:T21),"")</f>
      </c>
      <c r="U231" s="4">
        <f>IF((0=1),COUNT(C21:U21),"")</f>
      </c>
      <c r="V231" s="4">
        <f>IF((0=1),COUNT(C21:V21),"")</f>
      </c>
      <c r="W231" s="4">
        <f>IF((0=1),COUNT(C21:W21),"")</f>
      </c>
      <c r="X231" s="4">
        <f>IF((0=1),COUNT(C21:X21),"")</f>
      </c>
      <c r="Y231" s="4">
        <f>IF((0=1),COUNT(C21:Y21),"")</f>
      </c>
      <c r="Z231" s="4">
        <f>IF((0=1),COUNT(C21:Z21),"")</f>
      </c>
      <c r="AA231" s="4">
        <f>IF((0=1),COUNT(C21:AA21),"")</f>
      </c>
      <c r="AB231" s="4">
        <f>IF((0=1),COUNT(C21:AB21),"")</f>
      </c>
      <c r="AC231" s="4">
        <f>IF((0=1),COUNT(C21:AC21),"")</f>
      </c>
      <c r="AD231" s="4">
        <f>IF((0=1),COUNT(C21:AD21),"")</f>
      </c>
      <c r="AE231" s="4">
        <f>IF((0=1),COUNT(C21:AE21),"")</f>
      </c>
      <c r="AF231" s="4">
        <f>IF((0=1),COUNT(C21:AF21),"")</f>
      </c>
      <c r="AG231" s="4">
        <f>IF((0=1),COUNT(C21:AG21),"")</f>
      </c>
      <c r="AH231" s="4">
        <f>IF((0=1),COUNT(C21:AH21),"")</f>
      </c>
      <c r="AI231" s="4">
        <f>IF((0=1),COUNT(C21:AI21),"")</f>
      </c>
      <c r="AJ231" s="4">
        <f>IF((0=1),COUNT(C21:AJ21),"")</f>
      </c>
      <c r="AK231" s="4">
        <f>IF((0=1),COUNT(C21:AK21),"")</f>
      </c>
      <c r="AL231" s="4">
        <f>IF((0=1),COUNT(C21:AL21),"")</f>
      </c>
      <c r="AM231" s="4">
        <f>IF((0=1),COUNT(C21:AM21),"")</f>
      </c>
      <c r="AN231" s="4">
        <f>IF((0=1),COUNT(C21:AN21),"")</f>
      </c>
      <c r="AO231" s="4">
        <f>IF((0=1),COUNT(C21:AO21),"")</f>
      </c>
      <c r="AP231" s="4">
        <f>IF((0=1),COUNT(C21:AP21),"")</f>
      </c>
      <c r="AQ231" s="4">
        <f>IF((0=1),COUNT(C21:AQ21),"")</f>
      </c>
      <c r="AR231" s="4">
        <f>IF((0=1),COUNT(C21:AR21),"")</f>
      </c>
      <c r="AS231" s="4">
        <f>IF((0=1),COUNT(C21:AS21),"")</f>
      </c>
      <c r="AT231" s="4">
        <f>IF((0=1),COUNT(C21:AT21),"")</f>
      </c>
      <c r="AU231" s="4">
        <f>IF((0=1),COUNT(C21:AU21),"")</f>
      </c>
      <c r="AV231" s="4">
        <f>IF((0=1),COUNT(C21:AV21),"")</f>
      </c>
      <c r="AW231" s="4">
        <f>IF((0=1),COUNT(C21:AW21),"")</f>
      </c>
      <c r="AX231" s="4">
        <f>IF((0=1),COUNT(C21:AX21),"")</f>
      </c>
      <c r="AY231" s="4">
        <f>IF((0=1),COUNT(C21:AY21),"")</f>
      </c>
      <c r="AZ231" s="4">
        <f>IF((0=1),COUNT(C21:AZ21),"")</f>
      </c>
      <c r="BA231" s="4">
        <f>IF((0=1),COUNT(C21:BA21),"")</f>
      </c>
      <c r="BB231" s="4">
        <f>IF((0=1),COUNT(C21:BB21),"")</f>
      </c>
      <c r="BC231" s="4">
        <f>IF((0=1),COUNT(C21:BC21),"")</f>
      </c>
      <c r="BD231" s="4">
        <f>IF((0=1),COUNT(C21:BD21),"")</f>
      </c>
      <c r="BE231" s="4">
        <f>IF((0=1),COUNT(C21:BE21),"")</f>
      </c>
      <c r="BF231" s="4">
        <f>IF((0=1),COUNT(C21:BF21),"")</f>
      </c>
      <c r="BG231" s="4">
        <f>IF((0=1),COUNT(C21:BG21),"")</f>
      </c>
      <c r="BH231" s="4">
        <f>IF((0=1),COUNT(C21:BH21),"")</f>
      </c>
      <c r="BI231" s="4">
        <f>IF((0=1),COUNT(C21:BI21),"")</f>
      </c>
      <c r="BJ231" s="4">
        <f>IF((0=1),COUNT(C21:BJ21),"")</f>
      </c>
      <c r="BK231" s="4">
        <f>IF((0=1),COUNT(C21:BK21),"")</f>
      </c>
      <c r="BL231" s="4">
        <f>IF((0=1),COUNT(C21:BL21),"")</f>
      </c>
      <c r="BM231" s="4">
        <f>IF((0=1),COUNT(C21:BM21),"")</f>
      </c>
      <c r="BN231" s="4">
        <f>IF((0=1),COUNT(C21:BN21),"")</f>
      </c>
      <c r="BO231" s="4">
        <f>IF((0=1),COUNT(C21:BO21),"")</f>
      </c>
      <c r="BP231" s="4">
        <f>IF((0=1),COUNT(C21:BP21),"")</f>
      </c>
      <c r="BQ231" s="4">
        <f>IF((0=1),COUNT(C21:BQ21),"")</f>
      </c>
      <c r="BR231" s="4">
        <f>IF((0=1),COUNT(C21:BR21),"")</f>
      </c>
      <c r="BS231" s="4">
        <f>IF((0=1),COUNT(C21:BS21),"")</f>
      </c>
      <c r="BT231" s="4">
        <f>IF((0=1),COUNT(C21:BT21),"")</f>
      </c>
      <c r="BU231" s="4">
        <f>IF((0=1),COUNT(C21:BU21),"")</f>
      </c>
      <c r="BV231" s="4">
        <f>IF((0=1),COUNT(C21:BV21),"")</f>
      </c>
      <c r="BW231" s="4">
        <f>IF((0=1),COUNT(C21:BW21),"")</f>
      </c>
      <c r="BX231" s="4">
        <f>IF((0=1),COUNT(C21:BX21),"")</f>
      </c>
      <c r="BY231" s="4">
        <f>IF((0=1),COUNT(C21:BY21),"")</f>
      </c>
      <c r="BZ231" s="4">
        <f>IF((0=1),COUNT(C21:BZ21),"")</f>
      </c>
      <c r="CA231" s="4">
        <f>IF((0=1),COUNT(C21:CA21),"")</f>
      </c>
      <c r="CB231" s="4">
        <f>IF((0=1),COUNT(C21:CB21),"")</f>
      </c>
      <c r="CC231" s="4">
        <f>IF((0=1),COUNT(C21:CC21),"")</f>
      </c>
      <c r="CD231" s="4">
        <f>IF((0=1),COUNT(C21:CD21),"")</f>
      </c>
      <c r="CE231" s="4">
        <f>IF((0=1),COUNT(C21:CE21),"")</f>
      </c>
      <c r="CF231" s="4">
        <f>IF((0=1),COUNT(C21:CF21),"")</f>
      </c>
      <c r="CG231" s="4">
        <f>IF((0=1),COUNT(C21:CG21),"")</f>
      </c>
      <c r="CH231" s="4">
        <f>IF((0=1),COUNT(C21:CH21),"")</f>
      </c>
      <c r="CI231" s="4">
        <f>IF((0=1),COUNT(C21:CI21),"")</f>
      </c>
      <c r="CJ231" s="4">
        <f>IF((0=1),COUNT(C21:CJ21),"")</f>
      </c>
      <c r="CK231" s="4">
        <f>IF((0=1),COUNT(C21:CK21),"")</f>
      </c>
      <c r="CL231" s="4">
        <f>IF((0=1),COUNT(C21:CL21),"")</f>
      </c>
      <c r="CM231" s="4">
        <f>IF((0=1),COUNT(C21:CM21),"")</f>
      </c>
      <c r="CN231" s="4">
        <f>IF((0=1),COUNT(C21:CN21),"")</f>
      </c>
      <c r="CO231" s="4">
        <f>IF((0=1),COUNT(C21:CO21),"")</f>
      </c>
      <c r="CP231" s="4">
        <f>IF((0=1),COUNT(C21:CP21),"")</f>
      </c>
      <c r="CQ231" s="4">
        <f>IF((0=1),COUNT(C21:CQ21),"")</f>
      </c>
      <c r="CR231" s="4">
        <f>IF((0=1),COUNT(C21:CR21),"")</f>
      </c>
      <c r="CS231" s="4">
        <f>IF((0=1),COUNT(C21:CS21),"")</f>
      </c>
      <c r="CT231" s="4">
        <f>IF((0=1),COUNT(C21:CT21),"")</f>
      </c>
      <c r="CU231" s="4">
        <f>IF((0=1),COUNT(C21:CU21),"")</f>
      </c>
      <c r="CV231" s="4">
        <f>IF((0=1),COUNT(C21:CV21),"")</f>
      </c>
      <c r="CW231" s="4">
        <f>IF((0=1),COUNT(C21:CW21),"")</f>
      </c>
      <c r="CX231" s="4">
        <f>IF((0=1),COUNT(C21:CX21),"")</f>
      </c>
    </row>
    <row r="232">
      <c r="A232" s="0" t="inlineStr">
        <is>
          <t xml:space="preserve">Evaluated days to date</t>
        </is>
      </c>
      <c r="B232" s="0" t="inlineStr">
        <is>
          <t xml:space="preserve">Random 6</t>
        </is>
      </c>
      <c r="C232" s="4">
        <f>IF((1=1),COUNT(C22),"")</f>
        <v>1</v>
      </c>
      <c r="D232" s="4">
        <f>IF((0=1),COUNT(C22:D22),"")</f>
      </c>
      <c r="E232" s="4">
        <f>IF((0=1),COUNT(C22:E22),"")</f>
      </c>
      <c r="F232" s="4">
        <f>IF((0=1),COUNT(C22:F22),"")</f>
      </c>
      <c r="G232" s="4">
        <f>IF((0=1),COUNT(C22:G22),"")</f>
      </c>
      <c r="H232" s="4">
        <f>IF((0=1),COUNT(C22:H22),"")</f>
      </c>
      <c r="I232" s="4">
        <f>IF((0=1),COUNT(C22:I22),"")</f>
      </c>
      <c r="J232" s="4">
        <f>IF((0=1),COUNT(C22:J22),"")</f>
      </c>
      <c r="K232" s="4">
        <f>IF((0=1),COUNT(C22:K22),"")</f>
      </c>
      <c r="L232" s="4">
        <f>IF((0=1),COUNT(C22:L22),"")</f>
      </c>
      <c r="M232" s="4">
        <f>IF((0=1),COUNT(C22:M22),"")</f>
      </c>
      <c r="N232" s="4">
        <f>IF((0=1),COUNT(C22:N22),"")</f>
      </c>
      <c r="O232" s="4">
        <f>IF((0=1),COUNT(C22:O22),"")</f>
      </c>
      <c r="P232" s="4">
        <f>IF((0=1),COUNT(C22:P22),"")</f>
      </c>
      <c r="Q232" s="4">
        <f>IF((0=1),COUNT(C22:Q22),"")</f>
      </c>
      <c r="R232" s="4">
        <f>IF((0=1),COUNT(C22:R22),"")</f>
      </c>
      <c r="S232" s="4">
        <f>IF((0=1),COUNT(C22:S22),"")</f>
      </c>
      <c r="T232" s="4">
        <f>IF((0=1),COUNT(C22:T22),"")</f>
      </c>
      <c r="U232" s="4">
        <f>IF((0=1),COUNT(C22:U22),"")</f>
      </c>
      <c r="V232" s="4">
        <f>IF((0=1),COUNT(C22:V22),"")</f>
      </c>
      <c r="W232" s="4">
        <f>IF((0=1),COUNT(C22:W22),"")</f>
      </c>
      <c r="X232" s="4">
        <f>IF((0=1),COUNT(C22:X22),"")</f>
      </c>
      <c r="Y232" s="4">
        <f>IF((0=1),COUNT(C22:Y22),"")</f>
      </c>
      <c r="Z232" s="4">
        <f>IF((0=1),COUNT(C22:Z22),"")</f>
      </c>
      <c r="AA232" s="4">
        <f>IF((0=1),COUNT(C22:AA22),"")</f>
      </c>
      <c r="AB232" s="4">
        <f>IF((0=1),COUNT(C22:AB22),"")</f>
      </c>
      <c r="AC232" s="4">
        <f>IF((0=1),COUNT(C22:AC22),"")</f>
      </c>
      <c r="AD232" s="4">
        <f>IF((0=1),COUNT(C22:AD22),"")</f>
      </c>
      <c r="AE232" s="4">
        <f>IF((0=1),COUNT(C22:AE22),"")</f>
      </c>
      <c r="AF232" s="4">
        <f>IF((0=1),COUNT(C22:AF22),"")</f>
      </c>
      <c r="AG232" s="4">
        <f>IF((0=1),COUNT(C22:AG22),"")</f>
      </c>
      <c r="AH232" s="4">
        <f>IF((0=1),COUNT(C22:AH22),"")</f>
      </c>
      <c r="AI232" s="4">
        <f>IF((0=1),COUNT(C22:AI22),"")</f>
      </c>
      <c r="AJ232" s="4">
        <f>IF((0=1),COUNT(C22:AJ22),"")</f>
      </c>
      <c r="AK232" s="4">
        <f>IF((0=1),COUNT(C22:AK22),"")</f>
      </c>
      <c r="AL232" s="4">
        <f>IF((0=1),COUNT(C22:AL22),"")</f>
      </c>
      <c r="AM232" s="4">
        <f>IF((0=1),COUNT(C22:AM22),"")</f>
      </c>
      <c r="AN232" s="4">
        <f>IF((0=1),COUNT(C22:AN22),"")</f>
      </c>
      <c r="AO232" s="4">
        <f>IF((0=1),COUNT(C22:AO22),"")</f>
      </c>
      <c r="AP232" s="4">
        <f>IF((0=1),COUNT(C22:AP22),"")</f>
      </c>
      <c r="AQ232" s="4">
        <f>IF((0=1),COUNT(C22:AQ22),"")</f>
      </c>
      <c r="AR232" s="4">
        <f>IF((0=1),COUNT(C22:AR22),"")</f>
      </c>
      <c r="AS232" s="4">
        <f>IF((0=1),COUNT(C22:AS22),"")</f>
      </c>
      <c r="AT232" s="4">
        <f>IF((0=1),COUNT(C22:AT22),"")</f>
      </c>
      <c r="AU232" s="4">
        <f>IF((0=1),COUNT(C22:AU22),"")</f>
      </c>
      <c r="AV232" s="4">
        <f>IF((0=1),COUNT(C22:AV22),"")</f>
      </c>
      <c r="AW232" s="4">
        <f>IF((0=1),COUNT(C22:AW22),"")</f>
      </c>
      <c r="AX232" s="4">
        <f>IF((0=1),COUNT(C22:AX22),"")</f>
      </c>
      <c r="AY232" s="4">
        <f>IF((0=1),COUNT(C22:AY22),"")</f>
      </c>
      <c r="AZ232" s="4">
        <f>IF((0=1),COUNT(C22:AZ22),"")</f>
      </c>
      <c r="BA232" s="4">
        <f>IF((0=1),COUNT(C22:BA22),"")</f>
      </c>
      <c r="BB232" s="4">
        <f>IF((0=1),COUNT(C22:BB22),"")</f>
      </c>
      <c r="BC232" s="4">
        <f>IF((0=1),COUNT(C22:BC22),"")</f>
      </c>
      <c r="BD232" s="4">
        <f>IF((0=1),COUNT(C22:BD22),"")</f>
      </c>
      <c r="BE232" s="4">
        <f>IF((0=1),COUNT(C22:BE22),"")</f>
      </c>
      <c r="BF232" s="4">
        <f>IF((0=1),COUNT(C22:BF22),"")</f>
      </c>
      <c r="BG232" s="4">
        <f>IF((0=1),COUNT(C22:BG22),"")</f>
      </c>
      <c r="BH232" s="4">
        <f>IF((0=1),COUNT(C22:BH22),"")</f>
      </c>
      <c r="BI232" s="4">
        <f>IF((0=1),COUNT(C22:BI22),"")</f>
      </c>
      <c r="BJ232" s="4">
        <f>IF((0=1),COUNT(C22:BJ22),"")</f>
      </c>
      <c r="BK232" s="4">
        <f>IF((0=1),COUNT(C22:BK22),"")</f>
      </c>
      <c r="BL232" s="4">
        <f>IF((0=1),COUNT(C22:BL22),"")</f>
      </c>
      <c r="BM232" s="4">
        <f>IF((0=1),COUNT(C22:BM22),"")</f>
      </c>
      <c r="BN232" s="4">
        <f>IF((0=1),COUNT(C22:BN22),"")</f>
      </c>
      <c r="BO232" s="4">
        <f>IF((0=1),COUNT(C22:BO22),"")</f>
      </c>
      <c r="BP232" s="4">
        <f>IF((0=1),COUNT(C22:BP22),"")</f>
      </c>
      <c r="BQ232" s="4">
        <f>IF((0=1),COUNT(C22:BQ22),"")</f>
      </c>
      <c r="BR232" s="4">
        <f>IF((0=1),COUNT(C22:BR22),"")</f>
      </c>
      <c r="BS232" s="4">
        <f>IF((0=1),COUNT(C22:BS22),"")</f>
      </c>
      <c r="BT232" s="4">
        <f>IF((0=1),COUNT(C22:BT22),"")</f>
      </c>
      <c r="BU232" s="4">
        <f>IF((0=1),COUNT(C22:BU22),"")</f>
      </c>
      <c r="BV232" s="4">
        <f>IF((0=1),COUNT(C22:BV22),"")</f>
      </c>
      <c r="BW232" s="4">
        <f>IF((0=1),COUNT(C22:BW22),"")</f>
      </c>
      <c r="BX232" s="4">
        <f>IF((0=1),COUNT(C22:BX22),"")</f>
      </c>
      <c r="BY232" s="4">
        <f>IF((0=1),COUNT(C22:BY22),"")</f>
      </c>
      <c r="BZ232" s="4">
        <f>IF((0=1),COUNT(C22:BZ22),"")</f>
      </c>
      <c r="CA232" s="4">
        <f>IF((0=1),COUNT(C22:CA22),"")</f>
      </c>
      <c r="CB232" s="4">
        <f>IF((0=1),COUNT(C22:CB22),"")</f>
      </c>
      <c r="CC232" s="4">
        <f>IF((0=1),COUNT(C22:CC22),"")</f>
      </c>
      <c r="CD232" s="4">
        <f>IF((0=1),COUNT(C22:CD22),"")</f>
      </c>
      <c r="CE232" s="4">
        <f>IF((0=1),COUNT(C22:CE22),"")</f>
      </c>
      <c r="CF232" s="4">
        <f>IF((0=1),COUNT(C22:CF22),"")</f>
      </c>
      <c r="CG232" s="4">
        <f>IF((0=1),COUNT(C22:CG22),"")</f>
      </c>
      <c r="CH232" s="4">
        <f>IF((0=1),COUNT(C22:CH22),"")</f>
      </c>
      <c r="CI232" s="4">
        <f>IF((0=1),COUNT(C22:CI22),"")</f>
      </c>
      <c r="CJ232" s="4">
        <f>IF((0=1),COUNT(C22:CJ22),"")</f>
      </c>
      <c r="CK232" s="4">
        <f>IF((0=1),COUNT(C22:CK22),"")</f>
      </c>
      <c r="CL232" s="4">
        <f>IF((0=1),COUNT(C22:CL22),"")</f>
      </c>
      <c r="CM232" s="4">
        <f>IF((0=1),COUNT(C22:CM22),"")</f>
      </c>
      <c r="CN232" s="4">
        <f>IF((0=1),COUNT(C22:CN22),"")</f>
      </c>
      <c r="CO232" s="4">
        <f>IF((0=1),COUNT(C22:CO22),"")</f>
      </c>
      <c r="CP232" s="4">
        <f>IF((0=1),COUNT(C22:CP22),"")</f>
      </c>
      <c r="CQ232" s="4">
        <f>IF((0=1),COUNT(C22:CQ22),"")</f>
      </c>
      <c r="CR232" s="4">
        <f>IF((0=1),COUNT(C22:CR22),"")</f>
      </c>
      <c r="CS232" s="4">
        <f>IF((0=1),COUNT(C22:CS22),"")</f>
      </c>
      <c r="CT232" s="4">
        <f>IF((0=1),COUNT(C22:CT22),"")</f>
      </c>
      <c r="CU232" s="4">
        <f>IF((0=1),COUNT(C22:CU22),"")</f>
      </c>
      <c r="CV232" s="4">
        <f>IF((0=1),COUNT(C22:CV22),"")</f>
      </c>
      <c r="CW232" s="4">
        <f>IF((0=1),COUNT(C22:CW22),"")</f>
      </c>
      <c r="CX232" s="4">
        <f>IF((0=1),COUNT(C22:CX22),"")</f>
      </c>
    </row>
    <row r="233">
      <c r="A233" s="0" t="inlineStr">
        <is>
          <t xml:space="preserve">Evaluated days to date</t>
        </is>
      </c>
      <c r="B233" s="0" t="inlineStr">
        <is>
          <t xml:space="preserve">Random 7</t>
        </is>
      </c>
      <c r="C233" s="4">
        <f>IF((1=1),COUNT(C23),"")</f>
        <v>1</v>
      </c>
      <c r="D233" s="4">
        <f>IF((0=1),COUNT(C23:D23),"")</f>
      </c>
      <c r="E233" s="4">
        <f>IF((0=1),COUNT(C23:E23),"")</f>
      </c>
      <c r="F233" s="4">
        <f>IF((0=1),COUNT(C23:F23),"")</f>
      </c>
      <c r="G233" s="4">
        <f>IF((0=1),COUNT(C23:G23),"")</f>
      </c>
      <c r="H233" s="4">
        <f>IF((0=1),COUNT(C23:H23),"")</f>
      </c>
      <c r="I233" s="4">
        <f>IF((0=1),COUNT(C23:I23),"")</f>
      </c>
      <c r="J233" s="4">
        <f>IF((0=1),COUNT(C23:J23),"")</f>
      </c>
      <c r="K233" s="4">
        <f>IF((0=1),COUNT(C23:K23),"")</f>
      </c>
      <c r="L233" s="4">
        <f>IF((0=1),COUNT(C23:L23),"")</f>
      </c>
      <c r="M233" s="4">
        <f>IF((0=1),COUNT(C23:M23),"")</f>
      </c>
      <c r="N233" s="4">
        <f>IF((0=1),COUNT(C23:N23),"")</f>
      </c>
      <c r="O233" s="4">
        <f>IF((0=1),COUNT(C23:O23),"")</f>
      </c>
      <c r="P233" s="4">
        <f>IF((0=1),COUNT(C23:P23),"")</f>
      </c>
      <c r="Q233" s="4">
        <f>IF((0=1),COUNT(C23:Q23),"")</f>
      </c>
      <c r="R233" s="4">
        <f>IF((0=1),COUNT(C23:R23),"")</f>
      </c>
      <c r="S233" s="4">
        <f>IF((0=1),COUNT(C23:S23),"")</f>
      </c>
      <c r="T233" s="4">
        <f>IF((0=1),COUNT(C23:T23),"")</f>
      </c>
      <c r="U233" s="4">
        <f>IF((0=1),COUNT(C23:U23),"")</f>
      </c>
      <c r="V233" s="4">
        <f>IF((0=1),COUNT(C23:V23),"")</f>
      </c>
      <c r="W233" s="4">
        <f>IF((0=1),COUNT(C23:W23),"")</f>
      </c>
      <c r="X233" s="4">
        <f>IF((0=1),COUNT(C23:X23),"")</f>
      </c>
      <c r="Y233" s="4">
        <f>IF((0=1),COUNT(C23:Y23),"")</f>
      </c>
      <c r="Z233" s="4">
        <f>IF((0=1),COUNT(C23:Z23),"")</f>
      </c>
      <c r="AA233" s="4">
        <f>IF((0=1),COUNT(C23:AA23),"")</f>
      </c>
      <c r="AB233" s="4">
        <f>IF((0=1),COUNT(C23:AB23),"")</f>
      </c>
      <c r="AC233" s="4">
        <f>IF((0=1),COUNT(C23:AC23),"")</f>
      </c>
      <c r="AD233" s="4">
        <f>IF((0=1),COUNT(C23:AD23),"")</f>
      </c>
      <c r="AE233" s="4">
        <f>IF((0=1),COUNT(C23:AE23),"")</f>
      </c>
      <c r="AF233" s="4">
        <f>IF((0=1),COUNT(C23:AF23),"")</f>
      </c>
      <c r="AG233" s="4">
        <f>IF((0=1),COUNT(C23:AG23),"")</f>
      </c>
      <c r="AH233" s="4">
        <f>IF((0=1),COUNT(C23:AH23),"")</f>
      </c>
      <c r="AI233" s="4">
        <f>IF((0=1),COUNT(C23:AI23),"")</f>
      </c>
      <c r="AJ233" s="4">
        <f>IF((0=1),COUNT(C23:AJ23),"")</f>
      </c>
      <c r="AK233" s="4">
        <f>IF((0=1),COUNT(C23:AK23),"")</f>
      </c>
      <c r="AL233" s="4">
        <f>IF((0=1),COUNT(C23:AL23),"")</f>
      </c>
      <c r="AM233" s="4">
        <f>IF((0=1),COUNT(C23:AM23),"")</f>
      </c>
      <c r="AN233" s="4">
        <f>IF((0=1),COUNT(C23:AN23),"")</f>
      </c>
      <c r="AO233" s="4">
        <f>IF((0=1),COUNT(C23:AO23),"")</f>
      </c>
      <c r="AP233" s="4">
        <f>IF((0=1),COUNT(C23:AP23),"")</f>
      </c>
      <c r="AQ233" s="4">
        <f>IF((0=1),COUNT(C23:AQ23),"")</f>
      </c>
      <c r="AR233" s="4">
        <f>IF((0=1),COUNT(C23:AR23),"")</f>
      </c>
      <c r="AS233" s="4">
        <f>IF((0=1),COUNT(C23:AS23),"")</f>
      </c>
      <c r="AT233" s="4">
        <f>IF((0=1),COUNT(C23:AT23),"")</f>
      </c>
      <c r="AU233" s="4">
        <f>IF((0=1),COUNT(C23:AU23),"")</f>
      </c>
      <c r="AV233" s="4">
        <f>IF((0=1),COUNT(C23:AV23),"")</f>
      </c>
      <c r="AW233" s="4">
        <f>IF((0=1),COUNT(C23:AW23),"")</f>
      </c>
      <c r="AX233" s="4">
        <f>IF((0=1),COUNT(C23:AX23),"")</f>
      </c>
      <c r="AY233" s="4">
        <f>IF((0=1),COUNT(C23:AY23),"")</f>
      </c>
      <c r="AZ233" s="4">
        <f>IF((0=1),COUNT(C23:AZ23),"")</f>
      </c>
      <c r="BA233" s="4">
        <f>IF((0=1),COUNT(C23:BA23),"")</f>
      </c>
      <c r="BB233" s="4">
        <f>IF((0=1),COUNT(C23:BB23),"")</f>
      </c>
      <c r="BC233" s="4">
        <f>IF((0=1),COUNT(C23:BC23),"")</f>
      </c>
      <c r="BD233" s="4">
        <f>IF((0=1),COUNT(C23:BD23),"")</f>
      </c>
      <c r="BE233" s="4">
        <f>IF((0=1),COUNT(C23:BE23),"")</f>
      </c>
      <c r="BF233" s="4">
        <f>IF((0=1),COUNT(C23:BF23),"")</f>
      </c>
      <c r="BG233" s="4">
        <f>IF((0=1),COUNT(C23:BG23),"")</f>
      </c>
      <c r="BH233" s="4">
        <f>IF((0=1),COUNT(C23:BH23),"")</f>
      </c>
      <c r="BI233" s="4">
        <f>IF((0=1),COUNT(C23:BI23),"")</f>
      </c>
      <c r="BJ233" s="4">
        <f>IF((0=1),COUNT(C23:BJ23),"")</f>
      </c>
      <c r="BK233" s="4">
        <f>IF((0=1),COUNT(C23:BK23),"")</f>
      </c>
      <c r="BL233" s="4">
        <f>IF((0=1),COUNT(C23:BL23),"")</f>
      </c>
      <c r="BM233" s="4">
        <f>IF((0=1),COUNT(C23:BM23),"")</f>
      </c>
      <c r="BN233" s="4">
        <f>IF((0=1),COUNT(C23:BN23),"")</f>
      </c>
      <c r="BO233" s="4">
        <f>IF((0=1),COUNT(C23:BO23),"")</f>
      </c>
      <c r="BP233" s="4">
        <f>IF((0=1),COUNT(C23:BP23),"")</f>
      </c>
      <c r="BQ233" s="4">
        <f>IF((0=1),COUNT(C23:BQ23),"")</f>
      </c>
      <c r="BR233" s="4">
        <f>IF((0=1),COUNT(C23:BR23),"")</f>
      </c>
      <c r="BS233" s="4">
        <f>IF((0=1),COUNT(C23:BS23),"")</f>
      </c>
      <c r="BT233" s="4">
        <f>IF((0=1),COUNT(C23:BT23),"")</f>
      </c>
      <c r="BU233" s="4">
        <f>IF((0=1),COUNT(C23:BU23),"")</f>
      </c>
      <c r="BV233" s="4">
        <f>IF((0=1),COUNT(C23:BV23),"")</f>
      </c>
      <c r="BW233" s="4">
        <f>IF((0=1),COUNT(C23:BW23),"")</f>
      </c>
      <c r="BX233" s="4">
        <f>IF((0=1),COUNT(C23:BX23),"")</f>
      </c>
      <c r="BY233" s="4">
        <f>IF((0=1),COUNT(C23:BY23),"")</f>
      </c>
      <c r="BZ233" s="4">
        <f>IF((0=1),COUNT(C23:BZ23),"")</f>
      </c>
      <c r="CA233" s="4">
        <f>IF((0=1),COUNT(C23:CA23),"")</f>
      </c>
      <c r="CB233" s="4">
        <f>IF((0=1),COUNT(C23:CB23),"")</f>
      </c>
      <c r="CC233" s="4">
        <f>IF((0=1),COUNT(C23:CC23),"")</f>
      </c>
      <c r="CD233" s="4">
        <f>IF((0=1),COUNT(C23:CD23),"")</f>
      </c>
      <c r="CE233" s="4">
        <f>IF((0=1),COUNT(C23:CE23),"")</f>
      </c>
      <c r="CF233" s="4">
        <f>IF((0=1),COUNT(C23:CF23),"")</f>
      </c>
      <c r="CG233" s="4">
        <f>IF((0=1),COUNT(C23:CG23),"")</f>
      </c>
      <c r="CH233" s="4">
        <f>IF((0=1),COUNT(C23:CH23),"")</f>
      </c>
      <c r="CI233" s="4">
        <f>IF((0=1),COUNT(C23:CI23),"")</f>
      </c>
      <c r="CJ233" s="4">
        <f>IF((0=1),COUNT(C23:CJ23),"")</f>
      </c>
      <c r="CK233" s="4">
        <f>IF((0=1),COUNT(C23:CK23),"")</f>
      </c>
      <c r="CL233" s="4">
        <f>IF((0=1),COUNT(C23:CL23),"")</f>
      </c>
      <c r="CM233" s="4">
        <f>IF((0=1),COUNT(C23:CM23),"")</f>
      </c>
      <c r="CN233" s="4">
        <f>IF((0=1),COUNT(C23:CN23),"")</f>
      </c>
      <c r="CO233" s="4">
        <f>IF((0=1),COUNT(C23:CO23),"")</f>
      </c>
      <c r="CP233" s="4">
        <f>IF((0=1),COUNT(C23:CP23),"")</f>
      </c>
      <c r="CQ233" s="4">
        <f>IF((0=1),COUNT(C23:CQ23),"")</f>
      </c>
      <c r="CR233" s="4">
        <f>IF((0=1),COUNT(C23:CR23),"")</f>
      </c>
      <c r="CS233" s="4">
        <f>IF((0=1),COUNT(C23:CS23),"")</f>
      </c>
      <c r="CT233" s="4">
        <f>IF((0=1),COUNT(C23:CT23),"")</f>
      </c>
      <c r="CU233" s="4">
        <f>IF((0=1),COUNT(C23:CU23),"")</f>
      </c>
      <c r="CV233" s="4">
        <f>IF((0=1),COUNT(C23:CV23),"")</f>
      </c>
      <c r="CW233" s="4">
        <f>IF((0=1),COUNT(C23:CW23),"")</f>
      </c>
      <c r="CX233" s="4">
        <f>IF((0=1),COUNT(C23:CX23),"")</f>
      </c>
    </row>
    <row r="234">
      <c r="A234" s="0" t="inlineStr">
        <is>
          <t xml:space="preserve">Evaluated days to date</t>
        </is>
      </c>
      <c r="B234" s="0" t="inlineStr">
        <is>
          <t xml:space="preserve">Random 8</t>
        </is>
      </c>
      <c r="C234" s="4">
        <f>IF((1=1),COUNT(C24),"")</f>
        <v>1</v>
      </c>
      <c r="D234" s="4">
        <f>IF((0=1),COUNT(C24:D24),"")</f>
      </c>
      <c r="E234" s="4">
        <f>IF((0=1),COUNT(C24:E24),"")</f>
      </c>
      <c r="F234" s="4">
        <f>IF((0=1),COUNT(C24:F24),"")</f>
      </c>
      <c r="G234" s="4">
        <f>IF((0=1),COUNT(C24:G24),"")</f>
      </c>
      <c r="H234" s="4">
        <f>IF((0=1),COUNT(C24:H24),"")</f>
      </c>
      <c r="I234" s="4">
        <f>IF((0=1),COUNT(C24:I24),"")</f>
      </c>
      <c r="J234" s="4">
        <f>IF((0=1),COUNT(C24:J24),"")</f>
      </c>
      <c r="K234" s="4">
        <f>IF((0=1),COUNT(C24:K24),"")</f>
      </c>
      <c r="L234" s="4">
        <f>IF((0=1),COUNT(C24:L24),"")</f>
      </c>
      <c r="M234" s="4">
        <f>IF((0=1),COUNT(C24:M24),"")</f>
      </c>
      <c r="N234" s="4">
        <f>IF((0=1),COUNT(C24:N24),"")</f>
      </c>
      <c r="O234" s="4">
        <f>IF((0=1),COUNT(C24:O24),"")</f>
      </c>
      <c r="P234" s="4">
        <f>IF((0=1),COUNT(C24:P24),"")</f>
      </c>
      <c r="Q234" s="4">
        <f>IF((0=1),COUNT(C24:Q24),"")</f>
      </c>
      <c r="R234" s="4">
        <f>IF((0=1),COUNT(C24:R24),"")</f>
      </c>
      <c r="S234" s="4">
        <f>IF((0=1),COUNT(C24:S24),"")</f>
      </c>
      <c r="T234" s="4">
        <f>IF((0=1),COUNT(C24:T24),"")</f>
      </c>
      <c r="U234" s="4">
        <f>IF((0=1),COUNT(C24:U24),"")</f>
      </c>
      <c r="V234" s="4">
        <f>IF((0=1),COUNT(C24:V24),"")</f>
      </c>
      <c r="W234" s="4">
        <f>IF((0=1),COUNT(C24:W24),"")</f>
      </c>
      <c r="X234" s="4">
        <f>IF((0=1),COUNT(C24:X24),"")</f>
      </c>
      <c r="Y234" s="4">
        <f>IF((0=1),COUNT(C24:Y24),"")</f>
      </c>
      <c r="Z234" s="4">
        <f>IF((0=1),COUNT(C24:Z24),"")</f>
      </c>
      <c r="AA234" s="4">
        <f>IF((0=1),COUNT(C24:AA24),"")</f>
      </c>
      <c r="AB234" s="4">
        <f>IF((0=1),COUNT(C24:AB24),"")</f>
      </c>
      <c r="AC234" s="4">
        <f>IF((0=1),COUNT(C24:AC24),"")</f>
      </c>
      <c r="AD234" s="4">
        <f>IF((0=1),COUNT(C24:AD24),"")</f>
      </c>
      <c r="AE234" s="4">
        <f>IF((0=1),COUNT(C24:AE24),"")</f>
      </c>
      <c r="AF234" s="4">
        <f>IF((0=1),COUNT(C24:AF24),"")</f>
      </c>
      <c r="AG234" s="4">
        <f>IF((0=1),COUNT(C24:AG24),"")</f>
      </c>
      <c r="AH234" s="4">
        <f>IF((0=1),COUNT(C24:AH24),"")</f>
      </c>
      <c r="AI234" s="4">
        <f>IF((0=1),COUNT(C24:AI24),"")</f>
      </c>
      <c r="AJ234" s="4">
        <f>IF((0=1),COUNT(C24:AJ24),"")</f>
      </c>
      <c r="AK234" s="4">
        <f>IF((0=1),COUNT(C24:AK24),"")</f>
      </c>
      <c r="AL234" s="4">
        <f>IF((0=1),COUNT(C24:AL24),"")</f>
      </c>
      <c r="AM234" s="4">
        <f>IF((0=1),COUNT(C24:AM24),"")</f>
      </c>
      <c r="AN234" s="4">
        <f>IF((0=1),COUNT(C24:AN24),"")</f>
      </c>
      <c r="AO234" s="4">
        <f>IF((0=1),COUNT(C24:AO24),"")</f>
      </c>
      <c r="AP234" s="4">
        <f>IF((0=1),COUNT(C24:AP24),"")</f>
      </c>
      <c r="AQ234" s="4">
        <f>IF((0=1),COUNT(C24:AQ24),"")</f>
      </c>
      <c r="AR234" s="4">
        <f>IF((0=1),COUNT(C24:AR24),"")</f>
      </c>
      <c r="AS234" s="4">
        <f>IF((0=1),COUNT(C24:AS24),"")</f>
      </c>
      <c r="AT234" s="4">
        <f>IF((0=1),COUNT(C24:AT24),"")</f>
      </c>
      <c r="AU234" s="4">
        <f>IF((0=1),COUNT(C24:AU24),"")</f>
      </c>
      <c r="AV234" s="4">
        <f>IF((0=1),COUNT(C24:AV24),"")</f>
      </c>
      <c r="AW234" s="4">
        <f>IF((0=1),COUNT(C24:AW24),"")</f>
      </c>
      <c r="AX234" s="4">
        <f>IF((0=1),COUNT(C24:AX24),"")</f>
      </c>
      <c r="AY234" s="4">
        <f>IF((0=1),COUNT(C24:AY24),"")</f>
      </c>
      <c r="AZ234" s="4">
        <f>IF((0=1),COUNT(C24:AZ24),"")</f>
      </c>
      <c r="BA234" s="4">
        <f>IF((0=1),COUNT(C24:BA24),"")</f>
      </c>
      <c r="BB234" s="4">
        <f>IF((0=1),COUNT(C24:BB24),"")</f>
      </c>
      <c r="BC234" s="4">
        <f>IF((0=1),COUNT(C24:BC24),"")</f>
      </c>
      <c r="BD234" s="4">
        <f>IF((0=1),COUNT(C24:BD24),"")</f>
      </c>
      <c r="BE234" s="4">
        <f>IF((0=1),COUNT(C24:BE24),"")</f>
      </c>
      <c r="BF234" s="4">
        <f>IF((0=1),COUNT(C24:BF24),"")</f>
      </c>
      <c r="BG234" s="4">
        <f>IF((0=1),COUNT(C24:BG24),"")</f>
      </c>
      <c r="BH234" s="4">
        <f>IF((0=1),COUNT(C24:BH24),"")</f>
      </c>
      <c r="BI234" s="4">
        <f>IF((0=1),COUNT(C24:BI24),"")</f>
      </c>
      <c r="BJ234" s="4">
        <f>IF((0=1),COUNT(C24:BJ24),"")</f>
      </c>
      <c r="BK234" s="4">
        <f>IF((0=1),COUNT(C24:BK24),"")</f>
      </c>
      <c r="BL234" s="4">
        <f>IF((0=1),COUNT(C24:BL24),"")</f>
      </c>
      <c r="BM234" s="4">
        <f>IF((0=1),COUNT(C24:BM24),"")</f>
      </c>
      <c r="BN234" s="4">
        <f>IF((0=1),COUNT(C24:BN24),"")</f>
      </c>
      <c r="BO234" s="4">
        <f>IF((0=1),COUNT(C24:BO24),"")</f>
      </c>
      <c r="BP234" s="4">
        <f>IF((0=1),COUNT(C24:BP24),"")</f>
      </c>
      <c r="BQ234" s="4">
        <f>IF((0=1),COUNT(C24:BQ24),"")</f>
      </c>
      <c r="BR234" s="4">
        <f>IF((0=1),COUNT(C24:BR24),"")</f>
      </c>
      <c r="BS234" s="4">
        <f>IF((0=1),COUNT(C24:BS24),"")</f>
      </c>
      <c r="BT234" s="4">
        <f>IF((0=1),COUNT(C24:BT24),"")</f>
      </c>
      <c r="BU234" s="4">
        <f>IF((0=1),COUNT(C24:BU24),"")</f>
      </c>
      <c r="BV234" s="4">
        <f>IF((0=1),COUNT(C24:BV24),"")</f>
      </c>
      <c r="BW234" s="4">
        <f>IF((0=1),COUNT(C24:BW24),"")</f>
      </c>
      <c r="BX234" s="4">
        <f>IF((0=1),COUNT(C24:BX24),"")</f>
      </c>
      <c r="BY234" s="4">
        <f>IF((0=1),COUNT(C24:BY24),"")</f>
      </c>
      <c r="BZ234" s="4">
        <f>IF((0=1),COUNT(C24:BZ24),"")</f>
      </c>
      <c r="CA234" s="4">
        <f>IF((0=1),COUNT(C24:CA24),"")</f>
      </c>
      <c r="CB234" s="4">
        <f>IF((0=1),COUNT(C24:CB24),"")</f>
      </c>
      <c r="CC234" s="4">
        <f>IF((0=1),COUNT(C24:CC24),"")</f>
      </c>
      <c r="CD234" s="4">
        <f>IF((0=1),COUNT(C24:CD24),"")</f>
      </c>
      <c r="CE234" s="4">
        <f>IF((0=1),COUNT(C24:CE24),"")</f>
      </c>
      <c r="CF234" s="4">
        <f>IF((0=1),COUNT(C24:CF24),"")</f>
      </c>
      <c r="CG234" s="4">
        <f>IF((0=1),COUNT(C24:CG24),"")</f>
      </c>
      <c r="CH234" s="4">
        <f>IF((0=1),COUNT(C24:CH24),"")</f>
      </c>
      <c r="CI234" s="4">
        <f>IF((0=1),COUNT(C24:CI24),"")</f>
      </c>
      <c r="CJ234" s="4">
        <f>IF((0=1),COUNT(C24:CJ24),"")</f>
      </c>
      <c r="CK234" s="4">
        <f>IF((0=1),COUNT(C24:CK24),"")</f>
      </c>
      <c r="CL234" s="4">
        <f>IF((0=1),COUNT(C24:CL24),"")</f>
      </c>
      <c r="CM234" s="4">
        <f>IF((0=1),COUNT(C24:CM24),"")</f>
      </c>
      <c r="CN234" s="4">
        <f>IF((0=1),COUNT(C24:CN24),"")</f>
      </c>
      <c r="CO234" s="4">
        <f>IF((0=1),COUNT(C24:CO24),"")</f>
      </c>
      <c r="CP234" s="4">
        <f>IF((0=1),COUNT(C24:CP24),"")</f>
      </c>
      <c r="CQ234" s="4">
        <f>IF((0=1),COUNT(C24:CQ24),"")</f>
      </c>
      <c r="CR234" s="4">
        <f>IF((0=1),COUNT(C24:CR24),"")</f>
      </c>
      <c r="CS234" s="4">
        <f>IF((0=1),COUNT(C24:CS24),"")</f>
      </c>
      <c r="CT234" s="4">
        <f>IF((0=1),COUNT(C24:CT24),"")</f>
      </c>
      <c r="CU234" s="4">
        <f>IF((0=1),COUNT(C24:CU24),"")</f>
      </c>
      <c r="CV234" s="4">
        <f>IF((0=1),COUNT(C24:CV24),"")</f>
      </c>
      <c r="CW234" s="4">
        <f>IF((0=1),COUNT(C24:CW24),"")</f>
      </c>
      <c r="CX234" s="4">
        <f>IF((0=1),COUNT(C24:CX24),"")</f>
      </c>
    </row>
    <row r="235">
      <c r="A235" s="0" t="inlineStr">
        <is>
          <t xml:space="preserve">Evaluated days to date</t>
        </is>
      </c>
      <c r="B235" s="0" t="inlineStr">
        <is>
          <t xml:space="preserve">Random 9</t>
        </is>
      </c>
      <c r="C235" s="4">
        <f>IF((1=1),COUNT(C25),"")</f>
        <v>1</v>
      </c>
      <c r="D235" s="4">
        <f>IF((0=1),COUNT(C25:D25),"")</f>
      </c>
      <c r="E235" s="4">
        <f>IF((0=1),COUNT(C25:E25),"")</f>
      </c>
      <c r="F235" s="4">
        <f>IF((0=1),COUNT(C25:F25),"")</f>
      </c>
      <c r="G235" s="4">
        <f>IF((0=1),COUNT(C25:G25),"")</f>
      </c>
      <c r="H235" s="4">
        <f>IF((0=1),COUNT(C25:H25),"")</f>
      </c>
      <c r="I235" s="4">
        <f>IF((0=1),COUNT(C25:I25),"")</f>
      </c>
      <c r="J235" s="4">
        <f>IF((0=1),COUNT(C25:J25),"")</f>
      </c>
      <c r="K235" s="4">
        <f>IF((0=1),COUNT(C25:K25),"")</f>
      </c>
      <c r="L235" s="4">
        <f>IF((0=1),COUNT(C25:L25),"")</f>
      </c>
      <c r="M235" s="4">
        <f>IF((0=1),COUNT(C25:M25),"")</f>
      </c>
      <c r="N235" s="4">
        <f>IF((0=1),COUNT(C25:N25),"")</f>
      </c>
      <c r="O235" s="4">
        <f>IF((0=1),COUNT(C25:O25),"")</f>
      </c>
      <c r="P235" s="4">
        <f>IF((0=1),COUNT(C25:P25),"")</f>
      </c>
      <c r="Q235" s="4">
        <f>IF((0=1),COUNT(C25:Q25),"")</f>
      </c>
      <c r="R235" s="4">
        <f>IF((0=1),COUNT(C25:R25),"")</f>
      </c>
      <c r="S235" s="4">
        <f>IF((0=1),COUNT(C25:S25),"")</f>
      </c>
      <c r="T235" s="4">
        <f>IF((0=1),COUNT(C25:T25),"")</f>
      </c>
      <c r="U235" s="4">
        <f>IF((0=1),COUNT(C25:U25),"")</f>
      </c>
      <c r="V235" s="4">
        <f>IF((0=1),COUNT(C25:V25),"")</f>
      </c>
      <c r="W235" s="4">
        <f>IF((0=1),COUNT(C25:W25),"")</f>
      </c>
      <c r="X235" s="4">
        <f>IF((0=1),COUNT(C25:X25),"")</f>
      </c>
      <c r="Y235" s="4">
        <f>IF((0=1),COUNT(C25:Y25),"")</f>
      </c>
      <c r="Z235" s="4">
        <f>IF((0=1),COUNT(C25:Z25),"")</f>
      </c>
      <c r="AA235" s="4">
        <f>IF((0=1),COUNT(C25:AA25),"")</f>
      </c>
      <c r="AB235" s="4">
        <f>IF((0=1),COUNT(C25:AB25),"")</f>
      </c>
      <c r="AC235" s="4">
        <f>IF((0=1),COUNT(C25:AC25),"")</f>
      </c>
      <c r="AD235" s="4">
        <f>IF((0=1),COUNT(C25:AD25),"")</f>
      </c>
      <c r="AE235" s="4">
        <f>IF((0=1),COUNT(C25:AE25),"")</f>
      </c>
      <c r="AF235" s="4">
        <f>IF((0=1),COUNT(C25:AF25),"")</f>
      </c>
      <c r="AG235" s="4">
        <f>IF((0=1),COUNT(C25:AG25),"")</f>
      </c>
      <c r="AH235" s="4">
        <f>IF((0=1),COUNT(C25:AH25),"")</f>
      </c>
      <c r="AI235" s="4">
        <f>IF((0=1),COUNT(C25:AI25),"")</f>
      </c>
      <c r="AJ235" s="4">
        <f>IF((0=1),COUNT(C25:AJ25),"")</f>
      </c>
      <c r="AK235" s="4">
        <f>IF((0=1),COUNT(C25:AK25),"")</f>
      </c>
      <c r="AL235" s="4">
        <f>IF((0=1),COUNT(C25:AL25),"")</f>
      </c>
      <c r="AM235" s="4">
        <f>IF((0=1),COUNT(C25:AM25),"")</f>
      </c>
      <c r="AN235" s="4">
        <f>IF((0=1),COUNT(C25:AN25),"")</f>
      </c>
      <c r="AO235" s="4">
        <f>IF((0=1),COUNT(C25:AO25),"")</f>
      </c>
      <c r="AP235" s="4">
        <f>IF((0=1),COUNT(C25:AP25),"")</f>
      </c>
      <c r="AQ235" s="4">
        <f>IF((0=1),COUNT(C25:AQ25),"")</f>
      </c>
      <c r="AR235" s="4">
        <f>IF((0=1),COUNT(C25:AR25),"")</f>
      </c>
      <c r="AS235" s="4">
        <f>IF((0=1),COUNT(C25:AS25),"")</f>
      </c>
      <c r="AT235" s="4">
        <f>IF((0=1),COUNT(C25:AT25),"")</f>
      </c>
      <c r="AU235" s="4">
        <f>IF((0=1),COUNT(C25:AU25),"")</f>
      </c>
      <c r="AV235" s="4">
        <f>IF((0=1),COUNT(C25:AV25),"")</f>
      </c>
      <c r="AW235" s="4">
        <f>IF((0=1),COUNT(C25:AW25),"")</f>
      </c>
      <c r="AX235" s="4">
        <f>IF((0=1),COUNT(C25:AX25),"")</f>
      </c>
      <c r="AY235" s="4">
        <f>IF((0=1),COUNT(C25:AY25),"")</f>
      </c>
      <c r="AZ235" s="4">
        <f>IF((0=1),COUNT(C25:AZ25),"")</f>
      </c>
      <c r="BA235" s="4">
        <f>IF((0=1),COUNT(C25:BA25),"")</f>
      </c>
      <c r="BB235" s="4">
        <f>IF((0=1),COUNT(C25:BB25),"")</f>
      </c>
      <c r="BC235" s="4">
        <f>IF((0=1),COUNT(C25:BC25),"")</f>
      </c>
      <c r="BD235" s="4">
        <f>IF((0=1),COUNT(C25:BD25),"")</f>
      </c>
      <c r="BE235" s="4">
        <f>IF((0=1),COUNT(C25:BE25),"")</f>
      </c>
      <c r="BF235" s="4">
        <f>IF((0=1),COUNT(C25:BF25),"")</f>
      </c>
      <c r="BG235" s="4">
        <f>IF((0=1),COUNT(C25:BG25),"")</f>
      </c>
      <c r="BH235" s="4">
        <f>IF((0=1),COUNT(C25:BH25),"")</f>
      </c>
      <c r="BI235" s="4">
        <f>IF((0=1),COUNT(C25:BI25),"")</f>
      </c>
      <c r="BJ235" s="4">
        <f>IF((0=1),COUNT(C25:BJ25),"")</f>
      </c>
      <c r="BK235" s="4">
        <f>IF((0=1),COUNT(C25:BK25),"")</f>
      </c>
      <c r="BL235" s="4">
        <f>IF((0=1),COUNT(C25:BL25),"")</f>
      </c>
      <c r="BM235" s="4">
        <f>IF((0=1),COUNT(C25:BM25),"")</f>
      </c>
      <c r="BN235" s="4">
        <f>IF((0=1),COUNT(C25:BN25),"")</f>
      </c>
      <c r="BO235" s="4">
        <f>IF((0=1),COUNT(C25:BO25),"")</f>
      </c>
      <c r="BP235" s="4">
        <f>IF((0=1),COUNT(C25:BP25),"")</f>
      </c>
      <c r="BQ235" s="4">
        <f>IF((0=1),COUNT(C25:BQ25),"")</f>
      </c>
      <c r="BR235" s="4">
        <f>IF((0=1),COUNT(C25:BR25),"")</f>
      </c>
      <c r="BS235" s="4">
        <f>IF((0=1),COUNT(C25:BS25),"")</f>
      </c>
      <c r="BT235" s="4">
        <f>IF((0=1),COUNT(C25:BT25),"")</f>
      </c>
      <c r="BU235" s="4">
        <f>IF((0=1),COUNT(C25:BU25),"")</f>
      </c>
      <c r="BV235" s="4">
        <f>IF((0=1),COUNT(C25:BV25),"")</f>
      </c>
      <c r="BW235" s="4">
        <f>IF((0=1),COUNT(C25:BW25),"")</f>
      </c>
      <c r="BX235" s="4">
        <f>IF((0=1),COUNT(C25:BX25),"")</f>
      </c>
      <c r="BY235" s="4">
        <f>IF((0=1),COUNT(C25:BY25),"")</f>
      </c>
      <c r="BZ235" s="4">
        <f>IF((0=1),COUNT(C25:BZ25),"")</f>
      </c>
      <c r="CA235" s="4">
        <f>IF((0=1),COUNT(C25:CA25),"")</f>
      </c>
      <c r="CB235" s="4">
        <f>IF((0=1),COUNT(C25:CB25),"")</f>
      </c>
      <c r="CC235" s="4">
        <f>IF((0=1),COUNT(C25:CC25),"")</f>
      </c>
      <c r="CD235" s="4">
        <f>IF((0=1),COUNT(C25:CD25),"")</f>
      </c>
      <c r="CE235" s="4">
        <f>IF((0=1),COUNT(C25:CE25),"")</f>
      </c>
      <c r="CF235" s="4">
        <f>IF((0=1),COUNT(C25:CF25),"")</f>
      </c>
      <c r="CG235" s="4">
        <f>IF((0=1),COUNT(C25:CG25),"")</f>
      </c>
      <c r="CH235" s="4">
        <f>IF((0=1),COUNT(C25:CH25),"")</f>
      </c>
      <c r="CI235" s="4">
        <f>IF((0=1),COUNT(C25:CI25),"")</f>
      </c>
      <c r="CJ235" s="4">
        <f>IF((0=1),COUNT(C25:CJ25),"")</f>
      </c>
      <c r="CK235" s="4">
        <f>IF((0=1),COUNT(C25:CK25),"")</f>
      </c>
      <c r="CL235" s="4">
        <f>IF((0=1),COUNT(C25:CL25),"")</f>
      </c>
      <c r="CM235" s="4">
        <f>IF((0=1),COUNT(C25:CM25),"")</f>
      </c>
      <c r="CN235" s="4">
        <f>IF((0=1),COUNT(C25:CN25),"")</f>
      </c>
      <c r="CO235" s="4">
        <f>IF((0=1),COUNT(C25:CO25),"")</f>
      </c>
      <c r="CP235" s="4">
        <f>IF((0=1),COUNT(C25:CP25),"")</f>
      </c>
      <c r="CQ235" s="4">
        <f>IF((0=1),COUNT(C25:CQ25),"")</f>
      </c>
      <c r="CR235" s="4">
        <f>IF((0=1),COUNT(C25:CR25),"")</f>
      </c>
      <c r="CS235" s="4">
        <f>IF((0=1),COUNT(C25:CS25),"")</f>
      </c>
      <c r="CT235" s="4">
        <f>IF((0=1),COUNT(C25:CT25),"")</f>
      </c>
      <c r="CU235" s="4">
        <f>IF((0=1),COUNT(C25:CU25),"")</f>
      </c>
      <c r="CV235" s="4">
        <f>IF((0=1),COUNT(C25:CV25),"")</f>
      </c>
      <c r="CW235" s="4">
        <f>IF((0=1),COUNT(C25:CW25),"")</f>
      </c>
      <c r="CX235" s="4">
        <f>IF((0=1),COUNT(C25:CX25),"")</f>
      </c>
    </row>
    <row r="236">
      <c r="A236" s="0" t="inlineStr">
        <is>
          <t xml:space="preserve">Evaluated days to date</t>
        </is>
      </c>
      <c r="B236" s="0" t="inlineStr">
        <is>
          <t xml:space="preserve">Random 10</t>
        </is>
      </c>
      <c r="C236" s="4">
        <f>IF((1=1),COUNT(C26),"")</f>
        <v>1</v>
      </c>
      <c r="D236" s="4">
        <f>IF((0=1),COUNT(C26:D26),"")</f>
      </c>
      <c r="E236" s="4">
        <f>IF((0=1),COUNT(C26:E26),"")</f>
      </c>
      <c r="F236" s="4">
        <f>IF((0=1),COUNT(C26:F26),"")</f>
      </c>
      <c r="G236" s="4">
        <f>IF((0=1),COUNT(C26:G26),"")</f>
      </c>
      <c r="H236" s="4">
        <f>IF((0=1),COUNT(C26:H26),"")</f>
      </c>
      <c r="I236" s="4">
        <f>IF((0=1),COUNT(C26:I26),"")</f>
      </c>
      <c r="J236" s="4">
        <f>IF((0=1),COUNT(C26:J26),"")</f>
      </c>
      <c r="K236" s="4">
        <f>IF((0=1),COUNT(C26:K26),"")</f>
      </c>
      <c r="L236" s="4">
        <f>IF((0=1),COUNT(C26:L26),"")</f>
      </c>
      <c r="M236" s="4">
        <f>IF((0=1),COUNT(C26:M26),"")</f>
      </c>
      <c r="N236" s="4">
        <f>IF((0=1),COUNT(C26:N26),"")</f>
      </c>
      <c r="O236" s="4">
        <f>IF((0=1),COUNT(C26:O26),"")</f>
      </c>
      <c r="P236" s="4">
        <f>IF((0=1),COUNT(C26:P26),"")</f>
      </c>
      <c r="Q236" s="4">
        <f>IF((0=1),COUNT(C26:Q26),"")</f>
      </c>
      <c r="R236" s="4">
        <f>IF((0=1),COUNT(C26:R26),"")</f>
      </c>
      <c r="S236" s="4">
        <f>IF((0=1),COUNT(C26:S26),"")</f>
      </c>
      <c r="T236" s="4">
        <f>IF((0=1),COUNT(C26:T26),"")</f>
      </c>
      <c r="U236" s="4">
        <f>IF((0=1),COUNT(C26:U26),"")</f>
      </c>
      <c r="V236" s="4">
        <f>IF((0=1),COUNT(C26:V26),"")</f>
      </c>
      <c r="W236" s="4">
        <f>IF((0=1),COUNT(C26:W26),"")</f>
      </c>
      <c r="X236" s="4">
        <f>IF((0=1),COUNT(C26:X26),"")</f>
      </c>
      <c r="Y236" s="4">
        <f>IF((0=1),COUNT(C26:Y26),"")</f>
      </c>
      <c r="Z236" s="4">
        <f>IF((0=1),COUNT(C26:Z26),"")</f>
      </c>
      <c r="AA236" s="4">
        <f>IF((0=1),COUNT(C26:AA26),"")</f>
      </c>
      <c r="AB236" s="4">
        <f>IF((0=1),COUNT(C26:AB26),"")</f>
      </c>
      <c r="AC236" s="4">
        <f>IF((0=1),COUNT(C26:AC26),"")</f>
      </c>
      <c r="AD236" s="4">
        <f>IF((0=1),COUNT(C26:AD26),"")</f>
      </c>
      <c r="AE236" s="4">
        <f>IF((0=1),COUNT(C26:AE26),"")</f>
      </c>
      <c r="AF236" s="4">
        <f>IF((0=1),COUNT(C26:AF26),"")</f>
      </c>
      <c r="AG236" s="4">
        <f>IF((0=1),COUNT(C26:AG26),"")</f>
      </c>
      <c r="AH236" s="4">
        <f>IF((0=1),COUNT(C26:AH26),"")</f>
      </c>
      <c r="AI236" s="4">
        <f>IF((0=1),COUNT(C26:AI26),"")</f>
      </c>
      <c r="AJ236" s="4">
        <f>IF((0=1),COUNT(C26:AJ26),"")</f>
      </c>
      <c r="AK236" s="4">
        <f>IF((0=1),COUNT(C26:AK26),"")</f>
      </c>
      <c r="AL236" s="4">
        <f>IF((0=1),COUNT(C26:AL26),"")</f>
      </c>
      <c r="AM236" s="4">
        <f>IF((0=1),COUNT(C26:AM26),"")</f>
      </c>
      <c r="AN236" s="4">
        <f>IF((0=1),COUNT(C26:AN26),"")</f>
      </c>
      <c r="AO236" s="4">
        <f>IF((0=1),COUNT(C26:AO26),"")</f>
      </c>
      <c r="AP236" s="4">
        <f>IF((0=1),COUNT(C26:AP26),"")</f>
      </c>
      <c r="AQ236" s="4">
        <f>IF((0=1),COUNT(C26:AQ26),"")</f>
      </c>
      <c r="AR236" s="4">
        <f>IF((0=1),COUNT(C26:AR26),"")</f>
      </c>
      <c r="AS236" s="4">
        <f>IF((0=1),COUNT(C26:AS26),"")</f>
      </c>
      <c r="AT236" s="4">
        <f>IF((0=1),COUNT(C26:AT26),"")</f>
      </c>
      <c r="AU236" s="4">
        <f>IF((0=1),COUNT(C26:AU26),"")</f>
      </c>
      <c r="AV236" s="4">
        <f>IF((0=1),COUNT(C26:AV26),"")</f>
      </c>
      <c r="AW236" s="4">
        <f>IF((0=1),COUNT(C26:AW26),"")</f>
      </c>
      <c r="AX236" s="4">
        <f>IF((0=1),COUNT(C26:AX26),"")</f>
      </c>
      <c r="AY236" s="4">
        <f>IF((0=1),COUNT(C26:AY26),"")</f>
      </c>
      <c r="AZ236" s="4">
        <f>IF((0=1),COUNT(C26:AZ26),"")</f>
      </c>
      <c r="BA236" s="4">
        <f>IF((0=1),COUNT(C26:BA26),"")</f>
      </c>
      <c r="BB236" s="4">
        <f>IF((0=1),COUNT(C26:BB26),"")</f>
      </c>
      <c r="BC236" s="4">
        <f>IF((0=1),COUNT(C26:BC26),"")</f>
      </c>
      <c r="BD236" s="4">
        <f>IF((0=1),COUNT(C26:BD26),"")</f>
      </c>
      <c r="BE236" s="4">
        <f>IF((0=1),COUNT(C26:BE26),"")</f>
      </c>
      <c r="BF236" s="4">
        <f>IF((0=1),COUNT(C26:BF26),"")</f>
      </c>
      <c r="BG236" s="4">
        <f>IF((0=1),COUNT(C26:BG26),"")</f>
      </c>
      <c r="BH236" s="4">
        <f>IF((0=1),COUNT(C26:BH26),"")</f>
      </c>
      <c r="BI236" s="4">
        <f>IF((0=1),COUNT(C26:BI26),"")</f>
      </c>
      <c r="BJ236" s="4">
        <f>IF((0=1),COUNT(C26:BJ26),"")</f>
      </c>
      <c r="BK236" s="4">
        <f>IF((0=1),COUNT(C26:BK26),"")</f>
      </c>
      <c r="BL236" s="4">
        <f>IF((0=1),COUNT(C26:BL26),"")</f>
      </c>
      <c r="BM236" s="4">
        <f>IF((0=1),COUNT(C26:BM26),"")</f>
      </c>
      <c r="BN236" s="4">
        <f>IF((0=1),COUNT(C26:BN26),"")</f>
      </c>
      <c r="BO236" s="4">
        <f>IF((0=1),COUNT(C26:BO26),"")</f>
      </c>
      <c r="BP236" s="4">
        <f>IF((0=1),COUNT(C26:BP26),"")</f>
      </c>
      <c r="BQ236" s="4">
        <f>IF((0=1),COUNT(C26:BQ26),"")</f>
      </c>
      <c r="BR236" s="4">
        <f>IF((0=1),COUNT(C26:BR26),"")</f>
      </c>
      <c r="BS236" s="4">
        <f>IF((0=1),COUNT(C26:BS26),"")</f>
      </c>
      <c r="BT236" s="4">
        <f>IF((0=1),COUNT(C26:BT26),"")</f>
      </c>
      <c r="BU236" s="4">
        <f>IF((0=1),COUNT(C26:BU26),"")</f>
      </c>
      <c r="BV236" s="4">
        <f>IF((0=1),COUNT(C26:BV26),"")</f>
      </c>
      <c r="BW236" s="4">
        <f>IF((0=1),COUNT(C26:BW26),"")</f>
      </c>
      <c r="BX236" s="4">
        <f>IF((0=1),COUNT(C26:BX26),"")</f>
      </c>
      <c r="BY236" s="4">
        <f>IF((0=1),COUNT(C26:BY26),"")</f>
      </c>
      <c r="BZ236" s="4">
        <f>IF((0=1),COUNT(C26:BZ26),"")</f>
      </c>
      <c r="CA236" s="4">
        <f>IF((0=1),COUNT(C26:CA26),"")</f>
      </c>
      <c r="CB236" s="4">
        <f>IF((0=1),COUNT(C26:CB26),"")</f>
      </c>
      <c r="CC236" s="4">
        <f>IF((0=1),COUNT(C26:CC26),"")</f>
      </c>
      <c r="CD236" s="4">
        <f>IF((0=1),COUNT(C26:CD26),"")</f>
      </c>
      <c r="CE236" s="4">
        <f>IF((0=1),COUNT(C26:CE26),"")</f>
      </c>
      <c r="CF236" s="4">
        <f>IF((0=1),COUNT(C26:CF26),"")</f>
      </c>
      <c r="CG236" s="4">
        <f>IF((0=1),COUNT(C26:CG26),"")</f>
      </c>
      <c r="CH236" s="4">
        <f>IF((0=1),COUNT(C26:CH26),"")</f>
      </c>
      <c r="CI236" s="4">
        <f>IF((0=1),COUNT(C26:CI26),"")</f>
      </c>
      <c r="CJ236" s="4">
        <f>IF((0=1),COUNT(C26:CJ26),"")</f>
      </c>
      <c r="CK236" s="4">
        <f>IF((0=1),COUNT(C26:CK26),"")</f>
      </c>
      <c r="CL236" s="4">
        <f>IF((0=1),COUNT(C26:CL26),"")</f>
      </c>
      <c r="CM236" s="4">
        <f>IF((0=1),COUNT(C26:CM26),"")</f>
      </c>
      <c r="CN236" s="4">
        <f>IF((0=1),COUNT(C26:CN26),"")</f>
      </c>
      <c r="CO236" s="4">
        <f>IF((0=1),COUNT(C26:CO26),"")</f>
      </c>
      <c r="CP236" s="4">
        <f>IF((0=1),COUNT(C26:CP26),"")</f>
      </c>
      <c r="CQ236" s="4">
        <f>IF((0=1),COUNT(C26:CQ26),"")</f>
      </c>
      <c r="CR236" s="4">
        <f>IF((0=1),COUNT(C26:CR26),"")</f>
      </c>
      <c r="CS236" s="4">
        <f>IF((0=1),COUNT(C26:CS26),"")</f>
      </c>
      <c r="CT236" s="4">
        <f>IF((0=1),COUNT(C26:CT26),"")</f>
      </c>
      <c r="CU236" s="4">
        <f>IF((0=1),COUNT(C26:CU26),"")</f>
      </c>
      <c r="CV236" s="4">
        <f>IF((0=1),COUNT(C26:CV26),"")</f>
      </c>
      <c r="CW236" s="4">
        <f>IF((0=1),COUNT(C26:CW26),"")</f>
      </c>
      <c r="CX236" s="4">
        <f>IF((0=1),COUNT(C26:CX26),"")</f>
      </c>
    </row>
    <row r="237">
      <c r="A237" s="0" t="inlineStr">
        <is>
          <t xml:space="preserve">Evaluated days to date</t>
        </is>
      </c>
      <c r="B237" s="0" t="inlineStr">
        <is>
          <t xml:space="preserve">Random 11</t>
        </is>
      </c>
      <c r="C237" s="4">
        <f>IF((1=1),COUNT(C27),"")</f>
        <v>1</v>
      </c>
      <c r="D237" s="4">
        <f>IF((0=1),COUNT(C27:D27),"")</f>
      </c>
      <c r="E237" s="4">
        <f>IF((0=1),COUNT(C27:E27),"")</f>
      </c>
      <c r="F237" s="4">
        <f>IF((0=1),COUNT(C27:F27),"")</f>
      </c>
      <c r="G237" s="4">
        <f>IF((0=1),COUNT(C27:G27),"")</f>
      </c>
      <c r="H237" s="4">
        <f>IF((0=1),COUNT(C27:H27),"")</f>
      </c>
      <c r="I237" s="4">
        <f>IF((0=1),COUNT(C27:I27),"")</f>
      </c>
      <c r="J237" s="4">
        <f>IF((0=1),COUNT(C27:J27),"")</f>
      </c>
      <c r="K237" s="4">
        <f>IF((0=1),COUNT(C27:K27),"")</f>
      </c>
      <c r="L237" s="4">
        <f>IF((0=1),COUNT(C27:L27),"")</f>
      </c>
      <c r="M237" s="4">
        <f>IF((0=1),COUNT(C27:M27),"")</f>
      </c>
      <c r="N237" s="4">
        <f>IF((0=1),COUNT(C27:N27),"")</f>
      </c>
      <c r="O237" s="4">
        <f>IF((0=1),COUNT(C27:O27),"")</f>
      </c>
      <c r="P237" s="4">
        <f>IF((0=1),COUNT(C27:P27),"")</f>
      </c>
      <c r="Q237" s="4">
        <f>IF((0=1),COUNT(C27:Q27),"")</f>
      </c>
      <c r="R237" s="4">
        <f>IF((0=1),COUNT(C27:R27),"")</f>
      </c>
      <c r="S237" s="4">
        <f>IF((0=1),COUNT(C27:S27),"")</f>
      </c>
      <c r="T237" s="4">
        <f>IF((0=1),COUNT(C27:T27),"")</f>
      </c>
      <c r="U237" s="4">
        <f>IF((0=1),COUNT(C27:U27),"")</f>
      </c>
      <c r="V237" s="4">
        <f>IF((0=1),COUNT(C27:V27),"")</f>
      </c>
      <c r="W237" s="4">
        <f>IF((0=1),COUNT(C27:W27),"")</f>
      </c>
      <c r="X237" s="4">
        <f>IF((0=1),COUNT(C27:X27),"")</f>
      </c>
      <c r="Y237" s="4">
        <f>IF((0=1),COUNT(C27:Y27),"")</f>
      </c>
      <c r="Z237" s="4">
        <f>IF((0=1),COUNT(C27:Z27),"")</f>
      </c>
      <c r="AA237" s="4">
        <f>IF((0=1),COUNT(C27:AA27),"")</f>
      </c>
      <c r="AB237" s="4">
        <f>IF((0=1),COUNT(C27:AB27),"")</f>
      </c>
      <c r="AC237" s="4">
        <f>IF((0=1),COUNT(C27:AC27),"")</f>
      </c>
      <c r="AD237" s="4">
        <f>IF((0=1),COUNT(C27:AD27),"")</f>
      </c>
      <c r="AE237" s="4">
        <f>IF((0=1),COUNT(C27:AE27),"")</f>
      </c>
      <c r="AF237" s="4">
        <f>IF((0=1),COUNT(C27:AF27),"")</f>
      </c>
      <c r="AG237" s="4">
        <f>IF((0=1),COUNT(C27:AG27),"")</f>
      </c>
      <c r="AH237" s="4">
        <f>IF((0=1),COUNT(C27:AH27),"")</f>
      </c>
      <c r="AI237" s="4">
        <f>IF((0=1),COUNT(C27:AI27),"")</f>
      </c>
      <c r="AJ237" s="4">
        <f>IF((0=1),COUNT(C27:AJ27),"")</f>
      </c>
      <c r="AK237" s="4">
        <f>IF((0=1),COUNT(C27:AK27),"")</f>
      </c>
      <c r="AL237" s="4">
        <f>IF((0=1),COUNT(C27:AL27),"")</f>
      </c>
      <c r="AM237" s="4">
        <f>IF((0=1),COUNT(C27:AM27),"")</f>
      </c>
      <c r="AN237" s="4">
        <f>IF((0=1),COUNT(C27:AN27),"")</f>
      </c>
      <c r="AO237" s="4">
        <f>IF((0=1),COUNT(C27:AO27),"")</f>
      </c>
      <c r="AP237" s="4">
        <f>IF((0=1),COUNT(C27:AP27),"")</f>
      </c>
      <c r="AQ237" s="4">
        <f>IF((0=1),COUNT(C27:AQ27),"")</f>
      </c>
      <c r="AR237" s="4">
        <f>IF((0=1),COUNT(C27:AR27),"")</f>
      </c>
      <c r="AS237" s="4">
        <f>IF((0=1),COUNT(C27:AS27),"")</f>
      </c>
      <c r="AT237" s="4">
        <f>IF((0=1),COUNT(C27:AT27),"")</f>
      </c>
      <c r="AU237" s="4">
        <f>IF((0=1),COUNT(C27:AU27),"")</f>
      </c>
      <c r="AV237" s="4">
        <f>IF((0=1),COUNT(C27:AV27),"")</f>
      </c>
      <c r="AW237" s="4">
        <f>IF((0=1),COUNT(C27:AW27),"")</f>
      </c>
      <c r="AX237" s="4">
        <f>IF((0=1),COUNT(C27:AX27),"")</f>
      </c>
      <c r="AY237" s="4">
        <f>IF((0=1),COUNT(C27:AY27),"")</f>
      </c>
      <c r="AZ237" s="4">
        <f>IF((0=1),COUNT(C27:AZ27),"")</f>
      </c>
      <c r="BA237" s="4">
        <f>IF((0=1),COUNT(C27:BA27),"")</f>
      </c>
      <c r="BB237" s="4">
        <f>IF((0=1),COUNT(C27:BB27),"")</f>
      </c>
      <c r="BC237" s="4">
        <f>IF((0=1),COUNT(C27:BC27),"")</f>
      </c>
      <c r="BD237" s="4">
        <f>IF((0=1),COUNT(C27:BD27),"")</f>
      </c>
      <c r="BE237" s="4">
        <f>IF((0=1),COUNT(C27:BE27),"")</f>
      </c>
      <c r="BF237" s="4">
        <f>IF((0=1),COUNT(C27:BF27),"")</f>
      </c>
      <c r="BG237" s="4">
        <f>IF((0=1),COUNT(C27:BG27),"")</f>
      </c>
      <c r="BH237" s="4">
        <f>IF((0=1),COUNT(C27:BH27),"")</f>
      </c>
      <c r="BI237" s="4">
        <f>IF((0=1),COUNT(C27:BI27),"")</f>
      </c>
      <c r="BJ237" s="4">
        <f>IF((0=1),COUNT(C27:BJ27),"")</f>
      </c>
      <c r="BK237" s="4">
        <f>IF((0=1),COUNT(C27:BK27),"")</f>
      </c>
      <c r="BL237" s="4">
        <f>IF((0=1),COUNT(C27:BL27),"")</f>
      </c>
      <c r="BM237" s="4">
        <f>IF((0=1),COUNT(C27:BM27),"")</f>
      </c>
      <c r="BN237" s="4">
        <f>IF((0=1),COUNT(C27:BN27),"")</f>
      </c>
      <c r="BO237" s="4">
        <f>IF((0=1),COUNT(C27:BO27),"")</f>
      </c>
      <c r="BP237" s="4">
        <f>IF((0=1),COUNT(C27:BP27),"")</f>
      </c>
      <c r="BQ237" s="4">
        <f>IF((0=1),COUNT(C27:BQ27),"")</f>
      </c>
      <c r="BR237" s="4">
        <f>IF((0=1),COUNT(C27:BR27),"")</f>
      </c>
      <c r="BS237" s="4">
        <f>IF((0=1),COUNT(C27:BS27),"")</f>
      </c>
      <c r="BT237" s="4">
        <f>IF((0=1),COUNT(C27:BT27),"")</f>
      </c>
      <c r="BU237" s="4">
        <f>IF((0=1),COUNT(C27:BU27),"")</f>
      </c>
      <c r="BV237" s="4">
        <f>IF((0=1),COUNT(C27:BV27),"")</f>
      </c>
      <c r="BW237" s="4">
        <f>IF((0=1),COUNT(C27:BW27),"")</f>
      </c>
      <c r="BX237" s="4">
        <f>IF((0=1),COUNT(C27:BX27),"")</f>
      </c>
      <c r="BY237" s="4">
        <f>IF((0=1),COUNT(C27:BY27),"")</f>
      </c>
      <c r="BZ237" s="4">
        <f>IF((0=1),COUNT(C27:BZ27),"")</f>
      </c>
      <c r="CA237" s="4">
        <f>IF((0=1),COUNT(C27:CA27),"")</f>
      </c>
      <c r="CB237" s="4">
        <f>IF((0=1),COUNT(C27:CB27),"")</f>
      </c>
      <c r="CC237" s="4">
        <f>IF((0=1),COUNT(C27:CC27),"")</f>
      </c>
      <c r="CD237" s="4">
        <f>IF((0=1),COUNT(C27:CD27),"")</f>
      </c>
      <c r="CE237" s="4">
        <f>IF((0=1),COUNT(C27:CE27),"")</f>
      </c>
      <c r="CF237" s="4">
        <f>IF((0=1),COUNT(C27:CF27),"")</f>
      </c>
      <c r="CG237" s="4">
        <f>IF((0=1),COUNT(C27:CG27),"")</f>
      </c>
      <c r="CH237" s="4">
        <f>IF((0=1),COUNT(C27:CH27),"")</f>
      </c>
      <c r="CI237" s="4">
        <f>IF((0=1),COUNT(C27:CI27),"")</f>
      </c>
      <c r="CJ237" s="4">
        <f>IF((0=1),COUNT(C27:CJ27),"")</f>
      </c>
      <c r="CK237" s="4">
        <f>IF((0=1),COUNT(C27:CK27),"")</f>
      </c>
      <c r="CL237" s="4">
        <f>IF((0=1),COUNT(C27:CL27),"")</f>
      </c>
      <c r="CM237" s="4">
        <f>IF((0=1),COUNT(C27:CM27),"")</f>
      </c>
      <c r="CN237" s="4">
        <f>IF((0=1),COUNT(C27:CN27),"")</f>
      </c>
      <c r="CO237" s="4">
        <f>IF((0=1),COUNT(C27:CO27),"")</f>
      </c>
      <c r="CP237" s="4">
        <f>IF((0=1),COUNT(C27:CP27),"")</f>
      </c>
      <c r="CQ237" s="4">
        <f>IF((0=1),COUNT(C27:CQ27),"")</f>
      </c>
      <c r="CR237" s="4">
        <f>IF((0=1),COUNT(C27:CR27),"")</f>
      </c>
      <c r="CS237" s="4">
        <f>IF((0=1),COUNT(C27:CS27),"")</f>
      </c>
      <c r="CT237" s="4">
        <f>IF((0=1),COUNT(C27:CT27),"")</f>
      </c>
      <c r="CU237" s="4">
        <f>IF((0=1),COUNT(C27:CU27),"")</f>
      </c>
      <c r="CV237" s="4">
        <f>IF((0=1),COUNT(C27:CV27),"")</f>
      </c>
      <c r="CW237" s="4">
        <f>IF((0=1),COUNT(C27:CW27),"")</f>
      </c>
      <c r="CX237" s="4">
        <f>IF((0=1),COUNT(C27:CX27),"")</f>
      </c>
    </row>
    <row r="238">
      <c r="A238" s="0" t="inlineStr">
        <is>
          <t xml:space="preserve">Evaluated days to date</t>
        </is>
      </c>
      <c r="B238" s="0" t="inlineStr">
        <is>
          <t xml:space="preserve">Random 12</t>
        </is>
      </c>
      <c r="C238" s="4">
        <f>IF((1=1),COUNT(C28),"")</f>
        <v>1</v>
      </c>
      <c r="D238" s="4">
        <f>IF((0=1),COUNT(C28:D28),"")</f>
      </c>
      <c r="E238" s="4">
        <f>IF((0=1),COUNT(C28:E28),"")</f>
      </c>
      <c r="F238" s="4">
        <f>IF((0=1),COUNT(C28:F28),"")</f>
      </c>
      <c r="G238" s="4">
        <f>IF((0=1),COUNT(C28:G28),"")</f>
      </c>
      <c r="H238" s="4">
        <f>IF((0=1),COUNT(C28:H28),"")</f>
      </c>
      <c r="I238" s="4">
        <f>IF((0=1),COUNT(C28:I28),"")</f>
      </c>
      <c r="J238" s="4">
        <f>IF((0=1),COUNT(C28:J28),"")</f>
      </c>
      <c r="K238" s="4">
        <f>IF((0=1),COUNT(C28:K28),"")</f>
      </c>
      <c r="L238" s="4">
        <f>IF((0=1),COUNT(C28:L28),"")</f>
      </c>
      <c r="M238" s="4">
        <f>IF((0=1),COUNT(C28:M28),"")</f>
      </c>
      <c r="N238" s="4">
        <f>IF((0=1),COUNT(C28:N28),"")</f>
      </c>
      <c r="O238" s="4">
        <f>IF((0=1),COUNT(C28:O28),"")</f>
      </c>
      <c r="P238" s="4">
        <f>IF((0=1),COUNT(C28:P28),"")</f>
      </c>
      <c r="Q238" s="4">
        <f>IF((0=1),COUNT(C28:Q28),"")</f>
      </c>
      <c r="R238" s="4">
        <f>IF((0=1),COUNT(C28:R28),"")</f>
      </c>
      <c r="S238" s="4">
        <f>IF((0=1),COUNT(C28:S28),"")</f>
      </c>
      <c r="T238" s="4">
        <f>IF((0=1),COUNT(C28:T28),"")</f>
      </c>
      <c r="U238" s="4">
        <f>IF((0=1),COUNT(C28:U28),"")</f>
      </c>
      <c r="V238" s="4">
        <f>IF((0=1),COUNT(C28:V28),"")</f>
      </c>
      <c r="W238" s="4">
        <f>IF((0=1),COUNT(C28:W28),"")</f>
      </c>
      <c r="X238" s="4">
        <f>IF((0=1),COUNT(C28:X28),"")</f>
      </c>
      <c r="Y238" s="4">
        <f>IF((0=1),COUNT(C28:Y28),"")</f>
      </c>
      <c r="Z238" s="4">
        <f>IF((0=1),COUNT(C28:Z28),"")</f>
      </c>
      <c r="AA238" s="4">
        <f>IF((0=1),COUNT(C28:AA28),"")</f>
      </c>
      <c r="AB238" s="4">
        <f>IF((0=1),COUNT(C28:AB28),"")</f>
      </c>
      <c r="AC238" s="4">
        <f>IF((0=1),COUNT(C28:AC28),"")</f>
      </c>
      <c r="AD238" s="4">
        <f>IF((0=1),COUNT(C28:AD28),"")</f>
      </c>
      <c r="AE238" s="4">
        <f>IF((0=1),COUNT(C28:AE28),"")</f>
      </c>
      <c r="AF238" s="4">
        <f>IF((0=1),COUNT(C28:AF28),"")</f>
      </c>
      <c r="AG238" s="4">
        <f>IF((0=1),COUNT(C28:AG28),"")</f>
      </c>
      <c r="AH238" s="4">
        <f>IF((0=1),COUNT(C28:AH28),"")</f>
      </c>
      <c r="AI238" s="4">
        <f>IF((0=1),COUNT(C28:AI28),"")</f>
      </c>
      <c r="AJ238" s="4">
        <f>IF((0=1),COUNT(C28:AJ28),"")</f>
      </c>
      <c r="AK238" s="4">
        <f>IF((0=1),COUNT(C28:AK28),"")</f>
      </c>
      <c r="AL238" s="4">
        <f>IF((0=1),COUNT(C28:AL28),"")</f>
      </c>
      <c r="AM238" s="4">
        <f>IF((0=1),COUNT(C28:AM28),"")</f>
      </c>
      <c r="AN238" s="4">
        <f>IF((0=1),COUNT(C28:AN28),"")</f>
      </c>
      <c r="AO238" s="4">
        <f>IF((0=1),COUNT(C28:AO28),"")</f>
      </c>
      <c r="AP238" s="4">
        <f>IF((0=1),COUNT(C28:AP28),"")</f>
      </c>
      <c r="AQ238" s="4">
        <f>IF((0=1),COUNT(C28:AQ28),"")</f>
      </c>
      <c r="AR238" s="4">
        <f>IF((0=1),COUNT(C28:AR28),"")</f>
      </c>
      <c r="AS238" s="4">
        <f>IF((0=1),COUNT(C28:AS28),"")</f>
      </c>
      <c r="AT238" s="4">
        <f>IF((0=1),COUNT(C28:AT28),"")</f>
      </c>
      <c r="AU238" s="4">
        <f>IF((0=1),COUNT(C28:AU28),"")</f>
      </c>
      <c r="AV238" s="4">
        <f>IF((0=1),COUNT(C28:AV28),"")</f>
      </c>
      <c r="AW238" s="4">
        <f>IF((0=1),COUNT(C28:AW28),"")</f>
      </c>
      <c r="AX238" s="4">
        <f>IF((0=1),COUNT(C28:AX28),"")</f>
      </c>
      <c r="AY238" s="4">
        <f>IF((0=1),COUNT(C28:AY28),"")</f>
      </c>
      <c r="AZ238" s="4">
        <f>IF((0=1),COUNT(C28:AZ28),"")</f>
      </c>
      <c r="BA238" s="4">
        <f>IF((0=1),COUNT(C28:BA28),"")</f>
      </c>
      <c r="BB238" s="4">
        <f>IF((0=1),COUNT(C28:BB28),"")</f>
      </c>
      <c r="BC238" s="4">
        <f>IF((0=1),COUNT(C28:BC28),"")</f>
      </c>
      <c r="BD238" s="4">
        <f>IF((0=1),COUNT(C28:BD28),"")</f>
      </c>
      <c r="BE238" s="4">
        <f>IF((0=1),COUNT(C28:BE28),"")</f>
      </c>
      <c r="BF238" s="4">
        <f>IF((0=1),COUNT(C28:BF28),"")</f>
      </c>
      <c r="BG238" s="4">
        <f>IF((0=1),COUNT(C28:BG28),"")</f>
      </c>
      <c r="BH238" s="4">
        <f>IF((0=1),COUNT(C28:BH28),"")</f>
      </c>
      <c r="BI238" s="4">
        <f>IF((0=1),COUNT(C28:BI28),"")</f>
      </c>
      <c r="BJ238" s="4">
        <f>IF((0=1),COUNT(C28:BJ28),"")</f>
      </c>
      <c r="BK238" s="4">
        <f>IF((0=1),COUNT(C28:BK28),"")</f>
      </c>
      <c r="BL238" s="4">
        <f>IF((0=1),COUNT(C28:BL28),"")</f>
      </c>
      <c r="BM238" s="4">
        <f>IF((0=1),COUNT(C28:BM28),"")</f>
      </c>
      <c r="BN238" s="4">
        <f>IF((0=1),COUNT(C28:BN28),"")</f>
      </c>
      <c r="BO238" s="4">
        <f>IF((0=1),COUNT(C28:BO28),"")</f>
      </c>
      <c r="BP238" s="4">
        <f>IF((0=1),COUNT(C28:BP28),"")</f>
      </c>
      <c r="BQ238" s="4">
        <f>IF((0=1),COUNT(C28:BQ28),"")</f>
      </c>
      <c r="BR238" s="4">
        <f>IF((0=1),COUNT(C28:BR28),"")</f>
      </c>
      <c r="BS238" s="4">
        <f>IF((0=1),COUNT(C28:BS28),"")</f>
      </c>
      <c r="BT238" s="4">
        <f>IF((0=1),COUNT(C28:BT28),"")</f>
      </c>
      <c r="BU238" s="4">
        <f>IF((0=1),COUNT(C28:BU28),"")</f>
      </c>
      <c r="BV238" s="4">
        <f>IF((0=1),COUNT(C28:BV28),"")</f>
      </c>
      <c r="BW238" s="4">
        <f>IF((0=1),COUNT(C28:BW28),"")</f>
      </c>
      <c r="BX238" s="4">
        <f>IF((0=1),COUNT(C28:BX28),"")</f>
      </c>
      <c r="BY238" s="4">
        <f>IF((0=1),COUNT(C28:BY28),"")</f>
      </c>
      <c r="BZ238" s="4">
        <f>IF((0=1),COUNT(C28:BZ28),"")</f>
      </c>
      <c r="CA238" s="4">
        <f>IF((0=1),COUNT(C28:CA28),"")</f>
      </c>
      <c r="CB238" s="4">
        <f>IF((0=1),COUNT(C28:CB28),"")</f>
      </c>
      <c r="CC238" s="4">
        <f>IF((0=1),COUNT(C28:CC28),"")</f>
      </c>
      <c r="CD238" s="4">
        <f>IF((0=1),COUNT(C28:CD28),"")</f>
      </c>
      <c r="CE238" s="4">
        <f>IF((0=1),COUNT(C28:CE28),"")</f>
      </c>
      <c r="CF238" s="4">
        <f>IF((0=1),COUNT(C28:CF28),"")</f>
      </c>
      <c r="CG238" s="4">
        <f>IF((0=1),COUNT(C28:CG28),"")</f>
      </c>
      <c r="CH238" s="4">
        <f>IF((0=1),COUNT(C28:CH28),"")</f>
      </c>
      <c r="CI238" s="4">
        <f>IF((0=1),COUNT(C28:CI28),"")</f>
      </c>
      <c r="CJ238" s="4">
        <f>IF((0=1),COUNT(C28:CJ28),"")</f>
      </c>
      <c r="CK238" s="4">
        <f>IF((0=1),COUNT(C28:CK28),"")</f>
      </c>
      <c r="CL238" s="4">
        <f>IF((0=1),COUNT(C28:CL28),"")</f>
      </c>
      <c r="CM238" s="4">
        <f>IF((0=1),COUNT(C28:CM28),"")</f>
      </c>
      <c r="CN238" s="4">
        <f>IF((0=1),COUNT(C28:CN28),"")</f>
      </c>
      <c r="CO238" s="4">
        <f>IF((0=1),COUNT(C28:CO28),"")</f>
      </c>
      <c r="CP238" s="4">
        <f>IF((0=1),COUNT(C28:CP28),"")</f>
      </c>
      <c r="CQ238" s="4">
        <f>IF((0=1),COUNT(C28:CQ28),"")</f>
      </c>
      <c r="CR238" s="4">
        <f>IF((0=1),COUNT(C28:CR28),"")</f>
      </c>
      <c r="CS238" s="4">
        <f>IF((0=1),COUNT(C28:CS28),"")</f>
      </c>
      <c r="CT238" s="4">
        <f>IF((0=1),COUNT(C28:CT28),"")</f>
      </c>
      <c r="CU238" s="4">
        <f>IF((0=1),COUNT(C28:CU28),"")</f>
      </c>
      <c r="CV238" s="4">
        <f>IF((0=1),COUNT(C28:CV28),"")</f>
      </c>
      <c r="CW238" s="4">
        <f>IF((0=1),COUNT(C28:CW28),"")</f>
      </c>
      <c r="CX238" s="4">
        <f>IF((0=1),COUNT(C28:CX28),"")</f>
      </c>
    </row>
    <row r="239">
      <c r="A239" s="0" t="inlineStr">
        <is>
          <t xml:space="preserve">Evaluated days to date</t>
        </is>
      </c>
      <c r="B239" s="0" t="inlineStr">
        <is>
          <t xml:space="preserve">Random 13</t>
        </is>
      </c>
      <c r="C239" s="4">
        <f>IF((1=1),COUNT(C29),"")</f>
        <v>1</v>
      </c>
      <c r="D239" s="4">
        <f>IF((0=1),COUNT(C29:D29),"")</f>
      </c>
      <c r="E239" s="4">
        <f>IF((0=1),COUNT(C29:E29),"")</f>
      </c>
      <c r="F239" s="4">
        <f>IF((0=1),COUNT(C29:F29),"")</f>
      </c>
      <c r="G239" s="4">
        <f>IF((0=1),COUNT(C29:G29),"")</f>
      </c>
      <c r="H239" s="4">
        <f>IF((0=1),COUNT(C29:H29),"")</f>
      </c>
      <c r="I239" s="4">
        <f>IF((0=1),COUNT(C29:I29),"")</f>
      </c>
      <c r="J239" s="4">
        <f>IF((0=1),COUNT(C29:J29),"")</f>
      </c>
      <c r="K239" s="4">
        <f>IF((0=1),COUNT(C29:K29),"")</f>
      </c>
      <c r="L239" s="4">
        <f>IF((0=1),COUNT(C29:L29),"")</f>
      </c>
      <c r="M239" s="4">
        <f>IF((0=1),COUNT(C29:M29),"")</f>
      </c>
      <c r="N239" s="4">
        <f>IF((0=1),COUNT(C29:N29),"")</f>
      </c>
      <c r="O239" s="4">
        <f>IF((0=1),COUNT(C29:O29),"")</f>
      </c>
      <c r="P239" s="4">
        <f>IF((0=1),COUNT(C29:P29),"")</f>
      </c>
      <c r="Q239" s="4">
        <f>IF((0=1),COUNT(C29:Q29),"")</f>
      </c>
      <c r="R239" s="4">
        <f>IF((0=1),COUNT(C29:R29),"")</f>
      </c>
      <c r="S239" s="4">
        <f>IF((0=1),COUNT(C29:S29),"")</f>
      </c>
      <c r="T239" s="4">
        <f>IF((0=1),COUNT(C29:T29),"")</f>
      </c>
      <c r="U239" s="4">
        <f>IF((0=1),COUNT(C29:U29),"")</f>
      </c>
      <c r="V239" s="4">
        <f>IF((0=1),COUNT(C29:V29),"")</f>
      </c>
      <c r="W239" s="4">
        <f>IF((0=1),COUNT(C29:W29),"")</f>
      </c>
      <c r="X239" s="4">
        <f>IF((0=1),COUNT(C29:X29),"")</f>
      </c>
      <c r="Y239" s="4">
        <f>IF((0=1),COUNT(C29:Y29),"")</f>
      </c>
      <c r="Z239" s="4">
        <f>IF((0=1),COUNT(C29:Z29),"")</f>
      </c>
      <c r="AA239" s="4">
        <f>IF((0=1),COUNT(C29:AA29),"")</f>
      </c>
      <c r="AB239" s="4">
        <f>IF((0=1),COUNT(C29:AB29),"")</f>
      </c>
      <c r="AC239" s="4">
        <f>IF((0=1),COUNT(C29:AC29),"")</f>
      </c>
      <c r="AD239" s="4">
        <f>IF((0=1),COUNT(C29:AD29),"")</f>
      </c>
      <c r="AE239" s="4">
        <f>IF((0=1),COUNT(C29:AE29),"")</f>
      </c>
      <c r="AF239" s="4">
        <f>IF((0=1),COUNT(C29:AF29),"")</f>
      </c>
      <c r="AG239" s="4">
        <f>IF((0=1),COUNT(C29:AG29),"")</f>
      </c>
      <c r="AH239" s="4">
        <f>IF((0=1),COUNT(C29:AH29),"")</f>
      </c>
      <c r="AI239" s="4">
        <f>IF((0=1),COUNT(C29:AI29),"")</f>
      </c>
      <c r="AJ239" s="4">
        <f>IF((0=1),COUNT(C29:AJ29),"")</f>
      </c>
      <c r="AK239" s="4">
        <f>IF((0=1),COUNT(C29:AK29),"")</f>
      </c>
      <c r="AL239" s="4">
        <f>IF((0=1),COUNT(C29:AL29),"")</f>
      </c>
      <c r="AM239" s="4">
        <f>IF((0=1),COUNT(C29:AM29),"")</f>
      </c>
      <c r="AN239" s="4">
        <f>IF((0=1),COUNT(C29:AN29),"")</f>
      </c>
      <c r="AO239" s="4">
        <f>IF((0=1),COUNT(C29:AO29),"")</f>
      </c>
      <c r="AP239" s="4">
        <f>IF((0=1),COUNT(C29:AP29),"")</f>
      </c>
      <c r="AQ239" s="4">
        <f>IF((0=1),COUNT(C29:AQ29),"")</f>
      </c>
      <c r="AR239" s="4">
        <f>IF((0=1),COUNT(C29:AR29),"")</f>
      </c>
      <c r="AS239" s="4">
        <f>IF((0=1),COUNT(C29:AS29),"")</f>
      </c>
      <c r="AT239" s="4">
        <f>IF((0=1),COUNT(C29:AT29),"")</f>
      </c>
      <c r="AU239" s="4">
        <f>IF((0=1),COUNT(C29:AU29),"")</f>
      </c>
      <c r="AV239" s="4">
        <f>IF((0=1),COUNT(C29:AV29),"")</f>
      </c>
      <c r="AW239" s="4">
        <f>IF((0=1),COUNT(C29:AW29),"")</f>
      </c>
      <c r="AX239" s="4">
        <f>IF((0=1),COUNT(C29:AX29),"")</f>
      </c>
      <c r="AY239" s="4">
        <f>IF((0=1),COUNT(C29:AY29),"")</f>
      </c>
      <c r="AZ239" s="4">
        <f>IF((0=1),COUNT(C29:AZ29),"")</f>
      </c>
      <c r="BA239" s="4">
        <f>IF((0=1),COUNT(C29:BA29),"")</f>
      </c>
      <c r="BB239" s="4">
        <f>IF((0=1),COUNT(C29:BB29),"")</f>
      </c>
      <c r="BC239" s="4">
        <f>IF((0=1),COUNT(C29:BC29),"")</f>
      </c>
      <c r="BD239" s="4">
        <f>IF((0=1),COUNT(C29:BD29),"")</f>
      </c>
      <c r="BE239" s="4">
        <f>IF((0=1),COUNT(C29:BE29),"")</f>
      </c>
      <c r="BF239" s="4">
        <f>IF((0=1),COUNT(C29:BF29),"")</f>
      </c>
      <c r="BG239" s="4">
        <f>IF((0=1),COUNT(C29:BG29),"")</f>
      </c>
      <c r="BH239" s="4">
        <f>IF((0=1),COUNT(C29:BH29),"")</f>
      </c>
      <c r="BI239" s="4">
        <f>IF((0=1),COUNT(C29:BI29),"")</f>
      </c>
      <c r="BJ239" s="4">
        <f>IF((0=1),COUNT(C29:BJ29),"")</f>
      </c>
      <c r="BK239" s="4">
        <f>IF((0=1),COUNT(C29:BK29),"")</f>
      </c>
      <c r="BL239" s="4">
        <f>IF((0=1),COUNT(C29:BL29),"")</f>
      </c>
      <c r="BM239" s="4">
        <f>IF((0=1),COUNT(C29:BM29),"")</f>
      </c>
      <c r="BN239" s="4">
        <f>IF((0=1),COUNT(C29:BN29),"")</f>
      </c>
      <c r="BO239" s="4">
        <f>IF((0=1),COUNT(C29:BO29),"")</f>
      </c>
      <c r="BP239" s="4">
        <f>IF((0=1),COUNT(C29:BP29),"")</f>
      </c>
      <c r="BQ239" s="4">
        <f>IF((0=1),COUNT(C29:BQ29),"")</f>
      </c>
      <c r="BR239" s="4">
        <f>IF((0=1),COUNT(C29:BR29),"")</f>
      </c>
      <c r="BS239" s="4">
        <f>IF((0=1),COUNT(C29:BS29),"")</f>
      </c>
      <c r="BT239" s="4">
        <f>IF((0=1),COUNT(C29:BT29),"")</f>
      </c>
      <c r="BU239" s="4">
        <f>IF((0=1),COUNT(C29:BU29),"")</f>
      </c>
      <c r="BV239" s="4">
        <f>IF((0=1),COUNT(C29:BV29),"")</f>
      </c>
      <c r="BW239" s="4">
        <f>IF((0=1),COUNT(C29:BW29),"")</f>
      </c>
      <c r="BX239" s="4">
        <f>IF((0=1),COUNT(C29:BX29),"")</f>
      </c>
      <c r="BY239" s="4">
        <f>IF((0=1),COUNT(C29:BY29),"")</f>
      </c>
      <c r="BZ239" s="4">
        <f>IF((0=1),COUNT(C29:BZ29),"")</f>
      </c>
      <c r="CA239" s="4">
        <f>IF((0=1),COUNT(C29:CA29),"")</f>
      </c>
      <c r="CB239" s="4">
        <f>IF((0=1),COUNT(C29:CB29),"")</f>
      </c>
      <c r="CC239" s="4">
        <f>IF((0=1),COUNT(C29:CC29),"")</f>
      </c>
      <c r="CD239" s="4">
        <f>IF((0=1),COUNT(C29:CD29),"")</f>
      </c>
      <c r="CE239" s="4">
        <f>IF((0=1),COUNT(C29:CE29),"")</f>
      </c>
      <c r="CF239" s="4">
        <f>IF((0=1),COUNT(C29:CF29),"")</f>
      </c>
      <c r="CG239" s="4">
        <f>IF((0=1),COUNT(C29:CG29),"")</f>
      </c>
      <c r="CH239" s="4">
        <f>IF((0=1),COUNT(C29:CH29),"")</f>
      </c>
      <c r="CI239" s="4">
        <f>IF((0=1),COUNT(C29:CI29),"")</f>
      </c>
      <c r="CJ239" s="4">
        <f>IF((0=1),COUNT(C29:CJ29),"")</f>
      </c>
      <c r="CK239" s="4">
        <f>IF((0=1),COUNT(C29:CK29),"")</f>
      </c>
      <c r="CL239" s="4">
        <f>IF((0=1),COUNT(C29:CL29),"")</f>
      </c>
      <c r="CM239" s="4">
        <f>IF((0=1),COUNT(C29:CM29),"")</f>
      </c>
      <c r="CN239" s="4">
        <f>IF((0=1),COUNT(C29:CN29),"")</f>
      </c>
      <c r="CO239" s="4">
        <f>IF((0=1),COUNT(C29:CO29),"")</f>
      </c>
      <c r="CP239" s="4">
        <f>IF((0=1),COUNT(C29:CP29),"")</f>
      </c>
      <c r="CQ239" s="4">
        <f>IF((0=1),COUNT(C29:CQ29),"")</f>
      </c>
      <c r="CR239" s="4">
        <f>IF((0=1),COUNT(C29:CR29),"")</f>
      </c>
      <c r="CS239" s="4">
        <f>IF((0=1),COUNT(C29:CS29),"")</f>
      </c>
      <c r="CT239" s="4">
        <f>IF((0=1),COUNT(C29:CT29),"")</f>
      </c>
      <c r="CU239" s="4">
        <f>IF((0=1),COUNT(C29:CU29),"")</f>
      </c>
      <c r="CV239" s="4">
        <f>IF((0=1),COUNT(C29:CV29),"")</f>
      </c>
      <c r="CW239" s="4">
        <f>IF((0=1),COUNT(C29:CW29),"")</f>
      </c>
      <c r="CX239" s="4">
        <f>IF((0=1),COUNT(C29:CX29),"")</f>
      </c>
    </row>
    <row r="240">
      <c r="A240" s="0" t="inlineStr">
        <is>
          <t xml:space="preserve">Evaluated days to date</t>
        </is>
      </c>
      <c r="B240" s="0" t="inlineStr">
        <is>
          <t xml:space="preserve">Random 14</t>
        </is>
      </c>
      <c r="C240" s="4">
        <f>IF((1=1),COUNT(C30),"")</f>
        <v>1</v>
      </c>
      <c r="D240" s="4">
        <f>IF((0=1),COUNT(C30:D30),"")</f>
      </c>
      <c r="E240" s="4">
        <f>IF((0=1),COUNT(C30:E30),"")</f>
      </c>
      <c r="F240" s="4">
        <f>IF((0=1),COUNT(C30:F30),"")</f>
      </c>
      <c r="G240" s="4">
        <f>IF((0=1),COUNT(C30:G30),"")</f>
      </c>
      <c r="H240" s="4">
        <f>IF((0=1),COUNT(C30:H30),"")</f>
      </c>
      <c r="I240" s="4">
        <f>IF((0=1),COUNT(C30:I30),"")</f>
      </c>
      <c r="J240" s="4">
        <f>IF((0=1),COUNT(C30:J30),"")</f>
      </c>
      <c r="K240" s="4">
        <f>IF((0=1),COUNT(C30:K30),"")</f>
      </c>
      <c r="L240" s="4">
        <f>IF((0=1),COUNT(C30:L30),"")</f>
      </c>
      <c r="M240" s="4">
        <f>IF((0=1),COUNT(C30:M30),"")</f>
      </c>
      <c r="N240" s="4">
        <f>IF((0=1),COUNT(C30:N30),"")</f>
      </c>
      <c r="O240" s="4">
        <f>IF((0=1),COUNT(C30:O30),"")</f>
      </c>
      <c r="P240" s="4">
        <f>IF((0=1),COUNT(C30:P30),"")</f>
      </c>
      <c r="Q240" s="4">
        <f>IF((0=1),COUNT(C30:Q30),"")</f>
      </c>
      <c r="R240" s="4">
        <f>IF((0=1),COUNT(C30:R30),"")</f>
      </c>
      <c r="S240" s="4">
        <f>IF((0=1),COUNT(C30:S30),"")</f>
      </c>
      <c r="T240" s="4">
        <f>IF((0=1),COUNT(C30:T30),"")</f>
      </c>
      <c r="U240" s="4">
        <f>IF((0=1),COUNT(C30:U30),"")</f>
      </c>
      <c r="V240" s="4">
        <f>IF((0=1),COUNT(C30:V30),"")</f>
      </c>
      <c r="W240" s="4">
        <f>IF((0=1),COUNT(C30:W30),"")</f>
      </c>
      <c r="X240" s="4">
        <f>IF((0=1),COUNT(C30:X30),"")</f>
      </c>
      <c r="Y240" s="4">
        <f>IF((0=1),COUNT(C30:Y30),"")</f>
      </c>
      <c r="Z240" s="4">
        <f>IF((0=1),COUNT(C30:Z30),"")</f>
      </c>
      <c r="AA240" s="4">
        <f>IF((0=1),COUNT(C30:AA30),"")</f>
      </c>
      <c r="AB240" s="4">
        <f>IF((0=1),COUNT(C30:AB30),"")</f>
      </c>
      <c r="AC240" s="4">
        <f>IF((0=1),COUNT(C30:AC30),"")</f>
      </c>
      <c r="AD240" s="4">
        <f>IF((0=1),COUNT(C30:AD30),"")</f>
      </c>
      <c r="AE240" s="4">
        <f>IF((0=1),COUNT(C30:AE30),"")</f>
      </c>
      <c r="AF240" s="4">
        <f>IF((0=1),COUNT(C30:AF30),"")</f>
      </c>
      <c r="AG240" s="4">
        <f>IF((0=1),COUNT(C30:AG30),"")</f>
      </c>
      <c r="AH240" s="4">
        <f>IF((0=1),COUNT(C30:AH30),"")</f>
      </c>
      <c r="AI240" s="4">
        <f>IF((0=1),COUNT(C30:AI30),"")</f>
      </c>
      <c r="AJ240" s="4">
        <f>IF((0=1),COUNT(C30:AJ30),"")</f>
      </c>
      <c r="AK240" s="4">
        <f>IF((0=1),COUNT(C30:AK30),"")</f>
      </c>
      <c r="AL240" s="4">
        <f>IF((0=1),COUNT(C30:AL30),"")</f>
      </c>
      <c r="AM240" s="4">
        <f>IF((0=1),COUNT(C30:AM30),"")</f>
      </c>
      <c r="AN240" s="4">
        <f>IF((0=1),COUNT(C30:AN30),"")</f>
      </c>
      <c r="AO240" s="4">
        <f>IF((0=1),COUNT(C30:AO30),"")</f>
      </c>
      <c r="AP240" s="4">
        <f>IF((0=1),COUNT(C30:AP30),"")</f>
      </c>
      <c r="AQ240" s="4">
        <f>IF((0=1),COUNT(C30:AQ30),"")</f>
      </c>
      <c r="AR240" s="4">
        <f>IF((0=1),COUNT(C30:AR30),"")</f>
      </c>
      <c r="AS240" s="4">
        <f>IF((0=1),COUNT(C30:AS30),"")</f>
      </c>
      <c r="AT240" s="4">
        <f>IF((0=1),COUNT(C30:AT30),"")</f>
      </c>
      <c r="AU240" s="4">
        <f>IF((0=1),COUNT(C30:AU30),"")</f>
      </c>
      <c r="AV240" s="4">
        <f>IF((0=1),COUNT(C30:AV30),"")</f>
      </c>
      <c r="AW240" s="4">
        <f>IF((0=1),COUNT(C30:AW30),"")</f>
      </c>
      <c r="AX240" s="4">
        <f>IF((0=1),COUNT(C30:AX30),"")</f>
      </c>
      <c r="AY240" s="4">
        <f>IF((0=1),COUNT(C30:AY30),"")</f>
      </c>
      <c r="AZ240" s="4">
        <f>IF((0=1),COUNT(C30:AZ30),"")</f>
      </c>
      <c r="BA240" s="4">
        <f>IF((0=1),COUNT(C30:BA30),"")</f>
      </c>
      <c r="BB240" s="4">
        <f>IF((0=1),COUNT(C30:BB30),"")</f>
      </c>
      <c r="BC240" s="4">
        <f>IF((0=1),COUNT(C30:BC30),"")</f>
      </c>
      <c r="BD240" s="4">
        <f>IF((0=1),COUNT(C30:BD30),"")</f>
      </c>
      <c r="BE240" s="4">
        <f>IF((0=1),COUNT(C30:BE30),"")</f>
      </c>
      <c r="BF240" s="4">
        <f>IF((0=1),COUNT(C30:BF30),"")</f>
      </c>
      <c r="BG240" s="4">
        <f>IF((0=1),COUNT(C30:BG30),"")</f>
      </c>
      <c r="BH240" s="4">
        <f>IF((0=1),COUNT(C30:BH30),"")</f>
      </c>
      <c r="BI240" s="4">
        <f>IF((0=1),COUNT(C30:BI30),"")</f>
      </c>
      <c r="BJ240" s="4">
        <f>IF((0=1),COUNT(C30:BJ30),"")</f>
      </c>
      <c r="BK240" s="4">
        <f>IF((0=1),COUNT(C30:BK30),"")</f>
      </c>
      <c r="BL240" s="4">
        <f>IF((0=1),COUNT(C30:BL30),"")</f>
      </c>
      <c r="BM240" s="4">
        <f>IF((0=1),COUNT(C30:BM30),"")</f>
      </c>
      <c r="BN240" s="4">
        <f>IF((0=1),COUNT(C30:BN30),"")</f>
      </c>
      <c r="BO240" s="4">
        <f>IF((0=1),COUNT(C30:BO30),"")</f>
      </c>
      <c r="BP240" s="4">
        <f>IF((0=1),COUNT(C30:BP30),"")</f>
      </c>
      <c r="BQ240" s="4">
        <f>IF((0=1),COUNT(C30:BQ30),"")</f>
      </c>
      <c r="BR240" s="4">
        <f>IF((0=1),COUNT(C30:BR30),"")</f>
      </c>
      <c r="BS240" s="4">
        <f>IF((0=1),COUNT(C30:BS30),"")</f>
      </c>
      <c r="BT240" s="4">
        <f>IF((0=1),COUNT(C30:BT30),"")</f>
      </c>
      <c r="BU240" s="4">
        <f>IF((0=1),COUNT(C30:BU30),"")</f>
      </c>
      <c r="BV240" s="4">
        <f>IF((0=1),COUNT(C30:BV30),"")</f>
      </c>
      <c r="BW240" s="4">
        <f>IF((0=1),COUNT(C30:BW30),"")</f>
      </c>
      <c r="BX240" s="4">
        <f>IF((0=1),COUNT(C30:BX30),"")</f>
      </c>
      <c r="BY240" s="4">
        <f>IF((0=1),COUNT(C30:BY30),"")</f>
      </c>
      <c r="BZ240" s="4">
        <f>IF((0=1),COUNT(C30:BZ30),"")</f>
      </c>
      <c r="CA240" s="4">
        <f>IF((0=1),COUNT(C30:CA30),"")</f>
      </c>
      <c r="CB240" s="4">
        <f>IF((0=1),COUNT(C30:CB30),"")</f>
      </c>
      <c r="CC240" s="4">
        <f>IF((0=1),COUNT(C30:CC30),"")</f>
      </c>
      <c r="CD240" s="4">
        <f>IF((0=1),COUNT(C30:CD30),"")</f>
      </c>
      <c r="CE240" s="4">
        <f>IF((0=1),COUNT(C30:CE30),"")</f>
      </c>
      <c r="CF240" s="4">
        <f>IF((0=1),COUNT(C30:CF30),"")</f>
      </c>
      <c r="CG240" s="4">
        <f>IF((0=1),COUNT(C30:CG30),"")</f>
      </c>
      <c r="CH240" s="4">
        <f>IF((0=1),COUNT(C30:CH30),"")</f>
      </c>
      <c r="CI240" s="4">
        <f>IF((0=1),COUNT(C30:CI30),"")</f>
      </c>
      <c r="CJ240" s="4">
        <f>IF((0=1),COUNT(C30:CJ30),"")</f>
      </c>
      <c r="CK240" s="4">
        <f>IF((0=1),COUNT(C30:CK30),"")</f>
      </c>
      <c r="CL240" s="4">
        <f>IF((0=1),COUNT(C30:CL30),"")</f>
      </c>
      <c r="CM240" s="4">
        <f>IF((0=1),COUNT(C30:CM30),"")</f>
      </c>
      <c r="CN240" s="4">
        <f>IF((0=1),COUNT(C30:CN30),"")</f>
      </c>
      <c r="CO240" s="4">
        <f>IF((0=1),COUNT(C30:CO30),"")</f>
      </c>
      <c r="CP240" s="4">
        <f>IF((0=1),COUNT(C30:CP30),"")</f>
      </c>
      <c r="CQ240" s="4">
        <f>IF((0=1),COUNT(C30:CQ30),"")</f>
      </c>
      <c r="CR240" s="4">
        <f>IF((0=1),COUNT(C30:CR30),"")</f>
      </c>
      <c r="CS240" s="4">
        <f>IF((0=1),COUNT(C30:CS30),"")</f>
      </c>
      <c r="CT240" s="4">
        <f>IF((0=1),COUNT(C30:CT30),"")</f>
      </c>
      <c r="CU240" s="4">
        <f>IF((0=1),COUNT(C30:CU30),"")</f>
      </c>
      <c r="CV240" s="4">
        <f>IF((0=1),COUNT(C30:CV30),"")</f>
      </c>
      <c r="CW240" s="4">
        <f>IF((0=1),COUNT(C30:CW30),"")</f>
      </c>
      <c r="CX240" s="4">
        <f>IF((0=1),COUNT(C30:CX30),"")</f>
      </c>
    </row>
    <row r="241">
      <c r="A241" s="0" t="inlineStr">
        <is>
          <t xml:space="preserve">Evaluated days to date</t>
        </is>
      </c>
      <c r="B241" s="0" t="inlineStr">
        <is>
          <t xml:space="preserve">Random 15</t>
        </is>
      </c>
      <c r="C241" s="4">
        <f>IF((1=1),COUNT(C31),"")</f>
        <v>1</v>
      </c>
      <c r="D241" s="4">
        <f>IF((0=1),COUNT(C31:D31),"")</f>
      </c>
      <c r="E241" s="4">
        <f>IF((0=1),COUNT(C31:E31),"")</f>
      </c>
      <c r="F241" s="4">
        <f>IF((0=1),COUNT(C31:F31),"")</f>
      </c>
      <c r="G241" s="4">
        <f>IF((0=1),COUNT(C31:G31),"")</f>
      </c>
      <c r="H241" s="4">
        <f>IF((0=1),COUNT(C31:H31),"")</f>
      </c>
      <c r="I241" s="4">
        <f>IF((0=1),COUNT(C31:I31),"")</f>
      </c>
      <c r="J241" s="4">
        <f>IF((0=1),COUNT(C31:J31),"")</f>
      </c>
      <c r="K241" s="4">
        <f>IF((0=1),COUNT(C31:K31),"")</f>
      </c>
      <c r="L241" s="4">
        <f>IF((0=1),COUNT(C31:L31),"")</f>
      </c>
      <c r="M241" s="4">
        <f>IF((0=1),COUNT(C31:M31),"")</f>
      </c>
      <c r="N241" s="4">
        <f>IF((0=1),COUNT(C31:N31),"")</f>
      </c>
      <c r="O241" s="4">
        <f>IF((0=1),COUNT(C31:O31),"")</f>
      </c>
      <c r="P241" s="4">
        <f>IF((0=1),COUNT(C31:P31),"")</f>
      </c>
      <c r="Q241" s="4">
        <f>IF((0=1),COUNT(C31:Q31),"")</f>
      </c>
      <c r="R241" s="4">
        <f>IF((0=1),COUNT(C31:R31),"")</f>
      </c>
      <c r="S241" s="4">
        <f>IF((0=1),COUNT(C31:S31),"")</f>
      </c>
      <c r="T241" s="4">
        <f>IF((0=1),COUNT(C31:T31),"")</f>
      </c>
      <c r="U241" s="4">
        <f>IF((0=1),COUNT(C31:U31),"")</f>
      </c>
      <c r="V241" s="4">
        <f>IF((0=1),COUNT(C31:V31),"")</f>
      </c>
      <c r="W241" s="4">
        <f>IF((0=1),COUNT(C31:W31),"")</f>
      </c>
      <c r="X241" s="4">
        <f>IF((0=1),COUNT(C31:X31),"")</f>
      </c>
      <c r="Y241" s="4">
        <f>IF((0=1),COUNT(C31:Y31),"")</f>
      </c>
      <c r="Z241" s="4">
        <f>IF((0=1),COUNT(C31:Z31),"")</f>
      </c>
      <c r="AA241" s="4">
        <f>IF((0=1),COUNT(C31:AA31),"")</f>
      </c>
      <c r="AB241" s="4">
        <f>IF((0=1),COUNT(C31:AB31),"")</f>
      </c>
      <c r="AC241" s="4">
        <f>IF((0=1),COUNT(C31:AC31),"")</f>
      </c>
      <c r="AD241" s="4">
        <f>IF((0=1),COUNT(C31:AD31),"")</f>
      </c>
      <c r="AE241" s="4">
        <f>IF((0=1),COUNT(C31:AE31),"")</f>
      </c>
      <c r="AF241" s="4">
        <f>IF((0=1),COUNT(C31:AF31),"")</f>
      </c>
      <c r="AG241" s="4">
        <f>IF((0=1),COUNT(C31:AG31),"")</f>
      </c>
      <c r="AH241" s="4">
        <f>IF((0=1),COUNT(C31:AH31),"")</f>
      </c>
      <c r="AI241" s="4">
        <f>IF((0=1),COUNT(C31:AI31),"")</f>
      </c>
      <c r="AJ241" s="4">
        <f>IF((0=1),COUNT(C31:AJ31),"")</f>
      </c>
      <c r="AK241" s="4">
        <f>IF((0=1),COUNT(C31:AK31),"")</f>
      </c>
      <c r="AL241" s="4">
        <f>IF((0=1),COUNT(C31:AL31),"")</f>
      </c>
      <c r="AM241" s="4">
        <f>IF((0=1),COUNT(C31:AM31),"")</f>
      </c>
      <c r="AN241" s="4">
        <f>IF((0=1),COUNT(C31:AN31),"")</f>
      </c>
      <c r="AO241" s="4">
        <f>IF((0=1),COUNT(C31:AO31),"")</f>
      </c>
      <c r="AP241" s="4">
        <f>IF((0=1),COUNT(C31:AP31),"")</f>
      </c>
      <c r="AQ241" s="4">
        <f>IF((0=1),COUNT(C31:AQ31),"")</f>
      </c>
      <c r="AR241" s="4">
        <f>IF((0=1),COUNT(C31:AR31),"")</f>
      </c>
      <c r="AS241" s="4">
        <f>IF((0=1),COUNT(C31:AS31),"")</f>
      </c>
      <c r="AT241" s="4">
        <f>IF((0=1),COUNT(C31:AT31),"")</f>
      </c>
      <c r="AU241" s="4">
        <f>IF((0=1),COUNT(C31:AU31),"")</f>
      </c>
      <c r="AV241" s="4">
        <f>IF((0=1),COUNT(C31:AV31),"")</f>
      </c>
      <c r="AW241" s="4">
        <f>IF((0=1),COUNT(C31:AW31),"")</f>
      </c>
      <c r="AX241" s="4">
        <f>IF((0=1),COUNT(C31:AX31),"")</f>
      </c>
      <c r="AY241" s="4">
        <f>IF((0=1),COUNT(C31:AY31),"")</f>
      </c>
      <c r="AZ241" s="4">
        <f>IF((0=1),COUNT(C31:AZ31),"")</f>
      </c>
      <c r="BA241" s="4">
        <f>IF((0=1),COUNT(C31:BA31),"")</f>
      </c>
      <c r="BB241" s="4">
        <f>IF((0=1),COUNT(C31:BB31),"")</f>
      </c>
      <c r="BC241" s="4">
        <f>IF((0=1),COUNT(C31:BC31),"")</f>
      </c>
      <c r="BD241" s="4">
        <f>IF((0=1),COUNT(C31:BD31),"")</f>
      </c>
      <c r="BE241" s="4">
        <f>IF((0=1),COUNT(C31:BE31),"")</f>
      </c>
      <c r="BF241" s="4">
        <f>IF((0=1),COUNT(C31:BF31),"")</f>
      </c>
      <c r="BG241" s="4">
        <f>IF((0=1),COUNT(C31:BG31),"")</f>
      </c>
      <c r="BH241" s="4">
        <f>IF((0=1),COUNT(C31:BH31),"")</f>
      </c>
      <c r="BI241" s="4">
        <f>IF((0=1),COUNT(C31:BI31),"")</f>
      </c>
      <c r="BJ241" s="4">
        <f>IF((0=1),COUNT(C31:BJ31),"")</f>
      </c>
      <c r="BK241" s="4">
        <f>IF((0=1),COUNT(C31:BK31),"")</f>
      </c>
      <c r="BL241" s="4">
        <f>IF((0=1),COUNT(C31:BL31),"")</f>
      </c>
      <c r="BM241" s="4">
        <f>IF((0=1),COUNT(C31:BM31),"")</f>
      </c>
      <c r="BN241" s="4">
        <f>IF((0=1),COUNT(C31:BN31),"")</f>
      </c>
      <c r="BO241" s="4">
        <f>IF((0=1),COUNT(C31:BO31),"")</f>
      </c>
      <c r="BP241" s="4">
        <f>IF((0=1),COUNT(C31:BP31),"")</f>
      </c>
      <c r="BQ241" s="4">
        <f>IF((0=1),COUNT(C31:BQ31),"")</f>
      </c>
      <c r="BR241" s="4">
        <f>IF((0=1),COUNT(C31:BR31),"")</f>
      </c>
      <c r="BS241" s="4">
        <f>IF((0=1),COUNT(C31:BS31),"")</f>
      </c>
      <c r="BT241" s="4">
        <f>IF((0=1),COUNT(C31:BT31),"")</f>
      </c>
      <c r="BU241" s="4">
        <f>IF((0=1),COUNT(C31:BU31),"")</f>
      </c>
      <c r="BV241" s="4">
        <f>IF((0=1),COUNT(C31:BV31),"")</f>
      </c>
      <c r="BW241" s="4">
        <f>IF((0=1),COUNT(C31:BW31),"")</f>
      </c>
      <c r="BX241" s="4">
        <f>IF((0=1),COUNT(C31:BX31),"")</f>
      </c>
      <c r="BY241" s="4">
        <f>IF((0=1),COUNT(C31:BY31),"")</f>
      </c>
      <c r="BZ241" s="4">
        <f>IF((0=1),COUNT(C31:BZ31),"")</f>
      </c>
      <c r="CA241" s="4">
        <f>IF((0=1),COUNT(C31:CA31),"")</f>
      </c>
      <c r="CB241" s="4">
        <f>IF((0=1),COUNT(C31:CB31),"")</f>
      </c>
      <c r="CC241" s="4">
        <f>IF((0=1),COUNT(C31:CC31),"")</f>
      </c>
      <c r="CD241" s="4">
        <f>IF((0=1),COUNT(C31:CD31),"")</f>
      </c>
      <c r="CE241" s="4">
        <f>IF((0=1),COUNT(C31:CE31),"")</f>
      </c>
      <c r="CF241" s="4">
        <f>IF((0=1),COUNT(C31:CF31),"")</f>
      </c>
      <c r="CG241" s="4">
        <f>IF((0=1),COUNT(C31:CG31),"")</f>
      </c>
      <c r="CH241" s="4">
        <f>IF((0=1),COUNT(C31:CH31),"")</f>
      </c>
      <c r="CI241" s="4">
        <f>IF((0=1),COUNT(C31:CI31),"")</f>
      </c>
      <c r="CJ241" s="4">
        <f>IF((0=1),COUNT(C31:CJ31),"")</f>
      </c>
      <c r="CK241" s="4">
        <f>IF((0=1),COUNT(C31:CK31),"")</f>
      </c>
      <c r="CL241" s="4">
        <f>IF((0=1),COUNT(C31:CL31),"")</f>
      </c>
      <c r="CM241" s="4">
        <f>IF((0=1),COUNT(C31:CM31),"")</f>
      </c>
      <c r="CN241" s="4">
        <f>IF((0=1),COUNT(C31:CN31),"")</f>
      </c>
      <c r="CO241" s="4">
        <f>IF((0=1),COUNT(C31:CO31),"")</f>
      </c>
      <c r="CP241" s="4">
        <f>IF((0=1),COUNT(C31:CP31),"")</f>
      </c>
      <c r="CQ241" s="4">
        <f>IF((0=1),COUNT(C31:CQ31),"")</f>
      </c>
      <c r="CR241" s="4">
        <f>IF((0=1),COUNT(C31:CR31),"")</f>
      </c>
      <c r="CS241" s="4">
        <f>IF((0=1),COUNT(C31:CS31),"")</f>
      </c>
      <c r="CT241" s="4">
        <f>IF((0=1),COUNT(C31:CT31),"")</f>
      </c>
      <c r="CU241" s="4">
        <f>IF((0=1),COUNT(C31:CU31),"")</f>
      </c>
      <c r="CV241" s="4">
        <f>IF((0=1),COUNT(C31:CV31),"")</f>
      </c>
      <c r="CW241" s="4">
        <f>IF((0=1),COUNT(C31:CW31),"")</f>
      </c>
      <c r="CX241" s="4">
        <f>IF((0=1),COUNT(C31:CX31),"")</f>
      </c>
    </row>
    <row r="242">
      <c r="A242" s="0" t="inlineStr">
        <is>
          <t xml:space="preserve">Evaluated days to date</t>
        </is>
      </c>
      <c r="B242" s="0" t="inlineStr">
        <is>
          <t xml:space="preserve">Random 16</t>
        </is>
      </c>
      <c r="C242" s="4">
        <f>IF((1=1),COUNT(C32),"")</f>
        <v>1</v>
      </c>
      <c r="D242" s="4">
        <f>IF((0=1),COUNT(C32:D32),"")</f>
      </c>
      <c r="E242" s="4">
        <f>IF((0=1),COUNT(C32:E32),"")</f>
      </c>
      <c r="F242" s="4">
        <f>IF((0=1),COUNT(C32:F32),"")</f>
      </c>
      <c r="G242" s="4">
        <f>IF((0=1),COUNT(C32:G32),"")</f>
      </c>
      <c r="H242" s="4">
        <f>IF((0=1),COUNT(C32:H32),"")</f>
      </c>
      <c r="I242" s="4">
        <f>IF((0=1),COUNT(C32:I32),"")</f>
      </c>
      <c r="J242" s="4">
        <f>IF((0=1),COUNT(C32:J32),"")</f>
      </c>
      <c r="K242" s="4">
        <f>IF((0=1),COUNT(C32:K32),"")</f>
      </c>
      <c r="L242" s="4">
        <f>IF((0=1),COUNT(C32:L32),"")</f>
      </c>
      <c r="M242" s="4">
        <f>IF((0=1),COUNT(C32:M32),"")</f>
      </c>
      <c r="N242" s="4">
        <f>IF((0=1),COUNT(C32:N32),"")</f>
      </c>
      <c r="O242" s="4">
        <f>IF((0=1),COUNT(C32:O32),"")</f>
      </c>
      <c r="P242" s="4">
        <f>IF((0=1),COUNT(C32:P32),"")</f>
      </c>
      <c r="Q242" s="4">
        <f>IF((0=1),COUNT(C32:Q32),"")</f>
      </c>
      <c r="R242" s="4">
        <f>IF((0=1),COUNT(C32:R32),"")</f>
      </c>
      <c r="S242" s="4">
        <f>IF((0=1),COUNT(C32:S32),"")</f>
      </c>
      <c r="T242" s="4">
        <f>IF((0=1),COUNT(C32:T32),"")</f>
      </c>
      <c r="U242" s="4">
        <f>IF((0=1),COUNT(C32:U32),"")</f>
      </c>
      <c r="V242" s="4">
        <f>IF((0=1),COUNT(C32:V32),"")</f>
      </c>
      <c r="W242" s="4">
        <f>IF((0=1),COUNT(C32:W32),"")</f>
      </c>
      <c r="X242" s="4">
        <f>IF((0=1),COUNT(C32:X32),"")</f>
      </c>
      <c r="Y242" s="4">
        <f>IF((0=1),COUNT(C32:Y32),"")</f>
      </c>
      <c r="Z242" s="4">
        <f>IF((0=1),COUNT(C32:Z32),"")</f>
      </c>
      <c r="AA242" s="4">
        <f>IF((0=1),COUNT(C32:AA32),"")</f>
      </c>
      <c r="AB242" s="4">
        <f>IF((0=1),COUNT(C32:AB32),"")</f>
      </c>
      <c r="AC242" s="4">
        <f>IF((0=1),COUNT(C32:AC32),"")</f>
      </c>
      <c r="AD242" s="4">
        <f>IF((0=1),COUNT(C32:AD32),"")</f>
      </c>
      <c r="AE242" s="4">
        <f>IF((0=1),COUNT(C32:AE32),"")</f>
      </c>
      <c r="AF242" s="4">
        <f>IF((0=1),COUNT(C32:AF32),"")</f>
      </c>
      <c r="AG242" s="4">
        <f>IF((0=1),COUNT(C32:AG32),"")</f>
      </c>
      <c r="AH242" s="4">
        <f>IF((0=1),COUNT(C32:AH32),"")</f>
      </c>
      <c r="AI242" s="4">
        <f>IF((0=1),COUNT(C32:AI32),"")</f>
      </c>
      <c r="AJ242" s="4">
        <f>IF((0=1),COUNT(C32:AJ32),"")</f>
      </c>
      <c r="AK242" s="4">
        <f>IF((0=1),COUNT(C32:AK32),"")</f>
      </c>
      <c r="AL242" s="4">
        <f>IF((0=1),COUNT(C32:AL32),"")</f>
      </c>
      <c r="AM242" s="4">
        <f>IF((0=1),COUNT(C32:AM32),"")</f>
      </c>
      <c r="AN242" s="4">
        <f>IF((0=1),COUNT(C32:AN32),"")</f>
      </c>
      <c r="AO242" s="4">
        <f>IF((0=1),COUNT(C32:AO32),"")</f>
      </c>
      <c r="AP242" s="4">
        <f>IF((0=1),COUNT(C32:AP32),"")</f>
      </c>
      <c r="AQ242" s="4">
        <f>IF((0=1),COUNT(C32:AQ32),"")</f>
      </c>
      <c r="AR242" s="4">
        <f>IF((0=1),COUNT(C32:AR32),"")</f>
      </c>
      <c r="AS242" s="4">
        <f>IF((0=1),COUNT(C32:AS32),"")</f>
      </c>
      <c r="AT242" s="4">
        <f>IF((0=1),COUNT(C32:AT32),"")</f>
      </c>
      <c r="AU242" s="4">
        <f>IF((0=1),COUNT(C32:AU32),"")</f>
      </c>
      <c r="AV242" s="4">
        <f>IF((0=1),COUNT(C32:AV32),"")</f>
      </c>
      <c r="AW242" s="4">
        <f>IF((0=1),COUNT(C32:AW32),"")</f>
      </c>
      <c r="AX242" s="4">
        <f>IF((0=1),COUNT(C32:AX32),"")</f>
      </c>
      <c r="AY242" s="4">
        <f>IF((0=1),COUNT(C32:AY32),"")</f>
      </c>
      <c r="AZ242" s="4">
        <f>IF((0=1),COUNT(C32:AZ32),"")</f>
      </c>
      <c r="BA242" s="4">
        <f>IF((0=1),COUNT(C32:BA32),"")</f>
      </c>
      <c r="BB242" s="4">
        <f>IF((0=1),COUNT(C32:BB32),"")</f>
      </c>
      <c r="BC242" s="4">
        <f>IF((0=1),COUNT(C32:BC32),"")</f>
      </c>
      <c r="BD242" s="4">
        <f>IF((0=1),COUNT(C32:BD32),"")</f>
      </c>
      <c r="BE242" s="4">
        <f>IF((0=1),COUNT(C32:BE32),"")</f>
      </c>
      <c r="BF242" s="4">
        <f>IF((0=1),COUNT(C32:BF32),"")</f>
      </c>
      <c r="BG242" s="4">
        <f>IF((0=1),COUNT(C32:BG32),"")</f>
      </c>
      <c r="BH242" s="4">
        <f>IF((0=1),COUNT(C32:BH32),"")</f>
      </c>
      <c r="BI242" s="4">
        <f>IF((0=1),COUNT(C32:BI32),"")</f>
      </c>
      <c r="BJ242" s="4">
        <f>IF((0=1),COUNT(C32:BJ32),"")</f>
      </c>
      <c r="BK242" s="4">
        <f>IF((0=1),COUNT(C32:BK32),"")</f>
      </c>
      <c r="BL242" s="4">
        <f>IF((0=1),COUNT(C32:BL32),"")</f>
      </c>
      <c r="BM242" s="4">
        <f>IF((0=1),COUNT(C32:BM32),"")</f>
      </c>
      <c r="BN242" s="4">
        <f>IF((0=1),COUNT(C32:BN32),"")</f>
      </c>
      <c r="BO242" s="4">
        <f>IF((0=1),COUNT(C32:BO32),"")</f>
      </c>
      <c r="BP242" s="4">
        <f>IF((0=1),COUNT(C32:BP32),"")</f>
      </c>
      <c r="BQ242" s="4">
        <f>IF((0=1),COUNT(C32:BQ32),"")</f>
      </c>
      <c r="BR242" s="4">
        <f>IF((0=1),COUNT(C32:BR32),"")</f>
      </c>
      <c r="BS242" s="4">
        <f>IF((0=1),COUNT(C32:BS32),"")</f>
      </c>
      <c r="BT242" s="4">
        <f>IF((0=1),COUNT(C32:BT32),"")</f>
      </c>
      <c r="BU242" s="4">
        <f>IF((0=1),COUNT(C32:BU32),"")</f>
      </c>
      <c r="BV242" s="4">
        <f>IF((0=1),COUNT(C32:BV32),"")</f>
      </c>
      <c r="BW242" s="4">
        <f>IF((0=1),COUNT(C32:BW32),"")</f>
      </c>
      <c r="BX242" s="4">
        <f>IF((0=1),COUNT(C32:BX32),"")</f>
      </c>
      <c r="BY242" s="4">
        <f>IF((0=1),COUNT(C32:BY32),"")</f>
      </c>
      <c r="BZ242" s="4">
        <f>IF((0=1),COUNT(C32:BZ32),"")</f>
      </c>
      <c r="CA242" s="4">
        <f>IF((0=1),COUNT(C32:CA32),"")</f>
      </c>
      <c r="CB242" s="4">
        <f>IF((0=1),COUNT(C32:CB32),"")</f>
      </c>
      <c r="CC242" s="4">
        <f>IF((0=1),COUNT(C32:CC32),"")</f>
      </c>
      <c r="CD242" s="4">
        <f>IF((0=1),COUNT(C32:CD32),"")</f>
      </c>
      <c r="CE242" s="4">
        <f>IF((0=1),COUNT(C32:CE32),"")</f>
      </c>
      <c r="CF242" s="4">
        <f>IF((0=1),COUNT(C32:CF32),"")</f>
      </c>
      <c r="CG242" s="4">
        <f>IF((0=1),COUNT(C32:CG32),"")</f>
      </c>
      <c r="CH242" s="4">
        <f>IF((0=1),COUNT(C32:CH32),"")</f>
      </c>
      <c r="CI242" s="4">
        <f>IF((0=1),COUNT(C32:CI32),"")</f>
      </c>
      <c r="CJ242" s="4">
        <f>IF((0=1),COUNT(C32:CJ32),"")</f>
      </c>
      <c r="CK242" s="4">
        <f>IF((0=1),COUNT(C32:CK32),"")</f>
      </c>
      <c r="CL242" s="4">
        <f>IF((0=1),COUNT(C32:CL32),"")</f>
      </c>
      <c r="CM242" s="4">
        <f>IF((0=1),COUNT(C32:CM32),"")</f>
      </c>
      <c r="CN242" s="4">
        <f>IF((0=1),COUNT(C32:CN32),"")</f>
      </c>
      <c r="CO242" s="4">
        <f>IF((0=1),COUNT(C32:CO32),"")</f>
      </c>
      <c r="CP242" s="4">
        <f>IF((0=1),COUNT(C32:CP32),"")</f>
      </c>
      <c r="CQ242" s="4">
        <f>IF((0=1),COUNT(C32:CQ32),"")</f>
      </c>
      <c r="CR242" s="4">
        <f>IF((0=1),COUNT(C32:CR32),"")</f>
      </c>
      <c r="CS242" s="4">
        <f>IF((0=1),COUNT(C32:CS32),"")</f>
      </c>
      <c r="CT242" s="4">
        <f>IF((0=1),COUNT(C32:CT32),"")</f>
      </c>
      <c r="CU242" s="4">
        <f>IF((0=1),COUNT(C32:CU32),"")</f>
      </c>
      <c r="CV242" s="4">
        <f>IF((0=1),COUNT(C32:CV32),"")</f>
      </c>
      <c r="CW242" s="4">
        <f>IF((0=1),COUNT(C32:CW32),"")</f>
      </c>
      <c r="CX242" s="4">
        <f>IF((0=1),COUNT(C32:CX32),"")</f>
      </c>
    </row>
    <row r="243">
      <c r="A243" s="0" t="inlineStr">
        <is>
          <t xml:space="preserve">Evaluated days to date</t>
        </is>
      </c>
      <c r="B243" s="0" t="inlineStr">
        <is>
          <t xml:space="preserve">Random 17</t>
        </is>
      </c>
      <c r="C243" s="4">
        <f>IF((1=1),COUNT(C33),"")</f>
        <v>1</v>
      </c>
      <c r="D243" s="4">
        <f>IF((0=1),COUNT(C33:D33),"")</f>
      </c>
      <c r="E243" s="4">
        <f>IF((0=1),COUNT(C33:E33),"")</f>
      </c>
      <c r="F243" s="4">
        <f>IF((0=1),COUNT(C33:F33),"")</f>
      </c>
      <c r="G243" s="4">
        <f>IF((0=1),COUNT(C33:G33),"")</f>
      </c>
      <c r="H243" s="4">
        <f>IF((0=1),COUNT(C33:H33),"")</f>
      </c>
      <c r="I243" s="4">
        <f>IF((0=1),COUNT(C33:I33),"")</f>
      </c>
      <c r="J243" s="4">
        <f>IF((0=1),COUNT(C33:J33),"")</f>
      </c>
      <c r="K243" s="4">
        <f>IF((0=1),COUNT(C33:K33),"")</f>
      </c>
      <c r="L243" s="4">
        <f>IF((0=1),COUNT(C33:L33),"")</f>
      </c>
      <c r="M243" s="4">
        <f>IF((0=1),COUNT(C33:M33),"")</f>
      </c>
      <c r="N243" s="4">
        <f>IF((0=1),COUNT(C33:N33),"")</f>
      </c>
      <c r="O243" s="4">
        <f>IF((0=1),COUNT(C33:O33),"")</f>
      </c>
      <c r="P243" s="4">
        <f>IF((0=1),COUNT(C33:P33),"")</f>
      </c>
      <c r="Q243" s="4">
        <f>IF((0=1),COUNT(C33:Q33),"")</f>
      </c>
      <c r="R243" s="4">
        <f>IF((0=1),COUNT(C33:R33),"")</f>
      </c>
      <c r="S243" s="4">
        <f>IF((0=1),COUNT(C33:S33),"")</f>
      </c>
      <c r="T243" s="4">
        <f>IF((0=1),COUNT(C33:T33),"")</f>
      </c>
      <c r="U243" s="4">
        <f>IF((0=1),COUNT(C33:U33),"")</f>
      </c>
      <c r="V243" s="4">
        <f>IF((0=1),COUNT(C33:V33),"")</f>
      </c>
      <c r="W243" s="4">
        <f>IF((0=1),COUNT(C33:W33),"")</f>
      </c>
      <c r="X243" s="4">
        <f>IF((0=1),COUNT(C33:X33),"")</f>
      </c>
      <c r="Y243" s="4">
        <f>IF((0=1),COUNT(C33:Y33),"")</f>
      </c>
      <c r="Z243" s="4">
        <f>IF((0=1),COUNT(C33:Z33),"")</f>
      </c>
      <c r="AA243" s="4">
        <f>IF((0=1),COUNT(C33:AA33),"")</f>
      </c>
      <c r="AB243" s="4">
        <f>IF((0=1),COUNT(C33:AB33),"")</f>
      </c>
      <c r="AC243" s="4">
        <f>IF((0=1),COUNT(C33:AC33),"")</f>
      </c>
      <c r="AD243" s="4">
        <f>IF((0=1),COUNT(C33:AD33),"")</f>
      </c>
      <c r="AE243" s="4">
        <f>IF((0=1),COUNT(C33:AE33),"")</f>
      </c>
      <c r="AF243" s="4">
        <f>IF((0=1),COUNT(C33:AF33),"")</f>
      </c>
      <c r="AG243" s="4">
        <f>IF((0=1),COUNT(C33:AG33),"")</f>
      </c>
      <c r="AH243" s="4">
        <f>IF((0=1),COUNT(C33:AH33),"")</f>
      </c>
      <c r="AI243" s="4">
        <f>IF((0=1),COUNT(C33:AI33),"")</f>
      </c>
      <c r="AJ243" s="4">
        <f>IF((0=1),COUNT(C33:AJ33),"")</f>
      </c>
      <c r="AK243" s="4">
        <f>IF((0=1),COUNT(C33:AK33),"")</f>
      </c>
      <c r="AL243" s="4">
        <f>IF((0=1),COUNT(C33:AL33),"")</f>
      </c>
      <c r="AM243" s="4">
        <f>IF((0=1),COUNT(C33:AM33),"")</f>
      </c>
      <c r="AN243" s="4">
        <f>IF((0=1),COUNT(C33:AN33),"")</f>
      </c>
      <c r="AO243" s="4">
        <f>IF((0=1),COUNT(C33:AO33),"")</f>
      </c>
      <c r="AP243" s="4">
        <f>IF((0=1),COUNT(C33:AP33),"")</f>
      </c>
      <c r="AQ243" s="4">
        <f>IF((0=1),COUNT(C33:AQ33),"")</f>
      </c>
      <c r="AR243" s="4">
        <f>IF((0=1),COUNT(C33:AR33),"")</f>
      </c>
      <c r="AS243" s="4">
        <f>IF((0=1),COUNT(C33:AS33),"")</f>
      </c>
      <c r="AT243" s="4">
        <f>IF((0=1),COUNT(C33:AT33),"")</f>
      </c>
      <c r="AU243" s="4">
        <f>IF((0=1),COUNT(C33:AU33),"")</f>
      </c>
      <c r="AV243" s="4">
        <f>IF((0=1),COUNT(C33:AV33),"")</f>
      </c>
      <c r="AW243" s="4">
        <f>IF((0=1),COUNT(C33:AW33),"")</f>
      </c>
      <c r="AX243" s="4">
        <f>IF((0=1),COUNT(C33:AX33),"")</f>
      </c>
      <c r="AY243" s="4">
        <f>IF((0=1),COUNT(C33:AY33),"")</f>
      </c>
      <c r="AZ243" s="4">
        <f>IF((0=1),COUNT(C33:AZ33),"")</f>
      </c>
      <c r="BA243" s="4">
        <f>IF((0=1),COUNT(C33:BA33),"")</f>
      </c>
      <c r="BB243" s="4">
        <f>IF((0=1),COUNT(C33:BB33),"")</f>
      </c>
      <c r="BC243" s="4">
        <f>IF((0=1),COUNT(C33:BC33),"")</f>
      </c>
      <c r="BD243" s="4">
        <f>IF((0=1),COUNT(C33:BD33),"")</f>
      </c>
      <c r="BE243" s="4">
        <f>IF((0=1),COUNT(C33:BE33),"")</f>
      </c>
      <c r="BF243" s="4">
        <f>IF((0=1),COUNT(C33:BF33),"")</f>
      </c>
      <c r="BG243" s="4">
        <f>IF((0=1),COUNT(C33:BG33),"")</f>
      </c>
      <c r="BH243" s="4">
        <f>IF((0=1),COUNT(C33:BH33),"")</f>
      </c>
      <c r="BI243" s="4">
        <f>IF((0=1),COUNT(C33:BI33),"")</f>
      </c>
      <c r="BJ243" s="4">
        <f>IF((0=1),COUNT(C33:BJ33),"")</f>
      </c>
      <c r="BK243" s="4">
        <f>IF((0=1),COUNT(C33:BK33),"")</f>
      </c>
      <c r="BL243" s="4">
        <f>IF((0=1),COUNT(C33:BL33),"")</f>
      </c>
      <c r="BM243" s="4">
        <f>IF((0=1),COUNT(C33:BM33),"")</f>
      </c>
      <c r="BN243" s="4">
        <f>IF((0=1),COUNT(C33:BN33),"")</f>
      </c>
      <c r="BO243" s="4">
        <f>IF((0=1),COUNT(C33:BO33),"")</f>
      </c>
      <c r="BP243" s="4">
        <f>IF((0=1),COUNT(C33:BP33),"")</f>
      </c>
      <c r="BQ243" s="4">
        <f>IF((0=1),COUNT(C33:BQ33),"")</f>
      </c>
      <c r="BR243" s="4">
        <f>IF((0=1),COUNT(C33:BR33),"")</f>
      </c>
      <c r="BS243" s="4">
        <f>IF((0=1),COUNT(C33:BS33),"")</f>
      </c>
      <c r="BT243" s="4">
        <f>IF((0=1),COUNT(C33:BT33),"")</f>
      </c>
      <c r="BU243" s="4">
        <f>IF((0=1),COUNT(C33:BU33),"")</f>
      </c>
      <c r="BV243" s="4">
        <f>IF((0=1),COUNT(C33:BV33),"")</f>
      </c>
      <c r="BW243" s="4">
        <f>IF((0=1),COUNT(C33:BW33),"")</f>
      </c>
      <c r="BX243" s="4">
        <f>IF((0=1),COUNT(C33:BX33),"")</f>
      </c>
      <c r="BY243" s="4">
        <f>IF((0=1),COUNT(C33:BY33),"")</f>
      </c>
      <c r="BZ243" s="4">
        <f>IF((0=1),COUNT(C33:BZ33),"")</f>
      </c>
      <c r="CA243" s="4">
        <f>IF((0=1),COUNT(C33:CA33),"")</f>
      </c>
      <c r="CB243" s="4">
        <f>IF((0=1),COUNT(C33:CB33),"")</f>
      </c>
      <c r="CC243" s="4">
        <f>IF((0=1),COUNT(C33:CC33),"")</f>
      </c>
      <c r="CD243" s="4">
        <f>IF((0=1),COUNT(C33:CD33),"")</f>
      </c>
      <c r="CE243" s="4">
        <f>IF((0=1),COUNT(C33:CE33),"")</f>
      </c>
      <c r="CF243" s="4">
        <f>IF((0=1),COUNT(C33:CF33),"")</f>
      </c>
      <c r="CG243" s="4">
        <f>IF((0=1),COUNT(C33:CG33),"")</f>
      </c>
      <c r="CH243" s="4">
        <f>IF((0=1),COUNT(C33:CH33),"")</f>
      </c>
      <c r="CI243" s="4">
        <f>IF((0=1),COUNT(C33:CI33),"")</f>
      </c>
      <c r="CJ243" s="4">
        <f>IF((0=1),COUNT(C33:CJ33),"")</f>
      </c>
      <c r="CK243" s="4">
        <f>IF((0=1),COUNT(C33:CK33),"")</f>
      </c>
      <c r="CL243" s="4">
        <f>IF((0=1),COUNT(C33:CL33),"")</f>
      </c>
      <c r="CM243" s="4">
        <f>IF((0=1),COUNT(C33:CM33),"")</f>
      </c>
      <c r="CN243" s="4">
        <f>IF((0=1),COUNT(C33:CN33),"")</f>
      </c>
      <c r="CO243" s="4">
        <f>IF((0=1),COUNT(C33:CO33),"")</f>
      </c>
      <c r="CP243" s="4">
        <f>IF((0=1),COUNT(C33:CP33),"")</f>
      </c>
      <c r="CQ243" s="4">
        <f>IF((0=1),COUNT(C33:CQ33),"")</f>
      </c>
      <c r="CR243" s="4">
        <f>IF((0=1),COUNT(C33:CR33),"")</f>
      </c>
      <c r="CS243" s="4">
        <f>IF((0=1),COUNT(C33:CS33),"")</f>
      </c>
      <c r="CT243" s="4">
        <f>IF((0=1),COUNT(C33:CT33),"")</f>
      </c>
      <c r="CU243" s="4">
        <f>IF((0=1),COUNT(C33:CU33),"")</f>
      </c>
      <c r="CV243" s="4">
        <f>IF((0=1),COUNT(C33:CV33),"")</f>
      </c>
      <c r="CW243" s="4">
        <f>IF((0=1),COUNT(C33:CW33),"")</f>
      </c>
      <c r="CX243" s="4">
        <f>IF((0=1),COUNT(C33:CX33),"")</f>
      </c>
    </row>
    <row r="244">
      <c r="A244" s="0" t="inlineStr">
        <is>
          <t xml:space="preserve">Evaluated days to date</t>
        </is>
      </c>
      <c r="B244" s="0" t="inlineStr">
        <is>
          <t xml:space="preserve">Random 18</t>
        </is>
      </c>
      <c r="C244" s="4">
        <f>IF((1=1),COUNT(C34),"")</f>
        <v>1</v>
      </c>
      <c r="D244" s="4">
        <f>IF((0=1),COUNT(C34:D34),"")</f>
      </c>
      <c r="E244" s="4">
        <f>IF((0=1),COUNT(C34:E34),"")</f>
      </c>
      <c r="F244" s="4">
        <f>IF((0=1),COUNT(C34:F34),"")</f>
      </c>
      <c r="G244" s="4">
        <f>IF((0=1),COUNT(C34:G34),"")</f>
      </c>
      <c r="H244" s="4">
        <f>IF((0=1),COUNT(C34:H34),"")</f>
      </c>
      <c r="I244" s="4">
        <f>IF((0=1),COUNT(C34:I34),"")</f>
      </c>
      <c r="J244" s="4">
        <f>IF((0=1),COUNT(C34:J34),"")</f>
      </c>
      <c r="K244" s="4">
        <f>IF((0=1),COUNT(C34:K34),"")</f>
      </c>
      <c r="L244" s="4">
        <f>IF((0=1),COUNT(C34:L34),"")</f>
      </c>
      <c r="M244" s="4">
        <f>IF((0=1),COUNT(C34:M34),"")</f>
      </c>
      <c r="N244" s="4">
        <f>IF((0=1),COUNT(C34:N34),"")</f>
      </c>
      <c r="O244" s="4">
        <f>IF((0=1),COUNT(C34:O34),"")</f>
      </c>
      <c r="P244" s="4">
        <f>IF((0=1),COUNT(C34:P34),"")</f>
      </c>
      <c r="Q244" s="4">
        <f>IF((0=1),COUNT(C34:Q34),"")</f>
      </c>
      <c r="R244" s="4">
        <f>IF((0=1),COUNT(C34:R34),"")</f>
      </c>
      <c r="S244" s="4">
        <f>IF((0=1),COUNT(C34:S34),"")</f>
      </c>
      <c r="T244" s="4">
        <f>IF((0=1),COUNT(C34:T34),"")</f>
      </c>
      <c r="U244" s="4">
        <f>IF((0=1),COUNT(C34:U34),"")</f>
      </c>
      <c r="V244" s="4">
        <f>IF((0=1),COUNT(C34:V34),"")</f>
      </c>
      <c r="W244" s="4">
        <f>IF((0=1),COUNT(C34:W34),"")</f>
      </c>
      <c r="X244" s="4">
        <f>IF((0=1),COUNT(C34:X34),"")</f>
      </c>
      <c r="Y244" s="4">
        <f>IF((0=1),COUNT(C34:Y34),"")</f>
      </c>
      <c r="Z244" s="4">
        <f>IF((0=1),COUNT(C34:Z34),"")</f>
      </c>
      <c r="AA244" s="4">
        <f>IF((0=1),COUNT(C34:AA34),"")</f>
      </c>
      <c r="AB244" s="4">
        <f>IF((0=1),COUNT(C34:AB34),"")</f>
      </c>
      <c r="AC244" s="4">
        <f>IF((0=1),COUNT(C34:AC34),"")</f>
      </c>
      <c r="AD244" s="4">
        <f>IF((0=1),COUNT(C34:AD34),"")</f>
      </c>
      <c r="AE244" s="4">
        <f>IF((0=1),COUNT(C34:AE34),"")</f>
      </c>
      <c r="AF244" s="4">
        <f>IF((0=1),COUNT(C34:AF34),"")</f>
      </c>
      <c r="AG244" s="4">
        <f>IF((0=1),COUNT(C34:AG34),"")</f>
      </c>
      <c r="AH244" s="4">
        <f>IF((0=1),COUNT(C34:AH34),"")</f>
      </c>
      <c r="AI244" s="4">
        <f>IF((0=1),COUNT(C34:AI34),"")</f>
      </c>
      <c r="AJ244" s="4">
        <f>IF((0=1),COUNT(C34:AJ34),"")</f>
      </c>
      <c r="AK244" s="4">
        <f>IF((0=1),COUNT(C34:AK34),"")</f>
      </c>
      <c r="AL244" s="4">
        <f>IF((0=1),COUNT(C34:AL34),"")</f>
      </c>
      <c r="AM244" s="4">
        <f>IF((0=1),COUNT(C34:AM34),"")</f>
      </c>
      <c r="AN244" s="4">
        <f>IF((0=1),COUNT(C34:AN34),"")</f>
      </c>
      <c r="AO244" s="4">
        <f>IF((0=1),COUNT(C34:AO34),"")</f>
      </c>
      <c r="AP244" s="4">
        <f>IF((0=1),COUNT(C34:AP34),"")</f>
      </c>
      <c r="AQ244" s="4">
        <f>IF((0=1),COUNT(C34:AQ34),"")</f>
      </c>
      <c r="AR244" s="4">
        <f>IF((0=1),COUNT(C34:AR34),"")</f>
      </c>
      <c r="AS244" s="4">
        <f>IF((0=1),COUNT(C34:AS34),"")</f>
      </c>
      <c r="AT244" s="4">
        <f>IF((0=1),COUNT(C34:AT34),"")</f>
      </c>
      <c r="AU244" s="4">
        <f>IF((0=1),COUNT(C34:AU34),"")</f>
      </c>
      <c r="AV244" s="4">
        <f>IF((0=1),COUNT(C34:AV34),"")</f>
      </c>
      <c r="AW244" s="4">
        <f>IF((0=1),COUNT(C34:AW34),"")</f>
      </c>
      <c r="AX244" s="4">
        <f>IF((0=1),COUNT(C34:AX34),"")</f>
      </c>
      <c r="AY244" s="4">
        <f>IF((0=1),COUNT(C34:AY34),"")</f>
      </c>
      <c r="AZ244" s="4">
        <f>IF((0=1),COUNT(C34:AZ34),"")</f>
      </c>
      <c r="BA244" s="4">
        <f>IF((0=1),COUNT(C34:BA34),"")</f>
      </c>
      <c r="BB244" s="4">
        <f>IF((0=1),COUNT(C34:BB34),"")</f>
      </c>
      <c r="BC244" s="4">
        <f>IF((0=1),COUNT(C34:BC34),"")</f>
      </c>
      <c r="BD244" s="4">
        <f>IF((0=1),COUNT(C34:BD34),"")</f>
      </c>
      <c r="BE244" s="4">
        <f>IF((0=1),COUNT(C34:BE34),"")</f>
      </c>
      <c r="BF244" s="4">
        <f>IF((0=1),COUNT(C34:BF34),"")</f>
      </c>
      <c r="BG244" s="4">
        <f>IF((0=1),COUNT(C34:BG34),"")</f>
      </c>
      <c r="BH244" s="4">
        <f>IF((0=1),COUNT(C34:BH34),"")</f>
      </c>
      <c r="BI244" s="4">
        <f>IF((0=1),COUNT(C34:BI34),"")</f>
      </c>
      <c r="BJ244" s="4">
        <f>IF((0=1),COUNT(C34:BJ34),"")</f>
      </c>
      <c r="BK244" s="4">
        <f>IF((0=1),COUNT(C34:BK34),"")</f>
      </c>
      <c r="BL244" s="4">
        <f>IF((0=1),COUNT(C34:BL34),"")</f>
      </c>
      <c r="BM244" s="4">
        <f>IF((0=1),COUNT(C34:BM34),"")</f>
      </c>
      <c r="BN244" s="4">
        <f>IF((0=1),COUNT(C34:BN34),"")</f>
      </c>
      <c r="BO244" s="4">
        <f>IF((0=1),COUNT(C34:BO34),"")</f>
      </c>
      <c r="BP244" s="4">
        <f>IF((0=1),COUNT(C34:BP34),"")</f>
      </c>
      <c r="BQ244" s="4">
        <f>IF((0=1),COUNT(C34:BQ34),"")</f>
      </c>
      <c r="BR244" s="4">
        <f>IF((0=1),COUNT(C34:BR34),"")</f>
      </c>
      <c r="BS244" s="4">
        <f>IF((0=1),COUNT(C34:BS34),"")</f>
      </c>
      <c r="BT244" s="4">
        <f>IF((0=1),COUNT(C34:BT34),"")</f>
      </c>
      <c r="BU244" s="4">
        <f>IF((0=1),COUNT(C34:BU34),"")</f>
      </c>
      <c r="BV244" s="4">
        <f>IF((0=1),COUNT(C34:BV34),"")</f>
      </c>
      <c r="BW244" s="4">
        <f>IF((0=1),COUNT(C34:BW34),"")</f>
      </c>
      <c r="BX244" s="4">
        <f>IF((0=1),COUNT(C34:BX34),"")</f>
      </c>
      <c r="BY244" s="4">
        <f>IF((0=1),COUNT(C34:BY34),"")</f>
      </c>
      <c r="BZ244" s="4">
        <f>IF((0=1),COUNT(C34:BZ34),"")</f>
      </c>
      <c r="CA244" s="4">
        <f>IF((0=1),COUNT(C34:CA34),"")</f>
      </c>
      <c r="CB244" s="4">
        <f>IF((0=1),COUNT(C34:CB34),"")</f>
      </c>
      <c r="CC244" s="4">
        <f>IF((0=1),COUNT(C34:CC34),"")</f>
      </c>
      <c r="CD244" s="4">
        <f>IF((0=1),COUNT(C34:CD34),"")</f>
      </c>
      <c r="CE244" s="4">
        <f>IF((0=1),COUNT(C34:CE34),"")</f>
      </c>
      <c r="CF244" s="4">
        <f>IF((0=1),COUNT(C34:CF34),"")</f>
      </c>
      <c r="CG244" s="4">
        <f>IF((0=1),COUNT(C34:CG34),"")</f>
      </c>
      <c r="CH244" s="4">
        <f>IF((0=1),COUNT(C34:CH34),"")</f>
      </c>
      <c r="CI244" s="4">
        <f>IF((0=1),COUNT(C34:CI34),"")</f>
      </c>
      <c r="CJ244" s="4">
        <f>IF((0=1),COUNT(C34:CJ34),"")</f>
      </c>
      <c r="CK244" s="4">
        <f>IF((0=1),COUNT(C34:CK34),"")</f>
      </c>
      <c r="CL244" s="4">
        <f>IF((0=1),COUNT(C34:CL34),"")</f>
      </c>
      <c r="CM244" s="4">
        <f>IF((0=1),COUNT(C34:CM34),"")</f>
      </c>
      <c r="CN244" s="4">
        <f>IF((0=1),COUNT(C34:CN34),"")</f>
      </c>
      <c r="CO244" s="4">
        <f>IF((0=1),COUNT(C34:CO34),"")</f>
      </c>
      <c r="CP244" s="4">
        <f>IF((0=1),COUNT(C34:CP34),"")</f>
      </c>
      <c r="CQ244" s="4">
        <f>IF((0=1),COUNT(C34:CQ34),"")</f>
      </c>
      <c r="CR244" s="4">
        <f>IF((0=1),COUNT(C34:CR34),"")</f>
      </c>
      <c r="CS244" s="4">
        <f>IF((0=1),COUNT(C34:CS34),"")</f>
      </c>
      <c r="CT244" s="4">
        <f>IF((0=1),COUNT(C34:CT34),"")</f>
      </c>
      <c r="CU244" s="4">
        <f>IF((0=1),COUNT(C34:CU34),"")</f>
      </c>
      <c r="CV244" s="4">
        <f>IF((0=1),COUNT(C34:CV34),"")</f>
      </c>
      <c r="CW244" s="4">
        <f>IF((0=1),COUNT(C34:CW34),"")</f>
      </c>
      <c r="CX244" s="4">
        <f>IF((0=1),COUNT(C34:CX34),"")</f>
      </c>
    </row>
    <row r="245">
      <c r="A245" s="0" t="inlineStr">
        <is>
          <t xml:space="preserve">Evaluated days to date</t>
        </is>
      </c>
      <c r="B245" s="0" t="inlineStr">
        <is>
          <t xml:space="preserve">Random 19</t>
        </is>
      </c>
      <c r="C245" s="4">
        <f>IF((1=1),COUNT(C35),"")</f>
        <v>1</v>
      </c>
      <c r="D245" s="4">
        <f>IF((0=1),COUNT(C35:D35),"")</f>
      </c>
      <c r="E245" s="4">
        <f>IF((0=1),COUNT(C35:E35),"")</f>
      </c>
      <c r="F245" s="4">
        <f>IF((0=1),COUNT(C35:F35),"")</f>
      </c>
      <c r="G245" s="4">
        <f>IF((0=1),COUNT(C35:G35),"")</f>
      </c>
      <c r="H245" s="4">
        <f>IF((0=1),COUNT(C35:H35),"")</f>
      </c>
      <c r="I245" s="4">
        <f>IF((0=1),COUNT(C35:I35),"")</f>
      </c>
      <c r="J245" s="4">
        <f>IF((0=1),COUNT(C35:J35),"")</f>
      </c>
      <c r="K245" s="4">
        <f>IF((0=1),COUNT(C35:K35),"")</f>
      </c>
      <c r="L245" s="4">
        <f>IF((0=1),COUNT(C35:L35),"")</f>
      </c>
      <c r="M245" s="4">
        <f>IF((0=1),COUNT(C35:M35),"")</f>
      </c>
      <c r="N245" s="4">
        <f>IF((0=1),COUNT(C35:N35),"")</f>
      </c>
      <c r="O245" s="4">
        <f>IF((0=1),COUNT(C35:O35),"")</f>
      </c>
      <c r="P245" s="4">
        <f>IF((0=1),COUNT(C35:P35),"")</f>
      </c>
      <c r="Q245" s="4">
        <f>IF((0=1),COUNT(C35:Q35),"")</f>
      </c>
      <c r="R245" s="4">
        <f>IF((0=1),COUNT(C35:R35),"")</f>
      </c>
      <c r="S245" s="4">
        <f>IF((0=1),COUNT(C35:S35),"")</f>
      </c>
      <c r="T245" s="4">
        <f>IF((0=1),COUNT(C35:T35),"")</f>
      </c>
      <c r="U245" s="4">
        <f>IF((0=1),COUNT(C35:U35),"")</f>
      </c>
      <c r="V245" s="4">
        <f>IF((0=1),COUNT(C35:V35),"")</f>
      </c>
      <c r="W245" s="4">
        <f>IF((0=1),COUNT(C35:W35),"")</f>
      </c>
      <c r="X245" s="4">
        <f>IF((0=1),COUNT(C35:X35),"")</f>
      </c>
      <c r="Y245" s="4">
        <f>IF((0=1),COUNT(C35:Y35),"")</f>
      </c>
      <c r="Z245" s="4">
        <f>IF((0=1),COUNT(C35:Z35),"")</f>
      </c>
      <c r="AA245" s="4">
        <f>IF((0=1),COUNT(C35:AA35),"")</f>
      </c>
      <c r="AB245" s="4">
        <f>IF((0=1),COUNT(C35:AB35),"")</f>
      </c>
      <c r="AC245" s="4">
        <f>IF((0=1),COUNT(C35:AC35),"")</f>
      </c>
      <c r="AD245" s="4">
        <f>IF((0=1),COUNT(C35:AD35),"")</f>
      </c>
      <c r="AE245" s="4">
        <f>IF((0=1),COUNT(C35:AE35),"")</f>
      </c>
      <c r="AF245" s="4">
        <f>IF((0=1),COUNT(C35:AF35),"")</f>
      </c>
      <c r="AG245" s="4">
        <f>IF((0=1),COUNT(C35:AG35),"")</f>
      </c>
      <c r="AH245" s="4">
        <f>IF((0=1),COUNT(C35:AH35),"")</f>
      </c>
      <c r="AI245" s="4">
        <f>IF((0=1),COUNT(C35:AI35),"")</f>
      </c>
      <c r="AJ245" s="4">
        <f>IF((0=1),COUNT(C35:AJ35),"")</f>
      </c>
      <c r="AK245" s="4">
        <f>IF((0=1),COUNT(C35:AK35),"")</f>
      </c>
      <c r="AL245" s="4">
        <f>IF((0=1),COUNT(C35:AL35),"")</f>
      </c>
      <c r="AM245" s="4">
        <f>IF((0=1),COUNT(C35:AM35),"")</f>
      </c>
      <c r="AN245" s="4">
        <f>IF((0=1),COUNT(C35:AN35),"")</f>
      </c>
      <c r="AO245" s="4">
        <f>IF((0=1),COUNT(C35:AO35),"")</f>
      </c>
      <c r="AP245" s="4">
        <f>IF((0=1),COUNT(C35:AP35),"")</f>
      </c>
      <c r="AQ245" s="4">
        <f>IF((0=1),COUNT(C35:AQ35),"")</f>
      </c>
      <c r="AR245" s="4">
        <f>IF((0=1),COUNT(C35:AR35),"")</f>
      </c>
      <c r="AS245" s="4">
        <f>IF((0=1),COUNT(C35:AS35),"")</f>
      </c>
      <c r="AT245" s="4">
        <f>IF((0=1),COUNT(C35:AT35),"")</f>
      </c>
      <c r="AU245" s="4">
        <f>IF((0=1),COUNT(C35:AU35),"")</f>
      </c>
      <c r="AV245" s="4">
        <f>IF((0=1),COUNT(C35:AV35),"")</f>
      </c>
      <c r="AW245" s="4">
        <f>IF((0=1),COUNT(C35:AW35),"")</f>
      </c>
      <c r="AX245" s="4">
        <f>IF((0=1),COUNT(C35:AX35),"")</f>
      </c>
      <c r="AY245" s="4">
        <f>IF((0=1),COUNT(C35:AY35),"")</f>
      </c>
      <c r="AZ245" s="4">
        <f>IF((0=1),COUNT(C35:AZ35),"")</f>
      </c>
      <c r="BA245" s="4">
        <f>IF((0=1),COUNT(C35:BA35),"")</f>
      </c>
      <c r="BB245" s="4">
        <f>IF((0=1),COUNT(C35:BB35),"")</f>
      </c>
      <c r="BC245" s="4">
        <f>IF((0=1),COUNT(C35:BC35),"")</f>
      </c>
      <c r="BD245" s="4">
        <f>IF((0=1),COUNT(C35:BD35),"")</f>
      </c>
      <c r="BE245" s="4">
        <f>IF((0=1),COUNT(C35:BE35),"")</f>
      </c>
      <c r="BF245" s="4">
        <f>IF((0=1),COUNT(C35:BF35),"")</f>
      </c>
      <c r="BG245" s="4">
        <f>IF((0=1),COUNT(C35:BG35),"")</f>
      </c>
      <c r="BH245" s="4">
        <f>IF((0=1),COUNT(C35:BH35),"")</f>
      </c>
      <c r="BI245" s="4">
        <f>IF((0=1),COUNT(C35:BI35),"")</f>
      </c>
      <c r="BJ245" s="4">
        <f>IF((0=1),COUNT(C35:BJ35),"")</f>
      </c>
      <c r="BK245" s="4">
        <f>IF((0=1),COUNT(C35:BK35),"")</f>
      </c>
      <c r="BL245" s="4">
        <f>IF((0=1),COUNT(C35:BL35),"")</f>
      </c>
      <c r="BM245" s="4">
        <f>IF((0=1),COUNT(C35:BM35),"")</f>
      </c>
      <c r="BN245" s="4">
        <f>IF((0=1),COUNT(C35:BN35),"")</f>
      </c>
      <c r="BO245" s="4">
        <f>IF((0=1),COUNT(C35:BO35),"")</f>
      </c>
      <c r="BP245" s="4">
        <f>IF((0=1),COUNT(C35:BP35),"")</f>
      </c>
      <c r="BQ245" s="4">
        <f>IF((0=1),COUNT(C35:BQ35),"")</f>
      </c>
      <c r="BR245" s="4">
        <f>IF((0=1),COUNT(C35:BR35),"")</f>
      </c>
      <c r="BS245" s="4">
        <f>IF((0=1),COUNT(C35:BS35),"")</f>
      </c>
      <c r="BT245" s="4">
        <f>IF((0=1),COUNT(C35:BT35),"")</f>
      </c>
      <c r="BU245" s="4">
        <f>IF((0=1),COUNT(C35:BU35),"")</f>
      </c>
      <c r="BV245" s="4">
        <f>IF((0=1),COUNT(C35:BV35),"")</f>
      </c>
      <c r="BW245" s="4">
        <f>IF((0=1),COUNT(C35:BW35),"")</f>
      </c>
      <c r="BX245" s="4">
        <f>IF((0=1),COUNT(C35:BX35),"")</f>
      </c>
      <c r="BY245" s="4">
        <f>IF((0=1),COUNT(C35:BY35),"")</f>
      </c>
      <c r="BZ245" s="4">
        <f>IF((0=1),COUNT(C35:BZ35),"")</f>
      </c>
      <c r="CA245" s="4">
        <f>IF((0=1),COUNT(C35:CA35),"")</f>
      </c>
      <c r="CB245" s="4">
        <f>IF((0=1),COUNT(C35:CB35),"")</f>
      </c>
      <c r="CC245" s="4">
        <f>IF((0=1),COUNT(C35:CC35),"")</f>
      </c>
      <c r="CD245" s="4">
        <f>IF((0=1),COUNT(C35:CD35),"")</f>
      </c>
      <c r="CE245" s="4">
        <f>IF((0=1),COUNT(C35:CE35),"")</f>
      </c>
      <c r="CF245" s="4">
        <f>IF((0=1),COUNT(C35:CF35),"")</f>
      </c>
      <c r="CG245" s="4">
        <f>IF((0=1),COUNT(C35:CG35),"")</f>
      </c>
      <c r="CH245" s="4">
        <f>IF((0=1),COUNT(C35:CH35),"")</f>
      </c>
      <c r="CI245" s="4">
        <f>IF((0=1),COUNT(C35:CI35),"")</f>
      </c>
      <c r="CJ245" s="4">
        <f>IF((0=1),COUNT(C35:CJ35),"")</f>
      </c>
      <c r="CK245" s="4">
        <f>IF((0=1),COUNT(C35:CK35),"")</f>
      </c>
      <c r="CL245" s="4">
        <f>IF((0=1),COUNT(C35:CL35),"")</f>
      </c>
      <c r="CM245" s="4">
        <f>IF((0=1),COUNT(C35:CM35),"")</f>
      </c>
      <c r="CN245" s="4">
        <f>IF((0=1),COUNT(C35:CN35),"")</f>
      </c>
      <c r="CO245" s="4">
        <f>IF((0=1),COUNT(C35:CO35),"")</f>
      </c>
      <c r="CP245" s="4">
        <f>IF((0=1),COUNT(C35:CP35),"")</f>
      </c>
      <c r="CQ245" s="4">
        <f>IF((0=1),COUNT(C35:CQ35),"")</f>
      </c>
      <c r="CR245" s="4">
        <f>IF((0=1),COUNT(C35:CR35),"")</f>
      </c>
      <c r="CS245" s="4">
        <f>IF((0=1),COUNT(C35:CS35),"")</f>
      </c>
      <c r="CT245" s="4">
        <f>IF((0=1),COUNT(C35:CT35),"")</f>
      </c>
      <c r="CU245" s="4">
        <f>IF((0=1),COUNT(C35:CU35),"")</f>
      </c>
      <c r="CV245" s="4">
        <f>IF((0=1),COUNT(C35:CV35),"")</f>
      </c>
      <c r="CW245" s="4">
        <f>IF((0=1),COUNT(C35:CW35),"")</f>
      </c>
      <c r="CX245" s="4">
        <f>IF((0=1),COUNT(C35:CX35),"")</f>
      </c>
    </row>
    <row r="246">
      <c r="A246" s="0" t="inlineStr">
        <is>
          <t xml:space="preserve">Evaluated days to date</t>
        </is>
      </c>
      <c r="B246" s="0" t="inlineStr">
        <is>
          <t xml:space="preserve">Random 20</t>
        </is>
      </c>
      <c r="C246" s="4">
        <f>IF((1=1),COUNT(C36),"")</f>
        <v>1</v>
      </c>
      <c r="D246" s="4">
        <f>IF((0=1),COUNT(C36:D36),"")</f>
      </c>
      <c r="E246" s="4">
        <f>IF((0=1),COUNT(C36:E36),"")</f>
      </c>
      <c r="F246" s="4">
        <f>IF((0=1),COUNT(C36:F36),"")</f>
      </c>
      <c r="G246" s="4">
        <f>IF((0=1),COUNT(C36:G36),"")</f>
      </c>
      <c r="H246" s="4">
        <f>IF((0=1),COUNT(C36:H36),"")</f>
      </c>
      <c r="I246" s="4">
        <f>IF((0=1),COUNT(C36:I36),"")</f>
      </c>
      <c r="J246" s="4">
        <f>IF((0=1),COUNT(C36:J36),"")</f>
      </c>
      <c r="K246" s="4">
        <f>IF((0=1),COUNT(C36:K36),"")</f>
      </c>
      <c r="L246" s="4">
        <f>IF((0=1),COUNT(C36:L36),"")</f>
      </c>
      <c r="M246" s="4">
        <f>IF((0=1),COUNT(C36:M36),"")</f>
      </c>
      <c r="N246" s="4">
        <f>IF((0=1),COUNT(C36:N36),"")</f>
      </c>
      <c r="O246" s="4">
        <f>IF((0=1),COUNT(C36:O36),"")</f>
      </c>
      <c r="P246" s="4">
        <f>IF((0=1),COUNT(C36:P36),"")</f>
      </c>
      <c r="Q246" s="4">
        <f>IF((0=1),COUNT(C36:Q36),"")</f>
      </c>
      <c r="R246" s="4">
        <f>IF((0=1),COUNT(C36:R36),"")</f>
      </c>
      <c r="S246" s="4">
        <f>IF((0=1),COUNT(C36:S36),"")</f>
      </c>
      <c r="T246" s="4">
        <f>IF((0=1),COUNT(C36:T36),"")</f>
      </c>
      <c r="U246" s="4">
        <f>IF((0=1),COUNT(C36:U36),"")</f>
      </c>
      <c r="V246" s="4">
        <f>IF((0=1),COUNT(C36:V36),"")</f>
      </c>
      <c r="W246" s="4">
        <f>IF((0=1),COUNT(C36:W36),"")</f>
      </c>
      <c r="X246" s="4">
        <f>IF((0=1),COUNT(C36:X36),"")</f>
      </c>
      <c r="Y246" s="4">
        <f>IF((0=1),COUNT(C36:Y36),"")</f>
      </c>
      <c r="Z246" s="4">
        <f>IF((0=1),COUNT(C36:Z36),"")</f>
      </c>
      <c r="AA246" s="4">
        <f>IF((0=1),COUNT(C36:AA36),"")</f>
      </c>
      <c r="AB246" s="4">
        <f>IF((0=1),COUNT(C36:AB36),"")</f>
      </c>
      <c r="AC246" s="4">
        <f>IF((0=1),COUNT(C36:AC36),"")</f>
      </c>
      <c r="AD246" s="4">
        <f>IF((0=1),COUNT(C36:AD36),"")</f>
      </c>
      <c r="AE246" s="4">
        <f>IF((0=1),COUNT(C36:AE36),"")</f>
      </c>
      <c r="AF246" s="4">
        <f>IF((0=1),COUNT(C36:AF36),"")</f>
      </c>
      <c r="AG246" s="4">
        <f>IF((0=1),COUNT(C36:AG36),"")</f>
      </c>
      <c r="AH246" s="4">
        <f>IF((0=1),COUNT(C36:AH36),"")</f>
      </c>
      <c r="AI246" s="4">
        <f>IF((0=1),COUNT(C36:AI36),"")</f>
      </c>
      <c r="AJ246" s="4">
        <f>IF((0=1),COUNT(C36:AJ36),"")</f>
      </c>
      <c r="AK246" s="4">
        <f>IF((0=1),COUNT(C36:AK36),"")</f>
      </c>
      <c r="AL246" s="4">
        <f>IF((0=1),COUNT(C36:AL36),"")</f>
      </c>
      <c r="AM246" s="4">
        <f>IF((0=1),COUNT(C36:AM36),"")</f>
      </c>
      <c r="AN246" s="4">
        <f>IF((0=1),COUNT(C36:AN36),"")</f>
      </c>
      <c r="AO246" s="4">
        <f>IF((0=1),COUNT(C36:AO36),"")</f>
      </c>
      <c r="AP246" s="4">
        <f>IF((0=1),COUNT(C36:AP36),"")</f>
      </c>
      <c r="AQ246" s="4">
        <f>IF((0=1),COUNT(C36:AQ36),"")</f>
      </c>
      <c r="AR246" s="4">
        <f>IF((0=1),COUNT(C36:AR36),"")</f>
      </c>
      <c r="AS246" s="4">
        <f>IF((0=1),COUNT(C36:AS36),"")</f>
      </c>
      <c r="AT246" s="4">
        <f>IF((0=1),COUNT(C36:AT36),"")</f>
      </c>
      <c r="AU246" s="4">
        <f>IF((0=1),COUNT(C36:AU36),"")</f>
      </c>
      <c r="AV246" s="4">
        <f>IF((0=1),COUNT(C36:AV36),"")</f>
      </c>
      <c r="AW246" s="4">
        <f>IF((0=1),COUNT(C36:AW36),"")</f>
      </c>
      <c r="AX246" s="4">
        <f>IF((0=1),COUNT(C36:AX36),"")</f>
      </c>
      <c r="AY246" s="4">
        <f>IF((0=1),COUNT(C36:AY36),"")</f>
      </c>
      <c r="AZ246" s="4">
        <f>IF((0=1),COUNT(C36:AZ36),"")</f>
      </c>
      <c r="BA246" s="4">
        <f>IF((0=1),COUNT(C36:BA36),"")</f>
      </c>
      <c r="BB246" s="4">
        <f>IF((0=1),COUNT(C36:BB36),"")</f>
      </c>
      <c r="BC246" s="4">
        <f>IF((0=1),COUNT(C36:BC36),"")</f>
      </c>
      <c r="BD246" s="4">
        <f>IF((0=1),COUNT(C36:BD36),"")</f>
      </c>
      <c r="BE246" s="4">
        <f>IF((0=1),COUNT(C36:BE36),"")</f>
      </c>
      <c r="BF246" s="4">
        <f>IF((0=1),COUNT(C36:BF36),"")</f>
      </c>
      <c r="BG246" s="4">
        <f>IF((0=1),COUNT(C36:BG36),"")</f>
      </c>
      <c r="BH246" s="4">
        <f>IF((0=1),COUNT(C36:BH36),"")</f>
      </c>
      <c r="BI246" s="4">
        <f>IF((0=1),COUNT(C36:BI36),"")</f>
      </c>
      <c r="BJ246" s="4">
        <f>IF((0=1),COUNT(C36:BJ36),"")</f>
      </c>
      <c r="BK246" s="4">
        <f>IF((0=1),COUNT(C36:BK36),"")</f>
      </c>
      <c r="BL246" s="4">
        <f>IF((0=1),COUNT(C36:BL36),"")</f>
      </c>
      <c r="BM246" s="4">
        <f>IF((0=1),COUNT(C36:BM36),"")</f>
      </c>
      <c r="BN246" s="4">
        <f>IF((0=1),COUNT(C36:BN36),"")</f>
      </c>
      <c r="BO246" s="4">
        <f>IF((0=1),COUNT(C36:BO36),"")</f>
      </c>
      <c r="BP246" s="4">
        <f>IF((0=1),COUNT(C36:BP36),"")</f>
      </c>
      <c r="BQ246" s="4">
        <f>IF((0=1),COUNT(C36:BQ36),"")</f>
      </c>
      <c r="BR246" s="4">
        <f>IF((0=1),COUNT(C36:BR36),"")</f>
      </c>
      <c r="BS246" s="4">
        <f>IF((0=1),COUNT(C36:BS36),"")</f>
      </c>
      <c r="BT246" s="4">
        <f>IF((0=1),COUNT(C36:BT36),"")</f>
      </c>
      <c r="BU246" s="4">
        <f>IF((0=1),COUNT(C36:BU36),"")</f>
      </c>
      <c r="BV246" s="4">
        <f>IF((0=1),COUNT(C36:BV36),"")</f>
      </c>
      <c r="BW246" s="4">
        <f>IF((0=1),COUNT(C36:BW36),"")</f>
      </c>
      <c r="BX246" s="4">
        <f>IF((0=1),COUNT(C36:BX36),"")</f>
      </c>
      <c r="BY246" s="4">
        <f>IF((0=1),COUNT(C36:BY36),"")</f>
      </c>
      <c r="BZ246" s="4">
        <f>IF((0=1),COUNT(C36:BZ36),"")</f>
      </c>
      <c r="CA246" s="4">
        <f>IF((0=1),COUNT(C36:CA36),"")</f>
      </c>
      <c r="CB246" s="4">
        <f>IF((0=1),COUNT(C36:CB36),"")</f>
      </c>
      <c r="CC246" s="4">
        <f>IF((0=1),COUNT(C36:CC36),"")</f>
      </c>
      <c r="CD246" s="4">
        <f>IF((0=1),COUNT(C36:CD36),"")</f>
      </c>
      <c r="CE246" s="4">
        <f>IF((0=1),COUNT(C36:CE36),"")</f>
      </c>
      <c r="CF246" s="4">
        <f>IF((0=1),COUNT(C36:CF36),"")</f>
      </c>
      <c r="CG246" s="4">
        <f>IF((0=1),COUNT(C36:CG36),"")</f>
      </c>
      <c r="CH246" s="4">
        <f>IF((0=1),COUNT(C36:CH36),"")</f>
      </c>
      <c r="CI246" s="4">
        <f>IF((0=1),COUNT(C36:CI36),"")</f>
      </c>
      <c r="CJ246" s="4">
        <f>IF((0=1),COUNT(C36:CJ36),"")</f>
      </c>
      <c r="CK246" s="4">
        <f>IF((0=1),COUNT(C36:CK36),"")</f>
      </c>
      <c r="CL246" s="4">
        <f>IF((0=1),COUNT(C36:CL36),"")</f>
      </c>
      <c r="CM246" s="4">
        <f>IF((0=1),COUNT(C36:CM36),"")</f>
      </c>
      <c r="CN246" s="4">
        <f>IF((0=1),COUNT(C36:CN36),"")</f>
      </c>
      <c r="CO246" s="4">
        <f>IF((0=1),COUNT(C36:CO36),"")</f>
      </c>
      <c r="CP246" s="4">
        <f>IF((0=1),COUNT(C36:CP36),"")</f>
      </c>
      <c r="CQ246" s="4">
        <f>IF((0=1),COUNT(C36:CQ36),"")</f>
      </c>
      <c r="CR246" s="4">
        <f>IF((0=1),COUNT(C36:CR36),"")</f>
      </c>
      <c r="CS246" s="4">
        <f>IF((0=1),COUNT(C36:CS36),"")</f>
      </c>
      <c r="CT246" s="4">
        <f>IF((0=1),COUNT(C36:CT36),"")</f>
      </c>
      <c r="CU246" s="4">
        <f>IF((0=1),COUNT(C36:CU36),"")</f>
      </c>
      <c r="CV246" s="4">
        <f>IF((0=1),COUNT(C36:CV36),"")</f>
      </c>
      <c r="CW246" s="4">
        <f>IF((0=1),COUNT(C36:CW36),"")</f>
      </c>
      <c r="CX246" s="4">
        <f>IF((0=1),COUNT(C36:CX36),"")</f>
      </c>
    </row>
    <row r="247">
      <c r="A247" s="0" t="inlineStr">
        <is>
          <t xml:space="preserve">Running mean, bps/day</t>
        </is>
      </c>
      <c r="B247" s="0" t="inlineStr">
        <is>
          <t xml:space="preserve">worst 100 by yesterday's close-to-close return</t>
        </is>
      </c>
      <c r="C247" s="8">
        <f>IF((1=1),(C177/C212),"")</f>
        <v>13.654</v>
      </c>
      <c r="D247" s="8">
        <f>IF((0=1),(D177/D212),"")</f>
      </c>
      <c r="E247" s="8">
        <f>IF((0=1),(E177/E212),"")</f>
      </c>
      <c r="F247" s="8">
        <f>IF((0=1),(F177/F212),"")</f>
      </c>
      <c r="G247" s="8">
        <f>IF((0=1),(G177/G212),"")</f>
      </c>
      <c r="H247" s="8">
        <f>IF((0=1),(H177/H212),"")</f>
      </c>
      <c r="I247" s="8">
        <f>IF((0=1),(I177/I212),"")</f>
      </c>
      <c r="J247" s="8">
        <f>IF((0=1),(J177/J212),"")</f>
      </c>
      <c r="K247" s="8">
        <f>IF((0=1),(K177/K212),"")</f>
      </c>
      <c r="L247" s="8">
        <f>IF((0=1),(L177/L212),"")</f>
      </c>
      <c r="M247" s="8">
        <f>IF((0=1),(M177/M212),"")</f>
      </c>
      <c r="N247" s="8">
        <f>IF((0=1),(N177/N212),"")</f>
      </c>
      <c r="O247" s="8">
        <f>IF((0=1),(O177/O212),"")</f>
      </c>
      <c r="P247" s="8">
        <f>IF((0=1),(P177/P212),"")</f>
      </c>
      <c r="Q247" s="8">
        <f>IF((0=1),(Q177/Q212),"")</f>
      </c>
      <c r="R247" s="8">
        <f>IF((0=1),(R177/R212),"")</f>
      </c>
      <c r="S247" s="8">
        <f>IF((0=1),(S177/S212),"")</f>
      </c>
      <c r="T247" s="8">
        <f>IF((0=1),(T177/T212),"")</f>
      </c>
      <c r="U247" s="8">
        <f>IF((0=1),(U177/U212),"")</f>
      </c>
      <c r="V247" s="8">
        <f>IF((0=1),(V177/V212),"")</f>
      </c>
      <c r="W247" s="8">
        <f>IF((0=1),(W177/W212),"")</f>
      </c>
      <c r="X247" s="8">
        <f>IF((0=1),(X177/X212),"")</f>
      </c>
      <c r="Y247" s="8">
        <f>IF((0=1),(Y177/Y212),"")</f>
      </c>
      <c r="Z247" s="8">
        <f>IF((0=1),(Z177/Z212),"")</f>
      </c>
      <c r="AA247" s="8">
        <f>IF((0=1),(AA177/AA212),"")</f>
      </c>
      <c r="AB247" s="8">
        <f>IF((0=1),(AB177/AB212),"")</f>
      </c>
      <c r="AC247" s="8">
        <f>IF((0=1),(AC177/AC212),"")</f>
      </c>
      <c r="AD247" s="8">
        <f>IF((0=1),(AD177/AD212),"")</f>
      </c>
      <c r="AE247" s="8">
        <f>IF((0=1),(AE177/AE212),"")</f>
      </c>
      <c r="AF247" s="8">
        <f>IF((0=1),(AF177/AF212),"")</f>
      </c>
      <c r="AG247" s="8">
        <f>IF((0=1),(AG177/AG212),"")</f>
      </c>
      <c r="AH247" s="8">
        <f>IF((0=1),(AH177/AH212),"")</f>
      </c>
      <c r="AI247" s="8">
        <f>IF((0=1),(AI177/AI212),"")</f>
      </c>
      <c r="AJ247" s="8">
        <f>IF((0=1),(AJ177/AJ212),"")</f>
      </c>
      <c r="AK247" s="8">
        <f>IF((0=1),(AK177/AK212),"")</f>
      </c>
      <c r="AL247" s="8">
        <f>IF((0=1),(AL177/AL212),"")</f>
      </c>
      <c r="AM247" s="8">
        <f>IF((0=1),(AM177/AM212),"")</f>
      </c>
      <c r="AN247" s="8">
        <f>IF((0=1),(AN177/AN212),"")</f>
      </c>
      <c r="AO247" s="8">
        <f>IF((0=1),(AO177/AO212),"")</f>
      </c>
      <c r="AP247" s="8">
        <f>IF((0=1),(AP177/AP212),"")</f>
      </c>
      <c r="AQ247" s="8">
        <f>IF((0=1),(AQ177/AQ212),"")</f>
      </c>
      <c r="AR247" s="8">
        <f>IF((0=1),(AR177/AR212),"")</f>
      </c>
      <c r="AS247" s="8">
        <f>IF((0=1),(AS177/AS212),"")</f>
      </c>
      <c r="AT247" s="8">
        <f>IF((0=1),(AT177/AT212),"")</f>
      </c>
      <c r="AU247" s="8">
        <f>IF((0=1),(AU177/AU212),"")</f>
      </c>
      <c r="AV247" s="8">
        <f>IF((0=1),(AV177/AV212),"")</f>
      </c>
      <c r="AW247" s="8">
        <f>IF((0=1),(AW177/AW212),"")</f>
      </c>
      <c r="AX247" s="8">
        <f>IF((0=1),(AX177/AX212),"")</f>
      </c>
      <c r="AY247" s="8">
        <f>IF((0=1),(AY177/AY212),"")</f>
      </c>
      <c r="AZ247" s="8">
        <f>IF((0=1),(AZ177/AZ212),"")</f>
      </c>
      <c r="BA247" s="8">
        <f>IF((0=1),(BA177/BA212),"")</f>
      </c>
      <c r="BB247" s="8">
        <f>IF((0=1),(BB177/BB212),"")</f>
      </c>
      <c r="BC247" s="8">
        <f>IF((0=1),(BC177/BC212),"")</f>
      </c>
      <c r="BD247" s="8">
        <f>IF((0=1),(BD177/BD212),"")</f>
      </c>
      <c r="BE247" s="8">
        <f>IF((0=1),(BE177/BE212),"")</f>
      </c>
      <c r="BF247" s="8">
        <f>IF((0=1),(BF177/BF212),"")</f>
      </c>
      <c r="BG247" s="8">
        <f>IF((0=1),(BG177/BG212),"")</f>
      </c>
      <c r="BH247" s="8">
        <f>IF((0=1),(BH177/BH212),"")</f>
      </c>
      <c r="BI247" s="8">
        <f>IF((0=1),(BI177/BI212),"")</f>
      </c>
      <c r="BJ247" s="8">
        <f>IF((0=1),(BJ177/BJ212),"")</f>
      </c>
      <c r="BK247" s="8">
        <f>IF((0=1),(BK177/BK212),"")</f>
      </c>
      <c r="BL247" s="8">
        <f>IF((0=1),(BL177/BL212),"")</f>
      </c>
      <c r="BM247" s="8">
        <f>IF((0=1),(BM177/BM212),"")</f>
      </c>
      <c r="BN247" s="8">
        <f>IF((0=1),(BN177/BN212),"")</f>
      </c>
      <c r="BO247" s="8">
        <f>IF((0=1),(BO177/BO212),"")</f>
      </c>
      <c r="BP247" s="8">
        <f>IF((0=1),(BP177/BP212),"")</f>
      </c>
      <c r="BQ247" s="8">
        <f>IF((0=1),(BQ177/BQ212),"")</f>
      </c>
      <c r="BR247" s="8">
        <f>IF((0=1),(BR177/BR212),"")</f>
      </c>
      <c r="BS247" s="8">
        <f>IF((0=1),(BS177/BS212),"")</f>
      </c>
      <c r="BT247" s="8">
        <f>IF((0=1),(BT177/BT212),"")</f>
      </c>
      <c r="BU247" s="8">
        <f>IF((0=1),(BU177/BU212),"")</f>
      </c>
      <c r="BV247" s="8">
        <f>IF((0=1),(BV177/BV212),"")</f>
      </c>
      <c r="BW247" s="8">
        <f>IF((0=1),(BW177/BW212),"")</f>
      </c>
      <c r="BX247" s="8">
        <f>IF((0=1),(BX177/BX212),"")</f>
      </c>
      <c r="BY247" s="8">
        <f>IF((0=1),(BY177/BY212),"")</f>
      </c>
      <c r="BZ247" s="8">
        <f>IF((0=1),(BZ177/BZ212),"")</f>
      </c>
      <c r="CA247" s="8">
        <f>IF((0=1),(CA177/CA212),"")</f>
      </c>
      <c r="CB247" s="8">
        <f>IF((0=1),(CB177/CB212),"")</f>
      </c>
      <c r="CC247" s="8">
        <f>IF((0=1),(CC177/CC212),"")</f>
      </c>
      <c r="CD247" s="8">
        <f>IF((0=1),(CD177/CD212),"")</f>
      </c>
      <c r="CE247" s="8">
        <f>IF((0=1),(CE177/CE212),"")</f>
      </c>
      <c r="CF247" s="8">
        <f>IF((0=1),(CF177/CF212),"")</f>
      </c>
      <c r="CG247" s="8">
        <f>IF((0=1),(CG177/CG212),"")</f>
      </c>
      <c r="CH247" s="8">
        <f>IF((0=1),(CH177/CH212),"")</f>
      </c>
      <c r="CI247" s="8">
        <f>IF((0=1),(CI177/CI212),"")</f>
      </c>
      <c r="CJ247" s="8">
        <f>IF((0=1),(CJ177/CJ212),"")</f>
      </c>
      <c r="CK247" s="8">
        <f>IF((0=1),(CK177/CK212),"")</f>
      </c>
      <c r="CL247" s="8">
        <f>IF((0=1),(CL177/CL212),"")</f>
      </c>
      <c r="CM247" s="8">
        <f>IF((0=1),(CM177/CM212),"")</f>
      </c>
      <c r="CN247" s="8">
        <f>IF((0=1),(CN177/CN212),"")</f>
      </c>
      <c r="CO247" s="8">
        <f>IF((0=1),(CO177/CO212),"")</f>
      </c>
      <c r="CP247" s="8">
        <f>IF((0=1),(CP177/CP212),"")</f>
      </c>
      <c r="CQ247" s="8">
        <f>IF((0=1),(CQ177/CQ212),"")</f>
      </c>
      <c r="CR247" s="8">
        <f>IF((0=1),(CR177/CR212),"")</f>
      </c>
      <c r="CS247" s="8">
        <f>IF((0=1),(CS177/CS212),"")</f>
      </c>
      <c r="CT247" s="8">
        <f>IF((0=1),(CT177/CT212),"")</f>
      </c>
      <c r="CU247" s="8">
        <f>IF((0=1),(CU177/CU212),"")</f>
      </c>
      <c r="CV247" s="8">
        <f>IF((0=1),(CV177/CV212),"")</f>
      </c>
      <c r="CW247" s="8">
        <f>IF((0=1),(CW177/CW212),"")</f>
      </c>
      <c r="CX247" s="8">
        <f>IF((0=1),(CX177/CX212),"")</f>
      </c>
    </row>
    <row r="248">
      <c r="A248" s="0" t="inlineStr">
        <is>
          <t xml:space="preserve">Running mean, bps/day</t>
        </is>
      </c>
      <c r="B248" s="0" t="inlineStr">
        <is>
          <t xml:space="preserve">lowest 100 by 60-day volatility</t>
        </is>
      </c>
      <c r="C248" s="8">
        <f>IF((1=1),(C178/C213),"")</f>
        <v>12.648</v>
      </c>
      <c r="D248" s="8">
        <f>IF((0=1),(D178/D213),"")</f>
      </c>
      <c r="E248" s="8">
        <f>IF((0=1),(E178/E213),"")</f>
      </c>
      <c r="F248" s="8">
        <f>IF((0=1),(F178/F213),"")</f>
      </c>
      <c r="G248" s="8">
        <f>IF((0=1),(G178/G213),"")</f>
      </c>
      <c r="H248" s="8">
        <f>IF((0=1),(H178/H213),"")</f>
      </c>
      <c r="I248" s="8">
        <f>IF((0=1),(I178/I213),"")</f>
      </c>
      <c r="J248" s="8">
        <f>IF((0=1),(J178/J213),"")</f>
      </c>
      <c r="K248" s="8">
        <f>IF((0=1),(K178/K213),"")</f>
      </c>
      <c r="L248" s="8">
        <f>IF((0=1),(L178/L213),"")</f>
      </c>
      <c r="M248" s="8">
        <f>IF((0=1),(M178/M213),"")</f>
      </c>
      <c r="N248" s="8">
        <f>IF((0=1),(N178/N213),"")</f>
      </c>
      <c r="O248" s="8">
        <f>IF((0=1),(O178/O213),"")</f>
      </c>
      <c r="P248" s="8">
        <f>IF((0=1),(P178/P213),"")</f>
      </c>
      <c r="Q248" s="8">
        <f>IF((0=1),(Q178/Q213),"")</f>
      </c>
      <c r="R248" s="8">
        <f>IF((0=1),(R178/R213),"")</f>
      </c>
      <c r="S248" s="8">
        <f>IF((0=1),(S178/S213),"")</f>
      </c>
      <c r="T248" s="8">
        <f>IF((0=1),(T178/T213),"")</f>
      </c>
      <c r="U248" s="8">
        <f>IF((0=1),(U178/U213),"")</f>
      </c>
      <c r="V248" s="8">
        <f>IF((0=1),(V178/V213),"")</f>
      </c>
      <c r="W248" s="8">
        <f>IF((0=1),(W178/W213),"")</f>
      </c>
      <c r="X248" s="8">
        <f>IF((0=1),(X178/X213),"")</f>
      </c>
      <c r="Y248" s="8">
        <f>IF((0=1),(Y178/Y213),"")</f>
      </c>
      <c r="Z248" s="8">
        <f>IF((0=1),(Z178/Z213),"")</f>
      </c>
      <c r="AA248" s="8">
        <f>IF((0=1),(AA178/AA213),"")</f>
      </c>
      <c r="AB248" s="8">
        <f>IF((0=1),(AB178/AB213),"")</f>
      </c>
      <c r="AC248" s="8">
        <f>IF((0=1),(AC178/AC213),"")</f>
      </c>
      <c r="AD248" s="8">
        <f>IF((0=1),(AD178/AD213),"")</f>
      </c>
      <c r="AE248" s="8">
        <f>IF((0=1),(AE178/AE213),"")</f>
      </c>
      <c r="AF248" s="8">
        <f>IF((0=1),(AF178/AF213),"")</f>
      </c>
      <c r="AG248" s="8">
        <f>IF((0=1),(AG178/AG213),"")</f>
      </c>
      <c r="AH248" s="8">
        <f>IF((0=1),(AH178/AH213),"")</f>
      </c>
      <c r="AI248" s="8">
        <f>IF((0=1),(AI178/AI213),"")</f>
      </c>
      <c r="AJ248" s="8">
        <f>IF((0=1),(AJ178/AJ213),"")</f>
      </c>
      <c r="AK248" s="8">
        <f>IF((0=1),(AK178/AK213),"")</f>
      </c>
      <c r="AL248" s="8">
        <f>IF((0=1),(AL178/AL213),"")</f>
      </c>
      <c r="AM248" s="8">
        <f>IF((0=1),(AM178/AM213),"")</f>
      </c>
      <c r="AN248" s="8">
        <f>IF((0=1),(AN178/AN213),"")</f>
      </c>
      <c r="AO248" s="8">
        <f>IF((0=1),(AO178/AO213),"")</f>
      </c>
      <c r="AP248" s="8">
        <f>IF((0=1),(AP178/AP213),"")</f>
      </c>
      <c r="AQ248" s="8">
        <f>IF((0=1),(AQ178/AQ213),"")</f>
      </c>
      <c r="AR248" s="8">
        <f>IF((0=1),(AR178/AR213),"")</f>
      </c>
      <c r="AS248" s="8">
        <f>IF((0=1),(AS178/AS213),"")</f>
      </c>
      <c r="AT248" s="8">
        <f>IF((0=1),(AT178/AT213),"")</f>
      </c>
      <c r="AU248" s="8">
        <f>IF((0=1),(AU178/AU213),"")</f>
      </c>
      <c r="AV248" s="8">
        <f>IF((0=1),(AV178/AV213),"")</f>
      </c>
      <c r="AW248" s="8">
        <f>IF((0=1),(AW178/AW213),"")</f>
      </c>
      <c r="AX248" s="8">
        <f>IF((0=1),(AX178/AX213),"")</f>
      </c>
      <c r="AY248" s="8">
        <f>IF((0=1),(AY178/AY213),"")</f>
      </c>
      <c r="AZ248" s="8">
        <f>IF((0=1),(AZ178/AZ213),"")</f>
      </c>
      <c r="BA248" s="8">
        <f>IF((0=1),(BA178/BA213),"")</f>
      </c>
      <c r="BB248" s="8">
        <f>IF((0=1),(BB178/BB213),"")</f>
      </c>
      <c r="BC248" s="8">
        <f>IF((0=1),(BC178/BC213),"")</f>
      </c>
      <c r="BD248" s="8">
        <f>IF((0=1),(BD178/BD213),"")</f>
      </c>
      <c r="BE248" s="8">
        <f>IF((0=1),(BE178/BE213),"")</f>
      </c>
      <c r="BF248" s="8">
        <f>IF((0=1),(BF178/BF213),"")</f>
      </c>
      <c r="BG248" s="8">
        <f>IF((0=1),(BG178/BG213),"")</f>
      </c>
      <c r="BH248" s="8">
        <f>IF((0=1),(BH178/BH213),"")</f>
      </c>
      <c r="BI248" s="8">
        <f>IF((0=1),(BI178/BI213),"")</f>
      </c>
      <c r="BJ248" s="8">
        <f>IF((0=1),(BJ178/BJ213),"")</f>
      </c>
      <c r="BK248" s="8">
        <f>IF((0=1),(BK178/BK213),"")</f>
      </c>
      <c r="BL248" s="8">
        <f>IF((0=1),(BL178/BL213),"")</f>
      </c>
      <c r="BM248" s="8">
        <f>IF((0=1),(BM178/BM213),"")</f>
      </c>
      <c r="BN248" s="8">
        <f>IF((0=1),(BN178/BN213),"")</f>
      </c>
      <c r="BO248" s="8">
        <f>IF((0=1),(BO178/BO213),"")</f>
      </c>
      <c r="BP248" s="8">
        <f>IF((0=1),(BP178/BP213),"")</f>
      </c>
      <c r="BQ248" s="8">
        <f>IF((0=1),(BQ178/BQ213),"")</f>
      </c>
      <c r="BR248" s="8">
        <f>IF((0=1),(BR178/BR213),"")</f>
      </c>
      <c r="BS248" s="8">
        <f>IF((0=1),(BS178/BS213),"")</f>
      </c>
      <c r="BT248" s="8">
        <f>IF((0=1),(BT178/BT213),"")</f>
      </c>
      <c r="BU248" s="8">
        <f>IF((0=1),(BU178/BU213),"")</f>
      </c>
      <c r="BV248" s="8">
        <f>IF((0=1),(BV178/BV213),"")</f>
      </c>
      <c r="BW248" s="8">
        <f>IF((0=1),(BW178/BW213),"")</f>
      </c>
      <c r="BX248" s="8">
        <f>IF((0=1),(BX178/BX213),"")</f>
      </c>
      <c r="BY248" s="8">
        <f>IF((0=1),(BY178/BY213),"")</f>
      </c>
      <c r="BZ248" s="8">
        <f>IF((0=1),(BZ178/BZ213),"")</f>
      </c>
      <c r="CA248" s="8">
        <f>IF((0=1),(CA178/CA213),"")</f>
      </c>
      <c r="CB248" s="8">
        <f>IF((0=1),(CB178/CB213),"")</f>
      </c>
      <c r="CC248" s="8">
        <f>IF((0=1),(CC178/CC213),"")</f>
      </c>
      <c r="CD248" s="8">
        <f>IF((0=1),(CD178/CD213),"")</f>
      </c>
      <c r="CE248" s="8">
        <f>IF((0=1),(CE178/CE213),"")</f>
      </c>
      <c r="CF248" s="8">
        <f>IF((0=1),(CF178/CF213),"")</f>
      </c>
      <c r="CG248" s="8">
        <f>IF((0=1),(CG178/CG213),"")</f>
      </c>
      <c r="CH248" s="8">
        <f>IF((0=1),(CH178/CH213),"")</f>
      </c>
      <c r="CI248" s="8">
        <f>IF((0=1),(CI178/CI213),"")</f>
      </c>
      <c r="CJ248" s="8">
        <f>IF((0=1),(CJ178/CJ213),"")</f>
      </c>
      <c r="CK248" s="8">
        <f>IF((0=1),(CK178/CK213),"")</f>
      </c>
      <c r="CL248" s="8">
        <f>IF((0=1),(CL178/CL213),"")</f>
      </c>
      <c r="CM248" s="8">
        <f>IF((0=1),(CM178/CM213),"")</f>
      </c>
      <c r="CN248" s="8">
        <f>IF((0=1),(CN178/CN213),"")</f>
      </c>
      <c r="CO248" s="8">
        <f>IF((0=1),(CO178/CO213),"")</f>
      </c>
      <c r="CP248" s="8">
        <f>IF((0=1),(CP178/CP213),"")</f>
      </c>
      <c r="CQ248" s="8">
        <f>IF((0=1),(CQ178/CQ213),"")</f>
      </c>
      <c r="CR248" s="8">
        <f>IF((0=1),(CR178/CR213),"")</f>
      </c>
      <c r="CS248" s="8">
        <f>IF((0=1),(CS178/CS213),"")</f>
      </c>
      <c r="CT248" s="8">
        <f>IF((0=1),(CT178/CT213),"")</f>
      </c>
      <c r="CU248" s="8">
        <f>IF((0=1),(CU178/CU213),"")</f>
      </c>
      <c r="CV248" s="8">
        <f>IF((0=1),(CV178/CV213),"")</f>
      </c>
      <c r="CW248" s="8">
        <f>IF((0=1),(CW178/CW213),"")</f>
      </c>
      <c r="CX248" s="8">
        <f>IF((0=1),(CX178/CX213),"")</f>
      </c>
    </row>
    <row r="249">
      <c r="A249" s="0" t="inlineStr">
        <is>
          <t xml:space="preserve">Running mean, bps/day</t>
        </is>
      </c>
      <c r="B249" s="0" t="inlineStr">
        <is>
          <t xml:space="preserve">largest 100 by market cap</t>
        </is>
      </c>
      <c r="C249" s="8">
        <f>IF((1=1),(C179/C214),"")</f>
        <v>4.751</v>
      </c>
      <c r="D249" s="8">
        <f>IF((0=1),(D179/D214),"")</f>
      </c>
      <c r="E249" s="8">
        <f>IF((0=1),(E179/E214),"")</f>
      </c>
      <c r="F249" s="8">
        <f>IF((0=1),(F179/F214),"")</f>
      </c>
      <c r="G249" s="8">
        <f>IF((0=1),(G179/G214),"")</f>
      </c>
      <c r="H249" s="8">
        <f>IF((0=1),(H179/H214),"")</f>
      </c>
      <c r="I249" s="8">
        <f>IF((0=1),(I179/I214),"")</f>
      </c>
      <c r="J249" s="8">
        <f>IF((0=1),(J179/J214),"")</f>
      </c>
      <c r="K249" s="8">
        <f>IF((0=1),(K179/K214),"")</f>
      </c>
      <c r="L249" s="8">
        <f>IF((0=1),(L179/L214),"")</f>
      </c>
      <c r="M249" s="8">
        <f>IF((0=1),(M179/M214),"")</f>
      </c>
      <c r="N249" s="8">
        <f>IF((0=1),(N179/N214),"")</f>
      </c>
      <c r="O249" s="8">
        <f>IF((0=1),(O179/O214),"")</f>
      </c>
      <c r="P249" s="8">
        <f>IF((0=1),(P179/P214),"")</f>
      </c>
      <c r="Q249" s="8">
        <f>IF((0=1),(Q179/Q214),"")</f>
      </c>
      <c r="R249" s="8">
        <f>IF((0=1),(R179/R214),"")</f>
      </c>
      <c r="S249" s="8">
        <f>IF((0=1),(S179/S214),"")</f>
      </c>
      <c r="T249" s="8">
        <f>IF((0=1),(T179/T214),"")</f>
      </c>
      <c r="U249" s="8">
        <f>IF((0=1),(U179/U214),"")</f>
      </c>
      <c r="V249" s="8">
        <f>IF((0=1),(V179/V214),"")</f>
      </c>
      <c r="W249" s="8">
        <f>IF((0=1),(W179/W214),"")</f>
      </c>
      <c r="X249" s="8">
        <f>IF((0=1),(X179/X214),"")</f>
      </c>
      <c r="Y249" s="8">
        <f>IF((0=1),(Y179/Y214),"")</f>
      </c>
      <c r="Z249" s="8">
        <f>IF((0=1),(Z179/Z214),"")</f>
      </c>
      <c r="AA249" s="8">
        <f>IF((0=1),(AA179/AA214),"")</f>
      </c>
      <c r="AB249" s="8">
        <f>IF((0=1),(AB179/AB214),"")</f>
      </c>
      <c r="AC249" s="8">
        <f>IF((0=1),(AC179/AC214),"")</f>
      </c>
      <c r="AD249" s="8">
        <f>IF((0=1),(AD179/AD214),"")</f>
      </c>
      <c r="AE249" s="8">
        <f>IF((0=1),(AE179/AE214),"")</f>
      </c>
      <c r="AF249" s="8">
        <f>IF((0=1),(AF179/AF214),"")</f>
      </c>
      <c r="AG249" s="8">
        <f>IF((0=1),(AG179/AG214),"")</f>
      </c>
      <c r="AH249" s="8">
        <f>IF((0=1),(AH179/AH214),"")</f>
      </c>
      <c r="AI249" s="8">
        <f>IF((0=1),(AI179/AI214),"")</f>
      </c>
      <c r="AJ249" s="8">
        <f>IF((0=1),(AJ179/AJ214),"")</f>
      </c>
      <c r="AK249" s="8">
        <f>IF((0=1),(AK179/AK214),"")</f>
      </c>
      <c r="AL249" s="8">
        <f>IF((0=1),(AL179/AL214),"")</f>
      </c>
      <c r="AM249" s="8">
        <f>IF((0=1),(AM179/AM214),"")</f>
      </c>
      <c r="AN249" s="8">
        <f>IF((0=1),(AN179/AN214),"")</f>
      </c>
      <c r="AO249" s="8">
        <f>IF((0=1),(AO179/AO214),"")</f>
      </c>
      <c r="AP249" s="8">
        <f>IF((0=1),(AP179/AP214),"")</f>
      </c>
      <c r="AQ249" s="8">
        <f>IF((0=1),(AQ179/AQ214),"")</f>
      </c>
      <c r="AR249" s="8">
        <f>IF((0=1),(AR179/AR214),"")</f>
      </c>
      <c r="AS249" s="8">
        <f>IF((0=1),(AS179/AS214),"")</f>
      </c>
      <c r="AT249" s="8">
        <f>IF((0=1),(AT179/AT214),"")</f>
      </c>
      <c r="AU249" s="8">
        <f>IF((0=1),(AU179/AU214),"")</f>
      </c>
      <c r="AV249" s="8">
        <f>IF((0=1),(AV179/AV214),"")</f>
      </c>
      <c r="AW249" s="8">
        <f>IF((0=1),(AW179/AW214),"")</f>
      </c>
      <c r="AX249" s="8">
        <f>IF((0=1),(AX179/AX214),"")</f>
      </c>
      <c r="AY249" s="8">
        <f>IF((0=1),(AY179/AY214),"")</f>
      </c>
      <c r="AZ249" s="8">
        <f>IF((0=1),(AZ179/AZ214),"")</f>
      </c>
      <c r="BA249" s="8">
        <f>IF((0=1),(BA179/BA214),"")</f>
      </c>
      <c r="BB249" s="8">
        <f>IF((0=1),(BB179/BB214),"")</f>
      </c>
      <c r="BC249" s="8">
        <f>IF((0=1),(BC179/BC214),"")</f>
      </c>
      <c r="BD249" s="8">
        <f>IF((0=1),(BD179/BD214),"")</f>
      </c>
      <c r="BE249" s="8">
        <f>IF((0=1),(BE179/BE214),"")</f>
      </c>
      <c r="BF249" s="8">
        <f>IF((0=1),(BF179/BF214),"")</f>
      </c>
      <c r="BG249" s="8">
        <f>IF((0=1),(BG179/BG214),"")</f>
      </c>
      <c r="BH249" s="8">
        <f>IF((0=1),(BH179/BH214),"")</f>
      </c>
      <c r="BI249" s="8">
        <f>IF((0=1),(BI179/BI214),"")</f>
      </c>
      <c r="BJ249" s="8">
        <f>IF((0=1),(BJ179/BJ214),"")</f>
      </c>
      <c r="BK249" s="8">
        <f>IF((0=1),(BK179/BK214),"")</f>
      </c>
      <c r="BL249" s="8">
        <f>IF((0=1),(BL179/BL214),"")</f>
      </c>
      <c r="BM249" s="8">
        <f>IF((0=1),(BM179/BM214),"")</f>
      </c>
      <c r="BN249" s="8">
        <f>IF((0=1),(BN179/BN214),"")</f>
      </c>
      <c r="BO249" s="8">
        <f>IF((0=1),(BO179/BO214),"")</f>
      </c>
      <c r="BP249" s="8">
        <f>IF((0=1),(BP179/BP214),"")</f>
      </c>
      <c r="BQ249" s="8">
        <f>IF((0=1),(BQ179/BQ214),"")</f>
      </c>
      <c r="BR249" s="8">
        <f>IF((0=1),(BR179/BR214),"")</f>
      </c>
      <c r="BS249" s="8">
        <f>IF((0=1),(BS179/BS214),"")</f>
      </c>
      <c r="BT249" s="8">
        <f>IF((0=1),(BT179/BT214),"")</f>
      </c>
      <c r="BU249" s="8">
        <f>IF((0=1),(BU179/BU214),"")</f>
      </c>
      <c r="BV249" s="8">
        <f>IF((0=1),(BV179/BV214),"")</f>
      </c>
      <c r="BW249" s="8">
        <f>IF((0=1),(BW179/BW214),"")</f>
      </c>
      <c r="BX249" s="8">
        <f>IF((0=1),(BX179/BX214),"")</f>
      </c>
      <c r="BY249" s="8">
        <f>IF((0=1),(BY179/BY214),"")</f>
      </c>
      <c r="BZ249" s="8">
        <f>IF((0=1),(BZ179/BZ214),"")</f>
      </c>
      <c r="CA249" s="8">
        <f>IF((0=1),(CA179/CA214),"")</f>
      </c>
      <c r="CB249" s="8">
        <f>IF((0=1),(CB179/CB214),"")</f>
      </c>
      <c r="CC249" s="8">
        <f>IF((0=1),(CC179/CC214),"")</f>
      </c>
      <c r="CD249" s="8">
        <f>IF((0=1),(CD179/CD214),"")</f>
      </c>
      <c r="CE249" s="8">
        <f>IF((0=1),(CE179/CE214),"")</f>
      </c>
      <c r="CF249" s="8">
        <f>IF((0=1),(CF179/CF214),"")</f>
      </c>
      <c r="CG249" s="8">
        <f>IF((0=1),(CG179/CG214),"")</f>
      </c>
      <c r="CH249" s="8">
        <f>IF((0=1),(CH179/CH214),"")</f>
      </c>
      <c r="CI249" s="8">
        <f>IF((0=1),(CI179/CI214),"")</f>
      </c>
      <c r="CJ249" s="8">
        <f>IF((0=1),(CJ179/CJ214),"")</f>
      </c>
      <c r="CK249" s="8">
        <f>IF((0=1),(CK179/CK214),"")</f>
      </c>
      <c r="CL249" s="8">
        <f>IF((0=1),(CL179/CL214),"")</f>
      </c>
      <c r="CM249" s="8">
        <f>IF((0=1),(CM179/CM214),"")</f>
      </c>
      <c r="CN249" s="8">
        <f>IF((0=1),(CN179/CN214),"")</f>
      </c>
      <c r="CO249" s="8">
        <f>IF((0=1),(CO179/CO214),"")</f>
      </c>
      <c r="CP249" s="8">
        <f>IF((0=1),(CP179/CP214),"")</f>
      </c>
      <c r="CQ249" s="8">
        <f>IF((0=1),(CQ179/CQ214),"")</f>
      </c>
      <c r="CR249" s="8">
        <f>IF((0=1),(CR179/CR214),"")</f>
      </c>
      <c r="CS249" s="8">
        <f>IF((0=1),(CS179/CS214),"")</f>
      </c>
      <c r="CT249" s="8">
        <f>IF((0=1),(CT179/CT214),"")</f>
      </c>
      <c r="CU249" s="8">
        <f>IF((0=1),(CU179/CU214),"")</f>
      </c>
      <c r="CV249" s="8">
        <f>IF((0=1),(CV179/CV214),"")</f>
      </c>
      <c r="CW249" s="8">
        <f>IF((0=1),(CW179/CW214),"")</f>
      </c>
      <c r="CX249" s="8">
        <f>IF((0=1),(CX179/CX214),"")</f>
      </c>
    </row>
    <row r="250">
      <c r="A250" s="0" t="inlineStr">
        <is>
          <t xml:space="preserve">Running mean, bps/day</t>
        </is>
      </c>
      <c r="B250" s="0" t="inlineStr">
        <is>
          <t xml:space="preserve">top 100 by 12-1 month return</t>
        </is>
      </c>
      <c r="C250" s="8">
        <f>IF((1=1),(C180/C215),"")</f>
        <v>-23.532</v>
      </c>
      <c r="D250" s="8">
        <f>IF((0=1),(D180/D215),"")</f>
      </c>
      <c r="E250" s="8">
        <f>IF((0=1),(E180/E215),"")</f>
      </c>
      <c r="F250" s="8">
        <f>IF((0=1),(F180/F215),"")</f>
      </c>
      <c r="G250" s="8">
        <f>IF((0=1),(G180/G215),"")</f>
      </c>
      <c r="H250" s="8">
        <f>IF((0=1),(H180/H215),"")</f>
      </c>
      <c r="I250" s="8">
        <f>IF((0=1),(I180/I215),"")</f>
      </c>
      <c r="J250" s="8">
        <f>IF((0=1),(J180/J215),"")</f>
      </c>
      <c r="K250" s="8">
        <f>IF((0=1),(K180/K215),"")</f>
      </c>
      <c r="L250" s="8">
        <f>IF((0=1),(L180/L215),"")</f>
      </c>
      <c r="M250" s="8">
        <f>IF((0=1),(M180/M215),"")</f>
      </c>
      <c r="N250" s="8">
        <f>IF((0=1),(N180/N215),"")</f>
      </c>
      <c r="O250" s="8">
        <f>IF((0=1),(O180/O215),"")</f>
      </c>
      <c r="P250" s="8">
        <f>IF((0=1),(P180/P215),"")</f>
      </c>
      <c r="Q250" s="8">
        <f>IF((0=1),(Q180/Q215),"")</f>
      </c>
      <c r="R250" s="8">
        <f>IF((0=1),(R180/R215),"")</f>
      </c>
      <c r="S250" s="8">
        <f>IF((0=1),(S180/S215),"")</f>
      </c>
      <c r="T250" s="8">
        <f>IF((0=1),(T180/T215),"")</f>
      </c>
      <c r="U250" s="8">
        <f>IF((0=1),(U180/U215),"")</f>
      </c>
      <c r="V250" s="8">
        <f>IF((0=1),(V180/V215),"")</f>
      </c>
      <c r="W250" s="8">
        <f>IF((0=1),(W180/W215),"")</f>
      </c>
      <c r="X250" s="8">
        <f>IF((0=1),(X180/X215),"")</f>
      </c>
      <c r="Y250" s="8">
        <f>IF((0=1),(Y180/Y215),"")</f>
      </c>
      <c r="Z250" s="8">
        <f>IF((0=1),(Z180/Z215),"")</f>
      </c>
      <c r="AA250" s="8">
        <f>IF((0=1),(AA180/AA215),"")</f>
      </c>
      <c r="AB250" s="8">
        <f>IF((0=1),(AB180/AB215),"")</f>
      </c>
      <c r="AC250" s="8">
        <f>IF((0=1),(AC180/AC215),"")</f>
      </c>
      <c r="AD250" s="8">
        <f>IF((0=1),(AD180/AD215),"")</f>
      </c>
      <c r="AE250" s="8">
        <f>IF((0=1),(AE180/AE215),"")</f>
      </c>
      <c r="AF250" s="8">
        <f>IF((0=1),(AF180/AF215),"")</f>
      </c>
      <c r="AG250" s="8">
        <f>IF((0=1),(AG180/AG215),"")</f>
      </c>
      <c r="AH250" s="8">
        <f>IF((0=1),(AH180/AH215),"")</f>
      </c>
      <c r="AI250" s="8">
        <f>IF((0=1),(AI180/AI215),"")</f>
      </c>
      <c r="AJ250" s="8">
        <f>IF((0=1),(AJ180/AJ215),"")</f>
      </c>
      <c r="AK250" s="8">
        <f>IF((0=1),(AK180/AK215),"")</f>
      </c>
      <c r="AL250" s="8">
        <f>IF((0=1),(AL180/AL215),"")</f>
      </c>
      <c r="AM250" s="8">
        <f>IF((0=1),(AM180/AM215),"")</f>
      </c>
      <c r="AN250" s="8">
        <f>IF((0=1),(AN180/AN215),"")</f>
      </c>
      <c r="AO250" s="8">
        <f>IF((0=1),(AO180/AO215),"")</f>
      </c>
      <c r="AP250" s="8">
        <f>IF((0=1),(AP180/AP215),"")</f>
      </c>
      <c r="AQ250" s="8">
        <f>IF((0=1),(AQ180/AQ215),"")</f>
      </c>
      <c r="AR250" s="8">
        <f>IF((0=1),(AR180/AR215),"")</f>
      </c>
      <c r="AS250" s="8">
        <f>IF((0=1),(AS180/AS215),"")</f>
      </c>
      <c r="AT250" s="8">
        <f>IF((0=1),(AT180/AT215),"")</f>
      </c>
      <c r="AU250" s="8">
        <f>IF((0=1),(AU180/AU215),"")</f>
      </c>
      <c r="AV250" s="8">
        <f>IF((0=1),(AV180/AV215),"")</f>
      </c>
      <c r="AW250" s="8">
        <f>IF((0=1),(AW180/AW215),"")</f>
      </c>
      <c r="AX250" s="8">
        <f>IF((0=1),(AX180/AX215),"")</f>
      </c>
      <c r="AY250" s="8">
        <f>IF((0=1),(AY180/AY215),"")</f>
      </c>
      <c r="AZ250" s="8">
        <f>IF((0=1),(AZ180/AZ215),"")</f>
      </c>
      <c r="BA250" s="8">
        <f>IF((0=1),(BA180/BA215),"")</f>
      </c>
      <c r="BB250" s="8">
        <f>IF((0=1),(BB180/BB215),"")</f>
      </c>
      <c r="BC250" s="8">
        <f>IF((0=1),(BC180/BC215),"")</f>
      </c>
      <c r="BD250" s="8">
        <f>IF((0=1),(BD180/BD215),"")</f>
      </c>
      <c r="BE250" s="8">
        <f>IF((0=1),(BE180/BE215),"")</f>
      </c>
      <c r="BF250" s="8">
        <f>IF((0=1),(BF180/BF215),"")</f>
      </c>
      <c r="BG250" s="8">
        <f>IF((0=1),(BG180/BG215),"")</f>
      </c>
      <c r="BH250" s="8">
        <f>IF((0=1),(BH180/BH215),"")</f>
      </c>
      <c r="BI250" s="8">
        <f>IF((0=1),(BI180/BI215),"")</f>
      </c>
      <c r="BJ250" s="8">
        <f>IF((0=1),(BJ180/BJ215),"")</f>
      </c>
      <c r="BK250" s="8">
        <f>IF((0=1),(BK180/BK215),"")</f>
      </c>
      <c r="BL250" s="8">
        <f>IF((0=1),(BL180/BL215),"")</f>
      </c>
      <c r="BM250" s="8">
        <f>IF((0=1),(BM180/BM215),"")</f>
      </c>
      <c r="BN250" s="8">
        <f>IF((0=1),(BN180/BN215),"")</f>
      </c>
      <c r="BO250" s="8">
        <f>IF((0=1),(BO180/BO215),"")</f>
      </c>
      <c r="BP250" s="8">
        <f>IF((0=1),(BP180/BP215),"")</f>
      </c>
      <c r="BQ250" s="8">
        <f>IF((0=1),(BQ180/BQ215),"")</f>
      </c>
      <c r="BR250" s="8">
        <f>IF((0=1),(BR180/BR215),"")</f>
      </c>
      <c r="BS250" s="8">
        <f>IF((0=1),(BS180/BS215),"")</f>
      </c>
      <c r="BT250" s="8">
        <f>IF((0=1),(BT180/BT215),"")</f>
      </c>
      <c r="BU250" s="8">
        <f>IF((0=1),(BU180/BU215),"")</f>
      </c>
      <c r="BV250" s="8">
        <f>IF((0=1),(BV180/BV215),"")</f>
      </c>
      <c r="BW250" s="8">
        <f>IF((0=1),(BW180/BW215),"")</f>
      </c>
      <c r="BX250" s="8">
        <f>IF((0=1),(BX180/BX215),"")</f>
      </c>
      <c r="BY250" s="8">
        <f>IF((0=1),(BY180/BY215),"")</f>
      </c>
      <c r="BZ250" s="8">
        <f>IF((0=1),(BZ180/BZ215),"")</f>
      </c>
      <c r="CA250" s="8">
        <f>IF((0=1),(CA180/CA215),"")</f>
      </c>
      <c r="CB250" s="8">
        <f>IF((0=1),(CB180/CB215),"")</f>
      </c>
      <c r="CC250" s="8">
        <f>IF((0=1),(CC180/CC215),"")</f>
      </c>
      <c r="CD250" s="8">
        <f>IF((0=1),(CD180/CD215),"")</f>
      </c>
      <c r="CE250" s="8">
        <f>IF((0=1),(CE180/CE215),"")</f>
      </c>
      <c r="CF250" s="8">
        <f>IF((0=1),(CF180/CF215),"")</f>
      </c>
      <c r="CG250" s="8">
        <f>IF((0=1),(CG180/CG215),"")</f>
      </c>
      <c r="CH250" s="8">
        <f>IF((0=1),(CH180/CH215),"")</f>
      </c>
      <c r="CI250" s="8">
        <f>IF((0=1),(CI180/CI215),"")</f>
      </c>
      <c r="CJ250" s="8">
        <f>IF((0=1),(CJ180/CJ215),"")</f>
      </c>
      <c r="CK250" s="8">
        <f>IF((0=1),(CK180/CK215),"")</f>
      </c>
      <c r="CL250" s="8">
        <f>IF((0=1),(CL180/CL215),"")</f>
      </c>
      <c r="CM250" s="8">
        <f>IF((0=1),(CM180/CM215),"")</f>
      </c>
      <c r="CN250" s="8">
        <f>IF((0=1),(CN180/CN215),"")</f>
      </c>
      <c r="CO250" s="8">
        <f>IF((0=1),(CO180/CO215),"")</f>
      </c>
      <c r="CP250" s="8">
        <f>IF((0=1),(CP180/CP215),"")</f>
      </c>
      <c r="CQ250" s="8">
        <f>IF((0=1),(CQ180/CQ215),"")</f>
      </c>
      <c r="CR250" s="8">
        <f>IF((0=1),(CR180/CR215),"")</f>
      </c>
      <c r="CS250" s="8">
        <f>IF((0=1),(CS180/CS215),"")</f>
      </c>
      <c r="CT250" s="8">
        <f>IF((0=1),(CT180/CT215),"")</f>
      </c>
      <c r="CU250" s="8">
        <f>IF((0=1),(CU180/CU215),"")</f>
      </c>
      <c r="CV250" s="8">
        <f>IF((0=1),(CV180/CV215),"")</f>
      </c>
      <c r="CW250" s="8">
        <f>IF((0=1),(CW180/CW215),"")</f>
      </c>
      <c r="CX250" s="8">
        <f>IF((0=1),(CX180/CX215),"")</f>
      </c>
    </row>
    <row r="251">
      <c r="A251" s="0" t="inlineStr">
        <is>
          <t xml:space="preserve">Running mean, bps/day</t>
        </is>
      </c>
      <c r="B251" s="0" t="inlineStr">
        <is>
          <t xml:space="preserve">best 100 by yesterday's close-to-close return</t>
        </is>
      </c>
      <c r="C251" s="8">
        <f>IF((1=1),(C181/C216),"")</f>
        <v>-14.463</v>
      </c>
      <c r="D251" s="8">
        <f>IF((0=1),(D181/D216),"")</f>
      </c>
      <c r="E251" s="8">
        <f>IF((0=1),(E181/E216),"")</f>
      </c>
      <c r="F251" s="8">
        <f>IF((0=1),(F181/F216),"")</f>
      </c>
      <c r="G251" s="8">
        <f>IF((0=1),(G181/G216),"")</f>
      </c>
      <c r="H251" s="8">
        <f>IF((0=1),(H181/H216),"")</f>
      </c>
      <c r="I251" s="8">
        <f>IF((0=1),(I181/I216),"")</f>
      </c>
      <c r="J251" s="8">
        <f>IF((0=1),(J181/J216),"")</f>
      </c>
      <c r="K251" s="8">
        <f>IF((0=1),(K181/K216),"")</f>
      </c>
      <c r="L251" s="8">
        <f>IF((0=1),(L181/L216),"")</f>
      </c>
      <c r="M251" s="8">
        <f>IF((0=1),(M181/M216),"")</f>
      </c>
      <c r="N251" s="8">
        <f>IF((0=1),(N181/N216),"")</f>
      </c>
      <c r="O251" s="8">
        <f>IF((0=1),(O181/O216),"")</f>
      </c>
      <c r="P251" s="8">
        <f>IF((0=1),(P181/P216),"")</f>
      </c>
      <c r="Q251" s="8">
        <f>IF((0=1),(Q181/Q216),"")</f>
      </c>
      <c r="R251" s="8">
        <f>IF((0=1),(R181/R216),"")</f>
      </c>
      <c r="S251" s="8">
        <f>IF((0=1),(S181/S216),"")</f>
      </c>
      <c r="T251" s="8">
        <f>IF((0=1),(T181/T216),"")</f>
      </c>
      <c r="U251" s="8">
        <f>IF((0=1),(U181/U216),"")</f>
      </c>
      <c r="V251" s="8">
        <f>IF((0=1),(V181/V216),"")</f>
      </c>
      <c r="W251" s="8">
        <f>IF((0=1),(W181/W216),"")</f>
      </c>
      <c r="X251" s="8">
        <f>IF((0=1),(X181/X216),"")</f>
      </c>
      <c r="Y251" s="8">
        <f>IF((0=1),(Y181/Y216),"")</f>
      </c>
      <c r="Z251" s="8">
        <f>IF((0=1),(Z181/Z216),"")</f>
      </c>
      <c r="AA251" s="8">
        <f>IF((0=1),(AA181/AA216),"")</f>
      </c>
      <c r="AB251" s="8">
        <f>IF((0=1),(AB181/AB216),"")</f>
      </c>
      <c r="AC251" s="8">
        <f>IF((0=1),(AC181/AC216),"")</f>
      </c>
      <c r="AD251" s="8">
        <f>IF((0=1),(AD181/AD216),"")</f>
      </c>
      <c r="AE251" s="8">
        <f>IF((0=1),(AE181/AE216),"")</f>
      </c>
      <c r="AF251" s="8">
        <f>IF((0=1),(AF181/AF216),"")</f>
      </c>
      <c r="AG251" s="8">
        <f>IF((0=1),(AG181/AG216),"")</f>
      </c>
      <c r="AH251" s="8">
        <f>IF((0=1),(AH181/AH216),"")</f>
      </c>
      <c r="AI251" s="8">
        <f>IF((0=1),(AI181/AI216),"")</f>
      </c>
      <c r="AJ251" s="8">
        <f>IF((0=1),(AJ181/AJ216),"")</f>
      </c>
      <c r="AK251" s="8">
        <f>IF((0=1),(AK181/AK216),"")</f>
      </c>
      <c r="AL251" s="8">
        <f>IF((0=1),(AL181/AL216),"")</f>
      </c>
      <c r="AM251" s="8">
        <f>IF((0=1),(AM181/AM216),"")</f>
      </c>
      <c r="AN251" s="8">
        <f>IF((0=1),(AN181/AN216),"")</f>
      </c>
      <c r="AO251" s="8">
        <f>IF((0=1),(AO181/AO216),"")</f>
      </c>
      <c r="AP251" s="8">
        <f>IF((0=1),(AP181/AP216),"")</f>
      </c>
      <c r="AQ251" s="8">
        <f>IF((0=1),(AQ181/AQ216),"")</f>
      </c>
      <c r="AR251" s="8">
        <f>IF((0=1),(AR181/AR216),"")</f>
      </c>
      <c r="AS251" s="8">
        <f>IF((0=1),(AS181/AS216),"")</f>
      </c>
      <c r="AT251" s="8">
        <f>IF((0=1),(AT181/AT216),"")</f>
      </c>
      <c r="AU251" s="8">
        <f>IF((0=1),(AU181/AU216),"")</f>
      </c>
      <c r="AV251" s="8">
        <f>IF((0=1),(AV181/AV216),"")</f>
      </c>
      <c r="AW251" s="8">
        <f>IF((0=1),(AW181/AW216),"")</f>
      </c>
      <c r="AX251" s="8">
        <f>IF((0=1),(AX181/AX216),"")</f>
      </c>
      <c r="AY251" s="8">
        <f>IF((0=1),(AY181/AY216),"")</f>
      </c>
      <c r="AZ251" s="8">
        <f>IF((0=1),(AZ181/AZ216),"")</f>
      </c>
      <c r="BA251" s="8">
        <f>IF((0=1),(BA181/BA216),"")</f>
      </c>
      <c r="BB251" s="8">
        <f>IF((0=1),(BB181/BB216),"")</f>
      </c>
      <c r="BC251" s="8">
        <f>IF((0=1),(BC181/BC216),"")</f>
      </c>
      <c r="BD251" s="8">
        <f>IF((0=1),(BD181/BD216),"")</f>
      </c>
      <c r="BE251" s="8">
        <f>IF((0=1),(BE181/BE216),"")</f>
      </c>
      <c r="BF251" s="8">
        <f>IF((0=1),(BF181/BF216),"")</f>
      </c>
      <c r="BG251" s="8">
        <f>IF((0=1),(BG181/BG216),"")</f>
      </c>
      <c r="BH251" s="8">
        <f>IF((0=1),(BH181/BH216),"")</f>
      </c>
      <c r="BI251" s="8">
        <f>IF((0=1),(BI181/BI216),"")</f>
      </c>
      <c r="BJ251" s="8">
        <f>IF((0=1),(BJ181/BJ216),"")</f>
      </c>
      <c r="BK251" s="8">
        <f>IF((0=1),(BK181/BK216),"")</f>
      </c>
      <c r="BL251" s="8">
        <f>IF((0=1),(BL181/BL216),"")</f>
      </c>
      <c r="BM251" s="8">
        <f>IF((0=1),(BM181/BM216),"")</f>
      </c>
      <c r="BN251" s="8">
        <f>IF((0=1),(BN181/BN216),"")</f>
      </c>
      <c r="BO251" s="8">
        <f>IF((0=1),(BO181/BO216),"")</f>
      </c>
      <c r="BP251" s="8">
        <f>IF((0=1),(BP181/BP216),"")</f>
      </c>
      <c r="BQ251" s="8">
        <f>IF((0=1),(BQ181/BQ216),"")</f>
      </c>
      <c r="BR251" s="8">
        <f>IF((0=1),(BR181/BR216),"")</f>
      </c>
      <c r="BS251" s="8">
        <f>IF((0=1),(BS181/BS216),"")</f>
      </c>
      <c r="BT251" s="8">
        <f>IF((0=1),(BT181/BT216),"")</f>
      </c>
      <c r="BU251" s="8">
        <f>IF((0=1),(BU181/BU216),"")</f>
      </c>
      <c r="BV251" s="8">
        <f>IF((0=1),(BV181/BV216),"")</f>
      </c>
      <c r="BW251" s="8">
        <f>IF((0=1),(BW181/BW216),"")</f>
      </c>
      <c r="BX251" s="8">
        <f>IF((0=1),(BX181/BX216),"")</f>
      </c>
      <c r="BY251" s="8">
        <f>IF((0=1),(BY181/BY216),"")</f>
      </c>
      <c r="BZ251" s="8">
        <f>IF((0=1),(BZ181/BZ216),"")</f>
      </c>
      <c r="CA251" s="8">
        <f>IF((0=1),(CA181/CA216),"")</f>
      </c>
      <c r="CB251" s="8">
        <f>IF((0=1),(CB181/CB216),"")</f>
      </c>
      <c r="CC251" s="8">
        <f>IF((0=1),(CC181/CC216),"")</f>
      </c>
      <c r="CD251" s="8">
        <f>IF((0=1),(CD181/CD216),"")</f>
      </c>
      <c r="CE251" s="8">
        <f>IF((0=1),(CE181/CE216),"")</f>
      </c>
      <c r="CF251" s="8">
        <f>IF((0=1),(CF181/CF216),"")</f>
      </c>
      <c r="CG251" s="8">
        <f>IF((0=1),(CG181/CG216),"")</f>
      </c>
      <c r="CH251" s="8">
        <f>IF((0=1),(CH181/CH216),"")</f>
      </c>
      <c r="CI251" s="8">
        <f>IF((0=1),(CI181/CI216),"")</f>
      </c>
      <c r="CJ251" s="8">
        <f>IF((0=1),(CJ181/CJ216),"")</f>
      </c>
      <c r="CK251" s="8">
        <f>IF((0=1),(CK181/CK216),"")</f>
      </c>
      <c r="CL251" s="8">
        <f>IF((0=1),(CL181/CL216),"")</f>
      </c>
      <c r="CM251" s="8">
        <f>IF((0=1),(CM181/CM216),"")</f>
      </c>
      <c r="CN251" s="8">
        <f>IF((0=1),(CN181/CN216),"")</f>
      </c>
      <c r="CO251" s="8">
        <f>IF((0=1),(CO181/CO216),"")</f>
      </c>
      <c r="CP251" s="8">
        <f>IF((0=1),(CP181/CP216),"")</f>
      </c>
      <c r="CQ251" s="8">
        <f>IF((0=1),(CQ181/CQ216),"")</f>
      </c>
      <c r="CR251" s="8">
        <f>IF((0=1),(CR181/CR216),"")</f>
      </c>
      <c r="CS251" s="8">
        <f>IF((0=1),(CS181/CS216),"")</f>
      </c>
      <c r="CT251" s="8">
        <f>IF((0=1),(CT181/CT216),"")</f>
      </c>
      <c r="CU251" s="8">
        <f>IF((0=1),(CU181/CU216),"")</f>
      </c>
      <c r="CV251" s="8">
        <f>IF((0=1),(CV181/CV216),"")</f>
      </c>
      <c r="CW251" s="8">
        <f>IF((0=1),(CW181/CW216),"")</f>
      </c>
      <c r="CX251" s="8">
        <f>IF((0=1),(CX181/CX216),"")</f>
      </c>
    </row>
    <row r="252">
      <c r="A252" s="0" t="inlineStr">
        <is>
          <t xml:space="preserve">Running mean, bps/day</t>
        </is>
      </c>
      <c r="B252" s="0" t="inlineStr">
        <is>
          <t xml:space="preserve">Retail Attention Overnight</t>
        </is>
      </c>
      <c r="C252" s="8">
        <f>IF((1=1),(C182/C217),"")</f>
        <v>-19.56</v>
      </c>
      <c r="D252" s="8">
        <f>IF((0=1),(D182/D217),"")</f>
      </c>
      <c r="E252" s="8">
        <f>IF((0=1),(E182/E217),"")</f>
      </c>
      <c r="F252" s="8">
        <f>IF((0=1),(F182/F217),"")</f>
      </c>
      <c r="G252" s="8">
        <f>IF((0=1),(G182/G217),"")</f>
      </c>
      <c r="H252" s="8">
        <f>IF((0=1),(H182/H217),"")</f>
      </c>
      <c r="I252" s="8">
        <f>IF((0=1),(I182/I217),"")</f>
      </c>
      <c r="J252" s="8">
        <f>IF((0=1),(J182/J217),"")</f>
      </c>
      <c r="K252" s="8">
        <f>IF((0=1),(K182/K217),"")</f>
      </c>
      <c r="L252" s="8">
        <f>IF((0=1),(L182/L217),"")</f>
      </c>
      <c r="M252" s="8">
        <f>IF((0=1),(M182/M217),"")</f>
      </c>
      <c r="N252" s="8">
        <f>IF((0=1),(N182/N217),"")</f>
      </c>
      <c r="O252" s="8">
        <f>IF((0=1),(O182/O217),"")</f>
      </c>
      <c r="P252" s="8">
        <f>IF((0=1),(P182/P217),"")</f>
      </c>
      <c r="Q252" s="8">
        <f>IF((0=1),(Q182/Q217),"")</f>
      </c>
      <c r="R252" s="8">
        <f>IF((0=1),(R182/R217),"")</f>
      </c>
      <c r="S252" s="8">
        <f>IF((0=1),(S182/S217),"")</f>
      </c>
      <c r="T252" s="8">
        <f>IF((0=1),(T182/T217),"")</f>
      </c>
      <c r="U252" s="8">
        <f>IF((0=1),(U182/U217),"")</f>
      </c>
      <c r="V252" s="8">
        <f>IF((0=1),(V182/V217),"")</f>
      </c>
      <c r="W252" s="8">
        <f>IF((0=1),(W182/W217),"")</f>
      </c>
      <c r="X252" s="8">
        <f>IF((0=1),(X182/X217),"")</f>
      </c>
      <c r="Y252" s="8">
        <f>IF((0=1),(Y182/Y217),"")</f>
      </c>
      <c r="Z252" s="8">
        <f>IF((0=1),(Z182/Z217),"")</f>
      </c>
      <c r="AA252" s="8">
        <f>IF((0=1),(AA182/AA217),"")</f>
      </c>
      <c r="AB252" s="8">
        <f>IF((0=1),(AB182/AB217),"")</f>
      </c>
      <c r="AC252" s="8">
        <f>IF((0=1),(AC182/AC217),"")</f>
      </c>
      <c r="AD252" s="8">
        <f>IF((0=1),(AD182/AD217),"")</f>
      </c>
      <c r="AE252" s="8">
        <f>IF((0=1),(AE182/AE217),"")</f>
      </c>
      <c r="AF252" s="8">
        <f>IF((0=1),(AF182/AF217),"")</f>
      </c>
      <c r="AG252" s="8">
        <f>IF((0=1),(AG182/AG217),"")</f>
      </c>
      <c r="AH252" s="8">
        <f>IF((0=1),(AH182/AH217),"")</f>
      </c>
      <c r="AI252" s="8">
        <f>IF((0=1),(AI182/AI217),"")</f>
      </c>
      <c r="AJ252" s="8">
        <f>IF((0=1),(AJ182/AJ217),"")</f>
      </c>
      <c r="AK252" s="8">
        <f>IF((0=1),(AK182/AK217),"")</f>
      </c>
      <c r="AL252" s="8">
        <f>IF((0=1),(AL182/AL217),"")</f>
      </c>
      <c r="AM252" s="8">
        <f>IF((0=1),(AM182/AM217),"")</f>
      </c>
      <c r="AN252" s="8">
        <f>IF((0=1),(AN182/AN217),"")</f>
      </c>
      <c r="AO252" s="8">
        <f>IF((0=1),(AO182/AO217),"")</f>
      </c>
      <c r="AP252" s="8">
        <f>IF((0=1),(AP182/AP217),"")</f>
      </c>
      <c r="AQ252" s="8">
        <f>IF((0=1),(AQ182/AQ217),"")</f>
      </c>
      <c r="AR252" s="8">
        <f>IF((0=1),(AR182/AR217),"")</f>
      </c>
      <c r="AS252" s="8">
        <f>IF((0=1),(AS182/AS217),"")</f>
      </c>
      <c r="AT252" s="8">
        <f>IF((0=1),(AT182/AT217),"")</f>
      </c>
      <c r="AU252" s="8">
        <f>IF((0=1),(AU182/AU217),"")</f>
      </c>
      <c r="AV252" s="8">
        <f>IF((0=1),(AV182/AV217),"")</f>
      </c>
      <c r="AW252" s="8">
        <f>IF((0=1),(AW182/AW217),"")</f>
      </c>
      <c r="AX252" s="8">
        <f>IF((0=1),(AX182/AX217),"")</f>
      </c>
      <c r="AY252" s="8">
        <f>IF((0=1),(AY182/AY217),"")</f>
      </c>
      <c r="AZ252" s="8">
        <f>IF((0=1),(AZ182/AZ217),"")</f>
      </c>
      <c r="BA252" s="8">
        <f>IF((0=1),(BA182/BA217),"")</f>
      </c>
      <c r="BB252" s="8">
        <f>IF((0=1),(BB182/BB217),"")</f>
      </c>
      <c r="BC252" s="8">
        <f>IF((0=1),(BC182/BC217),"")</f>
      </c>
      <c r="BD252" s="8">
        <f>IF((0=1),(BD182/BD217),"")</f>
      </c>
      <c r="BE252" s="8">
        <f>IF((0=1),(BE182/BE217),"")</f>
      </c>
      <c r="BF252" s="8">
        <f>IF((0=1),(BF182/BF217),"")</f>
      </c>
      <c r="BG252" s="8">
        <f>IF((0=1),(BG182/BG217),"")</f>
      </c>
      <c r="BH252" s="8">
        <f>IF((0=1),(BH182/BH217),"")</f>
      </c>
      <c r="BI252" s="8">
        <f>IF((0=1),(BI182/BI217),"")</f>
      </c>
      <c r="BJ252" s="8">
        <f>IF((0=1),(BJ182/BJ217),"")</f>
      </c>
      <c r="BK252" s="8">
        <f>IF((0=1),(BK182/BK217),"")</f>
      </c>
      <c r="BL252" s="8">
        <f>IF((0=1),(BL182/BL217),"")</f>
      </c>
      <c r="BM252" s="8">
        <f>IF((0=1),(BM182/BM217),"")</f>
      </c>
      <c r="BN252" s="8">
        <f>IF((0=1),(BN182/BN217),"")</f>
      </c>
      <c r="BO252" s="8">
        <f>IF((0=1),(BO182/BO217),"")</f>
      </c>
      <c r="BP252" s="8">
        <f>IF((0=1),(BP182/BP217),"")</f>
      </c>
      <c r="BQ252" s="8">
        <f>IF((0=1),(BQ182/BQ217),"")</f>
      </c>
      <c r="BR252" s="8">
        <f>IF((0=1),(BR182/BR217),"")</f>
      </c>
      <c r="BS252" s="8">
        <f>IF((0=1),(BS182/BS217),"")</f>
      </c>
      <c r="BT252" s="8">
        <f>IF((0=1),(BT182/BT217),"")</f>
      </c>
      <c r="BU252" s="8">
        <f>IF((0=1),(BU182/BU217),"")</f>
      </c>
      <c r="BV252" s="8">
        <f>IF((0=1),(BV182/BV217),"")</f>
      </c>
      <c r="BW252" s="8">
        <f>IF((0=1),(BW182/BW217),"")</f>
      </c>
      <c r="BX252" s="8">
        <f>IF((0=1),(BX182/BX217),"")</f>
      </c>
      <c r="BY252" s="8">
        <f>IF((0=1),(BY182/BY217),"")</f>
      </c>
      <c r="BZ252" s="8">
        <f>IF((0=1),(BZ182/BZ217),"")</f>
      </c>
      <c r="CA252" s="8">
        <f>IF((0=1),(CA182/CA217),"")</f>
      </c>
      <c r="CB252" s="8">
        <f>IF((0=1),(CB182/CB217),"")</f>
      </c>
      <c r="CC252" s="8">
        <f>IF((0=1),(CC182/CC217),"")</f>
      </c>
      <c r="CD252" s="8">
        <f>IF((0=1),(CD182/CD217),"")</f>
      </c>
      <c r="CE252" s="8">
        <f>IF((0=1),(CE182/CE217),"")</f>
      </c>
      <c r="CF252" s="8">
        <f>IF((0=1),(CF182/CF217),"")</f>
      </c>
      <c r="CG252" s="8">
        <f>IF((0=1),(CG182/CG217),"")</f>
      </c>
      <c r="CH252" s="8">
        <f>IF((0=1),(CH182/CH217),"")</f>
      </c>
      <c r="CI252" s="8">
        <f>IF((0=1),(CI182/CI217),"")</f>
      </c>
      <c r="CJ252" s="8">
        <f>IF((0=1),(CJ182/CJ217),"")</f>
      </c>
      <c r="CK252" s="8">
        <f>IF((0=1),(CK182/CK217),"")</f>
      </c>
      <c r="CL252" s="8">
        <f>IF((0=1),(CL182/CL217),"")</f>
      </c>
      <c r="CM252" s="8">
        <f>IF((0=1),(CM182/CM217),"")</f>
      </c>
      <c r="CN252" s="8">
        <f>IF((0=1),(CN182/CN217),"")</f>
      </c>
      <c r="CO252" s="8">
        <f>IF((0=1),(CO182/CO217),"")</f>
      </c>
      <c r="CP252" s="8">
        <f>IF((0=1),(CP182/CP217),"")</f>
      </c>
      <c r="CQ252" s="8">
        <f>IF((0=1),(CQ182/CQ217),"")</f>
      </c>
      <c r="CR252" s="8">
        <f>IF((0=1),(CR182/CR217),"")</f>
      </c>
      <c r="CS252" s="8">
        <f>IF((0=1),(CS182/CS217),"")</f>
      </c>
      <c r="CT252" s="8">
        <f>IF((0=1),(CT182/CT217),"")</f>
      </c>
      <c r="CU252" s="8">
        <f>IF((0=1),(CU182/CU217),"")</f>
      </c>
      <c r="CV252" s="8">
        <f>IF((0=1),(CV182/CV217),"")</f>
      </c>
      <c r="CW252" s="8">
        <f>IF((0=1),(CW182/CW217),"")</f>
      </c>
      <c r="CX252" s="8">
        <f>IF((0=1),(CX182/CX217),"")</f>
      </c>
    </row>
    <row r="253">
      <c r="A253" s="0" t="inlineStr">
        <is>
          <t xml:space="preserve">Running mean, bps/day</t>
        </is>
      </c>
      <c r="B253" s="0" t="inlineStr">
        <is>
          <t xml:space="preserve">Post-Earnings Drift, Overnight Leg</t>
        </is>
      </c>
      <c r="C253" s="8">
        <f>IF((1=1),(C183/C218),"")</f>
        <v>11.704</v>
      </c>
      <c r="D253" s="8">
        <f>IF((0=1),(D183/D218),"")</f>
      </c>
      <c r="E253" s="8">
        <f>IF((0=1),(E183/E218),"")</f>
      </c>
      <c r="F253" s="8">
        <f>IF((0=1),(F183/F218),"")</f>
      </c>
      <c r="G253" s="8">
        <f>IF((0=1),(G183/G218),"")</f>
      </c>
      <c r="H253" s="8">
        <f>IF((0=1),(H183/H218),"")</f>
      </c>
      <c r="I253" s="8">
        <f>IF((0=1),(I183/I218),"")</f>
      </c>
      <c r="J253" s="8">
        <f>IF((0=1),(J183/J218),"")</f>
      </c>
      <c r="K253" s="8">
        <f>IF((0=1),(K183/K218),"")</f>
      </c>
      <c r="L253" s="8">
        <f>IF((0=1),(L183/L218),"")</f>
      </c>
      <c r="M253" s="8">
        <f>IF((0=1),(M183/M218),"")</f>
      </c>
      <c r="N253" s="8">
        <f>IF((0=1),(N183/N218),"")</f>
      </c>
      <c r="O253" s="8">
        <f>IF((0=1),(O183/O218),"")</f>
      </c>
      <c r="P253" s="8">
        <f>IF((0=1),(P183/P218),"")</f>
      </c>
      <c r="Q253" s="8">
        <f>IF((0=1),(Q183/Q218),"")</f>
      </c>
      <c r="R253" s="8">
        <f>IF((0=1),(R183/R218),"")</f>
      </c>
      <c r="S253" s="8">
        <f>IF((0=1),(S183/S218),"")</f>
      </c>
      <c r="T253" s="8">
        <f>IF((0=1),(T183/T218),"")</f>
      </c>
      <c r="U253" s="8">
        <f>IF((0=1),(U183/U218),"")</f>
      </c>
      <c r="V253" s="8">
        <f>IF((0=1),(V183/V218),"")</f>
      </c>
      <c r="W253" s="8">
        <f>IF((0=1),(W183/W218),"")</f>
      </c>
      <c r="X253" s="8">
        <f>IF((0=1),(X183/X218),"")</f>
      </c>
      <c r="Y253" s="8">
        <f>IF((0=1),(Y183/Y218),"")</f>
      </c>
      <c r="Z253" s="8">
        <f>IF((0=1),(Z183/Z218),"")</f>
      </c>
      <c r="AA253" s="8">
        <f>IF((0=1),(AA183/AA218),"")</f>
      </c>
      <c r="AB253" s="8">
        <f>IF((0=1),(AB183/AB218),"")</f>
      </c>
      <c r="AC253" s="8">
        <f>IF((0=1),(AC183/AC218),"")</f>
      </c>
      <c r="AD253" s="8">
        <f>IF((0=1),(AD183/AD218),"")</f>
      </c>
      <c r="AE253" s="8">
        <f>IF((0=1),(AE183/AE218),"")</f>
      </c>
      <c r="AF253" s="8">
        <f>IF((0=1),(AF183/AF218),"")</f>
      </c>
      <c r="AG253" s="8">
        <f>IF((0=1),(AG183/AG218),"")</f>
      </c>
      <c r="AH253" s="8">
        <f>IF((0=1),(AH183/AH218),"")</f>
      </c>
      <c r="AI253" s="8">
        <f>IF((0=1),(AI183/AI218),"")</f>
      </c>
      <c r="AJ253" s="8">
        <f>IF((0=1),(AJ183/AJ218),"")</f>
      </c>
      <c r="AK253" s="8">
        <f>IF((0=1),(AK183/AK218),"")</f>
      </c>
      <c r="AL253" s="8">
        <f>IF((0=1),(AL183/AL218),"")</f>
      </c>
      <c r="AM253" s="8">
        <f>IF((0=1),(AM183/AM218),"")</f>
      </c>
      <c r="AN253" s="8">
        <f>IF((0=1),(AN183/AN218),"")</f>
      </c>
      <c r="AO253" s="8">
        <f>IF((0=1),(AO183/AO218),"")</f>
      </c>
      <c r="AP253" s="8">
        <f>IF((0=1),(AP183/AP218),"")</f>
      </c>
      <c r="AQ253" s="8">
        <f>IF((0=1),(AQ183/AQ218),"")</f>
      </c>
      <c r="AR253" s="8">
        <f>IF((0=1),(AR183/AR218),"")</f>
      </c>
      <c r="AS253" s="8">
        <f>IF((0=1),(AS183/AS218),"")</f>
      </c>
      <c r="AT253" s="8">
        <f>IF((0=1),(AT183/AT218),"")</f>
      </c>
      <c r="AU253" s="8">
        <f>IF((0=1),(AU183/AU218),"")</f>
      </c>
      <c r="AV253" s="8">
        <f>IF((0=1),(AV183/AV218),"")</f>
      </c>
      <c r="AW253" s="8">
        <f>IF((0=1),(AW183/AW218),"")</f>
      </c>
      <c r="AX253" s="8">
        <f>IF((0=1),(AX183/AX218),"")</f>
      </c>
      <c r="AY253" s="8">
        <f>IF((0=1),(AY183/AY218),"")</f>
      </c>
      <c r="AZ253" s="8">
        <f>IF((0=1),(AZ183/AZ218),"")</f>
      </c>
      <c r="BA253" s="8">
        <f>IF((0=1),(BA183/BA218),"")</f>
      </c>
      <c r="BB253" s="8">
        <f>IF((0=1),(BB183/BB218),"")</f>
      </c>
      <c r="BC253" s="8">
        <f>IF((0=1),(BC183/BC218),"")</f>
      </c>
      <c r="BD253" s="8">
        <f>IF((0=1),(BD183/BD218),"")</f>
      </c>
      <c r="BE253" s="8">
        <f>IF((0=1),(BE183/BE218),"")</f>
      </c>
      <c r="BF253" s="8">
        <f>IF((0=1),(BF183/BF218),"")</f>
      </c>
      <c r="BG253" s="8">
        <f>IF((0=1),(BG183/BG218),"")</f>
      </c>
      <c r="BH253" s="8">
        <f>IF((0=1),(BH183/BH218),"")</f>
      </c>
      <c r="BI253" s="8">
        <f>IF((0=1),(BI183/BI218),"")</f>
      </c>
      <c r="BJ253" s="8">
        <f>IF((0=1),(BJ183/BJ218),"")</f>
      </c>
      <c r="BK253" s="8">
        <f>IF((0=1),(BK183/BK218),"")</f>
      </c>
      <c r="BL253" s="8">
        <f>IF((0=1),(BL183/BL218),"")</f>
      </c>
      <c r="BM253" s="8">
        <f>IF((0=1),(BM183/BM218),"")</f>
      </c>
      <c r="BN253" s="8">
        <f>IF((0=1),(BN183/BN218),"")</f>
      </c>
      <c r="BO253" s="8">
        <f>IF((0=1),(BO183/BO218),"")</f>
      </c>
      <c r="BP253" s="8">
        <f>IF((0=1),(BP183/BP218),"")</f>
      </c>
      <c r="BQ253" s="8">
        <f>IF((0=1),(BQ183/BQ218),"")</f>
      </c>
      <c r="BR253" s="8">
        <f>IF((0=1),(BR183/BR218),"")</f>
      </c>
      <c r="BS253" s="8">
        <f>IF((0=1),(BS183/BS218),"")</f>
      </c>
      <c r="BT253" s="8">
        <f>IF((0=1),(BT183/BT218),"")</f>
      </c>
      <c r="BU253" s="8">
        <f>IF((0=1),(BU183/BU218),"")</f>
      </c>
      <c r="BV253" s="8">
        <f>IF((0=1),(BV183/BV218),"")</f>
      </c>
      <c r="BW253" s="8">
        <f>IF((0=1),(BW183/BW218),"")</f>
      </c>
      <c r="BX253" s="8">
        <f>IF((0=1),(BX183/BX218),"")</f>
      </c>
      <c r="BY253" s="8">
        <f>IF((0=1),(BY183/BY218),"")</f>
      </c>
      <c r="BZ253" s="8">
        <f>IF((0=1),(BZ183/BZ218),"")</f>
      </c>
      <c r="CA253" s="8">
        <f>IF((0=1),(CA183/CA218),"")</f>
      </c>
      <c r="CB253" s="8">
        <f>IF((0=1),(CB183/CB218),"")</f>
      </c>
      <c r="CC253" s="8">
        <f>IF((0=1),(CC183/CC218),"")</f>
      </c>
      <c r="CD253" s="8">
        <f>IF((0=1),(CD183/CD218),"")</f>
      </c>
      <c r="CE253" s="8">
        <f>IF((0=1),(CE183/CE218),"")</f>
      </c>
      <c r="CF253" s="8">
        <f>IF((0=1),(CF183/CF218),"")</f>
      </c>
      <c r="CG253" s="8">
        <f>IF((0=1),(CG183/CG218),"")</f>
      </c>
      <c r="CH253" s="8">
        <f>IF((0=1),(CH183/CH218),"")</f>
      </c>
      <c r="CI253" s="8">
        <f>IF((0=1),(CI183/CI218),"")</f>
      </c>
      <c r="CJ253" s="8">
        <f>IF((0=1),(CJ183/CJ218),"")</f>
      </c>
      <c r="CK253" s="8">
        <f>IF((0=1),(CK183/CK218),"")</f>
      </c>
      <c r="CL253" s="8">
        <f>IF((0=1),(CL183/CL218),"")</f>
      </c>
      <c r="CM253" s="8">
        <f>IF((0=1),(CM183/CM218),"")</f>
      </c>
      <c r="CN253" s="8">
        <f>IF((0=1),(CN183/CN218),"")</f>
      </c>
      <c r="CO253" s="8">
        <f>IF((0=1),(CO183/CO218),"")</f>
      </c>
      <c r="CP253" s="8">
        <f>IF((0=1),(CP183/CP218),"")</f>
      </c>
      <c r="CQ253" s="8">
        <f>IF((0=1),(CQ183/CQ218),"")</f>
      </c>
      <c r="CR253" s="8">
        <f>IF((0=1),(CR183/CR218),"")</f>
      </c>
      <c r="CS253" s="8">
        <f>IF((0=1),(CS183/CS218),"")</f>
      </c>
      <c r="CT253" s="8">
        <f>IF((0=1),(CT183/CT218),"")</f>
      </c>
      <c r="CU253" s="8">
        <f>IF((0=1),(CU183/CU218),"")</f>
      </c>
      <c r="CV253" s="8">
        <f>IF((0=1),(CV183/CV218),"")</f>
      </c>
      <c r="CW253" s="8">
        <f>IF((0=1),(CW183/CW218),"")</f>
      </c>
      <c r="CX253" s="8">
        <f>IF((0=1),(CX183/CX218),"")</f>
      </c>
    </row>
    <row r="254">
      <c r="A254" s="0" t="inlineStr">
        <is>
          <t xml:space="preserve">Running mean, bps/day</t>
        </is>
      </c>
      <c r="B254" s="0" t="inlineStr">
        <is>
          <t xml:space="preserve">Intraday-to-Overnight Reversal</t>
        </is>
      </c>
      <c r="C254" s="8">
        <f>IF((1=1),(C184/C219),"")</f>
        <v>4.098</v>
      </c>
      <c r="D254" s="8">
        <f>IF((0=1),(D184/D219),"")</f>
      </c>
      <c r="E254" s="8">
        <f>IF((0=1),(E184/E219),"")</f>
      </c>
      <c r="F254" s="8">
        <f>IF((0=1),(F184/F219),"")</f>
      </c>
      <c r="G254" s="8">
        <f>IF((0=1),(G184/G219),"")</f>
      </c>
      <c r="H254" s="8">
        <f>IF((0=1),(H184/H219),"")</f>
      </c>
      <c r="I254" s="8">
        <f>IF((0=1),(I184/I219),"")</f>
      </c>
      <c r="J254" s="8">
        <f>IF((0=1),(J184/J219),"")</f>
      </c>
      <c r="K254" s="8">
        <f>IF((0=1),(K184/K219),"")</f>
      </c>
      <c r="L254" s="8">
        <f>IF((0=1),(L184/L219),"")</f>
      </c>
      <c r="M254" s="8">
        <f>IF((0=1),(M184/M219),"")</f>
      </c>
      <c r="N254" s="8">
        <f>IF((0=1),(N184/N219),"")</f>
      </c>
      <c r="O254" s="8">
        <f>IF((0=1),(O184/O219),"")</f>
      </c>
      <c r="P254" s="8">
        <f>IF((0=1),(P184/P219),"")</f>
      </c>
      <c r="Q254" s="8">
        <f>IF((0=1),(Q184/Q219),"")</f>
      </c>
      <c r="R254" s="8">
        <f>IF((0=1),(R184/R219),"")</f>
      </c>
      <c r="S254" s="8">
        <f>IF((0=1),(S184/S219),"")</f>
      </c>
      <c r="T254" s="8">
        <f>IF((0=1),(T184/T219),"")</f>
      </c>
      <c r="U254" s="8">
        <f>IF((0=1),(U184/U219),"")</f>
      </c>
      <c r="V254" s="8">
        <f>IF((0=1),(V184/V219),"")</f>
      </c>
      <c r="W254" s="8">
        <f>IF((0=1),(W184/W219),"")</f>
      </c>
      <c r="X254" s="8">
        <f>IF((0=1),(X184/X219),"")</f>
      </c>
      <c r="Y254" s="8">
        <f>IF((0=1),(Y184/Y219),"")</f>
      </c>
      <c r="Z254" s="8">
        <f>IF((0=1),(Z184/Z219),"")</f>
      </c>
      <c r="AA254" s="8">
        <f>IF((0=1),(AA184/AA219),"")</f>
      </c>
      <c r="AB254" s="8">
        <f>IF((0=1),(AB184/AB219),"")</f>
      </c>
      <c r="AC254" s="8">
        <f>IF((0=1),(AC184/AC219),"")</f>
      </c>
      <c r="AD254" s="8">
        <f>IF((0=1),(AD184/AD219),"")</f>
      </c>
      <c r="AE254" s="8">
        <f>IF((0=1),(AE184/AE219),"")</f>
      </c>
      <c r="AF254" s="8">
        <f>IF((0=1),(AF184/AF219),"")</f>
      </c>
      <c r="AG254" s="8">
        <f>IF((0=1),(AG184/AG219),"")</f>
      </c>
      <c r="AH254" s="8">
        <f>IF((0=1),(AH184/AH219),"")</f>
      </c>
      <c r="AI254" s="8">
        <f>IF((0=1),(AI184/AI219),"")</f>
      </c>
      <c r="AJ254" s="8">
        <f>IF((0=1),(AJ184/AJ219),"")</f>
      </c>
      <c r="AK254" s="8">
        <f>IF((0=1),(AK184/AK219),"")</f>
      </c>
      <c r="AL254" s="8">
        <f>IF((0=1),(AL184/AL219),"")</f>
      </c>
      <c r="AM254" s="8">
        <f>IF((0=1),(AM184/AM219),"")</f>
      </c>
      <c r="AN254" s="8">
        <f>IF((0=1),(AN184/AN219),"")</f>
      </c>
      <c r="AO254" s="8">
        <f>IF((0=1),(AO184/AO219),"")</f>
      </c>
      <c r="AP254" s="8">
        <f>IF((0=1),(AP184/AP219),"")</f>
      </c>
      <c r="AQ254" s="8">
        <f>IF((0=1),(AQ184/AQ219),"")</f>
      </c>
      <c r="AR254" s="8">
        <f>IF((0=1),(AR184/AR219),"")</f>
      </c>
      <c r="AS254" s="8">
        <f>IF((0=1),(AS184/AS219),"")</f>
      </c>
      <c r="AT254" s="8">
        <f>IF((0=1),(AT184/AT219),"")</f>
      </c>
      <c r="AU254" s="8">
        <f>IF((0=1),(AU184/AU219),"")</f>
      </c>
      <c r="AV254" s="8">
        <f>IF((0=1),(AV184/AV219),"")</f>
      </c>
      <c r="AW254" s="8">
        <f>IF((0=1),(AW184/AW219),"")</f>
      </c>
      <c r="AX254" s="8">
        <f>IF((0=1),(AX184/AX219),"")</f>
      </c>
      <c r="AY254" s="8">
        <f>IF((0=1),(AY184/AY219),"")</f>
      </c>
      <c r="AZ254" s="8">
        <f>IF((0=1),(AZ184/AZ219),"")</f>
      </c>
      <c r="BA254" s="8">
        <f>IF((0=1),(BA184/BA219),"")</f>
      </c>
      <c r="BB254" s="8">
        <f>IF((0=1),(BB184/BB219),"")</f>
      </c>
      <c r="BC254" s="8">
        <f>IF((0=1),(BC184/BC219),"")</f>
      </c>
      <c r="BD254" s="8">
        <f>IF((0=1),(BD184/BD219),"")</f>
      </c>
      <c r="BE254" s="8">
        <f>IF((0=1),(BE184/BE219),"")</f>
      </c>
      <c r="BF254" s="8">
        <f>IF((0=1),(BF184/BF219),"")</f>
      </c>
      <c r="BG254" s="8">
        <f>IF((0=1),(BG184/BG219),"")</f>
      </c>
      <c r="BH254" s="8">
        <f>IF((0=1),(BH184/BH219),"")</f>
      </c>
      <c r="BI254" s="8">
        <f>IF((0=1),(BI184/BI219),"")</f>
      </c>
      <c r="BJ254" s="8">
        <f>IF((0=1),(BJ184/BJ219),"")</f>
      </c>
      <c r="BK254" s="8">
        <f>IF((0=1),(BK184/BK219),"")</f>
      </c>
      <c r="BL254" s="8">
        <f>IF((0=1),(BL184/BL219),"")</f>
      </c>
      <c r="BM254" s="8">
        <f>IF((0=1),(BM184/BM219),"")</f>
      </c>
      <c r="BN254" s="8">
        <f>IF((0=1),(BN184/BN219),"")</f>
      </c>
      <c r="BO254" s="8">
        <f>IF((0=1),(BO184/BO219),"")</f>
      </c>
      <c r="BP254" s="8">
        <f>IF((0=1),(BP184/BP219),"")</f>
      </c>
      <c r="BQ254" s="8">
        <f>IF((0=1),(BQ184/BQ219),"")</f>
      </c>
      <c r="BR254" s="8">
        <f>IF((0=1),(BR184/BR219),"")</f>
      </c>
      <c r="BS254" s="8">
        <f>IF((0=1),(BS184/BS219),"")</f>
      </c>
      <c r="BT254" s="8">
        <f>IF((0=1),(BT184/BT219),"")</f>
      </c>
      <c r="BU254" s="8">
        <f>IF((0=1),(BU184/BU219),"")</f>
      </c>
      <c r="BV254" s="8">
        <f>IF((0=1),(BV184/BV219),"")</f>
      </c>
      <c r="BW254" s="8">
        <f>IF((0=1),(BW184/BW219),"")</f>
      </c>
      <c r="BX254" s="8">
        <f>IF((0=1),(BX184/BX219),"")</f>
      </c>
      <c r="BY254" s="8">
        <f>IF((0=1),(BY184/BY219),"")</f>
      </c>
      <c r="BZ254" s="8">
        <f>IF((0=1),(BZ184/BZ219),"")</f>
      </c>
      <c r="CA254" s="8">
        <f>IF((0=1),(CA184/CA219),"")</f>
      </c>
      <c r="CB254" s="8">
        <f>IF((0=1),(CB184/CB219),"")</f>
      </c>
      <c r="CC254" s="8">
        <f>IF((0=1),(CC184/CC219),"")</f>
      </c>
      <c r="CD254" s="8">
        <f>IF((0=1),(CD184/CD219),"")</f>
      </c>
      <c r="CE254" s="8">
        <f>IF((0=1),(CE184/CE219),"")</f>
      </c>
      <c r="CF254" s="8">
        <f>IF((0=1),(CF184/CF219),"")</f>
      </c>
      <c r="CG254" s="8">
        <f>IF((0=1),(CG184/CG219),"")</f>
      </c>
      <c r="CH254" s="8">
        <f>IF((0=1),(CH184/CH219),"")</f>
      </c>
      <c r="CI254" s="8">
        <f>IF((0=1),(CI184/CI219),"")</f>
      </c>
      <c r="CJ254" s="8">
        <f>IF((0=1),(CJ184/CJ219),"")</f>
      </c>
      <c r="CK254" s="8">
        <f>IF((0=1),(CK184/CK219),"")</f>
      </c>
      <c r="CL254" s="8">
        <f>IF((0=1),(CL184/CL219),"")</f>
      </c>
      <c r="CM254" s="8">
        <f>IF((0=1),(CM184/CM219),"")</f>
      </c>
      <c r="CN254" s="8">
        <f>IF((0=1),(CN184/CN219),"")</f>
      </c>
      <c r="CO254" s="8">
        <f>IF((0=1),(CO184/CO219),"")</f>
      </c>
      <c r="CP254" s="8">
        <f>IF((0=1),(CP184/CP219),"")</f>
      </c>
      <c r="CQ254" s="8">
        <f>IF((0=1),(CQ184/CQ219),"")</f>
      </c>
      <c r="CR254" s="8">
        <f>IF((0=1),(CR184/CR219),"")</f>
      </c>
      <c r="CS254" s="8">
        <f>IF((0=1),(CS184/CS219),"")</f>
      </c>
      <c r="CT254" s="8">
        <f>IF((0=1),(CT184/CT219),"")</f>
      </c>
      <c r="CU254" s="8">
        <f>IF((0=1),(CU184/CU219),"")</f>
      </c>
      <c r="CV254" s="8">
        <f>IF((0=1),(CV184/CV219),"")</f>
      </c>
      <c r="CW254" s="8">
        <f>IF((0=1),(CW184/CW219),"")</f>
      </c>
      <c r="CX254" s="8">
        <f>IF((0=1),(CX184/CX219),"")</f>
      </c>
    </row>
    <row r="255">
      <c r="A255" s="0" t="inlineStr">
        <is>
          <t xml:space="preserve">Running mean, bps/day</t>
        </is>
      </c>
      <c r="B255" s="0" t="inlineStr">
        <is>
          <t xml:space="preserve">Analyst Revision Momentum</t>
        </is>
      </c>
      <c r="C255" s="8">
        <f>IF((1=1),(C185/C220),"")</f>
        <v>-2.965</v>
      </c>
      <c r="D255" s="8">
        <f>IF((0=1),(D185/D220),"")</f>
      </c>
      <c r="E255" s="8">
        <f>IF((0=1),(E185/E220),"")</f>
      </c>
      <c r="F255" s="8">
        <f>IF((0=1),(F185/F220),"")</f>
      </c>
      <c r="G255" s="8">
        <f>IF((0=1),(G185/G220),"")</f>
      </c>
      <c r="H255" s="8">
        <f>IF((0=1),(H185/H220),"")</f>
      </c>
      <c r="I255" s="8">
        <f>IF((0=1),(I185/I220),"")</f>
      </c>
      <c r="J255" s="8">
        <f>IF((0=1),(J185/J220),"")</f>
      </c>
      <c r="K255" s="8">
        <f>IF((0=1),(K185/K220),"")</f>
      </c>
      <c r="L255" s="8">
        <f>IF((0=1),(L185/L220),"")</f>
      </c>
      <c r="M255" s="8">
        <f>IF((0=1),(M185/M220),"")</f>
      </c>
      <c r="N255" s="8">
        <f>IF((0=1),(N185/N220),"")</f>
      </c>
      <c r="O255" s="8">
        <f>IF((0=1),(O185/O220),"")</f>
      </c>
      <c r="P255" s="8">
        <f>IF((0=1),(P185/P220),"")</f>
      </c>
      <c r="Q255" s="8">
        <f>IF((0=1),(Q185/Q220),"")</f>
      </c>
      <c r="R255" s="8">
        <f>IF((0=1),(R185/R220),"")</f>
      </c>
      <c r="S255" s="8">
        <f>IF((0=1),(S185/S220),"")</f>
      </c>
      <c r="T255" s="8">
        <f>IF((0=1),(T185/T220),"")</f>
      </c>
      <c r="U255" s="8">
        <f>IF((0=1),(U185/U220),"")</f>
      </c>
      <c r="V255" s="8">
        <f>IF((0=1),(V185/V220),"")</f>
      </c>
      <c r="W255" s="8">
        <f>IF((0=1),(W185/W220),"")</f>
      </c>
      <c r="X255" s="8">
        <f>IF((0=1),(X185/X220),"")</f>
      </c>
      <c r="Y255" s="8">
        <f>IF((0=1),(Y185/Y220),"")</f>
      </c>
      <c r="Z255" s="8">
        <f>IF((0=1),(Z185/Z220),"")</f>
      </c>
      <c r="AA255" s="8">
        <f>IF((0=1),(AA185/AA220),"")</f>
      </c>
      <c r="AB255" s="8">
        <f>IF((0=1),(AB185/AB220),"")</f>
      </c>
      <c r="AC255" s="8">
        <f>IF((0=1),(AC185/AC220),"")</f>
      </c>
      <c r="AD255" s="8">
        <f>IF((0=1),(AD185/AD220),"")</f>
      </c>
      <c r="AE255" s="8">
        <f>IF((0=1),(AE185/AE220),"")</f>
      </c>
      <c r="AF255" s="8">
        <f>IF((0=1),(AF185/AF220),"")</f>
      </c>
      <c r="AG255" s="8">
        <f>IF((0=1),(AG185/AG220),"")</f>
      </c>
      <c r="AH255" s="8">
        <f>IF((0=1),(AH185/AH220),"")</f>
      </c>
      <c r="AI255" s="8">
        <f>IF((0=1),(AI185/AI220),"")</f>
      </c>
      <c r="AJ255" s="8">
        <f>IF((0=1),(AJ185/AJ220),"")</f>
      </c>
      <c r="AK255" s="8">
        <f>IF((0=1),(AK185/AK220),"")</f>
      </c>
      <c r="AL255" s="8">
        <f>IF((0=1),(AL185/AL220),"")</f>
      </c>
      <c r="AM255" s="8">
        <f>IF((0=1),(AM185/AM220),"")</f>
      </c>
      <c r="AN255" s="8">
        <f>IF((0=1),(AN185/AN220),"")</f>
      </c>
      <c r="AO255" s="8">
        <f>IF((0=1),(AO185/AO220),"")</f>
      </c>
      <c r="AP255" s="8">
        <f>IF((0=1),(AP185/AP220),"")</f>
      </c>
      <c r="AQ255" s="8">
        <f>IF((0=1),(AQ185/AQ220),"")</f>
      </c>
      <c r="AR255" s="8">
        <f>IF((0=1),(AR185/AR220),"")</f>
      </c>
      <c r="AS255" s="8">
        <f>IF((0=1),(AS185/AS220),"")</f>
      </c>
      <c r="AT255" s="8">
        <f>IF((0=1),(AT185/AT220),"")</f>
      </c>
      <c r="AU255" s="8">
        <f>IF((0=1),(AU185/AU220),"")</f>
      </c>
      <c r="AV255" s="8">
        <f>IF((0=1),(AV185/AV220),"")</f>
      </c>
      <c r="AW255" s="8">
        <f>IF((0=1),(AW185/AW220),"")</f>
      </c>
      <c r="AX255" s="8">
        <f>IF((0=1),(AX185/AX220),"")</f>
      </c>
      <c r="AY255" s="8">
        <f>IF((0=1),(AY185/AY220),"")</f>
      </c>
      <c r="AZ255" s="8">
        <f>IF((0=1),(AZ185/AZ220),"")</f>
      </c>
      <c r="BA255" s="8">
        <f>IF((0=1),(BA185/BA220),"")</f>
      </c>
      <c r="BB255" s="8">
        <f>IF((0=1),(BB185/BB220),"")</f>
      </c>
      <c r="BC255" s="8">
        <f>IF((0=1),(BC185/BC220),"")</f>
      </c>
      <c r="BD255" s="8">
        <f>IF((0=1),(BD185/BD220),"")</f>
      </c>
      <c r="BE255" s="8">
        <f>IF((0=1),(BE185/BE220),"")</f>
      </c>
      <c r="BF255" s="8">
        <f>IF((0=1),(BF185/BF220),"")</f>
      </c>
      <c r="BG255" s="8">
        <f>IF((0=1),(BG185/BG220),"")</f>
      </c>
      <c r="BH255" s="8">
        <f>IF((0=1),(BH185/BH220),"")</f>
      </c>
      <c r="BI255" s="8">
        <f>IF((0=1),(BI185/BI220),"")</f>
      </c>
      <c r="BJ255" s="8">
        <f>IF((0=1),(BJ185/BJ220),"")</f>
      </c>
      <c r="BK255" s="8">
        <f>IF((0=1),(BK185/BK220),"")</f>
      </c>
      <c r="BL255" s="8">
        <f>IF((0=1),(BL185/BL220),"")</f>
      </c>
      <c r="BM255" s="8">
        <f>IF((0=1),(BM185/BM220),"")</f>
      </c>
      <c r="BN255" s="8">
        <f>IF((0=1),(BN185/BN220),"")</f>
      </c>
      <c r="BO255" s="8">
        <f>IF((0=1),(BO185/BO220),"")</f>
      </c>
      <c r="BP255" s="8">
        <f>IF((0=1),(BP185/BP220),"")</f>
      </c>
      <c r="BQ255" s="8">
        <f>IF((0=1),(BQ185/BQ220),"")</f>
      </c>
      <c r="BR255" s="8">
        <f>IF((0=1),(BR185/BR220),"")</f>
      </c>
      <c r="BS255" s="8">
        <f>IF((0=1),(BS185/BS220),"")</f>
      </c>
      <c r="BT255" s="8">
        <f>IF((0=1),(BT185/BT220),"")</f>
      </c>
      <c r="BU255" s="8">
        <f>IF((0=1),(BU185/BU220),"")</f>
      </c>
      <c r="BV255" s="8">
        <f>IF((0=1),(BV185/BV220),"")</f>
      </c>
      <c r="BW255" s="8">
        <f>IF((0=1),(BW185/BW220),"")</f>
      </c>
      <c r="BX255" s="8">
        <f>IF((0=1),(BX185/BX220),"")</f>
      </c>
      <c r="BY255" s="8">
        <f>IF((0=1),(BY185/BY220),"")</f>
      </c>
      <c r="BZ255" s="8">
        <f>IF((0=1),(BZ185/BZ220),"")</f>
      </c>
      <c r="CA255" s="8">
        <f>IF((0=1),(CA185/CA220),"")</f>
      </c>
      <c r="CB255" s="8">
        <f>IF((0=1),(CB185/CB220),"")</f>
      </c>
      <c r="CC255" s="8">
        <f>IF((0=1),(CC185/CC220),"")</f>
      </c>
      <c r="CD255" s="8">
        <f>IF((0=1),(CD185/CD220),"")</f>
      </c>
      <c r="CE255" s="8">
        <f>IF((0=1),(CE185/CE220),"")</f>
      </c>
      <c r="CF255" s="8">
        <f>IF((0=1),(CF185/CF220),"")</f>
      </c>
      <c r="CG255" s="8">
        <f>IF((0=1),(CG185/CG220),"")</f>
      </c>
      <c r="CH255" s="8">
        <f>IF((0=1),(CH185/CH220),"")</f>
      </c>
      <c r="CI255" s="8">
        <f>IF((0=1),(CI185/CI220),"")</f>
      </c>
      <c r="CJ255" s="8">
        <f>IF((0=1),(CJ185/CJ220),"")</f>
      </c>
      <c r="CK255" s="8">
        <f>IF((0=1),(CK185/CK220),"")</f>
      </c>
      <c r="CL255" s="8">
        <f>IF((0=1),(CL185/CL220),"")</f>
      </c>
      <c r="CM255" s="8">
        <f>IF((0=1),(CM185/CM220),"")</f>
      </c>
      <c r="CN255" s="8">
        <f>IF((0=1),(CN185/CN220),"")</f>
      </c>
      <c r="CO255" s="8">
        <f>IF((0=1),(CO185/CO220),"")</f>
      </c>
      <c r="CP255" s="8">
        <f>IF((0=1),(CP185/CP220),"")</f>
      </c>
      <c r="CQ255" s="8">
        <f>IF((0=1),(CQ185/CQ220),"")</f>
      </c>
      <c r="CR255" s="8">
        <f>IF((0=1),(CR185/CR220),"")</f>
      </c>
      <c r="CS255" s="8">
        <f>IF((0=1),(CS185/CS220),"")</f>
      </c>
      <c r="CT255" s="8">
        <f>IF((0=1),(CT185/CT220),"")</f>
      </c>
      <c r="CU255" s="8">
        <f>IF((0=1),(CU185/CU220),"")</f>
      </c>
      <c r="CV255" s="8">
        <f>IF((0=1),(CV185/CV220),"")</f>
      </c>
      <c r="CW255" s="8">
        <f>IF((0=1),(CW185/CW220),"")</f>
      </c>
      <c r="CX255" s="8">
        <f>IF((0=1),(CX185/CX220),"")</f>
      </c>
    </row>
    <row r="256">
      <c r="A256" s="0" t="inlineStr">
        <is>
          <t xml:space="preserve">Running mean, bps/day</t>
        </is>
      </c>
      <c r="B256" s="0" t="inlineStr">
        <is>
          <t xml:space="preserve">Clustered Insider Buying</t>
        </is>
      </c>
      <c r="C256" s="8">
        <f>IF((1=1),(C186/C221),"")</f>
        <v>2.143</v>
      </c>
      <c r="D256" s="8">
        <f>IF((0=1),(D186/D221),"")</f>
      </c>
      <c r="E256" s="8">
        <f>IF((0=1),(E186/E221),"")</f>
      </c>
      <c r="F256" s="8">
        <f>IF((0=1),(F186/F221),"")</f>
      </c>
      <c r="G256" s="8">
        <f>IF((0=1),(G186/G221),"")</f>
      </c>
      <c r="H256" s="8">
        <f>IF((0=1),(H186/H221),"")</f>
      </c>
      <c r="I256" s="8">
        <f>IF((0=1),(I186/I221),"")</f>
      </c>
      <c r="J256" s="8">
        <f>IF((0=1),(J186/J221),"")</f>
      </c>
      <c r="K256" s="8">
        <f>IF((0=1),(K186/K221),"")</f>
      </c>
      <c r="L256" s="8">
        <f>IF((0=1),(L186/L221),"")</f>
      </c>
      <c r="M256" s="8">
        <f>IF((0=1),(M186/M221),"")</f>
      </c>
      <c r="N256" s="8">
        <f>IF((0=1),(N186/N221),"")</f>
      </c>
      <c r="O256" s="8">
        <f>IF((0=1),(O186/O221),"")</f>
      </c>
      <c r="P256" s="8">
        <f>IF((0=1),(P186/P221),"")</f>
      </c>
      <c r="Q256" s="8">
        <f>IF((0=1),(Q186/Q221),"")</f>
      </c>
      <c r="R256" s="8">
        <f>IF((0=1),(R186/R221),"")</f>
      </c>
      <c r="S256" s="8">
        <f>IF((0=1),(S186/S221),"")</f>
      </c>
      <c r="T256" s="8">
        <f>IF((0=1),(T186/T221),"")</f>
      </c>
      <c r="U256" s="8">
        <f>IF((0=1),(U186/U221),"")</f>
      </c>
      <c r="V256" s="8">
        <f>IF((0=1),(V186/V221),"")</f>
      </c>
      <c r="W256" s="8">
        <f>IF((0=1),(W186/W221),"")</f>
      </c>
      <c r="X256" s="8">
        <f>IF((0=1),(X186/X221),"")</f>
      </c>
      <c r="Y256" s="8">
        <f>IF((0=1),(Y186/Y221),"")</f>
      </c>
      <c r="Z256" s="8">
        <f>IF((0=1),(Z186/Z221),"")</f>
      </c>
      <c r="AA256" s="8">
        <f>IF((0=1),(AA186/AA221),"")</f>
      </c>
      <c r="AB256" s="8">
        <f>IF((0=1),(AB186/AB221),"")</f>
      </c>
      <c r="AC256" s="8">
        <f>IF((0=1),(AC186/AC221),"")</f>
      </c>
      <c r="AD256" s="8">
        <f>IF((0=1),(AD186/AD221),"")</f>
      </c>
      <c r="AE256" s="8">
        <f>IF((0=1),(AE186/AE221),"")</f>
      </c>
      <c r="AF256" s="8">
        <f>IF((0=1),(AF186/AF221),"")</f>
      </c>
      <c r="AG256" s="8">
        <f>IF((0=1),(AG186/AG221),"")</f>
      </c>
      <c r="AH256" s="8">
        <f>IF((0=1),(AH186/AH221),"")</f>
      </c>
      <c r="AI256" s="8">
        <f>IF((0=1),(AI186/AI221),"")</f>
      </c>
      <c r="AJ256" s="8">
        <f>IF((0=1),(AJ186/AJ221),"")</f>
      </c>
      <c r="AK256" s="8">
        <f>IF((0=1),(AK186/AK221),"")</f>
      </c>
      <c r="AL256" s="8">
        <f>IF((0=1),(AL186/AL221),"")</f>
      </c>
      <c r="AM256" s="8">
        <f>IF((0=1),(AM186/AM221),"")</f>
      </c>
      <c r="AN256" s="8">
        <f>IF((0=1),(AN186/AN221),"")</f>
      </c>
      <c r="AO256" s="8">
        <f>IF((0=1),(AO186/AO221),"")</f>
      </c>
      <c r="AP256" s="8">
        <f>IF((0=1),(AP186/AP221),"")</f>
      </c>
      <c r="AQ256" s="8">
        <f>IF((0=1),(AQ186/AQ221),"")</f>
      </c>
      <c r="AR256" s="8">
        <f>IF((0=1),(AR186/AR221),"")</f>
      </c>
      <c r="AS256" s="8">
        <f>IF((0=1),(AS186/AS221),"")</f>
      </c>
      <c r="AT256" s="8">
        <f>IF((0=1),(AT186/AT221),"")</f>
      </c>
      <c r="AU256" s="8">
        <f>IF((0=1),(AU186/AU221),"")</f>
      </c>
      <c r="AV256" s="8">
        <f>IF((0=1),(AV186/AV221),"")</f>
      </c>
      <c r="AW256" s="8">
        <f>IF((0=1),(AW186/AW221),"")</f>
      </c>
      <c r="AX256" s="8">
        <f>IF((0=1),(AX186/AX221),"")</f>
      </c>
      <c r="AY256" s="8">
        <f>IF((0=1),(AY186/AY221),"")</f>
      </c>
      <c r="AZ256" s="8">
        <f>IF((0=1),(AZ186/AZ221),"")</f>
      </c>
      <c r="BA256" s="8">
        <f>IF((0=1),(BA186/BA221),"")</f>
      </c>
      <c r="BB256" s="8">
        <f>IF((0=1),(BB186/BB221),"")</f>
      </c>
      <c r="BC256" s="8">
        <f>IF((0=1),(BC186/BC221),"")</f>
      </c>
      <c r="BD256" s="8">
        <f>IF((0=1),(BD186/BD221),"")</f>
      </c>
      <c r="BE256" s="8">
        <f>IF((0=1),(BE186/BE221),"")</f>
      </c>
      <c r="BF256" s="8">
        <f>IF((0=1),(BF186/BF221),"")</f>
      </c>
      <c r="BG256" s="8">
        <f>IF((0=1),(BG186/BG221),"")</f>
      </c>
      <c r="BH256" s="8">
        <f>IF((0=1),(BH186/BH221),"")</f>
      </c>
      <c r="BI256" s="8">
        <f>IF((0=1),(BI186/BI221),"")</f>
      </c>
      <c r="BJ256" s="8">
        <f>IF((0=1),(BJ186/BJ221),"")</f>
      </c>
      <c r="BK256" s="8">
        <f>IF((0=1),(BK186/BK221),"")</f>
      </c>
      <c r="BL256" s="8">
        <f>IF((0=1),(BL186/BL221),"")</f>
      </c>
      <c r="BM256" s="8">
        <f>IF((0=1),(BM186/BM221),"")</f>
      </c>
      <c r="BN256" s="8">
        <f>IF((0=1),(BN186/BN221),"")</f>
      </c>
      <c r="BO256" s="8">
        <f>IF((0=1),(BO186/BO221),"")</f>
      </c>
      <c r="BP256" s="8">
        <f>IF((0=1),(BP186/BP221),"")</f>
      </c>
      <c r="BQ256" s="8">
        <f>IF((0=1),(BQ186/BQ221),"")</f>
      </c>
      <c r="BR256" s="8">
        <f>IF((0=1),(BR186/BR221),"")</f>
      </c>
      <c r="BS256" s="8">
        <f>IF((0=1),(BS186/BS221),"")</f>
      </c>
      <c r="BT256" s="8">
        <f>IF((0=1),(BT186/BT221),"")</f>
      </c>
      <c r="BU256" s="8">
        <f>IF((0=1),(BU186/BU221),"")</f>
      </c>
      <c r="BV256" s="8">
        <f>IF((0=1),(BV186/BV221),"")</f>
      </c>
      <c r="BW256" s="8">
        <f>IF((0=1),(BW186/BW221),"")</f>
      </c>
      <c r="BX256" s="8">
        <f>IF((0=1),(BX186/BX221),"")</f>
      </c>
      <c r="BY256" s="8">
        <f>IF((0=1),(BY186/BY221),"")</f>
      </c>
      <c r="BZ256" s="8">
        <f>IF((0=1),(BZ186/BZ221),"")</f>
      </c>
      <c r="CA256" s="8">
        <f>IF((0=1),(CA186/CA221),"")</f>
      </c>
      <c r="CB256" s="8">
        <f>IF((0=1),(CB186/CB221),"")</f>
      </c>
      <c r="CC256" s="8">
        <f>IF((0=1),(CC186/CC221),"")</f>
      </c>
      <c r="CD256" s="8">
        <f>IF((0=1),(CD186/CD221),"")</f>
      </c>
      <c r="CE256" s="8">
        <f>IF((0=1),(CE186/CE221),"")</f>
      </c>
      <c r="CF256" s="8">
        <f>IF((0=1),(CF186/CF221),"")</f>
      </c>
      <c r="CG256" s="8">
        <f>IF((0=1),(CG186/CG221),"")</f>
      </c>
      <c r="CH256" s="8">
        <f>IF((0=1),(CH186/CH221),"")</f>
      </c>
      <c r="CI256" s="8">
        <f>IF((0=1),(CI186/CI221),"")</f>
      </c>
      <c r="CJ256" s="8">
        <f>IF((0=1),(CJ186/CJ221),"")</f>
      </c>
      <c r="CK256" s="8">
        <f>IF((0=1),(CK186/CK221),"")</f>
      </c>
      <c r="CL256" s="8">
        <f>IF((0=1),(CL186/CL221),"")</f>
      </c>
      <c r="CM256" s="8">
        <f>IF((0=1),(CM186/CM221),"")</f>
      </c>
      <c r="CN256" s="8">
        <f>IF((0=1),(CN186/CN221),"")</f>
      </c>
      <c r="CO256" s="8">
        <f>IF((0=1),(CO186/CO221),"")</f>
      </c>
      <c r="CP256" s="8">
        <f>IF((0=1),(CP186/CP221),"")</f>
      </c>
      <c r="CQ256" s="8">
        <f>IF((0=1),(CQ186/CQ221),"")</f>
      </c>
      <c r="CR256" s="8">
        <f>IF((0=1),(CR186/CR221),"")</f>
      </c>
      <c r="CS256" s="8">
        <f>IF((0=1),(CS186/CS221),"")</f>
      </c>
      <c r="CT256" s="8">
        <f>IF((0=1),(CT186/CT221),"")</f>
      </c>
      <c r="CU256" s="8">
        <f>IF((0=1),(CU186/CU221),"")</f>
      </c>
      <c r="CV256" s="8">
        <f>IF((0=1),(CV186/CV221),"")</f>
      </c>
      <c r="CW256" s="8">
        <f>IF((0=1),(CW186/CW221),"")</f>
      </c>
      <c r="CX256" s="8">
        <f>IF((0=1),(CX186/CX221),"")</f>
      </c>
    </row>
    <row r="257">
      <c r="A257" s="0" t="inlineStr">
        <is>
          <t xml:space="preserve">Running mean, bps/day</t>
        </is>
      </c>
      <c r="B257" s="0" t="inlineStr">
        <is>
          <t xml:space="preserve">Same-Month Seasonality</t>
        </is>
      </c>
      <c r="C257" s="8">
        <f>IF((1=1),(C187/C222),"")</f>
        <v>-21.574</v>
      </c>
      <c r="D257" s="8">
        <f>IF((0=1),(D187/D222),"")</f>
      </c>
      <c r="E257" s="8">
        <f>IF((0=1),(E187/E222),"")</f>
      </c>
      <c r="F257" s="8">
        <f>IF((0=1),(F187/F222),"")</f>
      </c>
      <c r="G257" s="8">
        <f>IF((0=1),(G187/G222),"")</f>
      </c>
      <c r="H257" s="8">
        <f>IF((0=1),(H187/H222),"")</f>
      </c>
      <c r="I257" s="8">
        <f>IF((0=1),(I187/I222),"")</f>
      </c>
      <c r="J257" s="8">
        <f>IF((0=1),(J187/J222),"")</f>
      </c>
      <c r="K257" s="8">
        <f>IF((0=1),(K187/K222),"")</f>
      </c>
      <c r="L257" s="8">
        <f>IF((0=1),(L187/L222),"")</f>
      </c>
      <c r="M257" s="8">
        <f>IF((0=1),(M187/M222),"")</f>
      </c>
      <c r="N257" s="8">
        <f>IF((0=1),(N187/N222),"")</f>
      </c>
      <c r="O257" s="8">
        <f>IF((0=1),(O187/O222),"")</f>
      </c>
      <c r="P257" s="8">
        <f>IF((0=1),(P187/P222),"")</f>
      </c>
      <c r="Q257" s="8">
        <f>IF((0=1),(Q187/Q222),"")</f>
      </c>
      <c r="R257" s="8">
        <f>IF((0=1),(R187/R222),"")</f>
      </c>
      <c r="S257" s="8">
        <f>IF((0=1),(S187/S222),"")</f>
      </c>
      <c r="T257" s="8">
        <f>IF((0=1),(T187/T222),"")</f>
      </c>
      <c r="U257" s="8">
        <f>IF((0=1),(U187/U222),"")</f>
      </c>
      <c r="V257" s="8">
        <f>IF((0=1),(V187/V222),"")</f>
      </c>
      <c r="W257" s="8">
        <f>IF((0=1),(W187/W222),"")</f>
      </c>
      <c r="X257" s="8">
        <f>IF((0=1),(X187/X222),"")</f>
      </c>
      <c r="Y257" s="8">
        <f>IF((0=1),(Y187/Y222),"")</f>
      </c>
      <c r="Z257" s="8">
        <f>IF((0=1),(Z187/Z222),"")</f>
      </c>
      <c r="AA257" s="8">
        <f>IF((0=1),(AA187/AA222),"")</f>
      </c>
      <c r="AB257" s="8">
        <f>IF((0=1),(AB187/AB222),"")</f>
      </c>
      <c r="AC257" s="8">
        <f>IF((0=1),(AC187/AC222),"")</f>
      </c>
      <c r="AD257" s="8">
        <f>IF((0=1),(AD187/AD222),"")</f>
      </c>
      <c r="AE257" s="8">
        <f>IF((0=1),(AE187/AE222),"")</f>
      </c>
      <c r="AF257" s="8">
        <f>IF((0=1),(AF187/AF222),"")</f>
      </c>
      <c r="AG257" s="8">
        <f>IF((0=1),(AG187/AG222),"")</f>
      </c>
      <c r="AH257" s="8">
        <f>IF((0=1),(AH187/AH222),"")</f>
      </c>
      <c r="AI257" s="8">
        <f>IF((0=1),(AI187/AI222),"")</f>
      </c>
      <c r="AJ257" s="8">
        <f>IF((0=1),(AJ187/AJ222),"")</f>
      </c>
      <c r="AK257" s="8">
        <f>IF((0=1),(AK187/AK222),"")</f>
      </c>
      <c r="AL257" s="8">
        <f>IF((0=1),(AL187/AL222),"")</f>
      </c>
      <c r="AM257" s="8">
        <f>IF((0=1),(AM187/AM222),"")</f>
      </c>
      <c r="AN257" s="8">
        <f>IF((0=1),(AN187/AN222),"")</f>
      </c>
      <c r="AO257" s="8">
        <f>IF((0=1),(AO187/AO222),"")</f>
      </c>
      <c r="AP257" s="8">
        <f>IF((0=1),(AP187/AP222),"")</f>
      </c>
      <c r="AQ257" s="8">
        <f>IF((0=1),(AQ187/AQ222),"")</f>
      </c>
      <c r="AR257" s="8">
        <f>IF((0=1),(AR187/AR222),"")</f>
      </c>
      <c r="AS257" s="8">
        <f>IF((0=1),(AS187/AS222),"")</f>
      </c>
      <c r="AT257" s="8">
        <f>IF((0=1),(AT187/AT222),"")</f>
      </c>
      <c r="AU257" s="8">
        <f>IF((0=1),(AU187/AU222),"")</f>
      </c>
      <c r="AV257" s="8">
        <f>IF((0=1),(AV187/AV222),"")</f>
      </c>
      <c r="AW257" s="8">
        <f>IF((0=1),(AW187/AW222),"")</f>
      </c>
      <c r="AX257" s="8">
        <f>IF((0=1),(AX187/AX222),"")</f>
      </c>
      <c r="AY257" s="8">
        <f>IF((0=1),(AY187/AY222),"")</f>
      </c>
      <c r="AZ257" s="8">
        <f>IF((0=1),(AZ187/AZ222),"")</f>
      </c>
      <c r="BA257" s="8">
        <f>IF((0=1),(BA187/BA222),"")</f>
      </c>
      <c r="BB257" s="8">
        <f>IF((0=1),(BB187/BB222),"")</f>
      </c>
      <c r="BC257" s="8">
        <f>IF((0=1),(BC187/BC222),"")</f>
      </c>
      <c r="BD257" s="8">
        <f>IF((0=1),(BD187/BD222),"")</f>
      </c>
      <c r="BE257" s="8">
        <f>IF((0=1),(BE187/BE222),"")</f>
      </c>
      <c r="BF257" s="8">
        <f>IF((0=1),(BF187/BF222),"")</f>
      </c>
      <c r="BG257" s="8">
        <f>IF((0=1),(BG187/BG222),"")</f>
      </c>
      <c r="BH257" s="8">
        <f>IF((0=1),(BH187/BH222),"")</f>
      </c>
      <c r="BI257" s="8">
        <f>IF((0=1),(BI187/BI222),"")</f>
      </c>
      <c r="BJ257" s="8">
        <f>IF((0=1),(BJ187/BJ222),"")</f>
      </c>
      <c r="BK257" s="8">
        <f>IF((0=1),(BK187/BK222),"")</f>
      </c>
      <c r="BL257" s="8">
        <f>IF((0=1),(BL187/BL222),"")</f>
      </c>
      <c r="BM257" s="8">
        <f>IF((0=1),(BM187/BM222),"")</f>
      </c>
      <c r="BN257" s="8">
        <f>IF((0=1),(BN187/BN222),"")</f>
      </c>
      <c r="BO257" s="8">
        <f>IF((0=1),(BO187/BO222),"")</f>
      </c>
      <c r="BP257" s="8">
        <f>IF((0=1),(BP187/BP222),"")</f>
      </c>
      <c r="BQ257" s="8">
        <f>IF((0=1),(BQ187/BQ222),"")</f>
      </c>
      <c r="BR257" s="8">
        <f>IF((0=1),(BR187/BR222),"")</f>
      </c>
      <c r="BS257" s="8">
        <f>IF((0=1),(BS187/BS222),"")</f>
      </c>
      <c r="BT257" s="8">
        <f>IF((0=1),(BT187/BT222),"")</f>
      </c>
      <c r="BU257" s="8">
        <f>IF((0=1),(BU187/BU222),"")</f>
      </c>
      <c r="BV257" s="8">
        <f>IF((0=1),(BV187/BV222),"")</f>
      </c>
      <c r="BW257" s="8">
        <f>IF((0=1),(BW187/BW222),"")</f>
      </c>
      <c r="BX257" s="8">
        <f>IF((0=1),(BX187/BX222),"")</f>
      </c>
      <c r="BY257" s="8">
        <f>IF((0=1),(BY187/BY222),"")</f>
      </c>
      <c r="BZ257" s="8">
        <f>IF((0=1),(BZ187/BZ222),"")</f>
      </c>
      <c r="CA257" s="8">
        <f>IF((0=1),(CA187/CA222),"")</f>
      </c>
      <c r="CB257" s="8">
        <f>IF((0=1),(CB187/CB222),"")</f>
      </c>
      <c r="CC257" s="8">
        <f>IF((0=1),(CC187/CC222),"")</f>
      </c>
      <c r="CD257" s="8">
        <f>IF((0=1),(CD187/CD222),"")</f>
      </c>
      <c r="CE257" s="8">
        <f>IF((0=1),(CE187/CE222),"")</f>
      </c>
      <c r="CF257" s="8">
        <f>IF((0=1),(CF187/CF222),"")</f>
      </c>
      <c r="CG257" s="8">
        <f>IF((0=1),(CG187/CG222),"")</f>
      </c>
      <c r="CH257" s="8">
        <f>IF((0=1),(CH187/CH222),"")</f>
      </c>
      <c r="CI257" s="8">
        <f>IF((0=1),(CI187/CI222),"")</f>
      </c>
      <c r="CJ257" s="8">
        <f>IF((0=1),(CJ187/CJ222),"")</f>
      </c>
      <c r="CK257" s="8">
        <f>IF((0=1),(CK187/CK222),"")</f>
      </c>
      <c r="CL257" s="8">
        <f>IF((0=1),(CL187/CL222),"")</f>
      </c>
      <c r="CM257" s="8">
        <f>IF((0=1),(CM187/CM222),"")</f>
      </c>
      <c r="CN257" s="8">
        <f>IF((0=1),(CN187/CN222),"")</f>
      </c>
      <c r="CO257" s="8">
        <f>IF((0=1),(CO187/CO222),"")</f>
      </c>
      <c r="CP257" s="8">
        <f>IF((0=1),(CP187/CP222),"")</f>
      </c>
      <c r="CQ257" s="8">
        <f>IF((0=1),(CQ187/CQ222),"")</f>
      </c>
      <c r="CR257" s="8">
        <f>IF((0=1),(CR187/CR222),"")</f>
      </c>
      <c r="CS257" s="8">
        <f>IF((0=1),(CS187/CS222),"")</f>
      </c>
      <c r="CT257" s="8">
        <f>IF((0=1),(CT187/CT222),"")</f>
      </c>
      <c r="CU257" s="8">
        <f>IF((0=1),(CU187/CU222),"")</f>
      </c>
      <c r="CV257" s="8">
        <f>IF((0=1),(CV187/CV222),"")</f>
      </c>
      <c r="CW257" s="8">
        <f>IF((0=1),(CW187/CW222),"")</f>
      </c>
      <c r="CX257" s="8">
        <f>IF((0=1),(CX187/CX222),"")</f>
      </c>
    </row>
    <row r="258">
      <c r="A258" s="0" t="inlineStr">
        <is>
          <t xml:space="preserve">Running mean, bps/day</t>
        </is>
      </c>
      <c r="B258" s="0" t="inlineStr">
        <is>
          <t xml:space="preserve">Quality at a Reasonable Price</t>
        </is>
      </c>
      <c r="C258" s="8">
        <f>IF((1=1),(C188/C223),"")</f>
        <v>-0.086</v>
      </c>
      <c r="D258" s="8">
        <f>IF((0=1),(D188/D223),"")</f>
      </c>
      <c r="E258" s="8">
        <f>IF((0=1),(E188/E223),"")</f>
      </c>
      <c r="F258" s="8">
        <f>IF((0=1),(F188/F223),"")</f>
      </c>
      <c r="G258" s="8">
        <f>IF((0=1),(G188/G223),"")</f>
      </c>
      <c r="H258" s="8">
        <f>IF((0=1),(H188/H223),"")</f>
      </c>
      <c r="I258" s="8">
        <f>IF((0=1),(I188/I223),"")</f>
      </c>
      <c r="J258" s="8">
        <f>IF((0=1),(J188/J223),"")</f>
      </c>
      <c r="K258" s="8">
        <f>IF((0=1),(K188/K223),"")</f>
      </c>
      <c r="L258" s="8">
        <f>IF((0=1),(L188/L223),"")</f>
      </c>
      <c r="M258" s="8">
        <f>IF((0=1),(M188/M223),"")</f>
      </c>
      <c r="N258" s="8">
        <f>IF((0=1),(N188/N223),"")</f>
      </c>
      <c r="O258" s="8">
        <f>IF((0=1),(O188/O223),"")</f>
      </c>
      <c r="P258" s="8">
        <f>IF((0=1),(P188/P223),"")</f>
      </c>
      <c r="Q258" s="8">
        <f>IF((0=1),(Q188/Q223),"")</f>
      </c>
      <c r="R258" s="8">
        <f>IF((0=1),(R188/R223),"")</f>
      </c>
      <c r="S258" s="8">
        <f>IF((0=1),(S188/S223),"")</f>
      </c>
      <c r="T258" s="8">
        <f>IF((0=1),(T188/T223),"")</f>
      </c>
      <c r="U258" s="8">
        <f>IF((0=1),(U188/U223),"")</f>
      </c>
      <c r="V258" s="8">
        <f>IF((0=1),(V188/V223),"")</f>
      </c>
      <c r="W258" s="8">
        <f>IF((0=1),(W188/W223),"")</f>
      </c>
      <c r="X258" s="8">
        <f>IF((0=1),(X188/X223),"")</f>
      </c>
      <c r="Y258" s="8">
        <f>IF((0=1),(Y188/Y223),"")</f>
      </c>
      <c r="Z258" s="8">
        <f>IF((0=1),(Z188/Z223),"")</f>
      </c>
      <c r="AA258" s="8">
        <f>IF((0=1),(AA188/AA223),"")</f>
      </c>
      <c r="AB258" s="8">
        <f>IF((0=1),(AB188/AB223),"")</f>
      </c>
      <c r="AC258" s="8">
        <f>IF((0=1),(AC188/AC223),"")</f>
      </c>
      <c r="AD258" s="8">
        <f>IF((0=1),(AD188/AD223),"")</f>
      </c>
      <c r="AE258" s="8">
        <f>IF((0=1),(AE188/AE223),"")</f>
      </c>
      <c r="AF258" s="8">
        <f>IF((0=1),(AF188/AF223),"")</f>
      </c>
      <c r="AG258" s="8">
        <f>IF((0=1),(AG188/AG223),"")</f>
      </c>
      <c r="AH258" s="8">
        <f>IF((0=1),(AH188/AH223),"")</f>
      </c>
      <c r="AI258" s="8">
        <f>IF((0=1),(AI188/AI223),"")</f>
      </c>
      <c r="AJ258" s="8">
        <f>IF((0=1),(AJ188/AJ223),"")</f>
      </c>
      <c r="AK258" s="8">
        <f>IF((0=1),(AK188/AK223),"")</f>
      </c>
      <c r="AL258" s="8">
        <f>IF((0=1),(AL188/AL223),"")</f>
      </c>
      <c r="AM258" s="8">
        <f>IF((0=1),(AM188/AM223),"")</f>
      </c>
      <c r="AN258" s="8">
        <f>IF((0=1),(AN188/AN223),"")</f>
      </c>
      <c r="AO258" s="8">
        <f>IF((0=1),(AO188/AO223),"")</f>
      </c>
      <c r="AP258" s="8">
        <f>IF((0=1),(AP188/AP223),"")</f>
      </c>
      <c r="AQ258" s="8">
        <f>IF((0=1),(AQ188/AQ223),"")</f>
      </c>
      <c r="AR258" s="8">
        <f>IF((0=1),(AR188/AR223),"")</f>
      </c>
      <c r="AS258" s="8">
        <f>IF((0=1),(AS188/AS223),"")</f>
      </c>
      <c r="AT258" s="8">
        <f>IF((0=1),(AT188/AT223),"")</f>
      </c>
      <c r="AU258" s="8">
        <f>IF((0=1),(AU188/AU223),"")</f>
      </c>
      <c r="AV258" s="8">
        <f>IF((0=1),(AV188/AV223),"")</f>
      </c>
      <c r="AW258" s="8">
        <f>IF((0=1),(AW188/AW223),"")</f>
      </c>
      <c r="AX258" s="8">
        <f>IF((0=1),(AX188/AX223),"")</f>
      </c>
      <c r="AY258" s="8">
        <f>IF((0=1),(AY188/AY223),"")</f>
      </c>
      <c r="AZ258" s="8">
        <f>IF((0=1),(AZ188/AZ223),"")</f>
      </c>
      <c r="BA258" s="8">
        <f>IF((0=1),(BA188/BA223),"")</f>
      </c>
      <c r="BB258" s="8">
        <f>IF((0=1),(BB188/BB223),"")</f>
      </c>
      <c r="BC258" s="8">
        <f>IF((0=1),(BC188/BC223),"")</f>
      </c>
      <c r="BD258" s="8">
        <f>IF((0=1),(BD188/BD223),"")</f>
      </c>
      <c r="BE258" s="8">
        <f>IF((0=1),(BE188/BE223),"")</f>
      </c>
      <c r="BF258" s="8">
        <f>IF((0=1),(BF188/BF223),"")</f>
      </c>
      <c r="BG258" s="8">
        <f>IF((0=1),(BG188/BG223),"")</f>
      </c>
      <c r="BH258" s="8">
        <f>IF((0=1),(BH188/BH223),"")</f>
      </c>
      <c r="BI258" s="8">
        <f>IF((0=1),(BI188/BI223),"")</f>
      </c>
      <c r="BJ258" s="8">
        <f>IF((0=1),(BJ188/BJ223),"")</f>
      </c>
      <c r="BK258" s="8">
        <f>IF((0=1),(BK188/BK223),"")</f>
      </c>
      <c r="BL258" s="8">
        <f>IF((0=1),(BL188/BL223),"")</f>
      </c>
      <c r="BM258" s="8">
        <f>IF((0=1),(BM188/BM223),"")</f>
      </c>
      <c r="BN258" s="8">
        <f>IF((0=1),(BN188/BN223),"")</f>
      </c>
      <c r="BO258" s="8">
        <f>IF((0=1),(BO188/BO223),"")</f>
      </c>
      <c r="BP258" s="8">
        <f>IF((0=1),(BP188/BP223),"")</f>
      </c>
      <c r="BQ258" s="8">
        <f>IF((0=1),(BQ188/BQ223),"")</f>
      </c>
      <c r="BR258" s="8">
        <f>IF((0=1),(BR188/BR223),"")</f>
      </c>
      <c r="BS258" s="8">
        <f>IF((0=1),(BS188/BS223),"")</f>
      </c>
      <c r="BT258" s="8">
        <f>IF((0=1),(BT188/BT223),"")</f>
      </c>
      <c r="BU258" s="8">
        <f>IF((0=1),(BU188/BU223),"")</f>
      </c>
      <c r="BV258" s="8">
        <f>IF((0=1),(BV188/BV223),"")</f>
      </c>
      <c r="BW258" s="8">
        <f>IF((0=1),(BW188/BW223),"")</f>
      </c>
      <c r="BX258" s="8">
        <f>IF((0=1),(BX188/BX223),"")</f>
      </c>
      <c r="BY258" s="8">
        <f>IF((0=1),(BY188/BY223),"")</f>
      </c>
      <c r="BZ258" s="8">
        <f>IF((0=1),(BZ188/BZ223),"")</f>
      </c>
      <c r="CA258" s="8">
        <f>IF((0=1),(CA188/CA223),"")</f>
      </c>
      <c r="CB258" s="8">
        <f>IF((0=1),(CB188/CB223),"")</f>
      </c>
      <c r="CC258" s="8">
        <f>IF((0=1),(CC188/CC223),"")</f>
      </c>
      <c r="CD258" s="8">
        <f>IF((0=1),(CD188/CD223),"")</f>
      </c>
      <c r="CE258" s="8">
        <f>IF((0=1),(CE188/CE223),"")</f>
      </c>
      <c r="CF258" s="8">
        <f>IF((0=1),(CF188/CF223),"")</f>
      </c>
      <c r="CG258" s="8">
        <f>IF((0=1),(CG188/CG223),"")</f>
      </c>
      <c r="CH258" s="8">
        <f>IF((0=1),(CH188/CH223),"")</f>
      </c>
      <c r="CI258" s="8">
        <f>IF((0=1),(CI188/CI223),"")</f>
      </c>
      <c r="CJ258" s="8">
        <f>IF((0=1),(CJ188/CJ223),"")</f>
      </c>
      <c r="CK258" s="8">
        <f>IF((0=1),(CK188/CK223),"")</f>
      </c>
      <c r="CL258" s="8">
        <f>IF((0=1),(CL188/CL223),"")</f>
      </c>
      <c r="CM258" s="8">
        <f>IF((0=1),(CM188/CM223),"")</f>
      </c>
      <c r="CN258" s="8">
        <f>IF((0=1),(CN188/CN223),"")</f>
      </c>
      <c r="CO258" s="8">
        <f>IF((0=1),(CO188/CO223),"")</f>
      </c>
      <c r="CP258" s="8">
        <f>IF((0=1),(CP188/CP223),"")</f>
      </c>
      <c r="CQ258" s="8">
        <f>IF((0=1),(CQ188/CQ223),"")</f>
      </c>
      <c r="CR258" s="8">
        <f>IF((0=1),(CR188/CR223),"")</f>
      </c>
      <c r="CS258" s="8">
        <f>IF((0=1),(CS188/CS223),"")</f>
      </c>
      <c r="CT258" s="8">
        <f>IF((0=1),(CT188/CT223),"")</f>
      </c>
      <c r="CU258" s="8">
        <f>IF((0=1),(CU188/CU223),"")</f>
      </c>
      <c r="CV258" s="8">
        <f>IF((0=1),(CV188/CV223),"")</f>
      </c>
      <c r="CW258" s="8">
        <f>IF((0=1),(CW188/CW223),"")</f>
      </c>
      <c r="CX258" s="8">
        <f>IF((0=1),(CX188/CX223),"")</f>
      </c>
    </row>
    <row r="259">
      <c r="A259" s="0" t="inlineStr">
        <is>
          <t xml:space="preserve">Running mean, bps/day</t>
        </is>
      </c>
      <c r="B259" s="0" t="inlineStr">
        <is>
          <t xml:space="preserve">Residual Momentum</t>
        </is>
      </c>
      <c r="C259" s="8">
        <f>IF((1=1),(C189/C224),"")</f>
        <v>13.936</v>
      </c>
      <c r="D259" s="8">
        <f>IF((0=1),(D189/D224),"")</f>
      </c>
      <c r="E259" s="8">
        <f>IF((0=1),(E189/E224),"")</f>
      </c>
      <c r="F259" s="8">
        <f>IF((0=1),(F189/F224),"")</f>
      </c>
      <c r="G259" s="8">
        <f>IF((0=1),(G189/G224),"")</f>
      </c>
      <c r="H259" s="8">
        <f>IF((0=1),(H189/H224),"")</f>
      </c>
      <c r="I259" s="8">
        <f>IF((0=1),(I189/I224),"")</f>
      </c>
      <c r="J259" s="8">
        <f>IF((0=1),(J189/J224),"")</f>
      </c>
      <c r="K259" s="8">
        <f>IF((0=1),(K189/K224),"")</f>
      </c>
      <c r="L259" s="8">
        <f>IF((0=1),(L189/L224),"")</f>
      </c>
      <c r="M259" s="8">
        <f>IF((0=1),(M189/M224),"")</f>
      </c>
      <c r="N259" s="8">
        <f>IF((0=1),(N189/N224),"")</f>
      </c>
      <c r="O259" s="8">
        <f>IF((0=1),(O189/O224),"")</f>
      </c>
      <c r="P259" s="8">
        <f>IF((0=1),(P189/P224),"")</f>
      </c>
      <c r="Q259" s="8">
        <f>IF((0=1),(Q189/Q224),"")</f>
      </c>
      <c r="R259" s="8">
        <f>IF((0=1),(R189/R224),"")</f>
      </c>
      <c r="S259" s="8">
        <f>IF((0=1),(S189/S224),"")</f>
      </c>
      <c r="T259" s="8">
        <f>IF((0=1),(T189/T224),"")</f>
      </c>
      <c r="U259" s="8">
        <f>IF((0=1),(U189/U224),"")</f>
      </c>
      <c r="V259" s="8">
        <f>IF((0=1),(V189/V224),"")</f>
      </c>
      <c r="W259" s="8">
        <f>IF((0=1),(W189/W224),"")</f>
      </c>
      <c r="X259" s="8">
        <f>IF((0=1),(X189/X224),"")</f>
      </c>
      <c r="Y259" s="8">
        <f>IF((0=1),(Y189/Y224),"")</f>
      </c>
      <c r="Z259" s="8">
        <f>IF((0=1),(Z189/Z224),"")</f>
      </c>
      <c r="AA259" s="8">
        <f>IF((0=1),(AA189/AA224),"")</f>
      </c>
      <c r="AB259" s="8">
        <f>IF((0=1),(AB189/AB224),"")</f>
      </c>
      <c r="AC259" s="8">
        <f>IF((0=1),(AC189/AC224),"")</f>
      </c>
      <c r="AD259" s="8">
        <f>IF((0=1),(AD189/AD224),"")</f>
      </c>
      <c r="AE259" s="8">
        <f>IF((0=1),(AE189/AE224),"")</f>
      </c>
      <c r="AF259" s="8">
        <f>IF((0=1),(AF189/AF224),"")</f>
      </c>
      <c r="AG259" s="8">
        <f>IF((0=1),(AG189/AG224),"")</f>
      </c>
      <c r="AH259" s="8">
        <f>IF((0=1),(AH189/AH224),"")</f>
      </c>
      <c r="AI259" s="8">
        <f>IF((0=1),(AI189/AI224),"")</f>
      </c>
      <c r="AJ259" s="8">
        <f>IF((0=1),(AJ189/AJ224),"")</f>
      </c>
      <c r="AK259" s="8">
        <f>IF((0=1),(AK189/AK224),"")</f>
      </c>
      <c r="AL259" s="8">
        <f>IF((0=1),(AL189/AL224),"")</f>
      </c>
      <c r="AM259" s="8">
        <f>IF((0=1),(AM189/AM224),"")</f>
      </c>
      <c r="AN259" s="8">
        <f>IF((0=1),(AN189/AN224),"")</f>
      </c>
      <c r="AO259" s="8">
        <f>IF((0=1),(AO189/AO224),"")</f>
      </c>
      <c r="AP259" s="8">
        <f>IF((0=1),(AP189/AP224),"")</f>
      </c>
      <c r="AQ259" s="8">
        <f>IF((0=1),(AQ189/AQ224),"")</f>
      </c>
      <c r="AR259" s="8">
        <f>IF((0=1),(AR189/AR224),"")</f>
      </c>
      <c r="AS259" s="8">
        <f>IF((0=1),(AS189/AS224),"")</f>
      </c>
      <c r="AT259" s="8">
        <f>IF((0=1),(AT189/AT224),"")</f>
      </c>
      <c r="AU259" s="8">
        <f>IF((0=1),(AU189/AU224),"")</f>
      </c>
      <c r="AV259" s="8">
        <f>IF((0=1),(AV189/AV224),"")</f>
      </c>
      <c r="AW259" s="8">
        <f>IF((0=1),(AW189/AW224),"")</f>
      </c>
      <c r="AX259" s="8">
        <f>IF((0=1),(AX189/AX224),"")</f>
      </c>
      <c r="AY259" s="8">
        <f>IF((0=1),(AY189/AY224),"")</f>
      </c>
      <c r="AZ259" s="8">
        <f>IF((0=1),(AZ189/AZ224),"")</f>
      </c>
      <c r="BA259" s="8">
        <f>IF((0=1),(BA189/BA224),"")</f>
      </c>
      <c r="BB259" s="8">
        <f>IF((0=1),(BB189/BB224),"")</f>
      </c>
      <c r="BC259" s="8">
        <f>IF((0=1),(BC189/BC224),"")</f>
      </c>
      <c r="BD259" s="8">
        <f>IF((0=1),(BD189/BD224),"")</f>
      </c>
      <c r="BE259" s="8">
        <f>IF((0=1),(BE189/BE224),"")</f>
      </c>
      <c r="BF259" s="8">
        <f>IF((0=1),(BF189/BF224),"")</f>
      </c>
      <c r="BG259" s="8">
        <f>IF((0=1),(BG189/BG224),"")</f>
      </c>
      <c r="BH259" s="8">
        <f>IF((0=1),(BH189/BH224),"")</f>
      </c>
      <c r="BI259" s="8">
        <f>IF((0=1),(BI189/BI224),"")</f>
      </c>
      <c r="BJ259" s="8">
        <f>IF((0=1),(BJ189/BJ224),"")</f>
      </c>
      <c r="BK259" s="8">
        <f>IF((0=1),(BK189/BK224),"")</f>
      </c>
      <c r="BL259" s="8">
        <f>IF((0=1),(BL189/BL224),"")</f>
      </c>
      <c r="BM259" s="8">
        <f>IF((0=1),(BM189/BM224),"")</f>
      </c>
      <c r="BN259" s="8">
        <f>IF((0=1),(BN189/BN224),"")</f>
      </c>
      <c r="BO259" s="8">
        <f>IF((0=1),(BO189/BO224),"")</f>
      </c>
      <c r="BP259" s="8">
        <f>IF((0=1),(BP189/BP224),"")</f>
      </c>
      <c r="BQ259" s="8">
        <f>IF((0=1),(BQ189/BQ224),"")</f>
      </c>
      <c r="BR259" s="8">
        <f>IF((0=1),(BR189/BR224),"")</f>
      </c>
      <c r="BS259" s="8">
        <f>IF((0=1),(BS189/BS224),"")</f>
      </c>
      <c r="BT259" s="8">
        <f>IF((0=1),(BT189/BT224),"")</f>
      </c>
      <c r="BU259" s="8">
        <f>IF((0=1),(BU189/BU224),"")</f>
      </c>
      <c r="BV259" s="8">
        <f>IF((0=1),(BV189/BV224),"")</f>
      </c>
      <c r="BW259" s="8">
        <f>IF((0=1),(BW189/BW224),"")</f>
      </c>
      <c r="BX259" s="8">
        <f>IF((0=1),(BX189/BX224),"")</f>
      </c>
      <c r="BY259" s="8">
        <f>IF((0=1),(BY189/BY224),"")</f>
      </c>
      <c r="BZ259" s="8">
        <f>IF((0=1),(BZ189/BZ224),"")</f>
      </c>
      <c r="CA259" s="8">
        <f>IF((0=1),(CA189/CA224),"")</f>
      </c>
      <c r="CB259" s="8">
        <f>IF((0=1),(CB189/CB224),"")</f>
      </c>
      <c r="CC259" s="8">
        <f>IF((0=1),(CC189/CC224),"")</f>
      </c>
      <c r="CD259" s="8">
        <f>IF((0=1),(CD189/CD224),"")</f>
      </c>
      <c r="CE259" s="8">
        <f>IF((0=1),(CE189/CE224),"")</f>
      </c>
      <c r="CF259" s="8">
        <f>IF((0=1),(CF189/CF224),"")</f>
      </c>
      <c r="CG259" s="8">
        <f>IF((0=1),(CG189/CG224),"")</f>
      </c>
      <c r="CH259" s="8">
        <f>IF((0=1),(CH189/CH224),"")</f>
      </c>
      <c r="CI259" s="8">
        <f>IF((0=1),(CI189/CI224),"")</f>
      </c>
      <c r="CJ259" s="8">
        <f>IF((0=1),(CJ189/CJ224),"")</f>
      </c>
      <c r="CK259" s="8">
        <f>IF((0=1),(CK189/CK224),"")</f>
      </c>
      <c r="CL259" s="8">
        <f>IF((0=1),(CL189/CL224),"")</f>
      </c>
      <c r="CM259" s="8">
        <f>IF((0=1),(CM189/CM224),"")</f>
      </c>
      <c r="CN259" s="8">
        <f>IF((0=1),(CN189/CN224),"")</f>
      </c>
      <c r="CO259" s="8">
        <f>IF((0=1),(CO189/CO224),"")</f>
      </c>
      <c r="CP259" s="8">
        <f>IF((0=1),(CP189/CP224),"")</f>
      </c>
      <c r="CQ259" s="8">
        <f>IF((0=1),(CQ189/CQ224),"")</f>
      </c>
      <c r="CR259" s="8">
        <f>IF((0=1),(CR189/CR224),"")</f>
      </c>
      <c r="CS259" s="8">
        <f>IF((0=1),(CS189/CS224),"")</f>
      </c>
      <c r="CT259" s="8">
        <f>IF((0=1),(CT189/CT224),"")</f>
      </c>
      <c r="CU259" s="8">
        <f>IF((0=1),(CU189/CU224),"")</f>
      </c>
      <c r="CV259" s="8">
        <f>IF((0=1),(CV189/CV224),"")</f>
      </c>
      <c r="CW259" s="8">
        <f>IF((0=1),(CW189/CW224),"")</f>
      </c>
      <c r="CX259" s="8">
        <f>IF((0=1),(CX189/CX224),"")</f>
      </c>
    </row>
    <row r="260">
      <c r="A260" s="0" t="inlineStr">
        <is>
          <t xml:space="preserve">Running mean, bps/day</t>
        </is>
      </c>
      <c r="B260" s="0" t="inlineStr">
        <is>
          <t xml:space="preserve">Overnight Return Persistence</t>
        </is>
      </c>
      <c r="C260" s="8">
        <f>IF((1=1),(C190/C225),"")</f>
        <v>8.172</v>
      </c>
      <c r="D260" s="8">
        <f>IF((0=1),(D190/D225),"")</f>
      </c>
      <c r="E260" s="8">
        <f>IF((0=1),(E190/E225),"")</f>
      </c>
      <c r="F260" s="8">
        <f>IF((0=1),(F190/F225),"")</f>
      </c>
      <c r="G260" s="8">
        <f>IF((0=1),(G190/G225),"")</f>
      </c>
      <c r="H260" s="8">
        <f>IF((0=1),(H190/H225),"")</f>
      </c>
      <c r="I260" s="8">
        <f>IF((0=1),(I190/I225),"")</f>
      </c>
      <c r="J260" s="8">
        <f>IF((0=1),(J190/J225),"")</f>
      </c>
      <c r="K260" s="8">
        <f>IF((0=1),(K190/K225),"")</f>
      </c>
      <c r="L260" s="8">
        <f>IF((0=1),(L190/L225),"")</f>
      </c>
      <c r="M260" s="8">
        <f>IF((0=1),(M190/M225),"")</f>
      </c>
      <c r="N260" s="8">
        <f>IF((0=1),(N190/N225),"")</f>
      </c>
      <c r="O260" s="8">
        <f>IF((0=1),(O190/O225),"")</f>
      </c>
      <c r="P260" s="8">
        <f>IF((0=1),(P190/P225),"")</f>
      </c>
      <c r="Q260" s="8">
        <f>IF((0=1),(Q190/Q225),"")</f>
      </c>
      <c r="R260" s="8">
        <f>IF((0=1),(R190/R225),"")</f>
      </c>
      <c r="S260" s="8">
        <f>IF((0=1),(S190/S225),"")</f>
      </c>
      <c r="T260" s="8">
        <f>IF((0=1),(T190/T225),"")</f>
      </c>
      <c r="U260" s="8">
        <f>IF((0=1),(U190/U225),"")</f>
      </c>
      <c r="V260" s="8">
        <f>IF((0=1),(V190/V225),"")</f>
      </c>
      <c r="W260" s="8">
        <f>IF((0=1),(W190/W225),"")</f>
      </c>
      <c r="X260" s="8">
        <f>IF((0=1),(X190/X225),"")</f>
      </c>
      <c r="Y260" s="8">
        <f>IF((0=1),(Y190/Y225),"")</f>
      </c>
      <c r="Z260" s="8">
        <f>IF((0=1),(Z190/Z225),"")</f>
      </c>
      <c r="AA260" s="8">
        <f>IF((0=1),(AA190/AA225),"")</f>
      </c>
      <c r="AB260" s="8">
        <f>IF((0=1),(AB190/AB225),"")</f>
      </c>
      <c r="AC260" s="8">
        <f>IF((0=1),(AC190/AC225),"")</f>
      </c>
      <c r="AD260" s="8">
        <f>IF((0=1),(AD190/AD225),"")</f>
      </c>
      <c r="AE260" s="8">
        <f>IF((0=1),(AE190/AE225),"")</f>
      </c>
      <c r="AF260" s="8">
        <f>IF((0=1),(AF190/AF225),"")</f>
      </c>
      <c r="AG260" s="8">
        <f>IF((0=1),(AG190/AG225),"")</f>
      </c>
      <c r="AH260" s="8">
        <f>IF((0=1),(AH190/AH225),"")</f>
      </c>
      <c r="AI260" s="8">
        <f>IF((0=1),(AI190/AI225),"")</f>
      </c>
      <c r="AJ260" s="8">
        <f>IF((0=1),(AJ190/AJ225),"")</f>
      </c>
      <c r="AK260" s="8">
        <f>IF((0=1),(AK190/AK225),"")</f>
      </c>
      <c r="AL260" s="8">
        <f>IF((0=1),(AL190/AL225),"")</f>
      </c>
      <c r="AM260" s="8">
        <f>IF((0=1),(AM190/AM225),"")</f>
      </c>
      <c r="AN260" s="8">
        <f>IF((0=1),(AN190/AN225),"")</f>
      </c>
      <c r="AO260" s="8">
        <f>IF((0=1),(AO190/AO225),"")</f>
      </c>
      <c r="AP260" s="8">
        <f>IF((0=1),(AP190/AP225),"")</f>
      </c>
      <c r="AQ260" s="8">
        <f>IF((0=1),(AQ190/AQ225),"")</f>
      </c>
      <c r="AR260" s="8">
        <f>IF((0=1),(AR190/AR225),"")</f>
      </c>
      <c r="AS260" s="8">
        <f>IF((0=1),(AS190/AS225),"")</f>
      </c>
      <c r="AT260" s="8">
        <f>IF((0=1),(AT190/AT225),"")</f>
      </c>
      <c r="AU260" s="8">
        <f>IF((0=1),(AU190/AU225),"")</f>
      </c>
      <c r="AV260" s="8">
        <f>IF((0=1),(AV190/AV225),"")</f>
      </c>
      <c r="AW260" s="8">
        <f>IF((0=1),(AW190/AW225),"")</f>
      </c>
      <c r="AX260" s="8">
        <f>IF((0=1),(AX190/AX225),"")</f>
      </c>
      <c r="AY260" s="8">
        <f>IF((0=1),(AY190/AY225),"")</f>
      </c>
      <c r="AZ260" s="8">
        <f>IF((0=1),(AZ190/AZ225),"")</f>
      </c>
      <c r="BA260" s="8">
        <f>IF((0=1),(BA190/BA225),"")</f>
      </c>
      <c r="BB260" s="8">
        <f>IF((0=1),(BB190/BB225),"")</f>
      </c>
      <c r="BC260" s="8">
        <f>IF((0=1),(BC190/BC225),"")</f>
      </c>
      <c r="BD260" s="8">
        <f>IF((0=1),(BD190/BD225),"")</f>
      </c>
      <c r="BE260" s="8">
        <f>IF((0=1),(BE190/BE225),"")</f>
      </c>
      <c r="BF260" s="8">
        <f>IF((0=1),(BF190/BF225),"")</f>
      </c>
      <c r="BG260" s="8">
        <f>IF((0=1),(BG190/BG225),"")</f>
      </c>
      <c r="BH260" s="8">
        <f>IF((0=1),(BH190/BH225),"")</f>
      </c>
      <c r="BI260" s="8">
        <f>IF((0=1),(BI190/BI225),"")</f>
      </c>
      <c r="BJ260" s="8">
        <f>IF((0=1),(BJ190/BJ225),"")</f>
      </c>
      <c r="BK260" s="8">
        <f>IF((0=1),(BK190/BK225),"")</f>
      </c>
      <c r="BL260" s="8">
        <f>IF((0=1),(BL190/BL225),"")</f>
      </c>
      <c r="BM260" s="8">
        <f>IF((0=1),(BM190/BM225),"")</f>
      </c>
      <c r="BN260" s="8">
        <f>IF((0=1),(BN190/BN225),"")</f>
      </c>
      <c r="BO260" s="8">
        <f>IF((0=1),(BO190/BO225),"")</f>
      </c>
      <c r="BP260" s="8">
        <f>IF((0=1),(BP190/BP225),"")</f>
      </c>
      <c r="BQ260" s="8">
        <f>IF((0=1),(BQ190/BQ225),"")</f>
      </c>
      <c r="BR260" s="8">
        <f>IF((0=1),(BR190/BR225),"")</f>
      </c>
      <c r="BS260" s="8">
        <f>IF((0=1),(BS190/BS225),"")</f>
      </c>
      <c r="BT260" s="8">
        <f>IF((0=1),(BT190/BT225),"")</f>
      </c>
      <c r="BU260" s="8">
        <f>IF((0=1),(BU190/BU225),"")</f>
      </c>
      <c r="BV260" s="8">
        <f>IF((0=1),(BV190/BV225),"")</f>
      </c>
      <c r="BW260" s="8">
        <f>IF((0=1),(BW190/BW225),"")</f>
      </c>
      <c r="BX260" s="8">
        <f>IF((0=1),(BX190/BX225),"")</f>
      </c>
      <c r="BY260" s="8">
        <f>IF((0=1),(BY190/BY225),"")</f>
      </c>
      <c r="BZ260" s="8">
        <f>IF((0=1),(BZ190/BZ225),"")</f>
      </c>
      <c r="CA260" s="8">
        <f>IF((0=1),(CA190/CA225),"")</f>
      </c>
      <c r="CB260" s="8">
        <f>IF((0=1),(CB190/CB225),"")</f>
      </c>
      <c r="CC260" s="8">
        <f>IF((0=1),(CC190/CC225),"")</f>
      </c>
      <c r="CD260" s="8">
        <f>IF((0=1),(CD190/CD225),"")</f>
      </c>
      <c r="CE260" s="8">
        <f>IF((0=1),(CE190/CE225),"")</f>
      </c>
      <c r="CF260" s="8">
        <f>IF((0=1),(CF190/CF225),"")</f>
      </c>
      <c r="CG260" s="8">
        <f>IF((0=1),(CG190/CG225),"")</f>
      </c>
      <c r="CH260" s="8">
        <f>IF((0=1),(CH190/CH225),"")</f>
      </c>
      <c r="CI260" s="8">
        <f>IF((0=1),(CI190/CI225),"")</f>
      </c>
      <c r="CJ260" s="8">
        <f>IF((0=1),(CJ190/CJ225),"")</f>
      </c>
      <c r="CK260" s="8">
        <f>IF((0=1),(CK190/CK225),"")</f>
      </c>
      <c r="CL260" s="8">
        <f>IF((0=1),(CL190/CL225),"")</f>
      </c>
      <c r="CM260" s="8">
        <f>IF((0=1),(CM190/CM225),"")</f>
      </c>
      <c r="CN260" s="8">
        <f>IF((0=1),(CN190/CN225),"")</f>
      </c>
      <c r="CO260" s="8">
        <f>IF((0=1),(CO190/CO225),"")</f>
      </c>
      <c r="CP260" s="8">
        <f>IF((0=1),(CP190/CP225),"")</f>
      </c>
      <c r="CQ260" s="8">
        <f>IF((0=1),(CQ190/CQ225),"")</f>
      </c>
      <c r="CR260" s="8">
        <f>IF((0=1),(CR190/CR225),"")</f>
      </c>
      <c r="CS260" s="8">
        <f>IF((0=1),(CS190/CS225),"")</f>
      </c>
      <c r="CT260" s="8">
        <f>IF((0=1),(CT190/CT225),"")</f>
      </c>
      <c r="CU260" s="8">
        <f>IF((0=1),(CU190/CU225),"")</f>
      </c>
      <c r="CV260" s="8">
        <f>IF((0=1),(CV190/CV225),"")</f>
      </c>
      <c r="CW260" s="8">
        <f>IF((0=1),(CW190/CW225),"")</f>
      </c>
      <c r="CX260" s="8">
        <f>IF((0=1),(CX190/CX225),"")</f>
      </c>
    </row>
    <row r="261">
      <c r="A261" s="0" t="inlineStr">
        <is>
          <t xml:space="preserve">Running mean, bps/day</t>
        </is>
      </c>
      <c r="B261" s="0" t="inlineStr">
        <is>
          <t xml:space="preserve">52-Week-High Anchoring</t>
        </is>
      </c>
      <c r="C261" s="8">
        <f>IF((1=1),(C191/C226),"")</f>
        <v>17.164</v>
      </c>
      <c r="D261" s="8">
        <f>IF((0=1),(D191/D226),"")</f>
      </c>
      <c r="E261" s="8">
        <f>IF((0=1),(E191/E226),"")</f>
      </c>
      <c r="F261" s="8">
        <f>IF((0=1),(F191/F226),"")</f>
      </c>
      <c r="G261" s="8">
        <f>IF((0=1),(G191/G226),"")</f>
      </c>
      <c r="H261" s="8">
        <f>IF((0=1),(H191/H226),"")</f>
      </c>
      <c r="I261" s="8">
        <f>IF((0=1),(I191/I226),"")</f>
      </c>
      <c r="J261" s="8">
        <f>IF((0=1),(J191/J226),"")</f>
      </c>
      <c r="K261" s="8">
        <f>IF((0=1),(K191/K226),"")</f>
      </c>
      <c r="L261" s="8">
        <f>IF((0=1),(L191/L226),"")</f>
      </c>
      <c r="M261" s="8">
        <f>IF((0=1),(M191/M226),"")</f>
      </c>
      <c r="N261" s="8">
        <f>IF((0=1),(N191/N226),"")</f>
      </c>
      <c r="O261" s="8">
        <f>IF((0=1),(O191/O226),"")</f>
      </c>
      <c r="P261" s="8">
        <f>IF((0=1),(P191/P226),"")</f>
      </c>
      <c r="Q261" s="8">
        <f>IF((0=1),(Q191/Q226),"")</f>
      </c>
      <c r="R261" s="8">
        <f>IF((0=1),(R191/R226),"")</f>
      </c>
      <c r="S261" s="8">
        <f>IF((0=1),(S191/S226),"")</f>
      </c>
      <c r="T261" s="8">
        <f>IF((0=1),(T191/T226),"")</f>
      </c>
      <c r="U261" s="8">
        <f>IF((0=1),(U191/U226),"")</f>
      </c>
      <c r="V261" s="8">
        <f>IF((0=1),(V191/V226),"")</f>
      </c>
      <c r="W261" s="8">
        <f>IF((0=1),(W191/W226),"")</f>
      </c>
      <c r="X261" s="8">
        <f>IF((0=1),(X191/X226),"")</f>
      </c>
      <c r="Y261" s="8">
        <f>IF((0=1),(Y191/Y226),"")</f>
      </c>
      <c r="Z261" s="8">
        <f>IF((0=1),(Z191/Z226),"")</f>
      </c>
      <c r="AA261" s="8">
        <f>IF((0=1),(AA191/AA226),"")</f>
      </c>
      <c r="AB261" s="8">
        <f>IF((0=1),(AB191/AB226),"")</f>
      </c>
      <c r="AC261" s="8">
        <f>IF((0=1),(AC191/AC226),"")</f>
      </c>
      <c r="AD261" s="8">
        <f>IF((0=1),(AD191/AD226),"")</f>
      </c>
      <c r="AE261" s="8">
        <f>IF((0=1),(AE191/AE226),"")</f>
      </c>
      <c r="AF261" s="8">
        <f>IF((0=1),(AF191/AF226),"")</f>
      </c>
      <c r="AG261" s="8">
        <f>IF((0=1),(AG191/AG226),"")</f>
      </c>
      <c r="AH261" s="8">
        <f>IF((0=1),(AH191/AH226),"")</f>
      </c>
      <c r="AI261" s="8">
        <f>IF((0=1),(AI191/AI226),"")</f>
      </c>
      <c r="AJ261" s="8">
        <f>IF((0=1),(AJ191/AJ226),"")</f>
      </c>
      <c r="AK261" s="8">
        <f>IF((0=1),(AK191/AK226),"")</f>
      </c>
      <c r="AL261" s="8">
        <f>IF((0=1),(AL191/AL226),"")</f>
      </c>
      <c r="AM261" s="8">
        <f>IF((0=1),(AM191/AM226),"")</f>
      </c>
      <c r="AN261" s="8">
        <f>IF((0=1),(AN191/AN226),"")</f>
      </c>
      <c r="AO261" s="8">
        <f>IF((0=1),(AO191/AO226),"")</f>
      </c>
      <c r="AP261" s="8">
        <f>IF((0=1),(AP191/AP226),"")</f>
      </c>
      <c r="AQ261" s="8">
        <f>IF((0=1),(AQ191/AQ226),"")</f>
      </c>
      <c r="AR261" s="8">
        <f>IF((0=1),(AR191/AR226),"")</f>
      </c>
      <c r="AS261" s="8">
        <f>IF((0=1),(AS191/AS226),"")</f>
      </c>
      <c r="AT261" s="8">
        <f>IF((0=1),(AT191/AT226),"")</f>
      </c>
      <c r="AU261" s="8">
        <f>IF((0=1),(AU191/AU226),"")</f>
      </c>
      <c r="AV261" s="8">
        <f>IF((0=1),(AV191/AV226),"")</f>
      </c>
      <c r="AW261" s="8">
        <f>IF((0=1),(AW191/AW226),"")</f>
      </c>
      <c r="AX261" s="8">
        <f>IF((0=1),(AX191/AX226),"")</f>
      </c>
      <c r="AY261" s="8">
        <f>IF((0=1),(AY191/AY226),"")</f>
      </c>
      <c r="AZ261" s="8">
        <f>IF((0=1),(AZ191/AZ226),"")</f>
      </c>
      <c r="BA261" s="8">
        <f>IF((0=1),(BA191/BA226),"")</f>
      </c>
      <c r="BB261" s="8">
        <f>IF((0=1),(BB191/BB226),"")</f>
      </c>
      <c r="BC261" s="8">
        <f>IF((0=1),(BC191/BC226),"")</f>
      </c>
      <c r="BD261" s="8">
        <f>IF((0=1),(BD191/BD226),"")</f>
      </c>
      <c r="BE261" s="8">
        <f>IF((0=1),(BE191/BE226),"")</f>
      </c>
      <c r="BF261" s="8">
        <f>IF((0=1),(BF191/BF226),"")</f>
      </c>
      <c r="BG261" s="8">
        <f>IF((0=1),(BG191/BG226),"")</f>
      </c>
      <c r="BH261" s="8">
        <f>IF((0=1),(BH191/BH226),"")</f>
      </c>
      <c r="BI261" s="8">
        <f>IF((0=1),(BI191/BI226),"")</f>
      </c>
      <c r="BJ261" s="8">
        <f>IF((0=1),(BJ191/BJ226),"")</f>
      </c>
      <c r="BK261" s="8">
        <f>IF((0=1),(BK191/BK226),"")</f>
      </c>
      <c r="BL261" s="8">
        <f>IF((0=1),(BL191/BL226),"")</f>
      </c>
      <c r="BM261" s="8">
        <f>IF((0=1),(BM191/BM226),"")</f>
      </c>
      <c r="BN261" s="8">
        <f>IF((0=1),(BN191/BN226),"")</f>
      </c>
      <c r="BO261" s="8">
        <f>IF((0=1),(BO191/BO226),"")</f>
      </c>
      <c r="BP261" s="8">
        <f>IF((0=1),(BP191/BP226),"")</f>
      </c>
      <c r="BQ261" s="8">
        <f>IF((0=1),(BQ191/BQ226),"")</f>
      </c>
      <c r="BR261" s="8">
        <f>IF((0=1),(BR191/BR226),"")</f>
      </c>
      <c r="BS261" s="8">
        <f>IF((0=1),(BS191/BS226),"")</f>
      </c>
      <c r="BT261" s="8">
        <f>IF((0=1),(BT191/BT226),"")</f>
      </c>
      <c r="BU261" s="8">
        <f>IF((0=1),(BU191/BU226),"")</f>
      </c>
      <c r="BV261" s="8">
        <f>IF((0=1),(BV191/BV226),"")</f>
      </c>
      <c r="BW261" s="8">
        <f>IF((0=1),(BW191/BW226),"")</f>
      </c>
      <c r="BX261" s="8">
        <f>IF((0=1),(BX191/BX226),"")</f>
      </c>
      <c r="BY261" s="8">
        <f>IF((0=1),(BY191/BY226),"")</f>
      </c>
      <c r="BZ261" s="8">
        <f>IF((0=1),(BZ191/BZ226),"")</f>
      </c>
      <c r="CA261" s="8">
        <f>IF((0=1),(CA191/CA226),"")</f>
      </c>
      <c r="CB261" s="8">
        <f>IF((0=1),(CB191/CB226),"")</f>
      </c>
      <c r="CC261" s="8">
        <f>IF((0=1),(CC191/CC226),"")</f>
      </c>
      <c r="CD261" s="8">
        <f>IF((0=1),(CD191/CD226),"")</f>
      </c>
      <c r="CE261" s="8">
        <f>IF((0=1),(CE191/CE226),"")</f>
      </c>
      <c r="CF261" s="8">
        <f>IF((0=1),(CF191/CF226),"")</f>
      </c>
      <c r="CG261" s="8">
        <f>IF((0=1),(CG191/CG226),"")</f>
      </c>
      <c r="CH261" s="8">
        <f>IF((0=1),(CH191/CH226),"")</f>
      </c>
      <c r="CI261" s="8">
        <f>IF((0=1),(CI191/CI226),"")</f>
      </c>
      <c r="CJ261" s="8">
        <f>IF((0=1),(CJ191/CJ226),"")</f>
      </c>
      <c r="CK261" s="8">
        <f>IF((0=1),(CK191/CK226),"")</f>
      </c>
      <c r="CL261" s="8">
        <f>IF((0=1),(CL191/CL226),"")</f>
      </c>
      <c r="CM261" s="8">
        <f>IF((0=1),(CM191/CM226),"")</f>
      </c>
      <c r="CN261" s="8">
        <f>IF((0=1),(CN191/CN226),"")</f>
      </c>
      <c r="CO261" s="8">
        <f>IF((0=1),(CO191/CO226),"")</f>
      </c>
      <c r="CP261" s="8">
        <f>IF((0=1),(CP191/CP226),"")</f>
      </c>
      <c r="CQ261" s="8">
        <f>IF((0=1),(CQ191/CQ226),"")</f>
      </c>
      <c r="CR261" s="8">
        <f>IF((0=1),(CR191/CR226),"")</f>
      </c>
      <c r="CS261" s="8">
        <f>IF((0=1),(CS191/CS226),"")</f>
      </c>
      <c r="CT261" s="8">
        <f>IF((0=1),(CT191/CT226),"")</f>
      </c>
      <c r="CU261" s="8">
        <f>IF((0=1),(CU191/CU226),"")</f>
      </c>
      <c r="CV261" s="8">
        <f>IF((0=1),(CV191/CV226),"")</f>
      </c>
      <c r="CW261" s="8">
        <f>IF((0=1),(CW191/CW226),"")</f>
      </c>
      <c r="CX261" s="8">
        <f>IF((0=1),(CX191/CX226),"")</f>
      </c>
    </row>
    <row r="262">
      <c r="A262" s="0" t="inlineStr">
        <is>
          <t xml:space="preserve">Running mean, bps/day</t>
        </is>
      </c>
      <c r="B262" s="0" t="inlineStr">
        <is>
          <t xml:space="preserve">Random 1</t>
        </is>
      </c>
      <c r="C262" s="8">
        <f>IF((1=1),(C192/C227),"")</f>
        <v>-4.097</v>
      </c>
      <c r="D262" s="8">
        <f>IF((0=1),(D192/D227),"")</f>
      </c>
      <c r="E262" s="8">
        <f>IF((0=1),(E192/E227),"")</f>
      </c>
      <c r="F262" s="8">
        <f>IF((0=1),(F192/F227),"")</f>
      </c>
      <c r="G262" s="8">
        <f>IF((0=1),(G192/G227),"")</f>
      </c>
      <c r="H262" s="8">
        <f>IF((0=1),(H192/H227),"")</f>
      </c>
      <c r="I262" s="8">
        <f>IF((0=1),(I192/I227),"")</f>
      </c>
      <c r="J262" s="8">
        <f>IF((0=1),(J192/J227),"")</f>
      </c>
      <c r="K262" s="8">
        <f>IF((0=1),(K192/K227),"")</f>
      </c>
      <c r="L262" s="8">
        <f>IF((0=1),(L192/L227),"")</f>
      </c>
      <c r="M262" s="8">
        <f>IF((0=1),(M192/M227),"")</f>
      </c>
      <c r="N262" s="8">
        <f>IF((0=1),(N192/N227),"")</f>
      </c>
      <c r="O262" s="8">
        <f>IF((0=1),(O192/O227),"")</f>
      </c>
      <c r="P262" s="8">
        <f>IF((0=1),(P192/P227),"")</f>
      </c>
      <c r="Q262" s="8">
        <f>IF((0=1),(Q192/Q227),"")</f>
      </c>
      <c r="R262" s="8">
        <f>IF((0=1),(R192/R227),"")</f>
      </c>
      <c r="S262" s="8">
        <f>IF((0=1),(S192/S227),"")</f>
      </c>
      <c r="T262" s="8">
        <f>IF((0=1),(T192/T227),"")</f>
      </c>
      <c r="U262" s="8">
        <f>IF((0=1),(U192/U227),"")</f>
      </c>
      <c r="V262" s="8">
        <f>IF((0=1),(V192/V227),"")</f>
      </c>
      <c r="W262" s="8">
        <f>IF((0=1),(W192/W227),"")</f>
      </c>
      <c r="X262" s="8">
        <f>IF((0=1),(X192/X227),"")</f>
      </c>
      <c r="Y262" s="8">
        <f>IF((0=1),(Y192/Y227),"")</f>
      </c>
      <c r="Z262" s="8">
        <f>IF((0=1),(Z192/Z227),"")</f>
      </c>
      <c r="AA262" s="8">
        <f>IF((0=1),(AA192/AA227),"")</f>
      </c>
      <c r="AB262" s="8">
        <f>IF((0=1),(AB192/AB227),"")</f>
      </c>
      <c r="AC262" s="8">
        <f>IF((0=1),(AC192/AC227),"")</f>
      </c>
      <c r="AD262" s="8">
        <f>IF((0=1),(AD192/AD227),"")</f>
      </c>
      <c r="AE262" s="8">
        <f>IF((0=1),(AE192/AE227),"")</f>
      </c>
      <c r="AF262" s="8">
        <f>IF((0=1),(AF192/AF227),"")</f>
      </c>
      <c r="AG262" s="8">
        <f>IF((0=1),(AG192/AG227),"")</f>
      </c>
      <c r="AH262" s="8">
        <f>IF((0=1),(AH192/AH227),"")</f>
      </c>
      <c r="AI262" s="8">
        <f>IF((0=1),(AI192/AI227),"")</f>
      </c>
      <c r="AJ262" s="8">
        <f>IF((0=1),(AJ192/AJ227),"")</f>
      </c>
      <c r="AK262" s="8">
        <f>IF((0=1),(AK192/AK227),"")</f>
      </c>
      <c r="AL262" s="8">
        <f>IF((0=1),(AL192/AL227),"")</f>
      </c>
      <c r="AM262" s="8">
        <f>IF((0=1),(AM192/AM227),"")</f>
      </c>
      <c r="AN262" s="8">
        <f>IF((0=1),(AN192/AN227),"")</f>
      </c>
      <c r="AO262" s="8">
        <f>IF((0=1),(AO192/AO227),"")</f>
      </c>
      <c r="AP262" s="8">
        <f>IF((0=1),(AP192/AP227),"")</f>
      </c>
      <c r="AQ262" s="8">
        <f>IF((0=1),(AQ192/AQ227),"")</f>
      </c>
      <c r="AR262" s="8">
        <f>IF((0=1),(AR192/AR227),"")</f>
      </c>
      <c r="AS262" s="8">
        <f>IF((0=1),(AS192/AS227),"")</f>
      </c>
      <c r="AT262" s="8">
        <f>IF((0=1),(AT192/AT227),"")</f>
      </c>
      <c r="AU262" s="8">
        <f>IF((0=1),(AU192/AU227),"")</f>
      </c>
      <c r="AV262" s="8">
        <f>IF((0=1),(AV192/AV227),"")</f>
      </c>
      <c r="AW262" s="8">
        <f>IF((0=1),(AW192/AW227),"")</f>
      </c>
      <c r="AX262" s="8">
        <f>IF((0=1),(AX192/AX227),"")</f>
      </c>
      <c r="AY262" s="8">
        <f>IF((0=1),(AY192/AY227),"")</f>
      </c>
      <c r="AZ262" s="8">
        <f>IF((0=1),(AZ192/AZ227),"")</f>
      </c>
      <c r="BA262" s="8">
        <f>IF((0=1),(BA192/BA227),"")</f>
      </c>
      <c r="BB262" s="8">
        <f>IF((0=1),(BB192/BB227),"")</f>
      </c>
      <c r="BC262" s="8">
        <f>IF((0=1),(BC192/BC227),"")</f>
      </c>
      <c r="BD262" s="8">
        <f>IF((0=1),(BD192/BD227),"")</f>
      </c>
      <c r="BE262" s="8">
        <f>IF((0=1),(BE192/BE227),"")</f>
      </c>
      <c r="BF262" s="8">
        <f>IF((0=1),(BF192/BF227),"")</f>
      </c>
      <c r="BG262" s="8">
        <f>IF((0=1),(BG192/BG227),"")</f>
      </c>
      <c r="BH262" s="8">
        <f>IF((0=1),(BH192/BH227),"")</f>
      </c>
      <c r="BI262" s="8">
        <f>IF((0=1),(BI192/BI227),"")</f>
      </c>
      <c r="BJ262" s="8">
        <f>IF((0=1),(BJ192/BJ227),"")</f>
      </c>
      <c r="BK262" s="8">
        <f>IF((0=1),(BK192/BK227),"")</f>
      </c>
      <c r="BL262" s="8">
        <f>IF((0=1),(BL192/BL227),"")</f>
      </c>
      <c r="BM262" s="8">
        <f>IF((0=1),(BM192/BM227),"")</f>
      </c>
      <c r="BN262" s="8">
        <f>IF((0=1),(BN192/BN227),"")</f>
      </c>
      <c r="BO262" s="8">
        <f>IF((0=1),(BO192/BO227),"")</f>
      </c>
      <c r="BP262" s="8">
        <f>IF((0=1),(BP192/BP227),"")</f>
      </c>
      <c r="BQ262" s="8">
        <f>IF((0=1),(BQ192/BQ227),"")</f>
      </c>
      <c r="BR262" s="8">
        <f>IF((0=1),(BR192/BR227),"")</f>
      </c>
      <c r="BS262" s="8">
        <f>IF((0=1),(BS192/BS227),"")</f>
      </c>
      <c r="BT262" s="8">
        <f>IF((0=1),(BT192/BT227),"")</f>
      </c>
      <c r="BU262" s="8">
        <f>IF((0=1),(BU192/BU227),"")</f>
      </c>
      <c r="BV262" s="8">
        <f>IF((0=1),(BV192/BV227),"")</f>
      </c>
      <c r="BW262" s="8">
        <f>IF((0=1),(BW192/BW227),"")</f>
      </c>
      <c r="BX262" s="8">
        <f>IF((0=1),(BX192/BX227),"")</f>
      </c>
      <c r="BY262" s="8">
        <f>IF((0=1),(BY192/BY227),"")</f>
      </c>
      <c r="BZ262" s="8">
        <f>IF((0=1),(BZ192/BZ227),"")</f>
      </c>
      <c r="CA262" s="8">
        <f>IF((0=1),(CA192/CA227),"")</f>
      </c>
      <c r="CB262" s="8">
        <f>IF((0=1),(CB192/CB227),"")</f>
      </c>
      <c r="CC262" s="8">
        <f>IF((0=1),(CC192/CC227),"")</f>
      </c>
      <c r="CD262" s="8">
        <f>IF((0=1),(CD192/CD227),"")</f>
      </c>
      <c r="CE262" s="8">
        <f>IF((0=1),(CE192/CE227),"")</f>
      </c>
      <c r="CF262" s="8">
        <f>IF((0=1),(CF192/CF227),"")</f>
      </c>
      <c r="CG262" s="8">
        <f>IF((0=1),(CG192/CG227),"")</f>
      </c>
      <c r="CH262" s="8">
        <f>IF((0=1),(CH192/CH227),"")</f>
      </c>
      <c r="CI262" s="8">
        <f>IF((0=1),(CI192/CI227),"")</f>
      </c>
      <c r="CJ262" s="8">
        <f>IF((0=1),(CJ192/CJ227),"")</f>
      </c>
      <c r="CK262" s="8">
        <f>IF((0=1),(CK192/CK227),"")</f>
      </c>
      <c r="CL262" s="8">
        <f>IF((0=1),(CL192/CL227),"")</f>
      </c>
      <c r="CM262" s="8">
        <f>IF((0=1),(CM192/CM227),"")</f>
      </c>
      <c r="CN262" s="8">
        <f>IF((0=1),(CN192/CN227),"")</f>
      </c>
      <c r="CO262" s="8">
        <f>IF((0=1),(CO192/CO227),"")</f>
      </c>
      <c r="CP262" s="8">
        <f>IF((0=1),(CP192/CP227),"")</f>
      </c>
      <c r="CQ262" s="8">
        <f>IF((0=1),(CQ192/CQ227),"")</f>
      </c>
      <c r="CR262" s="8">
        <f>IF((0=1),(CR192/CR227),"")</f>
      </c>
      <c r="CS262" s="8">
        <f>IF((0=1),(CS192/CS227),"")</f>
      </c>
      <c r="CT262" s="8">
        <f>IF((0=1),(CT192/CT227),"")</f>
      </c>
      <c r="CU262" s="8">
        <f>IF((0=1),(CU192/CU227),"")</f>
      </c>
      <c r="CV262" s="8">
        <f>IF((0=1),(CV192/CV227),"")</f>
      </c>
      <c r="CW262" s="8">
        <f>IF((0=1),(CW192/CW227),"")</f>
      </c>
      <c r="CX262" s="8">
        <f>IF((0=1),(CX192/CX227),"")</f>
      </c>
    </row>
    <row r="263">
      <c r="A263" s="0" t="inlineStr">
        <is>
          <t xml:space="preserve">Running mean, bps/day</t>
        </is>
      </c>
      <c r="B263" s="0" t="inlineStr">
        <is>
          <t xml:space="preserve">Random 2</t>
        </is>
      </c>
      <c r="C263" s="8">
        <f>IF((1=1),(C193/C228),"")</f>
        <v>0.703</v>
      </c>
      <c r="D263" s="8">
        <f>IF((0=1),(D193/D228),"")</f>
      </c>
      <c r="E263" s="8">
        <f>IF((0=1),(E193/E228),"")</f>
      </c>
      <c r="F263" s="8">
        <f>IF((0=1),(F193/F228),"")</f>
      </c>
      <c r="G263" s="8">
        <f>IF((0=1),(G193/G228),"")</f>
      </c>
      <c r="H263" s="8">
        <f>IF((0=1),(H193/H228),"")</f>
      </c>
      <c r="I263" s="8">
        <f>IF((0=1),(I193/I228),"")</f>
      </c>
      <c r="J263" s="8">
        <f>IF((0=1),(J193/J228),"")</f>
      </c>
      <c r="K263" s="8">
        <f>IF((0=1),(K193/K228),"")</f>
      </c>
      <c r="L263" s="8">
        <f>IF((0=1),(L193/L228),"")</f>
      </c>
      <c r="M263" s="8">
        <f>IF((0=1),(M193/M228),"")</f>
      </c>
      <c r="N263" s="8">
        <f>IF((0=1),(N193/N228),"")</f>
      </c>
      <c r="O263" s="8">
        <f>IF((0=1),(O193/O228),"")</f>
      </c>
      <c r="P263" s="8">
        <f>IF((0=1),(P193/P228),"")</f>
      </c>
      <c r="Q263" s="8">
        <f>IF((0=1),(Q193/Q228),"")</f>
      </c>
      <c r="R263" s="8">
        <f>IF((0=1),(R193/R228),"")</f>
      </c>
      <c r="S263" s="8">
        <f>IF((0=1),(S193/S228),"")</f>
      </c>
      <c r="T263" s="8">
        <f>IF((0=1),(T193/T228),"")</f>
      </c>
      <c r="U263" s="8">
        <f>IF((0=1),(U193/U228),"")</f>
      </c>
      <c r="V263" s="8">
        <f>IF((0=1),(V193/V228),"")</f>
      </c>
      <c r="W263" s="8">
        <f>IF((0=1),(W193/W228),"")</f>
      </c>
      <c r="X263" s="8">
        <f>IF((0=1),(X193/X228),"")</f>
      </c>
      <c r="Y263" s="8">
        <f>IF((0=1),(Y193/Y228),"")</f>
      </c>
      <c r="Z263" s="8">
        <f>IF((0=1),(Z193/Z228),"")</f>
      </c>
      <c r="AA263" s="8">
        <f>IF((0=1),(AA193/AA228),"")</f>
      </c>
      <c r="AB263" s="8">
        <f>IF((0=1),(AB193/AB228),"")</f>
      </c>
      <c r="AC263" s="8">
        <f>IF((0=1),(AC193/AC228),"")</f>
      </c>
      <c r="AD263" s="8">
        <f>IF((0=1),(AD193/AD228),"")</f>
      </c>
      <c r="AE263" s="8">
        <f>IF((0=1),(AE193/AE228),"")</f>
      </c>
      <c r="AF263" s="8">
        <f>IF((0=1),(AF193/AF228),"")</f>
      </c>
      <c r="AG263" s="8">
        <f>IF((0=1),(AG193/AG228),"")</f>
      </c>
      <c r="AH263" s="8">
        <f>IF((0=1),(AH193/AH228),"")</f>
      </c>
      <c r="AI263" s="8">
        <f>IF((0=1),(AI193/AI228),"")</f>
      </c>
      <c r="AJ263" s="8">
        <f>IF((0=1),(AJ193/AJ228),"")</f>
      </c>
      <c r="AK263" s="8">
        <f>IF((0=1),(AK193/AK228),"")</f>
      </c>
      <c r="AL263" s="8">
        <f>IF((0=1),(AL193/AL228),"")</f>
      </c>
      <c r="AM263" s="8">
        <f>IF((0=1),(AM193/AM228),"")</f>
      </c>
      <c r="AN263" s="8">
        <f>IF((0=1),(AN193/AN228),"")</f>
      </c>
      <c r="AO263" s="8">
        <f>IF((0=1),(AO193/AO228),"")</f>
      </c>
      <c r="AP263" s="8">
        <f>IF((0=1),(AP193/AP228),"")</f>
      </c>
      <c r="AQ263" s="8">
        <f>IF((0=1),(AQ193/AQ228),"")</f>
      </c>
      <c r="AR263" s="8">
        <f>IF((0=1),(AR193/AR228),"")</f>
      </c>
      <c r="AS263" s="8">
        <f>IF((0=1),(AS193/AS228),"")</f>
      </c>
      <c r="AT263" s="8">
        <f>IF((0=1),(AT193/AT228),"")</f>
      </c>
      <c r="AU263" s="8">
        <f>IF((0=1),(AU193/AU228),"")</f>
      </c>
      <c r="AV263" s="8">
        <f>IF((0=1),(AV193/AV228),"")</f>
      </c>
      <c r="AW263" s="8">
        <f>IF((0=1),(AW193/AW228),"")</f>
      </c>
      <c r="AX263" s="8">
        <f>IF((0=1),(AX193/AX228),"")</f>
      </c>
      <c r="AY263" s="8">
        <f>IF((0=1),(AY193/AY228),"")</f>
      </c>
      <c r="AZ263" s="8">
        <f>IF((0=1),(AZ193/AZ228),"")</f>
      </c>
      <c r="BA263" s="8">
        <f>IF((0=1),(BA193/BA228),"")</f>
      </c>
      <c r="BB263" s="8">
        <f>IF((0=1),(BB193/BB228),"")</f>
      </c>
      <c r="BC263" s="8">
        <f>IF((0=1),(BC193/BC228),"")</f>
      </c>
      <c r="BD263" s="8">
        <f>IF((0=1),(BD193/BD228),"")</f>
      </c>
      <c r="BE263" s="8">
        <f>IF((0=1),(BE193/BE228),"")</f>
      </c>
      <c r="BF263" s="8">
        <f>IF((0=1),(BF193/BF228),"")</f>
      </c>
      <c r="BG263" s="8">
        <f>IF((0=1),(BG193/BG228),"")</f>
      </c>
      <c r="BH263" s="8">
        <f>IF((0=1),(BH193/BH228),"")</f>
      </c>
      <c r="BI263" s="8">
        <f>IF((0=1),(BI193/BI228),"")</f>
      </c>
      <c r="BJ263" s="8">
        <f>IF((0=1),(BJ193/BJ228),"")</f>
      </c>
      <c r="BK263" s="8">
        <f>IF((0=1),(BK193/BK228),"")</f>
      </c>
      <c r="BL263" s="8">
        <f>IF((0=1),(BL193/BL228),"")</f>
      </c>
      <c r="BM263" s="8">
        <f>IF((0=1),(BM193/BM228),"")</f>
      </c>
      <c r="BN263" s="8">
        <f>IF((0=1),(BN193/BN228),"")</f>
      </c>
      <c r="BO263" s="8">
        <f>IF((0=1),(BO193/BO228),"")</f>
      </c>
      <c r="BP263" s="8">
        <f>IF((0=1),(BP193/BP228),"")</f>
      </c>
      <c r="BQ263" s="8">
        <f>IF((0=1),(BQ193/BQ228),"")</f>
      </c>
      <c r="BR263" s="8">
        <f>IF((0=1),(BR193/BR228),"")</f>
      </c>
      <c r="BS263" s="8">
        <f>IF((0=1),(BS193/BS228),"")</f>
      </c>
      <c r="BT263" s="8">
        <f>IF((0=1),(BT193/BT228),"")</f>
      </c>
      <c r="BU263" s="8">
        <f>IF((0=1),(BU193/BU228),"")</f>
      </c>
      <c r="BV263" s="8">
        <f>IF((0=1),(BV193/BV228),"")</f>
      </c>
      <c r="BW263" s="8">
        <f>IF((0=1),(BW193/BW228),"")</f>
      </c>
      <c r="BX263" s="8">
        <f>IF((0=1),(BX193/BX228),"")</f>
      </c>
      <c r="BY263" s="8">
        <f>IF((0=1),(BY193/BY228),"")</f>
      </c>
      <c r="BZ263" s="8">
        <f>IF((0=1),(BZ193/BZ228),"")</f>
      </c>
      <c r="CA263" s="8">
        <f>IF((0=1),(CA193/CA228),"")</f>
      </c>
      <c r="CB263" s="8">
        <f>IF((0=1),(CB193/CB228),"")</f>
      </c>
      <c r="CC263" s="8">
        <f>IF((0=1),(CC193/CC228),"")</f>
      </c>
      <c r="CD263" s="8">
        <f>IF((0=1),(CD193/CD228),"")</f>
      </c>
      <c r="CE263" s="8">
        <f>IF((0=1),(CE193/CE228),"")</f>
      </c>
      <c r="CF263" s="8">
        <f>IF((0=1),(CF193/CF228),"")</f>
      </c>
      <c r="CG263" s="8">
        <f>IF((0=1),(CG193/CG228),"")</f>
      </c>
      <c r="CH263" s="8">
        <f>IF((0=1),(CH193/CH228),"")</f>
      </c>
      <c r="CI263" s="8">
        <f>IF((0=1),(CI193/CI228),"")</f>
      </c>
      <c r="CJ263" s="8">
        <f>IF((0=1),(CJ193/CJ228),"")</f>
      </c>
      <c r="CK263" s="8">
        <f>IF((0=1),(CK193/CK228),"")</f>
      </c>
      <c r="CL263" s="8">
        <f>IF((0=1),(CL193/CL228),"")</f>
      </c>
      <c r="CM263" s="8">
        <f>IF((0=1),(CM193/CM228),"")</f>
      </c>
      <c r="CN263" s="8">
        <f>IF((0=1),(CN193/CN228),"")</f>
      </c>
      <c r="CO263" s="8">
        <f>IF((0=1),(CO193/CO228),"")</f>
      </c>
      <c r="CP263" s="8">
        <f>IF((0=1),(CP193/CP228),"")</f>
      </c>
      <c r="CQ263" s="8">
        <f>IF((0=1),(CQ193/CQ228),"")</f>
      </c>
      <c r="CR263" s="8">
        <f>IF((0=1),(CR193/CR228),"")</f>
      </c>
      <c r="CS263" s="8">
        <f>IF((0=1),(CS193/CS228),"")</f>
      </c>
      <c r="CT263" s="8">
        <f>IF((0=1),(CT193/CT228),"")</f>
      </c>
      <c r="CU263" s="8">
        <f>IF((0=1),(CU193/CU228),"")</f>
      </c>
      <c r="CV263" s="8">
        <f>IF((0=1),(CV193/CV228),"")</f>
      </c>
      <c r="CW263" s="8">
        <f>IF((0=1),(CW193/CW228),"")</f>
      </c>
      <c r="CX263" s="8">
        <f>IF((0=1),(CX193/CX228),"")</f>
      </c>
    </row>
    <row r="264">
      <c r="A264" s="0" t="inlineStr">
        <is>
          <t xml:space="preserve">Running mean, bps/day</t>
        </is>
      </c>
      <c r="B264" s="0" t="inlineStr">
        <is>
          <t xml:space="preserve">Random 3</t>
        </is>
      </c>
      <c r="C264" s="8">
        <f>IF((1=1),(C194/C229),"")</f>
        <v>4.62</v>
      </c>
      <c r="D264" s="8">
        <f>IF((0=1),(D194/D229),"")</f>
      </c>
      <c r="E264" s="8">
        <f>IF((0=1),(E194/E229),"")</f>
      </c>
      <c r="F264" s="8">
        <f>IF((0=1),(F194/F229),"")</f>
      </c>
      <c r="G264" s="8">
        <f>IF((0=1),(G194/G229),"")</f>
      </c>
      <c r="H264" s="8">
        <f>IF((0=1),(H194/H229),"")</f>
      </c>
      <c r="I264" s="8">
        <f>IF((0=1),(I194/I229),"")</f>
      </c>
      <c r="J264" s="8">
        <f>IF((0=1),(J194/J229),"")</f>
      </c>
      <c r="K264" s="8">
        <f>IF((0=1),(K194/K229),"")</f>
      </c>
      <c r="L264" s="8">
        <f>IF((0=1),(L194/L229),"")</f>
      </c>
      <c r="M264" s="8">
        <f>IF((0=1),(M194/M229),"")</f>
      </c>
      <c r="N264" s="8">
        <f>IF((0=1),(N194/N229),"")</f>
      </c>
      <c r="O264" s="8">
        <f>IF((0=1),(O194/O229),"")</f>
      </c>
      <c r="P264" s="8">
        <f>IF((0=1),(P194/P229),"")</f>
      </c>
      <c r="Q264" s="8">
        <f>IF((0=1),(Q194/Q229),"")</f>
      </c>
      <c r="R264" s="8">
        <f>IF((0=1),(R194/R229),"")</f>
      </c>
      <c r="S264" s="8">
        <f>IF((0=1),(S194/S229),"")</f>
      </c>
      <c r="T264" s="8">
        <f>IF((0=1),(T194/T229),"")</f>
      </c>
      <c r="U264" s="8">
        <f>IF((0=1),(U194/U229),"")</f>
      </c>
      <c r="V264" s="8">
        <f>IF((0=1),(V194/V229),"")</f>
      </c>
      <c r="W264" s="8">
        <f>IF((0=1),(W194/W229),"")</f>
      </c>
      <c r="X264" s="8">
        <f>IF((0=1),(X194/X229),"")</f>
      </c>
      <c r="Y264" s="8">
        <f>IF((0=1),(Y194/Y229),"")</f>
      </c>
      <c r="Z264" s="8">
        <f>IF((0=1),(Z194/Z229),"")</f>
      </c>
      <c r="AA264" s="8">
        <f>IF((0=1),(AA194/AA229),"")</f>
      </c>
      <c r="AB264" s="8">
        <f>IF((0=1),(AB194/AB229),"")</f>
      </c>
      <c r="AC264" s="8">
        <f>IF((0=1),(AC194/AC229),"")</f>
      </c>
      <c r="AD264" s="8">
        <f>IF((0=1),(AD194/AD229),"")</f>
      </c>
      <c r="AE264" s="8">
        <f>IF((0=1),(AE194/AE229),"")</f>
      </c>
      <c r="AF264" s="8">
        <f>IF((0=1),(AF194/AF229),"")</f>
      </c>
      <c r="AG264" s="8">
        <f>IF((0=1),(AG194/AG229),"")</f>
      </c>
      <c r="AH264" s="8">
        <f>IF((0=1),(AH194/AH229),"")</f>
      </c>
      <c r="AI264" s="8">
        <f>IF((0=1),(AI194/AI229),"")</f>
      </c>
      <c r="AJ264" s="8">
        <f>IF((0=1),(AJ194/AJ229),"")</f>
      </c>
      <c r="AK264" s="8">
        <f>IF((0=1),(AK194/AK229),"")</f>
      </c>
      <c r="AL264" s="8">
        <f>IF((0=1),(AL194/AL229),"")</f>
      </c>
      <c r="AM264" s="8">
        <f>IF((0=1),(AM194/AM229),"")</f>
      </c>
      <c r="AN264" s="8">
        <f>IF((0=1),(AN194/AN229),"")</f>
      </c>
      <c r="AO264" s="8">
        <f>IF((0=1),(AO194/AO229),"")</f>
      </c>
      <c r="AP264" s="8">
        <f>IF((0=1),(AP194/AP229),"")</f>
      </c>
      <c r="AQ264" s="8">
        <f>IF((0=1),(AQ194/AQ229),"")</f>
      </c>
      <c r="AR264" s="8">
        <f>IF((0=1),(AR194/AR229),"")</f>
      </c>
      <c r="AS264" s="8">
        <f>IF((0=1),(AS194/AS229),"")</f>
      </c>
      <c r="AT264" s="8">
        <f>IF((0=1),(AT194/AT229),"")</f>
      </c>
      <c r="AU264" s="8">
        <f>IF((0=1),(AU194/AU229),"")</f>
      </c>
      <c r="AV264" s="8">
        <f>IF((0=1),(AV194/AV229),"")</f>
      </c>
      <c r="AW264" s="8">
        <f>IF((0=1),(AW194/AW229),"")</f>
      </c>
      <c r="AX264" s="8">
        <f>IF((0=1),(AX194/AX229),"")</f>
      </c>
      <c r="AY264" s="8">
        <f>IF((0=1),(AY194/AY229),"")</f>
      </c>
      <c r="AZ264" s="8">
        <f>IF((0=1),(AZ194/AZ229),"")</f>
      </c>
      <c r="BA264" s="8">
        <f>IF((0=1),(BA194/BA229),"")</f>
      </c>
      <c r="BB264" s="8">
        <f>IF((0=1),(BB194/BB229),"")</f>
      </c>
      <c r="BC264" s="8">
        <f>IF((0=1),(BC194/BC229),"")</f>
      </c>
      <c r="BD264" s="8">
        <f>IF((0=1),(BD194/BD229),"")</f>
      </c>
      <c r="BE264" s="8">
        <f>IF((0=1),(BE194/BE229),"")</f>
      </c>
      <c r="BF264" s="8">
        <f>IF((0=1),(BF194/BF229),"")</f>
      </c>
      <c r="BG264" s="8">
        <f>IF((0=1),(BG194/BG229),"")</f>
      </c>
      <c r="BH264" s="8">
        <f>IF((0=1),(BH194/BH229),"")</f>
      </c>
      <c r="BI264" s="8">
        <f>IF((0=1),(BI194/BI229),"")</f>
      </c>
      <c r="BJ264" s="8">
        <f>IF((0=1),(BJ194/BJ229),"")</f>
      </c>
      <c r="BK264" s="8">
        <f>IF((0=1),(BK194/BK229),"")</f>
      </c>
      <c r="BL264" s="8">
        <f>IF((0=1),(BL194/BL229),"")</f>
      </c>
      <c r="BM264" s="8">
        <f>IF((0=1),(BM194/BM229),"")</f>
      </c>
      <c r="BN264" s="8">
        <f>IF((0=1),(BN194/BN229),"")</f>
      </c>
      <c r="BO264" s="8">
        <f>IF((0=1),(BO194/BO229),"")</f>
      </c>
      <c r="BP264" s="8">
        <f>IF((0=1),(BP194/BP229),"")</f>
      </c>
      <c r="BQ264" s="8">
        <f>IF((0=1),(BQ194/BQ229),"")</f>
      </c>
      <c r="BR264" s="8">
        <f>IF((0=1),(BR194/BR229),"")</f>
      </c>
      <c r="BS264" s="8">
        <f>IF((0=1),(BS194/BS229),"")</f>
      </c>
      <c r="BT264" s="8">
        <f>IF((0=1),(BT194/BT229),"")</f>
      </c>
      <c r="BU264" s="8">
        <f>IF((0=1),(BU194/BU229),"")</f>
      </c>
      <c r="BV264" s="8">
        <f>IF((0=1),(BV194/BV229),"")</f>
      </c>
      <c r="BW264" s="8">
        <f>IF((0=1),(BW194/BW229),"")</f>
      </c>
      <c r="BX264" s="8">
        <f>IF((0=1),(BX194/BX229),"")</f>
      </c>
      <c r="BY264" s="8">
        <f>IF((0=1),(BY194/BY229),"")</f>
      </c>
      <c r="BZ264" s="8">
        <f>IF((0=1),(BZ194/BZ229),"")</f>
      </c>
      <c r="CA264" s="8">
        <f>IF((0=1),(CA194/CA229),"")</f>
      </c>
      <c r="CB264" s="8">
        <f>IF((0=1),(CB194/CB229),"")</f>
      </c>
      <c r="CC264" s="8">
        <f>IF((0=1),(CC194/CC229),"")</f>
      </c>
      <c r="CD264" s="8">
        <f>IF((0=1),(CD194/CD229),"")</f>
      </c>
      <c r="CE264" s="8">
        <f>IF((0=1),(CE194/CE229),"")</f>
      </c>
      <c r="CF264" s="8">
        <f>IF((0=1),(CF194/CF229),"")</f>
      </c>
      <c r="CG264" s="8">
        <f>IF((0=1),(CG194/CG229),"")</f>
      </c>
      <c r="CH264" s="8">
        <f>IF((0=1),(CH194/CH229),"")</f>
      </c>
      <c r="CI264" s="8">
        <f>IF((0=1),(CI194/CI229),"")</f>
      </c>
      <c r="CJ264" s="8">
        <f>IF((0=1),(CJ194/CJ229),"")</f>
      </c>
      <c r="CK264" s="8">
        <f>IF((0=1),(CK194/CK229),"")</f>
      </c>
      <c r="CL264" s="8">
        <f>IF((0=1),(CL194/CL229),"")</f>
      </c>
      <c r="CM264" s="8">
        <f>IF((0=1),(CM194/CM229),"")</f>
      </c>
      <c r="CN264" s="8">
        <f>IF((0=1),(CN194/CN229),"")</f>
      </c>
      <c r="CO264" s="8">
        <f>IF((0=1),(CO194/CO229),"")</f>
      </c>
      <c r="CP264" s="8">
        <f>IF((0=1),(CP194/CP229),"")</f>
      </c>
      <c r="CQ264" s="8">
        <f>IF((0=1),(CQ194/CQ229),"")</f>
      </c>
      <c r="CR264" s="8">
        <f>IF((0=1),(CR194/CR229),"")</f>
      </c>
      <c r="CS264" s="8">
        <f>IF((0=1),(CS194/CS229),"")</f>
      </c>
      <c r="CT264" s="8">
        <f>IF((0=1),(CT194/CT229),"")</f>
      </c>
      <c r="CU264" s="8">
        <f>IF((0=1),(CU194/CU229),"")</f>
      </c>
      <c r="CV264" s="8">
        <f>IF((0=1),(CV194/CV229),"")</f>
      </c>
      <c r="CW264" s="8">
        <f>IF((0=1),(CW194/CW229),"")</f>
      </c>
      <c r="CX264" s="8">
        <f>IF((0=1),(CX194/CX229),"")</f>
      </c>
    </row>
    <row r="265">
      <c r="A265" s="0" t="inlineStr">
        <is>
          <t xml:space="preserve">Running mean, bps/day</t>
        </is>
      </c>
      <c r="B265" s="0" t="inlineStr">
        <is>
          <t xml:space="preserve">Random 4</t>
        </is>
      </c>
      <c r="C265" s="8">
        <f>IF((1=1),(C195/C230),"")</f>
        <v>-1.755</v>
      </c>
      <c r="D265" s="8">
        <f>IF((0=1),(D195/D230),"")</f>
      </c>
      <c r="E265" s="8">
        <f>IF((0=1),(E195/E230),"")</f>
      </c>
      <c r="F265" s="8">
        <f>IF((0=1),(F195/F230),"")</f>
      </c>
      <c r="G265" s="8">
        <f>IF((0=1),(G195/G230),"")</f>
      </c>
      <c r="H265" s="8">
        <f>IF((0=1),(H195/H230),"")</f>
      </c>
      <c r="I265" s="8">
        <f>IF((0=1),(I195/I230),"")</f>
      </c>
      <c r="J265" s="8">
        <f>IF((0=1),(J195/J230),"")</f>
      </c>
      <c r="K265" s="8">
        <f>IF((0=1),(K195/K230),"")</f>
      </c>
      <c r="L265" s="8">
        <f>IF((0=1),(L195/L230),"")</f>
      </c>
      <c r="M265" s="8">
        <f>IF((0=1),(M195/M230),"")</f>
      </c>
      <c r="N265" s="8">
        <f>IF((0=1),(N195/N230),"")</f>
      </c>
      <c r="O265" s="8">
        <f>IF((0=1),(O195/O230),"")</f>
      </c>
      <c r="P265" s="8">
        <f>IF((0=1),(P195/P230),"")</f>
      </c>
      <c r="Q265" s="8">
        <f>IF((0=1),(Q195/Q230),"")</f>
      </c>
      <c r="R265" s="8">
        <f>IF((0=1),(R195/R230),"")</f>
      </c>
      <c r="S265" s="8">
        <f>IF((0=1),(S195/S230),"")</f>
      </c>
      <c r="T265" s="8">
        <f>IF((0=1),(T195/T230),"")</f>
      </c>
      <c r="U265" s="8">
        <f>IF((0=1),(U195/U230),"")</f>
      </c>
      <c r="V265" s="8">
        <f>IF((0=1),(V195/V230),"")</f>
      </c>
      <c r="W265" s="8">
        <f>IF((0=1),(W195/W230),"")</f>
      </c>
      <c r="X265" s="8">
        <f>IF((0=1),(X195/X230),"")</f>
      </c>
      <c r="Y265" s="8">
        <f>IF((0=1),(Y195/Y230),"")</f>
      </c>
      <c r="Z265" s="8">
        <f>IF((0=1),(Z195/Z230),"")</f>
      </c>
      <c r="AA265" s="8">
        <f>IF((0=1),(AA195/AA230),"")</f>
      </c>
      <c r="AB265" s="8">
        <f>IF((0=1),(AB195/AB230),"")</f>
      </c>
      <c r="AC265" s="8">
        <f>IF((0=1),(AC195/AC230),"")</f>
      </c>
      <c r="AD265" s="8">
        <f>IF((0=1),(AD195/AD230),"")</f>
      </c>
      <c r="AE265" s="8">
        <f>IF((0=1),(AE195/AE230),"")</f>
      </c>
      <c r="AF265" s="8">
        <f>IF((0=1),(AF195/AF230),"")</f>
      </c>
      <c r="AG265" s="8">
        <f>IF((0=1),(AG195/AG230),"")</f>
      </c>
      <c r="AH265" s="8">
        <f>IF((0=1),(AH195/AH230),"")</f>
      </c>
      <c r="AI265" s="8">
        <f>IF((0=1),(AI195/AI230),"")</f>
      </c>
      <c r="AJ265" s="8">
        <f>IF((0=1),(AJ195/AJ230),"")</f>
      </c>
      <c r="AK265" s="8">
        <f>IF((0=1),(AK195/AK230),"")</f>
      </c>
      <c r="AL265" s="8">
        <f>IF((0=1),(AL195/AL230),"")</f>
      </c>
      <c r="AM265" s="8">
        <f>IF((0=1),(AM195/AM230),"")</f>
      </c>
      <c r="AN265" s="8">
        <f>IF((0=1),(AN195/AN230),"")</f>
      </c>
      <c r="AO265" s="8">
        <f>IF((0=1),(AO195/AO230),"")</f>
      </c>
      <c r="AP265" s="8">
        <f>IF((0=1),(AP195/AP230),"")</f>
      </c>
      <c r="AQ265" s="8">
        <f>IF((0=1),(AQ195/AQ230),"")</f>
      </c>
      <c r="AR265" s="8">
        <f>IF((0=1),(AR195/AR230),"")</f>
      </c>
      <c r="AS265" s="8">
        <f>IF((0=1),(AS195/AS230),"")</f>
      </c>
      <c r="AT265" s="8">
        <f>IF((0=1),(AT195/AT230),"")</f>
      </c>
      <c r="AU265" s="8">
        <f>IF((0=1),(AU195/AU230),"")</f>
      </c>
      <c r="AV265" s="8">
        <f>IF((0=1),(AV195/AV230),"")</f>
      </c>
      <c r="AW265" s="8">
        <f>IF((0=1),(AW195/AW230),"")</f>
      </c>
      <c r="AX265" s="8">
        <f>IF((0=1),(AX195/AX230),"")</f>
      </c>
      <c r="AY265" s="8">
        <f>IF((0=1),(AY195/AY230),"")</f>
      </c>
      <c r="AZ265" s="8">
        <f>IF((0=1),(AZ195/AZ230),"")</f>
      </c>
      <c r="BA265" s="8">
        <f>IF((0=1),(BA195/BA230),"")</f>
      </c>
      <c r="BB265" s="8">
        <f>IF((0=1),(BB195/BB230),"")</f>
      </c>
      <c r="BC265" s="8">
        <f>IF((0=1),(BC195/BC230),"")</f>
      </c>
      <c r="BD265" s="8">
        <f>IF((0=1),(BD195/BD230),"")</f>
      </c>
      <c r="BE265" s="8">
        <f>IF((0=1),(BE195/BE230),"")</f>
      </c>
      <c r="BF265" s="8">
        <f>IF((0=1),(BF195/BF230),"")</f>
      </c>
      <c r="BG265" s="8">
        <f>IF((0=1),(BG195/BG230),"")</f>
      </c>
      <c r="BH265" s="8">
        <f>IF((0=1),(BH195/BH230),"")</f>
      </c>
      <c r="BI265" s="8">
        <f>IF((0=1),(BI195/BI230),"")</f>
      </c>
      <c r="BJ265" s="8">
        <f>IF((0=1),(BJ195/BJ230),"")</f>
      </c>
      <c r="BK265" s="8">
        <f>IF((0=1),(BK195/BK230),"")</f>
      </c>
      <c r="BL265" s="8">
        <f>IF((0=1),(BL195/BL230),"")</f>
      </c>
      <c r="BM265" s="8">
        <f>IF((0=1),(BM195/BM230),"")</f>
      </c>
      <c r="BN265" s="8">
        <f>IF((0=1),(BN195/BN230),"")</f>
      </c>
      <c r="BO265" s="8">
        <f>IF((0=1),(BO195/BO230),"")</f>
      </c>
      <c r="BP265" s="8">
        <f>IF((0=1),(BP195/BP230),"")</f>
      </c>
      <c r="BQ265" s="8">
        <f>IF((0=1),(BQ195/BQ230),"")</f>
      </c>
      <c r="BR265" s="8">
        <f>IF((0=1),(BR195/BR230),"")</f>
      </c>
      <c r="BS265" s="8">
        <f>IF((0=1),(BS195/BS230),"")</f>
      </c>
      <c r="BT265" s="8">
        <f>IF((0=1),(BT195/BT230),"")</f>
      </c>
      <c r="BU265" s="8">
        <f>IF((0=1),(BU195/BU230),"")</f>
      </c>
      <c r="BV265" s="8">
        <f>IF((0=1),(BV195/BV230),"")</f>
      </c>
      <c r="BW265" s="8">
        <f>IF((0=1),(BW195/BW230),"")</f>
      </c>
      <c r="BX265" s="8">
        <f>IF((0=1),(BX195/BX230),"")</f>
      </c>
      <c r="BY265" s="8">
        <f>IF((0=1),(BY195/BY230),"")</f>
      </c>
      <c r="BZ265" s="8">
        <f>IF((0=1),(BZ195/BZ230),"")</f>
      </c>
      <c r="CA265" s="8">
        <f>IF((0=1),(CA195/CA230),"")</f>
      </c>
      <c r="CB265" s="8">
        <f>IF((0=1),(CB195/CB230),"")</f>
      </c>
      <c r="CC265" s="8">
        <f>IF((0=1),(CC195/CC230),"")</f>
      </c>
      <c r="CD265" s="8">
        <f>IF((0=1),(CD195/CD230),"")</f>
      </c>
      <c r="CE265" s="8">
        <f>IF((0=1),(CE195/CE230),"")</f>
      </c>
      <c r="CF265" s="8">
        <f>IF((0=1),(CF195/CF230),"")</f>
      </c>
      <c r="CG265" s="8">
        <f>IF((0=1),(CG195/CG230),"")</f>
      </c>
      <c r="CH265" s="8">
        <f>IF((0=1),(CH195/CH230),"")</f>
      </c>
      <c r="CI265" s="8">
        <f>IF((0=1),(CI195/CI230),"")</f>
      </c>
      <c r="CJ265" s="8">
        <f>IF((0=1),(CJ195/CJ230),"")</f>
      </c>
      <c r="CK265" s="8">
        <f>IF((0=1),(CK195/CK230),"")</f>
      </c>
      <c r="CL265" s="8">
        <f>IF((0=1),(CL195/CL230),"")</f>
      </c>
      <c r="CM265" s="8">
        <f>IF((0=1),(CM195/CM230),"")</f>
      </c>
      <c r="CN265" s="8">
        <f>IF((0=1),(CN195/CN230),"")</f>
      </c>
      <c r="CO265" s="8">
        <f>IF((0=1),(CO195/CO230),"")</f>
      </c>
      <c r="CP265" s="8">
        <f>IF((0=1),(CP195/CP230),"")</f>
      </c>
      <c r="CQ265" s="8">
        <f>IF((0=1),(CQ195/CQ230),"")</f>
      </c>
      <c r="CR265" s="8">
        <f>IF((0=1),(CR195/CR230),"")</f>
      </c>
      <c r="CS265" s="8">
        <f>IF((0=1),(CS195/CS230),"")</f>
      </c>
      <c r="CT265" s="8">
        <f>IF((0=1),(CT195/CT230),"")</f>
      </c>
      <c r="CU265" s="8">
        <f>IF((0=1),(CU195/CU230),"")</f>
      </c>
      <c r="CV265" s="8">
        <f>IF((0=1),(CV195/CV230),"")</f>
      </c>
      <c r="CW265" s="8">
        <f>IF((0=1),(CW195/CW230),"")</f>
      </c>
      <c r="CX265" s="8">
        <f>IF((0=1),(CX195/CX230),"")</f>
      </c>
    </row>
    <row r="266">
      <c r="A266" s="0" t="inlineStr">
        <is>
          <t xml:space="preserve">Running mean, bps/day</t>
        </is>
      </c>
      <c r="B266" s="0" t="inlineStr">
        <is>
          <t xml:space="preserve">Random 5</t>
        </is>
      </c>
      <c r="C266" s="8">
        <f>IF((1=1),(C196/C231),"")</f>
        <v>8.485</v>
      </c>
      <c r="D266" s="8">
        <f>IF((0=1),(D196/D231),"")</f>
      </c>
      <c r="E266" s="8">
        <f>IF((0=1),(E196/E231),"")</f>
      </c>
      <c r="F266" s="8">
        <f>IF((0=1),(F196/F231),"")</f>
      </c>
      <c r="G266" s="8">
        <f>IF((0=1),(G196/G231),"")</f>
      </c>
      <c r="H266" s="8">
        <f>IF((0=1),(H196/H231),"")</f>
      </c>
      <c r="I266" s="8">
        <f>IF((0=1),(I196/I231),"")</f>
      </c>
      <c r="J266" s="8">
        <f>IF((0=1),(J196/J231),"")</f>
      </c>
      <c r="K266" s="8">
        <f>IF((0=1),(K196/K231),"")</f>
      </c>
      <c r="L266" s="8">
        <f>IF((0=1),(L196/L231),"")</f>
      </c>
      <c r="M266" s="8">
        <f>IF((0=1),(M196/M231),"")</f>
      </c>
      <c r="N266" s="8">
        <f>IF((0=1),(N196/N231),"")</f>
      </c>
      <c r="O266" s="8">
        <f>IF((0=1),(O196/O231),"")</f>
      </c>
      <c r="P266" s="8">
        <f>IF((0=1),(P196/P231),"")</f>
      </c>
      <c r="Q266" s="8">
        <f>IF((0=1),(Q196/Q231),"")</f>
      </c>
      <c r="R266" s="8">
        <f>IF((0=1),(R196/R231),"")</f>
      </c>
      <c r="S266" s="8">
        <f>IF((0=1),(S196/S231),"")</f>
      </c>
      <c r="T266" s="8">
        <f>IF((0=1),(T196/T231),"")</f>
      </c>
      <c r="U266" s="8">
        <f>IF((0=1),(U196/U231),"")</f>
      </c>
      <c r="V266" s="8">
        <f>IF((0=1),(V196/V231),"")</f>
      </c>
      <c r="W266" s="8">
        <f>IF((0=1),(W196/W231),"")</f>
      </c>
      <c r="X266" s="8">
        <f>IF((0=1),(X196/X231),"")</f>
      </c>
      <c r="Y266" s="8">
        <f>IF((0=1),(Y196/Y231),"")</f>
      </c>
      <c r="Z266" s="8">
        <f>IF((0=1),(Z196/Z231),"")</f>
      </c>
      <c r="AA266" s="8">
        <f>IF((0=1),(AA196/AA231),"")</f>
      </c>
      <c r="AB266" s="8">
        <f>IF((0=1),(AB196/AB231),"")</f>
      </c>
      <c r="AC266" s="8">
        <f>IF((0=1),(AC196/AC231),"")</f>
      </c>
      <c r="AD266" s="8">
        <f>IF((0=1),(AD196/AD231),"")</f>
      </c>
      <c r="AE266" s="8">
        <f>IF((0=1),(AE196/AE231),"")</f>
      </c>
      <c r="AF266" s="8">
        <f>IF((0=1),(AF196/AF231),"")</f>
      </c>
      <c r="AG266" s="8">
        <f>IF((0=1),(AG196/AG231),"")</f>
      </c>
      <c r="AH266" s="8">
        <f>IF((0=1),(AH196/AH231),"")</f>
      </c>
      <c r="AI266" s="8">
        <f>IF((0=1),(AI196/AI231),"")</f>
      </c>
      <c r="AJ266" s="8">
        <f>IF((0=1),(AJ196/AJ231),"")</f>
      </c>
      <c r="AK266" s="8">
        <f>IF((0=1),(AK196/AK231),"")</f>
      </c>
      <c r="AL266" s="8">
        <f>IF((0=1),(AL196/AL231),"")</f>
      </c>
      <c r="AM266" s="8">
        <f>IF((0=1),(AM196/AM231),"")</f>
      </c>
      <c r="AN266" s="8">
        <f>IF((0=1),(AN196/AN231),"")</f>
      </c>
      <c r="AO266" s="8">
        <f>IF((0=1),(AO196/AO231),"")</f>
      </c>
      <c r="AP266" s="8">
        <f>IF((0=1),(AP196/AP231),"")</f>
      </c>
      <c r="AQ266" s="8">
        <f>IF((0=1),(AQ196/AQ231),"")</f>
      </c>
      <c r="AR266" s="8">
        <f>IF((0=1),(AR196/AR231),"")</f>
      </c>
      <c r="AS266" s="8">
        <f>IF((0=1),(AS196/AS231),"")</f>
      </c>
      <c r="AT266" s="8">
        <f>IF((0=1),(AT196/AT231),"")</f>
      </c>
      <c r="AU266" s="8">
        <f>IF((0=1),(AU196/AU231),"")</f>
      </c>
      <c r="AV266" s="8">
        <f>IF((0=1),(AV196/AV231),"")</f>
      </c>
      <c r="AW266" s="8">
        <f>IF((0=1),(AW196/AW231),"")</f>
      </c>
      <c r="AX266" s="8">
        <f>IF((0=1),(AX196/AX231),"")</f>
      </c>
      <c r="AY266" s="8">
        <f>IF((0=1),(AY196/AY231),"")</f>
      </c>
      <c r="AZ266" s="8">
        <f>IF((0=1),(AZ196/AZ231),"")</f>
      </c>
      <c r="BA266" s="8">
        <f>IF((0=1),(BA196/BA231),"")</f>
      </c>
      <c r="BB266" s="8">
        <f>IF((0=1),(BB196/BB231),"")</f>
      </c>
      <c r="BC266" s="8">
        <f>IF((0=1),(BC196/BC231),"")</f>
      </c>
      <c r="BD266" s="8">
        <f>IF((0=1),(BD196/BD231),"")</f>
      </c>
      <c r="BE266" s="8">
        <f>IF((0=1),(BE196/BE231),"")</f>
      </c>
      <c r="BF266" s="8">
        <f>IF((0=1),(BF196/BF231),"")</f>
      </c>
      <c r="BG266" s="8">
        <f>IF((0=1),(BG196/BG231),"")</f>
      </c>
      <c r="BH266" s="8">
        <f>IF((0=1),(BH196/BH231),"")</f>
      </c>
      <c r="BI266" s="8">
        <f>IF((0=1),(BI196/BI231),"")</f>
      </c>
      <c r="BJ266" s="8">
        <f>IF((0=1),(BJ196/BJ231),"")</f>
      </c>
      <c r="BK266" s="8">
        <f>IF((0=1),(BK196/BK231),"")</f>
      </c>
      <c r="BL266" s="8">
        <f>IF((0=1),(BL196/BL231),"")</f>
      </c>
      <c r="BM266" s="8">
        <f>IF((0=1),(BM196/BM231),"")</f>
      </c>
      <c r="BN266" s="8">
        <f>IF((0=1),(BN196/BN231),"")</f>
      </c>
      <c r="BO266" s="8">
        <f>IF((0=1),(BO196/BO231),"")</f>
      </c>
      <c r="BP266" s="8">
        <f>IF((0=1),(BP196/BP231),"")</f>
      </c>
      <c r="BQ266" s="8">
        <f>IF((0=1),(BQ196/BQ231),"")</f>
      </c>
      <c r="BR266" s="8">
        <f>IF((0=1),(BR196/BR231),"")</f>
      </c>
      <c r="BS266" s="8">
        <f>IF((0=1),(BS196/BS231),"")</f>
      </c>
      <c r="BT266" s="8">
        <f>IF((0=1),(BT196/BT231),"")</f>
      </c>
      <c r="BU266" s="8">
        <f>IF((0=1),(BU196/BU231),"")</f>
      </c>
      <c r="BV266" s="8">
        <f>IF((0=1),(BV196/BV231),"")</f>
      </c>
      <c r="BW266" s="8">
        <f>IF((0=1),(BW196/BW231),"")</f>
      </c>
      <c r="BX266" s="8">
        <f>IF((0=1),(BX196/BX231),"")</f>
      </c>
      <c r="BY266" s="8">
        <f>IF((0=1),(BY196/BY231),"")</f>
      </c>
      <c r="BZ266" s="8">
        <f>IF((0=1),(BZ196/BZ231),"")</f>
      </c>
      <c r="CA266" s="8">
        <f>IF((0=1),(CA196/CA231),"")</f>
      </c>
      <c r="CB266" s="8">
        <f>IF((0=1),(CB196/CB231),"")</f>
      </c>
      <c r="CC266" s="8">
        <f>IF((0=1),(CC196/CC231),"")</f>
      </c>
      <c r="CD266" s="8">
        <f>IF((0=1),(CD196/CD231),"")</f>
      </c>
      <c r="CE266" s="8">
        <f>IF((0=1),(CE196/CE231),"")</f>
      </c>
      <c r="CF266" s="8">
        <f>IF((0=1),(CF196/CF231),"")</f>
      </c>
      <c r="CG266" s="8">
        <f>IF((0=1),(CG196/CG231),"")</f>
      </c>
      <c r="CH266" s="8">
        <f>IF((0=1),(CH196/CH231),"")</f>
      </c>
      <c r="CI266" s="8">
        <f>IF((0=1),(CI196/CI231),"")</f>
      </c>
      <c r="CJ266" s="8">
        <f>IF((0=1),(CJ196/CJ231),"")</f>
      </c>
      <c r="CK266" s="8">
        <f>IF((0=1),(CK196/CK231),"")</f>
      </c>
      <c r="CL266" s="8">
        <f>IF((0=1),(CL196/CL231),"")</f>
      </c>
      <c r="CM266" s="8">
        <f>IF((0=1),(CM196/CM231),"")</f>
      </c>
      <c r="CN266" s="8">
        <f>IF((0=1),(CN196/CN231),"")</f>
      </c>
      <c r="CO266" s="8">
        <f>IF((0=1),(CO196/CO231),"")</f>
      </c>
      <c r="CP266" s="8">
        <f>IF((0=1),(CP196/CP231),"")</f>
      </c>
      <c r="CQ266" s="8">
        <f>IF((0=1),(CQ196/CQ231),"")</f>
      </c>
      <c r="CR266" s="8">
        <f>IF((0=1),(CR196/CR231),"")</f>
      </c>
      <c r="CS266" s="8">
        <f>IF((0=1),(CS196/CS231),"")</f>
      </c>
      <c r="CT266" s="8">
        <f>IF((0=1),(CT196/CT231),"")</f>
      </c>
      <c r="CU266" s="8">
        <f>IF((0=1),(CU196/CU231),"")</f>
      </c>
      <c r="CV266" s="8">
        <f>IF((0=1),(CV196/CV231),"")</f>
      </c>
      <c r="CW266" s="8">
        <f>IF((0=1),(CW196/CW231),"")</f>
      </c>
      <c r="CX266" s="8">
        <f>IF((0=1),(CX196/CX231),"")</f>
      </c>
    </row>
    <row r="267">
      <c r="A267" s="0" t="inlineStr">
        <is>
          <t xml:space="preserve">Running mean, bps/day</t>
        </is>
      </c>
      <c r="B267" s="0" t="inlineStr">
        <is>
          <t xml:space="preserve">Random 6</t>
        </is>
      </c>
      <c r="C267" s="8">
        <f>IF((1=1),(C197/C232),"")</f>
        <v>-3.004</v>
      </c>
      <c r="D267" s="8">
        <f>IF((0=1),(D197/D232),"")</f>
      </c>
      <c r="E267" s="8">
        <f>IF((0=1),(E197/E232),"")</f>
      </c>
      <c r="F267" s="8">
        <f>IF((0=1),(F197/F232),"")</f>
      </c>
      <c r="G267" s="8">
        <f>IF((0=1),(G197/G232),"")</f>
      </c>
      <c r="H267" s="8">
        <f>IF((0=1),(H197/H232),"")</f>
      </c>
      <c r="I267" s="8">
        <f>IF((0=1),(I197/I232),"")</f>
      </c>
      <c r="J267" s="8">
        <f>IF((0=1),(J197/J232),"")</f>
      </c>
      <c r="K267" s="8">
        <f>IF((0=1),(K197/K232),"")</f>
      </c>
      <c r="L267" s="8">
        <f>IF((0=1),(L197/L232),"")</f>
      </c>
      <c r="M267" s="8">
        <f>IF((0=1),(M197/M232),"")</f>
      </c>
      <c r="N267" s="8">
        <f>IF((0=1),(N197/N232),"")</f>
      </c>
      <c r="O267" s="8">
        <f>IF((0=1),(O197/O232),"")</f>
      </c>
      <c r="P267" s="8">
        <f>IF((0=1),(P197/P232),"")</f>
      </c>
      <c r="Q267" s="8">
        <f>IF((0=1),(Q197/Q232),"")</f>
      </c>
      <c r="R267" s="8">
        <f>IF((0=1),(R197/R232),"")</f>
      </c>
      <c r="S267" s="8">
        <f>IF((0=1),(S197/S232),"")</f>
      </c>
      <c r="T267" s="8">
        <f>IF((0=1),(T197/T232),"")</f>
      </c>
      <c r="U267" s="8">
        <f>IF((0=1),(U197/U232),"")</f>
      </c>
      <c r="V267" s="8">
        <f>IF((0=1),(V197/V232),"")</f>
      </c>
      <c r="W267" s="8">
        <f>IF((0=1),(W197/W232),"")</f>
      </c>
      <c r="X267" s="8">
        <f>IF((0=1),(X197/X232),"")</f>
      </c>
      <c r="Y267" s="8">
        <f>IF((0=1),(Y197/Y232),"")</f>
      </c>
      <c r="Z267" s="8">
        <f>IF((0=1),(Z197/Z232),"")</f>
      </c>
      <c r="AA267" s="8">
        <f>IF((0=1),(AA197/AA232),"")</f>
      </c>
      <c r="AB267" s="8">
        <f>IF((0=1),(AB197/AB232),"")</f>
      </c>
      <c r="AC267" s="8">
        <f>IF((0=1),(AC197/AC232),"")</f>
      </c>
      <c r="AD267" s="8">
        <f>IF((0=1),(AD197/AD232),"")</f>
      </c>
      <c r="AE267" s="8">
        <f>IF((0=1),(AE197/AE232),"")</f>
      </c>
      <c r="AF267" s="8">
        <f>IF((0=1),(AF197/AF232),"")</f>
      </c>
      <c r="AG267" s="8">
        <f>IF((0=1),(AG197/AG232),"")</f>
      </c>
      <c r="AH267" s="8">
        <f>IF((0=1),(AH197/AH232),"")</f>
      </c>
      <c r="AI267" s="8">
        <f>IF((0=1),(AI197/AI232),"")</f>
      </c>
      <c r="AJ267" s="8">
        <f>IF((0=1),(AJ197/AJ232),"")</f>
      </c>
      <c r="AK267" s="8">
        <f>IF((0=1),(AK197/AK232),"")</f>
      </c>
      <c r="AL267" s="8">
        <f>IF((0=1),(AL197/AL232),"")</f>
      </c>
      <c r="AM267" s="8">
        <f>IF((0=1),(AM197/AM232),"")</f>
      </c>
      <c r="AN267" s="8">
        <f>IF((0=1),(AN197/AN232),"")</f>
      </c>
      <c r="AO267" s="8">
        <f>IF((0=1),(AO197/AO232),"")</f>
      </c>
      <c r="AP267" s="8">
        <f>IF((0=1),(AP197/AP232),"")</f>
      </c>
      <c r="AQ267" s="8">
        <f>IF((0=1),(AQ197/AQ232),"")</f>
      </c>
      <c r="AR267" s="8">
        <f>IF((0=1),(AR197/AR232),"")</f>
      </c>
      <c r="AS267" s="8">
        <f>IF((0=1),(AS197/AS232),"")</f>
      </c>
      <c r="AT267" s="8">
        <f>IF((0=1),(AT197/AT232),"")</f>
      </c>
      <c r="AU267" s="8">
        <f>IF((0=1),(AU197/AU232),"")</f>
      </c>
      <c r="AV267" s="8">
        <f>IF((0=1),(AV197/AV232),"")</f>
      </c>
      <c r="AW267" s="8">
        <f>IF((0=1),(AW197/AW232),"")</f>
      </c>
      <c r="AX267" s="8">
        <f>IF((0=1),(AX197/AX232),"")</f>
      </c>
      <c r="AY267" s="8">
        <f>IF((0=1),(AY197/AY232),"")</f>
      </c>
      <c r="AZ267" s="8">
        <f>IF((0=1),(AZ197/AZ232),"")</f>
      </c>
      <c r="BA267" s="8">
        <f>IF((0=1),(BA197/BA232),"")</f>
      </c>
      <c r="BB267" s="8">
        <f>IF((0=1),(BB197/BB232),"")</f>
      </c>
      <c r="BC267" s="8">
        <f>IF((0=1),(BC197/BC232),"")</f>
      </c>
      <c r="BD267" s="8">
        <f>IF((0=1),(BD197/BD232),"")</f>
      </c>
      <c r="BE267" s="8">
        <f>IF((0=1),(BE197/BE232),"")</f>
      </c>
      <c r="BF267" s="8">
        <f>IF((0=1),(BF197/BF232),"")</f>
      </c>
      <c r="BG267" s="8">
        <f>IF((0=1),(BG197/BG232),"")</f>
      </c>
      <c r="BH267" s="8">
        <f>IF((0=1),(BH197/BH232),"")</f>
      </c>
      <c r="BI267" s="8">
        <f>IF((0=1),(BI197/BI232),"")</f>
      </c>
      <c r="BJ267" s="8">
        <f>IF((0=1),(BJ197/BJ232),"")</f>
      </c>
      <c r="BK267" s="8">
        <f>IF((0=1),(BK197/BK232),"")</f>
      </c>
      <c r="BL267" s="8">
        <f>IF((0=1),(BL197/BL232),"")</f>
      </c>
      <c r="BM267" s="8">
        <f>IF((0=1),(BM197/BM232),"")</f>
      </c>
      <c r="BN267" s="8">
        <f>IF((0=1),(BN197/BN232),"")</f>
      </c>
      <c r="BO267" s="8">
        <f>IF((0=1),(BO197/BO232),"")</f>
      </c>
      <c r="BP267" s="8">
        <f>IF((0=1),(BP197/BP232),"")</f>
      </c>
      <c r="BQ267" s="8">
        <f>IF((0=1),(BQ197/BQ232),"")</f>
      </c>
      <c r="BR267" s="8">
        <f>IF((0=1),(BR197/BR232),"")</f>
      </c>
      <c r="BS267" s="8">
        <f>IF((0=1),(BS197/BS232),"")</f>
      </c>
      <c r="BT267" s="8">
        <f>IF((0=1),(BT197/BT232),"")</f>
      </c>
      <c r="BU267" s="8">
        <f>IF((0=1),(BU197/BU232),"")</f>
      </c>
      <c r="BV267" s="8">
        <f>IF((0=1),(BV197/BV232),"")</f>
      </c>
      <c r="BW267" s="8">
        <f>IF((0=1),(BW197/BW232),"")</f>
      </c>
      <c r="BX267" s="8">
        <f>IF((0=1),(BX197/BX232),"")</f>
      </c>
      <c r="BY267" s="8">
        <f>IF((0=1),(BY197/BY232),"")</f>
      </c>
      <c r="BZ267" s="8">
        <f>IF((0=1),(BZ197/BZ232),"")</f>
      </c>
      <c r="CA267" s="8">
        <f>IF((0=1),(CA197/CA232),"")</f>
      </c>
      <c r="CB267" s="8">
        <f>IF((0=1),(CB197/CB232),"")</f>
      </c>
      <c r="CC267" s="8">
        <f>IF((0=1),(CC197/CC232),"")</f>
      </c>
      <c r="CD267" s="8">
        <f>IF((0=1),(CD197/CD232),"")</f>
      </c>
      <c r="CE267" s="8">
        <f>IF((0=1),(CE197/CE232),"")</f>
      </c>
      <c r="CF267" s="8">
        <f>IF((0=1),(CF197/CF232),"")</f>
      </c>
      <c r="CG267" s="8">
        <f>IF((0=1),(CG197/CG232),"")</f>
      </c>
      <c r="CH267" s="8">
        <f>IF((0=1),(CH197/CH232),"")</f>
      </c>
      <c r="CI267" s="8">
        <f>IF((0=1),(CI197/CI232),"")</f>
      </c>
      <c r="CJ267" s="8">
        <f>IF((0=1),(CJ197/CJ232),"")</f>
      </c>
      <c r="CK267" s="8">
        <f>IF((0=1),(CK197/CK232),"")</f>
      </c>
      <c r="CL267" s="8">
        <f>IF((0=1),(CL197/CL232),"")</f>
      </c>
      <c r="CM267" s="8">
        <f>IF((0=1),(CM197/CM232),"")</f>
      </c>
      <c r="CN267" s="8">
        <f>IF((0=1),(CN197/CN232),"")</f>
      </c>
      <c r="CO267" s="8">
        <f>IF((0=1),(CO197/CO232),"")</f>
      </c>
      <c r="CP267" s="8">
        <f>IF((0=1),(CP197/CP232),"")</f>
      </c>
      <c r="CQ267" s="8">
        <f>IF((0=1),(CQ197/CQ232),"")</f>
      </c>
      <c r="CR267" s="8">
        <f>IF((0=1),(CR197/CR232),"")</f>
      </c>
      <c r="CS267" s="8">
        <f>IF((0=1),(CS197/CS232),"")</f>
      </c>
      <c r="CT267" s="8">
        <f>IF((0=1),(CT197/CT232),"")</f>
      </c>
      <c r="CU267" s="8">
        <f>IF((0=1),(CU197/CU232),"")</f>
      </c>
      <c r="CV267" s="8">
        <f>IF((0=1),(CV197/CV232),"")</f>
      </c>
      <c r="CW267" s="8">
        <f>IF((0=1),(CW197/CW232),"")</f>
      </c>
      <c r="CX267" s="8">
        <f>IF((0=1),(CX197/CX232),"")</f>
      </c>
    </row>
    <row r="268">
      <c r="A268" s="0" t="inlineStr">
        <is>
          <t xml:space="preserve">Running mean, bps/day</t>
        </is>
      </c>
      <c r="B268" s="0" t="inlineStr">
        <is>
          <t xml:space="preserve">Random 7</t>
        </is>
      </c>
      <c r="C268" s="8">
        <f>IF((1=1),(C198/C233),"")</f>
        <v>-3.263</v>
      </c>
      <c r="D268" s="8">
        <f>IF((0=1),(D198/D233),"")</f>
      </c>
      <c r="E268" s="8">
        <f>IF((0=1),(E198/E233),"")</f>
      </c>
      <c r="F268" s="8">
        <f>IF((0=1),(F198/F233),"")</f>
      </c>
      <c r="G268" s="8">
        <f>IF((0=1),(G198/G233),"")</f>
      </c>
      <c r="H268" s="8">
        <f>IF((0=1),(H198/H233),"")</f>
      </c>
      <c r="I268" s="8">
        <f>IF((0=1),(I198/I233),"")</f>
      </c>
      <c r="J268" s="8">
        <f>IF((0=1),(J198/J233),"")</f>
      </c>
      <c r="K268" s="8">
        <f>IF((0=1),(K198/K233),"")</f>
      </c>
      <c r="L268" s="8">
        <f>IF((0=1),(L198/L233),"")</f>
      </c>
      <c r="M268" s="8">
        <f>IF((0=1),(M198/M233),"")</f>
      </c>
      <c r="N268" s="8">
        <f>IF((0=1),(N198/N233),"")</f>
      </c>
      <c r="O268" s="8">
        <f>IF((0=1),(O198/O233),"")</f>
      </c>
      <c r="P268" s="8">
        <f>IF((0=1),(P198/P233),"")</f>
      </c>
      <c r="Q268" s="8">
        <f>IF((0=1),(Q198/Q233),"")</f>
      </c>
      <c r="R268" s="8">
        <f>IF((0=1),(R198/R233),"")</f>
      </c>
      <c r="S268" s="8">
        <f>IF((0=1),(S198/S233),"")</f>
      </c>
      <c r="T268" s="8">
        <f>IF((0=1),(T198/T233),"")</f>
      </c>
      <c r="U268" s="8">
        <f>IF((0=1),(U198/U233),"")</f>
      </c>
      <c r="V268" s="8">
        <f>IF((0=1),(V198/V233),"")</f>
      </c>
      <c r="W268" s="8">
        <f>IF((0=1),(W198/W233),"")</f>
      </c>
      <c r="X268" s="8">
        <f>IF((0=1),(X198/X233),"")</f>
      </c>
      <c r="Y268" s="8">
        <f>IF((0=1),(Y198/Y233),"")</f>
      </c>
      <c r="Z268" s="8">
        <f>IF((0=1),(Z198/Z233),"")</f>
      </c>
      <c r="AA268" s="8">
        <f>IF((0=1),(AA198/AA233),"")</f>
      </c>
      <c r="AB268" s="8">
        <f>IF((0=1),(AB198/AB233),"")</f>
      </c>
      <c r="AC268" s="8">
        <f>IF((0=1),(AC198/AC233),"")</f>
      </c>
      <c r="AD268" s="8">
        <f>IF((0=1),(AD198/AD233),"")</f>
      </c>
      <c r="AE268" s="8">
        <f>IF((0=1),(AE198/AE233),"")</f>
      </c>
      <c r="AF268" s="8">
        <f>IF((0=1),(AF198/AF233),"")</f>
      </c>
      <c r="AG268" s="8">
        <f>IF((0=1),(AG198/AG233),"")</f>
      </c>
      <c r="AH268" s="8">
        <f>IF((0=1),(AH198/AH233),"")</f>
      </c>
      <c r="AI268" s="8">
        <f>IF((0=1),(AI198/AI233),"")</f>
      </c>
      <c r="AJ268" s="8">
        <f>IF((0=1),(AJ198/AJ233),"")</f>
      </c>
      <c r="AK268" s="8">
        <f>IF((0=1),(AK198/AK233),"")</f>
      </c>
      <c r="AL268" s="8">
        <f>IF((0=1),(AL198/AL233),"")</f>
      </c>
      <c r="AM268" s="8">
        <f>IF((0=1),(AM198/AM233),"")</f>
      </c>
      <c r="AN268" s="8">
        <f>IF((0=1),(AN198/AN233),"")</f>
      </c>
      <c r="AO268" s="8">
        <f>IF((0=1),(AO198/AO233),"")</f>
      </c>
      <c r="AP268" s="8">
        <f>IF((0=1),(AP198/AP233),"")</f>
      </c>
      <c r="AQ268" s="8">
        <f>IF((0=1),(AQ198/AQ233),"")</f>
      </c>
      <c r="AR268" s="8">
        <f>IF((0=1),(AR198/AR233),"")</f>
      </c>
      <c r="AS268" s="8">
        <f>IF((0=1),(AS198/AS233),"")</f>
      </c>
      <c r="AT268" s="8">
        <f>IF((0=1),(AT198/AT233),"")</f>
      </c>
      <c r="AU268" s="8">
        <f>IF((0=1),(AU198/AU233),"")</f>
      </c>
      <c r="AV268" s="8">
        <f>IF((0=1),(AV198/AV233),"")</f>
      </c>
      <c r="AW268" s="8">
        <f>IF((0=1),(AW198/AW233),"")</f>
      </c>
      <c r="AX268" s="8">
        <f>IF((0=1),(AX198/AX233),"")</f>
      </c>
      <c r="AY268" s="8">
        <f>IF((0=1),(AY198/AY233),"")</f>
      </c>
      <c r="AZ268" s="8">
        <f>IF((0=1),(AZ198/AZ233),"")</f>
      </c>
      <c r="BA268" s="8">
        <f>IF((0=1),(BA198/BA233),"")</f>
      </c>
      <c r="BB268" s="8">
        <f>IF((0=1),(BB198/BB233),"")</f>
      </c>
      <c r="BC268" s="8">
        <f>IF((0=1),(BC198/BC233),"")</f>
      </c>
      <c r="BD268" s="8">
        <f>IF((0=1),(BD198/BD233),"")</f>
      </c>
      <c r="BE268" s="8">
        <f>IF((0=1),(BE198/BE233),"")</f>
      </c>
      <c r="BF268" s="8">
        <f>IF((0=1),(BF198/BF233),"")</f>
      </c>
      <c r="BG268" s="8">
        <f>IF((0=1),(BG198/BG233),"")</f>
      </c>
      <c r="BH268" s="8">
        <f>IF((0=1),(BH198/BH233),"")</f>
      </c>
      <c r="BI268" s="8">
        <f>IF((0=1),(BI198/BI233),"")</f>
      </c>
      <c r="BJ268" s="8">
        <f>IF((0=1),(BJ198/BJ233),"")</f>
      </c>
      <c r="BK268" s="8">
        <f>IF((0=1),(BK198/BK233),"")</f>
      </c>
      <c r="BL268" s="8">
        <f>IF((0=1),(BL198/BL233),"")</f>
      </c>
      <c r="BM268" s="8">
        <f>IF((0=1),(BM198/BM233),"")</f>
      </c>
      <c r="BN268" s="8">
        <f>IF((0=1),(BN198/BN233),"")</f>
      </c>
      <c r="BO268" s="8">
        <f>IF((0=1),(BO198/BO233),"")</f>
      </c>
      <c r="BP268" s="8">
        <f>IF((0=1),(BP198/BP233),"")</f>
      </c>
      <c r="BQ268" s="8">
        <f>IF((0=1),(BQ198/BQ233),"")</f>
      </c>
      <c r="BR268" s="8">
        <f>IF((0=1),(BR198/BR233),"")</f>
      </c>
      <c r="BS268" s="8">
        <f>IF((0=1),(BS198/BS233),"")</f>
      </c>
      <c r="BT268" s="8">
        <f>IF((0=1),(BT198/BT233),"")</f>
      </c>
      <c r="BU268" s="8">
        <f>IF((0=1),(BU198/BU233),"")</f>
      </c>
      <c r="BV268" s="8">
        <f>IF((0=1),(BV198/BV233),"")</f>
      </c>
      <c r="BW268" s="8">
        <f>IF((0=1),(BW198/BW233),"")</f>
      </c>
      <c r="BX268" s="8">
        <f>IF((0=1),(BX198/BX233),"")</f>
      </c>
      <c r="BY268" s="8">
        <f>IF((0=1),(BY198/BY233),"")</f>
      </c>
      <c r="BZ268" s="8">
        <f>IF((0=1),(BZ198/BZ233),"")</f>
      </c>
      <c r="CA268" s="8">
        <f>IF((0=1),(CA198/CA233),"")</f>
      </c>
      <c r="CB268" s="8">
        <f>IF((0=1),(CB198/CB233),"")</f>
      </c>
      <c r="CC268" s="8">
        <f>IF((0=1),(CC198/CC233),"")</f>
      </c>
      <c r="CD268" s="8">
        <f>IF((0=1),(CD198/CD233),"")</f>
      </c>
      <c r="CE268" s="8">
        <f>IF((0=1),(CE198/CE233),"")</f>
      </c>
      <c r="CF268" s="8">
        <f>IF((0=1),(CF198/CF233),"")</f>
      </c>
      <c r="CG268" s="8">
        <f>IF((0=1),(CG198/CG233),"")</f>
      </c>
      <c r="CH268" s="8">
        <f>IF((0=1),(CH198/CH233),"")</f>
      </c>
      <c r="CI268" s="8">
        <f>IF((0=1),(CI198/CI233),"")</f>
      </c>
      <c r="CJ268" s="8">
        <f>IF((0=1),(CJ198/CJ233),"")</f>
      </c>
      <c r="CK268" s="8">
        <f>IF((0=1),(CK198/CK233),"")</f>
      </c>
      <c r="CL268" s="8">
        <f>IF((0=1),(CL198/CL233),"")</f>
      </c>
      <c r="CM268" s="8">
        <f>IF((0=1),(CM198/CM233),"")</f>
      </c>
      <c r="CN268" s="8">
        <f>IF((0=1),(CN198/CN233),"")</f>
      </c>
      <c r="CO268" s="8">
        <f>IF((0=1),(CO198/CO233),"")</f>
      </c>
      <c r="CP268" s="8">
        <f>IF((0=1),(CP198/CP233),"")</f>
      </c>
      <c r="CQ268" s="8">
        <f>IF((0=1),(CQ198/CQ233),"")</f>
      </c>
      <c r="CR268" s="8">
        <f>IF((0=1),(CR198/CR233),"")</f>
      </c>
      <c r="CS268" s="8">
        <f>IF((0=1),(CS198/CS233),"")</f>
      </c>
      <c r="CT268" s="8">
        <f>IF((0=1),(CT198/CT233),"")</f>
      </c>
      <c r="CU268" s="8">
        <f>IF((0=1),(CU198/CU233),"")</f>
      </c>
      <c r="CV268" s="8">
        <f>IF((0=1),(CV198/CV233),"")</f>
      </c>
      <c r="CW268" s="8">
        <f>IF((0=1),(CW198/CW233),"")</f>
      </c>
      <c r="CX268" s="8">
        <f>IF((0=1),(CX198/CX233),"")</f>
      </c>
    </row>
    <row r="269">
      <c r="A269" s="0" t="inlineStr">
        <is>
          <t xml:space="preserve">Running mean, bps/day</t>
        </is>
      </c>
      <c r="B269" s="0" t="inlineStr">
        <is>
          <t xml:space="preserve">Random 8</t>
        </is>
      </c>
      <c r="C269" s="8">
        <f>IF((1=1),(C199/C234),"")</f>
        <v>3.133</v>
      </c>
      <c r="D269" s="8">
        <f>IF((0=1),(D199/D234),"")</f>
      </c>
      <c r="E269" s="8">
        <f>IF((0=1),(E199/E234),"")</f>
      </c>
      <c r="F269" s="8">
        <f>IF((0=1),(F199/F234),"")</f>
      </c>
      <c r="G269" s="8">
        <f>IF((0=1),(G199/G234),"")</f>
      </c>
      <c r="H269" s="8">
        <f>IF((0=1),(H199/H234),"")</f>
      </c>
      <c r="I269" s="8">
        <f>IF((0=1),(I199/I234),"")</f>
      </c>
      <c r="J269" s="8">
        <f>IF((0=1),(J199/J234),"")</f>
      </c>
      <c r="K269" s="8">
        <f>IF((0=1),(K199/K234),"")</f>
      </c>
      <c r="L269" s="8">
        <f>IF((0=1),(L199/L234),"")</f>
      </c>
      <c r="M269" s="8">
        <f>IF((0=1),(M199/M234),"")</f>
      </c>
      <c r="N269" s="8">
        <f>IF((0=1),(N199/N234),"")</f>
      </c>
      <c r="O269" s="8">
        <f>IF((0=1),(O199/O234),"")</f>
      </c>
      <c r="P269" s="8">
        <f>IF((0=1),(P199/P234),"")</f>
      </c>
      <c r="Q269" s="8">
        <f>IF((0=1),(Q199/Q234),"")</f>
      </c>
      <c r="R269" s="8">
        <f>IF((0=1),(R199/R234),"")</f>
      </c>
      <c r="S269" s="8">
        <f>IF((0=1),(S199/S234),"")</f>
      </c>
      <c r="T269" s="8">
        <f>IF((0=1),(T199/T234),"")</f>
      </c>
      <c r="U269" s="8">
        <f>IF((0=1),(U199/U234),"")</f>
      </c>
      <c r="V269" s="8">
        <f>IF((0=1),(V199/V234),"")</f>
      </c>
      <c r="W269" s="8">
        <f>IF((0=1),(W199/W234),"")</f>
      </c>
      <c r="X269" s="8">
        <f>IF((0=1),(X199/X234),"")</f>
      </c>
      <c r="Y269" s="8">
        <f>IF((0=1),(Y199/Y234),"")</f>
      </c>
      <c r="Z269" s="8">
        <f>IF((0=1),(Z199/Z234),"")</f>
      </c>
      <c r="AA269" s="8">
        <f>IF((0=1),(AA199/AA234),"")</f>
      </c>
      <c r="AB269" s="8">
        <f>IF((0=1),(AB199/AB234),"")</f>
      </c>
      <c r="AC269" s="8">
        <f>IF((0=1),(AC199/AC234),"")</f>
      </c>
      <c r="AD269" s="8">
        <f>IF((0=1),(AD199/AD234),"")</f>
      </c>
      <c r="AE269" s="8">
        <f>IF((0=1),(AE199/AE234),"")</f>
      </c>
      <c r="AF269" s="8">
        <f>IF((0=1),(AF199/AF234),"")</f>
      </c>
      <c r="AG269" s="8">
        <f>IF((0=1),(AG199/AG234),"")</f>
      </c>
      <c r="AH269" s="8">
        <f>IF((0=1),(AH199/AH234),"")</f>
      </c>
      <c r="AI269" s="8">
        <f>IF((0=1),(AI199/AI234),"")</f>
      </c>
      <c r="AJ269" s="8">
        <f>IF((0=1),(AJ199/AJ234),"")</f>
      </c>
      <c r="AK269" s="8">
        <f>IF((0=1),(AK199/AK234),"")</f>
      </c>
      <c r="AL269" s="8">
        <f>IF((0=1),(AL199/AL234),"")</f>
      </c>
      <c r="AM269" s="8">
        <f>IF((0=1),(AM199/AM234),"")</f>
      </c>
      <c r="AN269" s="8">
        <f>IF((0=1),(AN199/AN234),"")</f>
      </c>
      <c r="AO269" s="8">
        <f>IF((0=1),(AO199/AO234),"")</f>
      </c>
      <c r="AP269" s="8">
        <f>IF((0=1),(AP199/AP234),"")</f>
      </c>
      <c r="AQ269" s="8">
        <f>IF((0=1),(AQ199/AQ234),"")</f>
      </c>
      <c r="AR269" s="8">
        <f>IF((0=1),(AR199/AR234),"")</f>
      </c>
      <c r="AS269" s="8">
        <f>IF((0=1),(AS199/AS234),"")</f>
      </c>
      <c r="AT269" s="8">
        <f>IF((0=1),(AT199/AT234),"")</f>
      </c>
      <c r="AU269" s="8">
        <f>IF((0=1),(AU199/AU234),"")</f>
      </c>
      <c r="AV269" s="8">
        <f>IF((0=1),(AV199/AV234),"")</f>
      </c>
      <c r="AW269" s="8">
        <f>IF((0=1),(AW199/AW234),"")</f>
      </c>
      <c r="AX269" s="8">
        <f>IF((0=1),(AX199/AX234),"")</f>
      </c>
      <c r="AY269" s="8">
        <f>IF((0=1),(AY199/AY234),"")</f>
      </c>
      <c r="AZ269" s="8">
        <f>IF((0=1),(AZ199/AZ234),"")</f>
      </c>
      <c r="BA269" s="8">
        <f>IF((0=1),(BA199/BA234),"")</f>
      </c>
      <c r="BB269" s="8">
        <f>IF((0=1),(BB199/BB234),"")</f>
      </c>
      <c r="BC269" s="8">
        <f>IF((0=1),(BC199/BC234),"")</f>
      </c>
      <c r="BD269" s="8">
        <f>IF((0=1),(BD199/BD234),"")</f>
      </c>
      <c r="BE269" s="8">
        <f>IF((0=1),(BE199/BE234),"")</f>
      </c>
      <c r="BF269" s="8">
        <f>IF((0=1),(BF199/BF234),"")</f>
      </c>
      <c r="BG269" s="8">
        <f>IF((0=1),(BG199/BG234),"")</f>
      </c>
      <c r="BH269" s="8">
        <f>IF((0=1),(BH199/BH234),"")</f>
      </c>
      <c r="BI269" s="8">
        <f>IF((0=1),(BI199/BI234),"")</f>
      </c>
      <c r="BJ269" s="8">
        <f>IF((0=1),(BJ199/BJ234),"")</f>
      </c>
      <c r="BK269" s="8">
        <f>IF((0=1),(BK199/BK234),"")</f>
      </c>
      <c r="BL269" s="8">
        <f>IF((0=1),(BL199/BL234),"")</f>
      </c>
      <c r="BM269" s="8">
        <f>IF((0=1),(BM199/BM234),"")</f>
      </c>
      <c r="BN269" s="8">
        <f>IF((0=1),(BN199/BN234),"")</f>
      </c>
      <c r="BO269" s="8">
        <f>IF((0=1),(BO199/BO234),"")</f>
      </c>
      <c r="BP269" s="8">
        <f>IF((0=1),(BP199/BP234),"")</f>
      </c>
      <c r="BQ269" s="8">
        <f>IF((0=1),(BQ199/BQ234),"")</f>
      </c>
      <c r="BR269" s="8">
        <f>IF((0=1),(BR199/BR234),"")</f>
      </c>
      <c r="BS269" s="8">
        <f>IF((0=1),(BS199/BS234),"")</f>
      </c>
      <c r="BT269" s="8">
        <f>IF((0=1),(BT199/BT234),"")</f>
      </c>
      <c r="BU269" s="8">
        <f>IF((0=1),(BU199/BU234),"")</f>
      </c>
      <c r="BV269" s="8">
        <f>IF((0=1),(BV199/BV234),"")</f>
      </c>
      <c r="BW269" s="8">
        <f>IF((0=1),(BW199/BW234),"")</f>
      </c>
      <c r="BX269" s="8">
        <f>IF((0=1),(BX199/BX234),"")</f>
      </c>
      <c r="BY269" s="8">
        <f>IF((0=1),(BY199/BY234),"")</f>
      </c>
      <c r="BZ269" s="8">
        <f>IF((0=1),(BZ199/BZ234),"")</f>
      </c>
      <c r="CA269" s="8">
        <f>IF((0=1),(CA199/CA234),"")</f>
      </c>
      <c r="CB269" s="8">
        <f>IF((0=1),(CB199/CB234),"")</f>
      </c>
      <c r="CC269" s="8">
        <f>IF((0=1),(CC199/CC234),"")</f>
      </c>
      <c r="CD269" s="8">
        <f>IF((0=1),(CD199/CD234),"")</f>
      </c>
      <c r="CE269" s="8">
        <f>IF((0=1),(CE199/CE234),"")</f>
      </c>
      <c r="CF269" s="8">
        <f>IF((0=1),(CF199/CF234),"")</f>
      </c>
      <c r="CG269" s="8">
        <f>IF((0=1),(CG199/CG234),"")</f>
      </c>
      <c r="CH269" s="8">
        <f>IF((0=1),(CH199/CH234),"")</f>
      </c>
      <c r="CI269" s="8">
        <f>IF((0=1),(CI199/CI234),"")</f>
      </c>
      <c r="CJ269" s="8">
        <f>IF((0=1),(CJ199/CJ234),"")</f>
      </c>
      <c r="CK269" s="8">
        <f>IF((0=1),(CK199/CK234),"")</f>
      </c>
      <c r="CL269" s="8">
        <f>IF((0=1),(CL199/CL234),"")</f>
      </c>
      <c r="CM269" s="8">
        <f>IF((0=1),(CM199/CM234),"")</f>
      </c>
      <c r="CN269" s="8">
        <f>IF((0=1),(CN199/CN234),"")</f>
      </c>
      <c r="CO269" s="8">
        <f>IF((0=1),(CO199/CO234),"")</f>
      </c>
      <c r="CP269" s="8">
        <f>IF((0=1),(CP199/CP234),"")</f>
      </c>
      <c r="CQ269" s="8">
        <f>IF((0=1),(CQ199/CQ234),"")</f>
      </c>
      <c r="CR269" s="8">
        <f>IF((0=1),(CR199/CR234),"")</f>
      </c>
      <c r="CS269" s="8">
        <f>IF((0=1),(CS199/CS234),"")</f>
      </c>
      <c r="CT269" s="8">
        <f>IF((0=1),(CT199/CT234),"")</f>
      </c>
      <c r="CU269" s="8">
        <f>IF((0=1),(CU199/CU234),"")</f>
      </c>
      <c r="CV269" s="8">
        <f>IF((0=1),(CV199/CV234),"")</f>
      </c>
      <c r="CW269" s="8">
        <f>IF((0=1),(CW199/CW234),"")</f>
      </c>
      <c r="CX269" s="8">
        <f>IF((0=1),(CX199/CX234),"")</f>
      </c>
    </row>
    <row r="270">
      <c r="A270" s="0" t="inlineStr">
        <is>
          <t xml:space="preserve">Running mean, bps/day</t>
        </is>
      </c>
      <c r="B270" s="0" t="inlineStr">
        <is>
          <t xml:space="preserve">Random 9</t>
        </is>
      </c>
      <c r="C270" s="8">
        <f>IF((1=1),(C200/C235),"")</f>
        <v>-3.328</v>
      </c>
      <c r="D270" s="8">
        <f>IF((0=1),(D200/D235),"")</f>
      </c>
      <c r="E270" s="8">
        <f>IF((0=1),(E200/E235),"")</f>
      </c>
      <c r="F270" s="8">
        <f>IF((0=1),(F200/F235),"")</f>
      </c>
      <c r="G270" s="8">
        <f>IF((0=1),(G200/G235),"")</f>
      </c>
      <c r="H270" s="8">
        <f>IF((0=1),(H200/H235),"")</f>
      </c>
      <c r="I270" s="8">
        <f>IF((0=1),(I200/I235),"")</f>
      </c>
      <c r="J270" s="8">
        <f>IF((0=1),(J200/J235),"")</f>
      </c>
      <c r="K270" s="8">
        <f>IF((0=1),(K200/K235),"")</f>
      </c>
      <c r="L270" s="8">
        <f>IF((0=1),(L200/L235),"")</f>
      </c>
      <c r="M270" s="8">
        <f>IF((0=1),(M200/M235),"")</f>
      </c>
      <c r="N270" s="8">
        <f>IF((0=1),(N200/N235),"")</f>
      </c>
      <c r="O270" s="8">
        <f>IF((0=1),(O200/O235),"")</f>
      </c>
      <c r="P270" s="8">
        <f>IF((0=1),(P200/P235),"")</f>
      </c>
      <c r="Q270" s="8">
        <f>IF((0=1),(Q200/Q235),"")</f>
      </c>
      <c r="R270" s="8">
        <f>IF((0=1),(R200/R235),"")</f>
      </c>
      <c r="S270" s="8">
        <f>IF((0=1),(S200/S235),"")</f>
      </c>
      <c r="T270" s="8">
        <f>IF((0=1),(T200/T235),"")</f>
      </c>
      <c r="U270" s="8">
        <f>IF((0=1),(U200/U235),"")</f>
      </c>
      <c r="V270" s="8">
        <f>IF((0=1),(V200/V235),"")</f>
      </c>
      <c r="W270" s="8">
        <f>IF((0=1),(W200/W235),"")</f>
      </c>
      <c r="X270" s="8">
        <f>IF((0=1),(X200/X235),"")</f>
      </c>
      <c r="Y270" s="8">
        <f>IF((0=1),(Y200/Y235),"")</f>
      </c>
      <c r="Z270" s="8">
        <f>IF((0=1),(Z200/Z235),"")</f>
      </c>
      <c r="AA270" s="8">
        <f>IF((0=1),(AA200/AA235),"")</f>
      </c>
      <c r="AB270" s="8">
        <f>IF((0=1),(AB200/AB235),"")</f>
      </c>
      <c r="AC270" s="8">
        <f>IF((0=1),(AC200/AC235),"")</f>
      </c>
      <c r="AD270" s="8">
        <f>IF((0=1),(AD200/AD235),"")</f>
      </c>
      <c r="AE270" s="8">
        <f>IF((0=1),(AE200/AE235),"")</f>
      </c>
      <c r="AF270" s="8">
        <f>IF((0=1),(AF200/AF235),"")</f>
      </c>
      <c r="AG270" s="8">
        <f>IF((0=1),(AG200/AG235),"")</f>
      </c>
      <c r="AH270" s="8">
        <f>IF((0=1),(AH200/AH235),"")</f>
      </c>
      <c r="AI270" s="8">
        <f>IF((0=1),(AI200/AI235),"")</f>
      </c>
      <c r="AJ270" s="8">
        <f>IF((0=1),(AJ200/AJ235),"")</f>
      </c>
      <c r="AK270" s="8">
        <f>IF((0=1),(AK200/AK235),"")</f>
      </c>
      <c r="AL270" s="8">
        <f>IF((0=1),(AL200/AL235),"")</f>
      </c>
      <c r="AM270" s="8">
        <f>IF((0=1),(AM200/AM235),"")</f>
      </c>
      <c r="AN270" s="8">
        <f>IF((0=1),(AN200/AN235),"")</f>
      </c>
      <c r="AO270" s="8">
        <f>IF((0=1),(AO200/AO235),"")</f>
      </c>
      <c r="AP270" s="8">
        <f>IF((0=1),(AP200/AP235),"")</f>
      </c>
      <c r="AQ270" s="8">
        <f>IF((0=1),(AQ200/AQ235),"")</f>
      </c>
      <c r="AR270" s="8">
        <f>IF((0=1),(AR200/AR235),"")</f>
      </c>
      <c r="AS270" s="8">
        <f>IF((0=1),(AS200/AS235),"")</f>
      </c>
      <c r="AT270" s="8">
        <f>IF((0=1),(AT200/AT235),"")</f>
      </c>
      <c r="AU270" s="8">
        <f>IF((0=1),(AU200/AU235),"")</f>
      </c>
      <c r="AV270" s="8">
        <f>IF((0=1),(AV200/AV235),"")</f>
      </c>
      <c r="AW270" s="8">
        <f>IF((0=1),(AW200/AW235),"")</f>
      </c>
      <c r="AX270" s="8">
        <f>IF((0=1),(AX200/AX235),"")</f>
      </c>
      <c r="AY270" s="8">
        <f>IF((0=1),(AY200/AY235),"")</f>
      </c>
      <c r="AZ270" s="8">
        <f>IF((0=1),(AZ200/AZ235),"")</f>
      </c>
      <c r="BA270" s="8">
        <f>IF((0=1),(BA200/BA235),"")</f>
      </c>
      <c r="BB270" s="8">
        <f>IF((0=1),(BB200/BB235),"")</f>
      </c>
      <c r="BC270" s="8">
        <f>IF((0=1),(BC200/BC235),"")</f>
      </c>
      <c r="BD270" s="8">
        <f>IF((0=1),(BD200/BD235),"")</f>
      </c>
      <c r="BE270" s="8">
        <f>IF((0=1),(BE200/BE235),"")</f>
      </c>
      <c r="BF270" s="8">
        <f>IF((0=1),(BF200/BF235),"")</f>
      </c>
      <c r="BG270" s="8">
        <f>IF((0=1),(BG200/BG235),"")</f>
      </c>
      <c r="BH270" s="8">
        <f>IF((0=1),(BH200/BH235),"")</f>
      </c>
      <c r="BI270" s="8">
        <f>IF((0=1),(BI200/BI235),"")</f>
      </c>
      <c r="BJ270" s="8">
        <f>IF((0=1),(BJ200/BJ235),"")</f>
      </c>
      <c r="BK270" s="8">
        <f>IF((0=1),(BK200/BK235),"")</f>
      </c>
      <c r="BL270" s="8">
        <f>IF((0=1),(BL200/BL235),"")</f>
      </c>
      <c r="BM270" s="8">
        <f>IF((0=1),(BM200/BM235),"")</f>
      </c>
      <c r="BN270" s="8">
        <f>IF((0=1),(BN200/BN235),"")</f>
      </c>
      <c r="BO270" s="8">
        <f>IF((0=1),(BO200/BO235),"")</f>
      </c>
      <c r="BP270" s="8">
        <f>IF((0=1),(BP200/BP235),"")</f>
      </c>
      <c r="BQ270" s="8">
        <f>IF((0=1),(BQ200/BQ235),"")</f>
      </c>
      <c r="BR270" s="8">
        <f>IF((0=1),(BR200/BR235),"")</f>
      </c>
      <c r="BS270" s="8">
        <f>IF((0=1),(BS200/BS235),"")</f>
      </c>
      <c r="BT270" s="8">
        <f>IF((0=1),(BT200/BT235),"")</f>
      </c>
      <c r="BU270" s="8">
        <f>IF((0=1),(BU200/BU235),"")</f>
      </c>
      <c r="BV270" s="8">
        <f>IF((0=1),(BV200/BV235),"")</f>
      </c>
      <c r="BW270" s="8">
        <f>IF((0=1),(BW200/BW235),"")</f>
      </c>
      <c r="BX270" s="8">
        <f>IF((0=1),(BX200/BX235),"")</f>
      </c>
      <c r="BY270" s="8">
        <f>IF((0=1),(BY200/BY235),"")</f>
      </c>
      <c r="BZ270" s="8">
        <f>IF((0=1),(BZ200/BZ235),"")</f>
      </c>
      <c r="CA270" s="8">
        <f>IF((0=1),(CA200/CA235),"")</f>
      </c>
      <c r="CB270" s="8">
        <f>IF((0=1),(CB200/CB235),"")</f>
      </c>
      <c r="CC270" s="8">
        <f>IF((0=1),(CC200/CC235),"")</f>
      </c>
      <c r="CD270" s="8">
        <f>IF((0=1),(CD200/CD235),"")</f>
      </c>
      <c r="CE270" s="8">
        <f>IF((0=1),(CE200/CE235),"")</f>
      </c>
      <c r="CF270" s="8">
        <f>IF((0=1),(CF200/CF235),"")</f>
      </c>
      <c r="CG270" s="8">
        <f>IF((0=1),(CG200/CG235),"")</f>
      </c>
      <c r="CH270" s="8">
        <f>IF((0=1),(CH200/CH235),"")</f>
      </c>
      <c r="CI270" s="8">
        <f>IF((0=1),(CI200/CI235),"")</f>
      </c>
      <c r="CJ270" s="8">
        <f>IF((0=1),(CJ200/CJ235),"")</f>
      </c>
      <c r="CK270" s="8">
        <f>IF((0=1),(CK200/CK235),"")</f>
      </c>
      <c r="CL270" s="8">
        <f>IF((0=1),(CL200/CL235),"")</f>
      </c>
      <c r="CM270" s="8">
        <f>IF((0=1),(CM200/CM235),"")</f>
      </c>
      <c r="CN270" s="8">
        <f>IF((0=1),(CN200/CN235),"")</f>
      </c>
      <c r="CO270" s="8">
        <f>IF((0=1),(CO200/CO235),"")</f>
      </c>
      <c r="CP270" s="8">
        <f>IF((0=1),(CP200/CP235),"")</f>
      </c>
      <c r="CQ270" s="8">
        <f>IF((0=1),(CQ200/CQ235),"")</f>
      </c>
      <c r="CR270" s="8">
        <f>IF((0=1),(CR200/CR235),"")</f>
      </c>
      <c r="CS270" s="8">
        <f>IF((0=1),(CS200/CS235),"")</f>
      </c>
      <c r="CT270" s="8">
        <f>IF((0=1),(CT200/CT235),"")</f>
      </c>
      <c r="CU270" s="8">
        <f>IF((0=1),(CU200/CU235),"")</f>
      </c>
      <c r="CV270" s="8">
        <f>IF((0=1),(CV200/CV235),"")</f>
      </c>
      <c r="CW270" s="8">
        <f>IF((0=1),(CW200/CW235),"")</f>
      </c>
      <c r="CX270" s="8">
        <f>IF((0=1),(CX200/CX235),"")</f>
      </c>
    </row>
    <row r="271">
      <c r="A271" s="0" t="inlineStr">
        <is>
          <t xml:space="preserve">Running mean, bps/day</t>
        </is>
      </c>
      <c r="B271" s="0" t="inlineStr">
        <is>
          <t xml:space="preserve">Random 10</t>
        </is>
      </c>
      <c r="C271" s="8">
        <f>IF((1=1),(C201/C236),"")</f>
        <v>4.866</v>
      </c>
      <c r="D271" s="8">
        <f>IF((0=1),(D201/D236),"")</f>
      </c>
      <c r="E271" s="8">
        <f>IF((0=1),(E201/E236),"")</f>
      </c>
      <c r="F271" s="8">
        <f>IF((0=1),(F201/F236),"")</f>
      </c>
      <c r="G271" s="8">
        <f>IF((0=1),(G201/G236),"")</f>
      </c>
      <c r="H271" s="8">
        <f>IF((0=1),(H201/H236),"")</f>
      </c>
      <c r="I271" s="8">
        <f>IF((0=1),(I201/I236),"")</f>
      </c>
      <c r="J271" s="8">
        <f>IF((0=1),(J201/J236),"")</f>
      </c>
      <c r="K271" s="8">
        <f>IF((0=1),(K201/K236),"")</f>
      </c>
      <c r="L271" s="8">
        <f>IF((0=1),(L201/L236),"")</f>
      </c>
      <c r="M271" s="8">
        <f>IF((0=1),(M201/M236),"")</f>
      </c>
      <c r="N271" s="8">
        <f>IF((0=1),(N201/N236),"")</f>
      </c>
      <c r="O271" s="8">
        <f>IF((0=1),(O201/O236),"")</f>
      </c>
      <c r="P271" s="8">
        <f>IF((0=1),(P201/P236),"")</f>
      </c>
      <c r="Q271" s="8">
        <f>IF((0=1),(Q201/Q236),"")</f>
      </c>
      <c r="R271" s="8">
        <f>IF((0=1),(R201/R236),"")</f>
      </c>
      <c r="S271" s="8">
        <f>IF((0=1),(S201/S236),"")</f>
      </c>
      <c r="T271" s="8">
        <f>IF((0=1),(T201/T236),"")</f>
      </c>
      <c r="U271" s="8">
        <f>IF((0=1),(U201/U236),"")</f>
      </c>
      <c r="V271" s="8">
        <f>IF((0=1),(V201/V236),"")</f>
      </c>
      <c r="W271" s="8">
        <f>IF((0=1),(W201/W236),"")</f>
      </c>
      <c r="X271" s="8">
        <f>IF((0=1),(X201/X236),"")</f>
      </c>
      <c r="Y271" s="8">
        <f>IF((0=1),(Y201/Y236),"")</f>
      </c>
      <c r="Z271" s="8">
        <f>IF((0=1),(Z201/Z236),"")</f>
      </c>
      <c r="AA271" s="8">
        <f>IF((0=1),(AA201/AA236),"")</f>
      </c>
      <c r="AB271" s="8">
        <f>IF((0=1),(AB201/AB236),"")</f>
      </c>
      <c r="AC271" s="8">
        <f>IF((0=1),(AC201/AC236),"")</f>
      </c>
      <c r="AD271" s="8">
        <f>IF((0=1),(AD201/AD236),"")</f>
      </c>
      <c r="AE271" s="8">
        <f>IF((0=1),(AE201/AE236),"")</f>
      </c>
      <c r="AF271" s="8">
        <f>IF((0=1),(AF201/AF236),"")</f>
      </c>
      <c r="AG271" s="8">
        <f>IF((0=1),(AG201/AG236),"")</f>
      </c>
      <c r="AH271" s="8">
        <f>IF((0=1),(AH201/AH236),"")</f>
      </c>
      <c r="AI271" s="8">
        <f>IF((0=1),(AI201/AI236),"")</f>
      </c>
      <c r="AJ271" s="8">
        <f>IF((0=1),(AJ201/AJ236),"")</f>
      </c>
      <c r="AK271" s="8">
        <f>IF((0=1),(AK201/AK236),"")</f>
      </c>
      <c r="AL271" s="8">
        <f>IF((0=1),(AL201/AL236),"")</f>
      </c>
      <c r="AM271" s="8">
        <f>IF((0=1),(AM201/AM236),"")</f>
      </c>
      <c r="AN271" s="8">
        <f>IF((0=1),(AN201/AN236),"")</f>
      </c>
      <c r="AO271" s="8">
        <f>IF((0=1),(AO201/AO236),"")</f>
      </c>
      <c r="AP271" s="8">
        <f>IF((0=1),(AP201/AP236),"")</f>
      </c>
      <c r="AQ271" s="8">
        <f>IF((0=1),(AQ201/AQ236),"")</f>
      </c>
      <c r="AR271" s="8">
        <f>IF((0=1),(AR201/AR236),"")</f>
      </c>
      <c r="AS271" s="8">
        <f>IF((0=1),(AS201/AS236),"")</f>
      </c>
      <c r="AT271" s="8">
        <f>IF((0=1),(AT201/AT236),"")</f>
      </c>
      <c r="AU271" s="8">
        <f>IF((0=1),(AU201/AU236),"")</f>
      </c>
      <c r="AV271" s="8">
        <f>IF((0=1),(AV201/AV236),"")</f>
      </c>
      <c r="AW271" s="8">
        <f>IF((0=1),(AW201/AW236),"")</f>
      </c>
      <c r="AX271" s="8">
        <f>IF((0=1),(AX201/AX236),"")</f>
      </c>
      <c r="AY271" s="8">
        <f>IF((0=1),(AY201/AY236),"")</f>
      </c>
      <c r="AZ271" s="8">
        <f>IF((0=1),(AZ201/AZ236),"")</f>
      </c>
      <c r="BA271" s="8">
        <f>IF((0=1),(BA201/BA236),"")</f>
      </c>
      <c r="BB271" s="8">
        <f>IF((0=1),(BB201/BB236),"")</f>
      </c>
      <c r="BC271" s="8">
        <f>IF((0=1),(BC201/BC236),"")</f>
      </c>
      <c r="BD271" s="8">
        <f>IF((0=1),(BD201/BD236),"")</f>
      </c>
      <c r="BE271" s="8">
        <f>IF((0=1),(BE201/BE236),"")</f>
      </c>
      <c r="BF271" s="8">
        <f>IF((0=1),(BF201/BF236),"")</f>
      </c>
      <c r="BG271" s="8">
        <f>IF((0=1),(BG201/BG236),"")</f>
      </c>
      <c r="BH271" s="8">
        <f>IF((0=1),(BH201/BH236),"")</f>
      </c>
      <c r="BI271" s="8">
        <f>IF((0=1),(BI201/BI236),"")</f>
      </c>
      <c r="BJ271" s="8">
        <f>IF((0=1),(BJ201/BJ236),"")</f>
      </c>
      <c r="BK271" s="8">
        <f>IF((0=1),(BK201/BK236),"")</f>
      </c>
      <c r="BL271" s="8">
        <f>IF((0=1),(BL201/BL236),"")</f>
      </c>
      <c r="BM271" s="8">
        <f>IF((0=1),(BM201/BM236),"")</f>
      </c>
      <c r="BN271" s="8">
        <f>IF((0=1),(BN201/BN236),"")</f>
      </c>
      <c r="BO271" s="8">
        <f>IF((0=1),(BO201/BO236),"")</f>
      </c>
      <c r="BP271" s="8">
        <f>IF((0=1),(BP201/BP236),"")</f>
      </c>
      <c r="BQ271" s="8">
        <f>IF((0=1),(BQ201/BQ236),"")</f>
      </c>
      <c r="BR271" s="8">
        <f>IF((0=1),(BR201/BR236),"")</f>
      </c>
      <c r="BS271" s="8">
        <f>IF((0=1),(BS201/BS236),"")</f>
      </c>
      <c r="BT271" s="8">
        <f>IF((0=1),(BT201/BT236),"")</f>
      </c>
      <c r="BU271" s="8">
        <f>IF((0=1),(BU201/BU236),"")</f>
      </c>
      <c r="BV271" s="8">
        <f>IF((0=1),(BV201/BV236),"")</f>
      </c>
      <c r="BW271" s="8">
        <f>IF((0=1),(BW201/BW236),"")</f>
      </c>
      <c r="BX271" s="8">
        <f>IF((0=1),(BX201/BX236),"")</f>
      </c>
      <c r="BY271" s="8">
        <f>IF((0=1),(BY201/BY236),"")</f>
      </c>
      <c r="BZ271" s="8">
        <f>IF((0=1),(BZ201/BZ236),"")</f>
      </c>
      <c r="CA271" s="8">
        <f>IF((0=1),(CA201/CA236),"")</f>
      </c>
      <c r="CB271" s="8">
        <f>IF((0=1),(CB201/CB236),"")</f>
      </c>
      <c r="CC271" s="8">
        <f>IF((0=1),(CC201/CC236),"")</f>
      </c>
      <c r="CD271" s="8">
        <f>IF((0=1),(CD201/CD236),"")</f>
      </c>
      <c r="CE271" s="8">
        <f>IF((0=1),(CE201/CE236),"")</f>
      </c>
      <c r="CF271" s="8">
        <f>IF((0=1),(CF201/CF236),"")</f>
      </c>
      <c r="CG271" s="8">
        <f>IF((0=1),(CG201/CG236),"")</f>
      </c>
      <c r="CH271" s="8">
        <f>IF((0=1),(CH201/CH236),"")</f>
      </c>
      <c r="CI271" s="8">
        <f>IF((0=1),(CI201/CI236),"")</f>
      </c>
      <c r="CJ271" s="8">
        <f>IF((0=1),(CJ201/CJ236),"")</f>
      </c>
      <c r="CK271" s="8">
        <f>IF((0=1),(CK201/CK236),"")</f>
      </c>
      <c r="CL271" s="8">
        <f>IF((0=1),(CL201/CL236),"")</f>
      </c>
      <c r="CM271" s="8">
        <f>IF((0=1),(CM201/CM236),"")</f>
      </c>
      <c r="CN271" s="8">
        <f>IF((0=1),(CN201/CN236),"")</f>
      </c>
      <c r="CO271" s="8">
        <f>IF((0=1),(CO201/CO236),"")</f>
      </c>
      <c r="CP271" s="8">
        <f>IF((0=1),(CP201/CP236),"")</f>
      </c>
      <c r="CQ271" s="8">
        <f>IF((0=1),(CQ201/CQ236),"")</f>
      </c>
      <c r="CR271" s="8">
        <f>IF((0=1),(CR201/CR236),"")</f>
      </c>
      <c r="CS271" s="8">
        <f>IF((0=1),(CS201/CS236),"")</f>
      </c>
      <c r="CT271" s="8">
        <f>IF((0=1),(CT201/CT236),"")</f>
      </c>
      <c r="CU271" s="8">
        <f>IF((0=1),(CU201/CU236),"")</f>
      </c>
      <c r="CV271" s="8">
        <f>IF((0=1),(CV201/CV236),"")</f>
      </c>
      <c r="CW271" s="8">
        <f>IF((0=1),(CW201/CW236),"")</f>
      </c>
      <c r="CX271" s="8">
        <f>IF((0=1),(CX201/CX236),"")</f>
      </c>
    </row>
    <row r="272">
      <c r="A272" s="0" t="inlineStr">
        <is>
          <t xml:space="preserve">Running mean, bps/day</t>
        </is>
      </c>
      <c r="B272" s="0" t="inlineStr">
        <is>
          <t xml:space="preserve">Random 11</t>
        </is>
      </c>
      <c r="C272" s="8">
        <f>IF((1=1),(C202/C237),"")</f>
        <v>13.888</v>
      </c>
      <c r="D272" s="8">
        <f>IF((0=1),(D202/D237),"")</f>
      </c>
      <c r="E272" s="8">
        <f>IF((0=1),(E202/E237),"")</f>
      </c>
      <c r="F272" s="8">
        <f>IF((0=1),(F202/F237),"")</f>
      </c>
      <c r="G272" s="8">
        <f>IF((0=1),(G202/G237),"")</f>
      </c>
      <c r="H272" s="8">
        <f>IF((0=1),(H202/H237),"")</f>
      </c>
      <c r="I272" s="8">
        <f>IF((0=1),(I202/I237),"")</f>
      </c>
      <c r="J272" s="8">
        <f>IF((0=1),(J202/J237),"")</f>
      </c>
      <c r="K272" s="8">
        <f>IF((0=1),(K202/K237),"")</f>
      </c>
      <c r="L272" s="8">
        <f>IF((0=1),(L202/L237),"")</f>
      </c>
      <c r="M272" s="8">
        <f>IF((0=1),(M202/M237),"")</f>
      </c>
      <c r="N272" s="8">
        <f>IF((0=1),(N202/N237),"")</f>
      </c>
      <c r="O272" s="8">
        <f>IF((0=1),(O202/O237),"")</f>
      </c>
      <c r="P272" s="8">
        <f>IF((0=1),(P202/P237),"")</f>
      </c>
      <c r="Q272" s="8">
        <f>IF((0=1),(Q202/Q237),"")</f>
      </c>
      <c r="R272" s="8">
        <f>IF((0=1),(R202/R237),"")</f>
      </c>
      <c r="S272" s="8">
        <f>IF((0=1),(S202/S237),"")</f>
      </c>
      <c r="T272" s="8">
        <f>IF((0=1),(T202/T237),"")</f>
      </c>
      <c r="U272" s="8">
        <f>IF((0=1),(U202/U237),"")</f>
      </c>
      <c r="V272" s="8">
        <f>IF((0=1),(V202/V237),"")</f>
      </c>
      <c r="W272" s="8">
        <f>IF((0=1),(W202/W237),"")</f>
      </c>
      <c r="X272" s="8">
        <f>IF((0=1),(X202/X237),"")</f>
      </c>
      <c r="Y272" s="8">
        <f>IF((0=1),(Y202/Y237),"")</f>
      </c>
      <c r="Z272" s="8">
        <f>IF((0=1),(Z202/Z237),"")</f>
      </c>
      <c r="AA272" s="8">
        <f>IF((0=1),(AA202/AA237),"")</f>
      </c>
      <c r="AB272" s="8">
        <f>IF((0=1),(AB202/AB237),"")</f>
      </c>
      <c r="AC272" s="8">
        <f>IF((0=1),(AC202/AC237),"")</f>
      </c>
      <c r="AD272" s="8">
        <f>IF((0=1),(AD202/AD237),"")</f>
      </c>
      <c r="AE272" s="8">
        <f>IF((0=1),(AE202/AE237),"")</f>
      </c>
      <c r="AF272" s="8">
        <f>IF((0=1),(AF202/AF237),"")</f>
      </c>
      <c r="AG272" s="8">
        <f>IF((0=1),(AG202/AG237),"")</f>
      </c>
      <c r="AH272" s="8">
        <f>IF((0=1),(AH202/AH237),"")</f>
      </c>
      <c r="AI272" s="8">
        <f>IF((0=1),(AI202/AI237),"")</f>
      </c>
      <c r="AJ272" s="8">
        <f>IF((0=1),(AJ202/AJ237),"")</f>
      </c>
      <c r="AK272" s="8">
        <f>IF((0=1),(AK202/AK237),"")</f>
      </c>
      <c r="AL272" s="8">
        <f>IF((0=1),(AL202/AL237),"")</f>
      </c>
      <c r="AM272" s="8">
        <f>IF((0=1),(AM202/AM237),"")</f>
      </c>
      <c r="AN272" s="8">
        <f>IF((0=1),(AN202/AN237),"")</f>
      </c>
      <c r="AO272" s="8">
        <f>IF((0=1),(AO202/AO237),"")</f>
      </c>
      <c r="AP272" s="8">
        <f>IF((0=1),(AP202/AP237),"")</f>
      </c>
      <c r="AQ272" s="8">
        <f>IF((0=1),(AQ202/AQ237),"")</f>
      </c>
      <c r="AR272" s="8">
        <f>IF((0=1),(AR202/AR237),"")</f>
      </c>
      <c r="AS272" s="8">
        <f>IF((0=1),(AS202/AS237),"")</f>
      </c>
      <c r="AT272" s="8">
        <f>IF((0=1),(AT202/AT237),"")</f>
      </c>
      <c r="AU272" s="8">
        <f>IF((0=1),(AU202/AU237),"")</f>
      </c>
      <c r="AV272" s="8">
        <f>IF((0=1),(AV202/AV237),"")</f>
      </c>
      <c r="AW272" s="8">
        <f>IF((0=1),(AW202/AW237),"")</f>
      </c>
      <c r="AX272" s="8">
        <f>IF((0=1),(AX202/AX237),"")</f>
      </c>
      <c r="AY272" s="8">
        <f>IF((0=1),(AY202/AY237),"")</f>
      </c>
      <c r="AZ272" s="8">
        <f>IF((0=1),(AZ202/AZ237),"")</f>
      </c>
      <c r="BA272" s="8">
        <f>IF((0=1),(BA202/BA237),"")</f>
      </c>
      <c r="BB272" s="8">
        <f>IF((0=1),(BB202/BB237),"")</f>
      </c>
      <c r="BC272" s="8">
        <f>IF((0=1),(BC202/BC237),"")</f>
      </c>
      <c r="BD272" s="8">
        <f>IF((0=1),(BD202/BD237),"")</f>
      </c>
      <c r="BE272" s="8">
        <f>IF((0=1),(BE202/BE237),"")</f>
      </c>
      <c r="BF272" s="8">
        <f>IF((0=1),(BF202/BF237),"")</f>
      </c>
      <c r="BG272" s="8">
        <f>IF((0=1),(BG202/BG237),"")</f>
      </c>
      <c r="BH272" s="8">
        <f>IF((0=1),(BH202/BH237),"")</f>
      </c>
      <c r="BI272" s="8">
        <f>IF((0=1),(BI202/BI237),"")</f>
      </c>
      <c r="BJ272" s="8">
        <f>IF((0=1),(BJ202/BJ237),"")</f>
      </c>
      <c r="BK272" s="8">
        <f>IF((0=1),(BK202/BK237),"")</f>
      </c>
      <c r="BL272" s="8">
        <f>IF((0=1),(BL202/BL237),"")</f>
      </c>
      <c r="BM272" s="8">
        <f>IF((0=1),(BM202/BM237),"")</f>
      </c>
      <c r="BN272" s="8">
        <f>IF((0=1),(BN202/BN237),"")</f>
      </c>
      <c r="BO272" s="8">
        <f>IF((0=1),(BO202/BO237),"")</f>
      </c>
      <c r="BP272" s="8">
        <f>IF((0=1),(BP202/BP237),"")</f>
      </c>
      <c r="BQ272" s="8">
        <f>IF((0=1),(BQ202/BQ237),"")</f>
      </c>
      <c r="BR272" s="8">
        <f>IF((0=1),(BR202/BR237),"")</f>
      </c>
      <c r="BS272" s="8">
        <f>IF((0=1),(BS202/BS237),"")</f>
      </c>
      <c r="BT272" s="8">
        <f>IF((0=1),(BT202/BT237),"")</f>
      </c>
      <c r="BU272" s="8">
        <f>IF((0=1),(BU202/BU237),"")</f>
      </c>
      <c r="BV272" s="8">
        <f>IF((0=1),(BV202/BV237),"")</f>
      </c>
      <c r="BW272" s="8">
        <f>IF((0=1),(BW202/BW237),"")</f>
      </c>
      <c r="BX272" s="8">
        <f>IF((0=1),(BX202/BX237),"")</f>
      </c>
      <c r="BY272" s="8">
        <f>IF((0=1),(BY202/BY237),"")</f>
      </c>
      <c r="BZ272" s="8">
        <f>IF((0=1),(BZ202/BZ237),"")</f>
      </c>
      <c r="CA272" s="8">
        <f>IF((0=1),(CA202/CA237),"")</f>
      </c>
      <c r="CB272" s="8">
        <f>IF((0=1),(CB202/CB237),"")</f>
      </c>
      <c r="CC272" s="8">
        <f>IF((0=1),(CC202/CC237),"")</f>
      </c>
      <c r="CD272" s="8">
        <f>IF((0=1),(CD202/CD237),"")</f>
      </c>
      <c r="CE272" s="8">
        <f>IF((0=1),(CE202/CE237),"")</f>
      </c>
      <c r="CF272" s="8">
        <f>IF((0=1),(CF202/CF237),"")</f>
      </c>
      <c r="CG272" s="8">
        <f>IF((0=1),(CG202/CG237),"")</f>
      </c>
      <c r="CH272" s="8">
        <f>IF((0=1),(CH202/CH237),"")</f>
      </c>
      <c r="CI272" s="8">
        <f>IF((0=1),(CI202/CI237),"")</f>
      </c>
      <c r="CJ272" s="8">
        <f>IF((0=1),(CJ202/CJ237),"")</f>
      </c>
      <c r="CK272" s="8">
        <f>IF((0=1),(CK202/CK237),"")</f>
      </c>
      <c r="CL272" s="8">
        <f>IF((0=1),(CL202/CL237),"")</f>
      </c>
      <c r="CM272" s="8">
        <f>IF((0=1),(CM202/CM237),"")</f>
      </c>
      <c r="CN272" s="8">
        <f>IF((0=1),(CN202/CN237),"")</f>
      </c>
      <c r="CO272" s="8">
        <f>IF((0=1),(CO202/CO237),"")</f>
      </c>
      <c r="CP272" s="8">
        <f>IF((0=1),(CP202/CP237),"")</f>
      </c>
      <c r="CQ272" s="8">
        <f>IF((0=1),(CQ202/CQ237),"")</f>
      </c>
      <c r="CR272" s="8">
        <f>IF((0=1),(CR202/CR237),"")</f>
      </c>
      <c r="CS272" s="8">
        <f>IF((0=1),(CS202/CS237),"")</f>
      </c>
      <c r="CT272" s="8">
        <f>IF((0=1),(CT202/CT237),"")</f>
      </c>
      <c r="CU272" s="8">
        <f>IF((0=1),(CU202/CU237),"")</f>
      </c>
      <c r="CV272" s="8">
        <f>IF((0=1),(CV202/CV237),"")</f>
      </c>
      <c r="CW272" s="8">
        <f>IF((0=1),(CW202/CW237),"")</f>
      </c>
      <c r="CX272" s="8">
        <f>IF((0=1),(CX202/CX237),"")</f>
      </c>
    </row>
    <row r="273">
      <c r="A273" s="0" t="inlineStr">
        <is>
          <t xml:space="preserve">Running mean, bps/day</t>
        </is>
      </c>
      <c r="B273" s="0" t="inlineStr">
        <is>
          <t xml:space="preserve">Random 12</t>
        </is>
      </c>
      <c r="C273" s="8">
        <f>IF((1=1),(C203/C238),"")</f>
        <v>-0.503</v>
      </c>
      <c r="D273" s="8">
        <f>IF((0=1),(D203/D238),"")</f>
      </c>
      <c r="E273" s="8">
        <f>IF((0=1),(E203/E238),"")</f>
      </c>
      <c r="F273" s="8">
        <f>IF((0=1),(F203/F238),"")</f>
      </c>
      <c r="G273" s="8">
        <f>IF((0=1),(G203/G238),"")</f>
      </c>
      <c r="H273" s="8">
        <f>IF((0=1),(H203/H238),"")</f>
      </c>
      <c r="I273" s="8">
        <f>IF((0=1),(I203/I238),"")</f>
      </c>
      <c r="J273" s="8">
        <f>IF((0=1),(J203/J238),"")</f>
      </c>
      <c r="K273" s="8">
        <f>IF((0=1),(K203/K238),"")</f>
      </c>
      <c r="L273" s="8">
        <f>IF((0=1),(L203/L238),"")</f>
      </c>
      <c r="M273" s="8">
        <f>IF((0=1),(M203/M238),"")</f>
      </c>
      <c r="N273" s="8">
        <f>IF((0=1),(N203/N238),"")</f>
      </c>
      <c r="O273" s="8">
        <f>IF((0=1),(O203/O238),"")</f>
      </c>
      <c r="P273" s="8">
        <f>IF((0=1),(P203/P238),"")</f>
      </c>
      <c r="Q273" s="8">
        <f>IF((0=1),(Q203/Q238),"")</f>
      </c>
      <c r="R273" s="8">
        <f>IF((0=1),(R203/R238),"")</f>
      </c>
      <c r="S273" s="8">
        <f>IF((0=1),(S203/S238),"")</f>
      </c>
      <c r="T273" s="8">
        <f>IF((0=1),(T203/T238),"")</f>
      </c>
      <c r="U273" s="8">
        <f>IF((0=1),(U203/U238),"")</f>
      </c>
      <c r="V273" s="8">
        <f>IF((0=1),(V203/V238),"")</f>
      </c>
      <c r="W273" s="8">
        <f>IF((0=1),(W203/W238),"")</f>
      </c>
      <c r="X273" s="8">
        <f>IF((0=1),(X203/X238),"")</f>
      </c>
      <c r="Y273" s="8">
        <f>IF((0=1),(Y203/Y238),"")</f>
      </c>
      <c r="Z273" s="8">
        <f>IF((0=1),(Z203/Z238),"")</f>
      </c>
      <c r="AA273" s="8">
        <f>IF((0=1),(AA203/AA238),"")</f>
      </c>
      <c r="AB273" s="8">
        <f>IF((0=1),(AB203/AB238),"")</f>
      </c>
      <c r="AC273" s="8">
        <f>IF((0=1),(AC203/AC238),"")</f>
      </c>
      <c r="AD273" s="8">
        <f>IF((0=1),(AD203/AD238),"")</f>
      </c>
      <c r="AE273" s="8">
        <f>IF((0=1),(AE203/AE238),"")</f>
      </c>
      <c r="AF273" s="8">
        <f>IF((0=1),(AF203/AF238),"")</f>
      </c>
      <c r="AG273" s="8">
        <f>IF((0=1),(AG203/AG238),"")</f>
      </c>
      <c r="AH273" s="8">
        <f>IF((0=1),(AH203/AH238),"")</f>
      </c>
      <c r="AI273" s="8">
        <f>IF((0=1),(AI203/AI238),"")</f>
      </c>
      <c r="AJ273" s="8">
        <f>IF((0=1),(AJ203/AJ238),"")</f>
      </c>
      <c r="AK273" s="8">
        <f>IF((0=1),(AK203/AK238),"")</f>
      </c>
      <c r="AL273" s="8">
        <f>IF((0=1),(AL203/AL238),"")</f>
      </c>
      <c r="AM273" s="8">
        <f>IF((0=1),(AM203/AM238),"")</f>
      </c>
      <c r="AN273" s="8">
        <f>IF((0=1),(AN203/AN238),"")</f>
      </c>
      <c r="AO273" s="8">
        <f>IF((0=1),(AO203/AO238),"")</f>
      </c>
      <c r="AP273" s="8">
        <f>IF((0=1),(AP203/AP238),"")</f>
      </c>
      <c r="AQ273" s="8">
        <f>IF((0=1),(AQ203/AQ238),"")</f>
      </c>
      <c r="AR273" s="8">
        <f>IF((0=1),(AR203/AR238),"")</f>
      </c>
      <c r="AS273" s="8">
        <f>IF((0=1),(AS203/AS238),"")</f>
      </c>
      <c r="AT273" s="8">
        <f>IF((0=1),(AT203/AT238),"")</f>
      </c>
      <c r="AU273" s="8">
        <f>IF((0=1),(AU203/AU238),"")</f>
      </c>
      <c r="AV273" s="8">
        <f>IF((0=1),(AV203/AV238),"")</f>
      </c>
      <c r="AW273" s="8">
        <f>IF((0=1),(AW203/AW238),"")</f>
      </c>
      <c r="AX273" s="8">
        <f>IF((0=1),(AX203/AX238),"")</f>
      </c>
      <c r="AY273" s="8">
        <f>IF((0=1),(AY203/AY238),"")</f>
      </c>
      <c r="AZ273" s="8">
        <f>IF((0=1),(AZ203/AZ238),"")</f>
      </c>
      <c r="BA273" s="8">
        <f>IF((0=1),(BA203/BA238),"")</f>
      </c>
      <c r="BB273" s="8">
        <f>IF((0=1),(BB203/BB238),"")</f>
      </c>
      <c r="BC273" s="8">
        <f>IF((0=1),(BC203/BC238),"")</f>
      </c>
      <c r="BD273" s="8">
        <f>IF((0=1),(BD203/BD238),"")</f>
      </c>
      <c r="BE273" s="8">
        <f>IF((0=1),(BE203/BE238),"")</f>
      </c>
      <c r="BF273" s="8">
        <f>IF((0=1),(BF203/BF238),"")</f>
      </c>
      <c r="BG273" s="8">
        <f>IF((0=1),(BG203/BG238),"")</f>
      </c>
      <c r="BH273" s="8">
        <f>IF((0=1),(BH203/BH238),"")</f>
      </c>
      <c r="BI273" s="8">
        <f>IF((0=1),(BI203/BI238),"")</f>
      </c>
      <c r="BJ273" s="8">
        <f>IF((0=1),(BJ203/BJ238),"")</f>
      </c>
      <c r="BK273" s="8">
        <f>IF((0=1),(BK203/BK238),"")</f>
      </c>
      <c r="BL273" s="8">
        <f>IF((0=1),(BL203/BL238),"")</f>
      </c>
      <c r="BM273" s="8">
        <f>IF((0=1),(BM203/BM238),"")</f>
      </c>
      <c r="BN273" s="8">
        <f>IF((0=1),(BN203/BN238),"")</f>
      </c>
      <c r="BO273" s="8">
        <f>IF((0=1),(BO203/BO238),"")</f>
      </c>
      <c r="BP273" s="8">
        <f>IF((0=1),(BP203/BP238),"")</f>
      </c>
      <c r="BQ273" s="8">
        <f>IF((0=1),(BQ203/BQ238),"")</f>
      </c>
      <c r="BR273" s="8">
        <f>IF((0=1),(BR203/BR238),"")</f>
      </c>
      <c r="BS273" s="8">
        <f>IF((0=1),(BS203/BS238),"")</f>
      </c>
      <c r="BT273" s="8">
        <f>IF((0=1),(BT203/BT238),"")</f>
      </c>
      <c r="BU273" s="8">
        <f>IF((0=1),(BU203/BU238),"")</f>
      </c>
      <c r="BV273" s="8">
        <f>IF((0=1),(BV203/BV238),"")</f>
      </c>
      <c r="BW273" s="8">
        <f>IF((0=1),(BW203/BW238),"")</f>
      </c>
      <c r="BX273" s="8">
        <f>IF((0=1),(BX203/BX238),"")</f>
      </c>
      <c r="BY273" s="8">
        <f>IF((0=1),(BY203/BY238),"")</f>
      </c>
      <c r="BZ273" s="8">
        <f>IF((0=1),(BZ203/BZ238),"")</f>
      </c>
      <c r="CA273" s="8">
        <f>IF((0=1),(CA203/CA238),"")</f>
      </c>
      <c r="CB273" s="8">
        <f>IF((0=1),(CB203/CB238),"")</f>
      </c>
      <c r="CC273" s="8">
        <f>IF((0=1),(CC203/CC238),"")</f>
      </c>
      <c r="CD273" s="8">
        <f>IF((0=1),(CD203/CD238),"")</f>
      </c>
      <c r="CE273" s="8">
        <f>IF((0=1),(CE203/CE238),"")</f>
      </c>
      <c r="CF273" s="8">
        <f>IF((0=1),(CF203/CF238),"")</f>
      </c>
      <c r="CG273" s="8">
        <f>IF((0=1),(CG203/CG238),"")</f>
      </c>
      <c r="CH273" s="8">
        <f>IF((0=1),(CH203/CH238),"")</f>
      </c>
      <c r="CI273" s="8">
        <f>IF((0=1),(CI203/CI238),"")</f>
      </c>
      <c r="CJ273" s="8">
        <f>IF((0=1),(CJ203/CJ238),"")</f>
      </c>
      <c r="CK273" s="8">
        <f>IF((0=1),(CK203/CK238),"")</f>
      </c>
      <c r="CL273" s="8">
        <f>IF((0=1),(CL203/CL238),"")</f>
      </c>
      <c r="CM273" s="8">
        <f>IF((0=1),(CM203/CM238),"")</f>
      </c>
      <c r="CN273" s="8">
        <f>IF((0=1),(CN203/CN238),"")</f>
      </c>
      <c r="CO273" s="8">
        <f>IF((0=1),(CO203/CO238),"")</f>
      </c>
      <c r="CP273" s="8">
        <f>IF((0=1),(CP203/CP238),"")</f>
      </c>
      <c r="CQ273" s="8">
        <f>IF((0=1),(CQ203/CQ238),"")</f>
      </c>
      <c r="CR273" s="8">
        <f>IF((0=1),(CR203/CR238),"")</f>
      </c>
      <c r="CS273" s="8">
        <f>IF((0=1),(CS203/CS238),"")</f>
      </c>
      <c r="CT273" s="8">
        <f>IF((0=1),(CT203/CT238),"")</f>
      </c>
      <c r="CU273" s="8">
        <f>IF((0=1),(CU203/CU238),"")</f>
      </c>
      <c r="CV273" s="8">
        <f>IF((0=1),(CV203/CV238),"")</f>
      </c>
      <c r="CW273" s="8">
        <f>IF((0=1),(CW203/CW238),"")</f>
      </c>
      <c r="CX273" s="8">
        <f>IF((0=1),(CX203/CX238),"")</f>
      </c>
    </row>
    <row r="274">
      <c r="A274" s="0" t="inlineStr">
        <is>
          <t xml:space="preserve">Running mean, bps/day</t>
        </is>
      </c>
      <c r="B274" s="0" t="inlineStr">
        <is>
          <t xml:space="preserve">Random 13</t>
        </is>
      </c>
      <c r="C274" s="8">
        <f>IF((1=1),(C204/C239),"")</f>
        <v>-8.316</v>
      </c>
      <c r="D274" s="8">
        <f>IF((0=1),(D204/D239),"")</f>
      </c>
      <c r="E274" s="8">
        <f>IF((0=1),(E204/E239),"")</f>
      </c>
      <c r="F274" s="8">
        <f>IF((0=1),(F204/F239),"")</f>
      </c>
      <c r="G274" s="8">
        <f>IF((0=1),(G204/G239),"")</f>
      </c>
      <c r="H274" s="8">
        <f>IF((0=1),(H204/H239),"")</f>
      </c>
      <c r="I274" s="8">
        <f>IF((0=1),(I204/I239),"")</f>
      </c>
      <c r="J274" s="8">
        <f>IF((0=1),(J204/J239),"")</f>
      </c>
      <c r="K274" s="8">
        <f>IF((0=1),(K204/K239),"")</f>
      </c>
      <c r="L274" s="8">
        <f>IF((0=1),(L204/L239),"")</f>
      </c>
      <c r="M274" s="8">
        <f>IF((0=1),(M204/M239),"")</f>
      </c>
      <c r="N274" s="8">
        <f>IF((0=1),(N204/N239),"")</f>
      </c>
      <c r="O274" s="8">
        <f>IF((0=1),(O204/O239),"")</f>
      </c>
      <c r="P274" s="8">
        <f>IF((0=1),(P204/P239),"")</f>
      </c>
      <c r="Q274" s="8">
        <f>IF((0=1),(Q204/Q239),"")</f>
      </c>
      <c r="R274" s="8">
        <f>IF((0=1),(R204/R239),"")</f>
      </c>
      <c r="S274" s="8">
        <f>IF((0=1),(S204/S239),"")</f>
      </c>
      <c r="T274" s="8">
        <f>IF((0=1),(T204/T239),"")</f>
      </c>
      <c r="U274" s="8">
        <f>IF((0=1),(U204/U239),"")</f>
      </c>
      <c r="V274" s="8">
        <f>IF((0=1),(V204/V239),"")</f>
      </c>
      <c r="W274" s="8">
        <f>IF((0=1),(W204/W239),"")</f>
      </c>
      <c r="X274" s="8">
        <f>IF((0=1),(X204/X239),"")</f>
      </c>
      <c r="Y274" s="8">
        <f>IF((0=1),(Y204/Y239),"")</f>
      </c>
      <c r="Z274" s="8">
        <f>IF((0=1),(Z204/Z239),"")</f>
      </c>
      <c r="AA274" s="8">
        <f>IF((0=1),(AA204/AA239),"")</f>
      </c>
      <c r="AB274" s="8">
        <f>IF((0=1),(AB204/AB239),"")</f>
      </c>
      <c r="AC274" s="8">
        <f>IF((0=1),(AC204/AC239),"")</f>
      </c>
      <c r="AD274" s="8">
        <f>IF((0=1),(AD204/AD239),"")</f>
      </c>
      <c r="AE274" s="8">
        <f>IF((0=1),(AE204/AE239),"")</f>
      </c>
      <c r="AF274" s="8">
        <f>IF((0=1),(AF204/AF239),"")</f>
      </c>
      <c r="AG274" s="8">
        <f>IF((0=1),(AG204/AG239),"")</f>
      </c>
      <c r="AH274" s="8">
        <f>IF((0=1),(AH204/AH239),"")</f>
      </c>
      <c r="AI274" s="8">
        <f>IF((0=1),(AI204/AI239),"")</f>
      </c>
      <c r="AJ274" s="8">
        <f>IF((0=1),(AJ204/AJ239),"")</f>
      </c>
      <c r="AK274" s="8">
        <f>IF((0=1),(AK204/AK239),"")</f>
      </c>
      <c r="AL274" s="8">
        <f>IF((0=1),(AL204/AL239),"")</f>
      </c>
      <c r="AM274" s="8">
        <f>IF((0=1),(AM204/AM239),"")</f>
      </c>
      <c r="AN274" s="8">
        <f>IF((0=1),(AN204/AN239),"")</f>
      </c>
      <c r="AO274" s="8">
        <f>IF((0=1),(AO204/AO239),"")</f>
      </c>
      <c r="AP274" s="8">
        <f>IF((0=1),(AP204/AP239),"")</f>
      </c>
      <c r="AQ274" s="8">
        <f>IF((0=1),(AQ204/AQ239),"")</f>
      </c>
      <c r="AR274" s="8">
        <f>IF((0=1),(AR204/AR239),"")</f>
      </c>
      <c r="AS274" s="8">
        <f>IF((0=1),(AS204/AS239),"")</f>
      </c>
      <c r="AT274" s="8">
        <f>IF((0=1),(AT204/AT239),"")</f>
      </c>
      <c r="AU274" s="8">
        <f>IF((0=1),(AU204/AU239),"")</f>
      </c>
      <c r="AV274" s="8">
        <f>IF((0=1),(AV204/AV239),"")</f>
      </c>
      <c r="AW274" s="8">
        <f>IF((0=1),(AW204/AW239),"")</f>
      </c>
      <c r="AX274" s="8">
        <f>IF((0=1),(AX204/AX239),"")</f>
      </c>
      <c r="AY274" s="8">
        <f>IF((0=1),(AY204/AY239),"")</f>
      </c>
      <c r="AZ274" s="8">
        <f>IF((0=1),(AZ204/AZ239),"")</f>
      </c>
      <c r="BA274" s="8">
        <f>IF((0=1),(BA204/BA239),"")</f>
      </c>
      <c r="BB274" s="8">
        <f>IF((0=1),(BB204/BB239),"")</f>
      </c>
      <c r="BC274" s="8">
        <f>IF((0=1),(BC204/BC239),"")</f>
      </c>
      <c r="BD274" s="8">
        <f>IF((0=1),(BD204/BD239),"")</f>
      </c>
      <c r="BE274" s="8">
        <f>IF((0=1),(BE204/BE239),"")</f>
      </c>
      <c r="BF274" s="8">
        <f>IF((0=1),(BF204/BF239),"")</f>
      </c>
      <c r="BG274" s="8">
        <f>IF((0=1),(BG204/BG239),"")</f>
      </c>
      <c r="BH274" s="8">
        <f>IF((0=1),(BH204/BH239),"")</f>
      </c>
      <c r="BI274" s="8">
        <f>IF((0=1),(BI204/BI239),"")</f>
      </c>
      <c r="BJ274" s="8">
        <f>IF((0=1),(BJ204/BJ239),"")</f>
      </c>
      <c r="BK274" s="8">
        <f>IF((0=1),(BK204/BK239),"")</f>
      </c>
      <c r="BL274" s="8">
        <f>IF((0=1),(BL204/BL239),"")</f>
      </c>
      <c r="BM274" s="8">
        <f>IF((0=1),(BM204/BM239),"")</f>
      </c>
      <c r="BN274" s="8">
        <f>IF((0=1),(BN204/BN239),"")</f>
      </c>
      <c r="BO274" s="8">
        <f>IF((0=1),(BO204/BO239),"")</f>
      </c>
      <c r="BP274" s="8">
        <f>IF((0=1),(BP204/BP239),"")</f>
      </c>
      <c r="BQ274" s="8">
        <f>IF((0=1),(BQ204/BQ239),"")</f>
      </c>
      <c r="BR274" s="8">
        <f>IF((0=1),(BR204/BR239),"")</f>
      </c>
      <c r="BS274" s="8">
        <f>IF((0=1),(BS204/BS239),"")</f>
      </c>
      <c r="BT274" s="8">
        <f>IF((0=1),(BT204/BT239),"")</f>
      </c>
      <c r="BU274" s="8">
        <f>IF((0=1),(BU204/BU239),"")</f>
      </c>
      <c r="BV274" s="8">
        <f>IF((0=1),(BV204/BV239),"")</f>
      </c>
      <c r="BW274" s="8">
        <f>IF((0=1),(BW204/BW239),"")</f>
      </c>
      <c r="BX274" s="8">
        <f>IF((0=1),(BX204/BX239),"")</f>
      </c>
      <c r="BY274" s="8">
        <f>IF((0=1),(BY204/BY239),"")</f>
      </c>
      <c r="BZ274" s="8">
        <f>IF((0=1),(BZ204/BZ239),"")</f>
      </c>
      <c r="CA274" s="8">
        <f>IF((0=1),(CA204/CA239),"")</f>
      </c>
      <c r="CB274" s="8">
        <f>IF((0=1),(CB204/CB239),"")</f>
      </c>
      <c r="CC274" s="8">
        <f>IF((0=1),(CC204/CC239),"")</f>
      </c>
      <c r="CD274" s="8">
        <f>IF((0=1),(CD204/CD239),"")</f>
      </c>
      <c r="CE274" s="8">
        <f>IF((0=1),(CE204/CE239),"")</f>
      </c>
      <c r="CF274" s="8">
        <f>IF((0=1),(CF204/CF239),"")</f>
      </c>
      <c r="CG274" s="8">
        <f>IF((0=1),(CG204/CG239),"")</f>
      </c>
      <c r="CH274" s="8">
        <f>IF((0=1),(CH204/CH239),"")</f>
      </c>
      <c r="CI274" s="8">
        <f>IF((0=1),(CI204/CI239),"")</f>
      </c>
      <c r="CJ274" s="8">
        <f>IF((0=1),(CJ204/CJ239),"")</f>
      </c>
      <c r="CK274" s="8">
        <f>IF((0=1),(CK204/CK239),"")</f>
      </c>
      <c r="CL274" s="8">
        <f>IF((0=1),(CL204/CL239),"")</f>
      </c>
      <c r="CM274" s="8">
        <f>IF((0=1),(CM204/CM239),"")</f>
      </c>
      <c r="CN274" s="8">
        <f>IF((0=1),(CN204/CN239),"")</f>
      </c>
      <c r="CO274" s="8">
        <f>IF((0=1),(CO204/CO239),"")</f>
      </c>
      <c r="CP274" s="8">
        <f>IF((0=1),(CP204/CP239),"")</f>
      </c>
      <c r="CQ274" s="8">
        <f>IF((0=1),(CQ204/CQ239),"")</f>
      </c>
      <c r="CR274" s="8">
        <f>IF((0=1),(CR204/CR239),"")</f>
      </c>
      <c r="CS274" s="8">
        <f>IF((0=1),(CS204/CS239),"")</f>
      </c>
      <c r="CT274" s="8">
        <f>IF((0=1),(CT204/CT239),"")</f>
      </c>
      <c r="CU274" s="8">
        <f>IF((0=1),(CU204/CU239),"")</f>
      </c>
      <c r="CV274" s="8">
        <f>IF((0=1),(CV204/CV239),"")</f>
      </c>
      <c r="CW274" s="8">
        <f>IF((0=1),(CW204/CW239),"")</f>
      </c>
      <c r="CX274" s="8">
        <f>IF((0=1),(CX204/CX239),"")</f>
      </c>
    </row>
    <row r="275">
      <c r="A275" s="0" t="inlineStr">
        <is>
          <t xml:space="preserve">Running mean, bps/day</t>
        </is>
      </c>
      <c r="B275" s="0" t="inlineStr">
        <is>
          <t xml:space="preserve">Random 14</t>
        </is>
      </c>
      <c r="C275" s="8">
        <f>IF((1=1),(C205/C240),"")</f>
        <v>1.692</v>
      </c>
      <c r="D275" s="8">
        <f>IF((0=1),(D205/D240),"")</f>
      </c>
      <c r="E275" s="8">
        <f>IF((0=1),(E205/E240),"")</f>
      </c>
      <c r="F275" s="8">
        <f>IF((0=1),(F205/F240),"")</f>
      </c>
      <c r="G275" s="8">
        <f>IF((0=1),(G205/G240),"")</f>
      </c>
      <c r="H275" s="8">
        <f>IF((0=1),(H205/H240),"")</f>
      </c>
      <c r="I275" s="8">
        <f>IF((0=1),(I205/I240),"")</f>
      </c>
      <c r="J275" s="8">
        <f>IF((0=1),(J205/J240),"")</f>
      </c>
      <c r="K275" s="8">
        <f>IF((0=1),(K205/K240),"")</f>
      </c>
      <c r="L275" s="8">
        <f>IF((0=1),(L205/L240),"")</f>
      </c>
      <c r="M275" s="8">
        <f>IF((0=1),(M205/M240),"")</f>
      </c>
      <c r="N275" s="8">
        <f>IF((0=1),(N205/N240),"")</f>
      </c>
      <c r="O275" s="8">
        <f>IF((0=1),(O205/O240),"")</f>
      </c>
      <c r="P275" s="8">
        <f>IF((0=1),(P205/P240),"")</f>
      </c>
      <c r="Q275" s="8">
        <f>IF((0=1),(Q205/Q240),"")</f>
      </c>
      <c r="R275" s="8">
        <f>IF((0=1),(R205/R240),"")</f>
      </c>
      <c r="S275" s="8">
        <f>IF((0=1),(S205/S240),"")</f>
      </c>
      <c r="T275" s="8">
        <f>IF((0=1),(T205/T240),"")</f>
      </c>
      <c r="U275" s="8">
        <f>IF((0=1),(U205/U240),"")</f>
      </c>
      <c r="V275" s="8">
        <f>IF((0=1),(V205/V240),"")</f>
      </c>
      <c r="W275" s="8">
        <f>IF((0=1),(W205/W240),"")</f>
      </c>
      <c r="X275" s="8">
        <f>IF((0=1),(X205/X240),"")</f>
      </c>
      <c r="Y275" s="8">
        <f>IF((0=1),(Y205/Y240),"")</f>
      </c>
      <c r="Z275" s="8">
        <f>IF((0=1),(Z205/Z240),"")</f>
      </c>
      <c r="AA275" s="8">
        <f>IF((0=1),(AA205/AA240),"")</f>
      </c>
      <c r="AB275" s="8">
        <f>IF((0=1),(AB205/AB240),"")</f>
      </c>
      <c r="AC275" s="8">
        <f>IF((0=1),(AC205/AC240),"")</f>
      </c>
      <c r="AD275" s="8">
        <f>IF((0=1),(AD205/AD240),"")</f>
      </c>
      <c r="AE275" s="8">
        <f>IF((0=1),(AE205/AE240),"")</f>
      </c>
      <c r="AF275" s="8">
        <f>IF((0=1),(AF205/AF240),"")</f>
      </c>
      <c r="AG275" s="8">
        <f>IF((0=1),(AG205/AG240),"")</f>
      </c>
      <c r="AH275" s="8">
        <f>IF((0=1),(AH205/AH240),"")</f>
      </c>
      <c r="AI275" s="8">
        <f>IF((0=1),(AI205/AI240),"")</f>
      </c>
      <c r="AJ275" s="8">
        <f>IF((0=1),(AJ205/AJ240),"")</f>
      </c>
      <c r="AK275" s="8">
        <f>IF((0=1),(AK205/AK240),"")</f>
      </c>
      <c r="AL275" s="8">
        <f>IF((0=1),(AL205/AL240),"")</f>
      </c>
      <c r="AM275" s="8">
        <f>IF((0=1),(AM205/AM240),"")</f>
      </c>
      <c r="AN275" s="8">
        <f>IF((0=1),(AN205/AN240),"")</f>
      </c>
      <c r="AO275" s="8">
        <f>IF((0=1),(AO205/AO240),"")</f>
      </c>
      <c r="AP275" s="8">
        <f>IF((0=1),(AP205/AP240),"")</f>
      </c>
      <c r="AQ275" s="8">
        <f>IF((0=1),(AQ205/AQ240),"")</f>
      </c>
      <c r="AR275" s="8">
        <f>IF((0=1),(AR205/AR240),"")</f>
      </c>
      <c r="AS275" s="8">
        <f>IF((0=1),(AS205/AS240),"")</f>
      </c>
      <c r="AT275" s="8">
        <f>IF((0=1),(AT205/AT240),"")</f>
      </c>
      <c r="AU275" s="8">
        <f>IF((0=1),(AU205/AU240),"")</f>
      </c>
      <c r="AV275" s="8">
        <f>IF((0=1),(AV205/AV240),"")</f>
      </c>
      <c r="AW275" s="8">
        <f>IF((0=1),(AW205/AW240),"")</f>
      </c>
      <c r="AX275" s="8">
        <f>IF((0=1),(AX205/AX240),"")</f>
      </c>
      <c r="AY275" s="8">
        <f>IF((0=1),(AY205/AY240),"")</f>
      </c>
      <c r="AZ275" s="8">
        <f>IF((0=1),(AZ205/AZ240),"")</f>
      </c>
      <c r="BA275" s="8">
        <f>IF((0=1),(BA205/BA240),"")</f>
      </c>
      <c r="BB275" s="8">
        <f>IF((0=1),(BB205/BB240),"")</f>
      </c>
      <c r="BC275" s="8">
        <f>IF((0=1),(BC205/BC240),"")</f>
      </c>
      <c r="BD275" s="8">
        <f>IF((0=1),(BD205/BD240),"")</f>
      </c>
      <c r="BE275" s="8">
        <f>IF((0=1),(BE205/BE240),"")</f>
      </c>
      <c r="BF275" s="8">
        <f>IF((0=1),(BF205/BF240),"")</f>
      </c>
      <c r="BG275" s="8">
        <f>IF((0=1),(BG205/BG240),"")</f>
      </c>
      <c r="BH275" s="8">
        <f>IF((0=1),(BH205/BH240),"")</f>
      </c>
      <c r="BI275" s="8">
        <f>IF((0=1),(BI205/BI240),"")</f>
      </c>
      <c r="BJ275" s="8">
        <f>IF((0=1),(BJ205/BJ240),"")</f>
      </c>
      <c r="BK275" s="8">
        <f>IF((0=1),(BK205/BK240),"")</f>
      </c>
      <c r="BL275" s="8">
        <f>IF((0=1),(BL205/BL240),"")</f>
      </c>
      <c r="BM275" s="8">
        <f>IF((0=1),(BM205/BM240),"")</f>
      </c>
      <c r="BN275" s="8">
        <f>IF((0=1),(BN205/BN240),"")</f>
      </c>
      <c r="BO275" s="8">
        <f>IF((0=1),(BO205/BO240),"")</f>
      </c>
      <c r="BP275" s="8">
        <f>IF((0=1),(BP205/BP240),"")</f>
      </c>
      <c r="BQ275" s="8">
        <f>IF((0=1),(BQ205/BQ240),"")</f>
      </c>
      <c r="BR275" s="8">
        <f>IF((0=1),(BR205/BR240),"")</f>
      </c>
      <c r="BS275" s="8">
        <f>IF((0=1),(BS205/BS240),"")</f>
      </c>
      <c r="BT275" s="8">
        <f>IF((0=1),(BT205/BT240),"")</f>
      </c>
      <c r="BU275" s="8">
        <f>IF((0=1),(BU205/BU240),"")</f>
      </c>
      <c r="BV275" s="8">
        <f>IF((0=1),(BV205/BV240),"")</f>
      </c>
      <c r="BW275" s="8">
        <f>IF((0=1),(BW205/BW240),"")</f>
      </c>
      <c r="BX275" s="8">
        <f>IF((0=1),(BX205/BX240),"")</f>
      </c>
      <c r="BY275" s="8">
        <f>IF((0=1),(BY205/BY240),"")</f>
      </c>
      <c r="BZ275" s="8">
        <f>IF((0=1),(BZ205/BZ240),"")</f>
      </c>
      <c r="CA275" s="8">
        <f>IF((0=1),(CA205/CA240),"")</f>
      </c>
      <c r="CB275" s="8">
        <f>IF((0=1),(CB205/CB240),"")</f>
      </c>
      <c r="CC275" s="8">
        <f>IF((0=1),(CC205/CC240),"")</f>
      </c>
      <c r="CD275" s="8">
        <f>IF((0=1),(CD205/CD240),"")</f>
      </c>
      <c r="CE275" s="8">
        <f>IF((0=1),(CE205/CE240),"")</f>
      </c>
      <c r="CF275" s="8">
        <f>IF((0=1),(CF205/CF240),"")</f>
      </c>
      <c r="CG275" s="8">
        <f>IF((0=1),(CG205/CG240),"")</f>
      </c>
      <c r="CH275" s="8">
        <f>IF((0=1),(CH205/CH240),"")</f>
      </c>
      <c r="CI275" s="8">
        <f>IF((0=1),(CI205/CI240),"")</f>
      </c>
      <c r="CJ275" s="8">
        <f>IF((0=1),(CJ205/CJ240),"")</f>
      </c>
      <c r="CK275" s="8">
        <f>IF((0=1),(CK205/CK240),"")</f>
      </c>
      <c r="CL275" s="8">
        <f>IF((0=1),(CL205/CL240),"")</f>
      </c>
      <c r="CM275" s="8">
        <f>IF((0=1),(CM205/CM240),"")</f>
      </c>
      <c r="CN275" s="8">
        <f>IF((0=1),(CN205/CN240),"")</f>
      </c>
      <c r="CO275" s="8">
        <f>IF((0=1),(CO205/CO240),"")</f>
      </c>
      <c r="CP275" s="8">
        <f>IF((0=1),(CP205/CP240),"")</f>
      </c>
      <c r="CQ275" s="8">
        <f>IF((0=1),(CQ205/CQ240),"")</f>
      </c>
      <c r="CR275" s="8">
        <f>IF((0=1),(CR205/CR240),"")</f>
      </c>
      <c r="CS275" s="8">
        <f>IF((0=1),(CS205/CS240),"")</f>
      </c>
      <c r="CT275" s="8">
        <f>IF((0=1),(CT205/CT240),"")</f>
      </c>
      <c r="CU275" s="8">
        <f>IF((0=1),(CU205/CU240),"")</f>
      </c>
      <c r="CV275" s="8">
        <f>IF((0=1),(CV205/CV240),"")</f>
      </c>
      <c r="CW275" s="8">
        <f>IF((0=1),(CW205/CW240),"")</f>
      </c>
      <c r="CX275" s="8">
        <f>IF((0=1),(CX205/CX240),"")</f>
      </c>
    </row>
    <row r="276">
      <c r="A276" s="0" t="inlineStr">
        <is>
          <t xml:space="preserve">Running mean, bps/day</t>
        </is>
      </c>
      <c r="B276" s="0" t="inlineStr">
        <is>
          <t xml:space="preserve">Random 15</t>
        </is>
      </c>
      <c r="C276" s="8">
        <f>IF((1=1),(C206/C241),"")</f>
        <v>-13.795</v>
      </c>
      <c r="D276" s="8">
        <f>IF((0=1),(D206/D241),"")</f>
      </c>
      <c r="E276" s="8">
        <f>IF((0=1),(E206/E241),"")</f>
      </c>
      <c r="F276" s="8">
        <f>IF((0=1),(F206/F241),"")</f>
      </c>
      <c r="G276" s="8">
        <f>IF((0=1),(G206/G241),"")</f>
      </c>
      <c r="H276" s="8">
        <f>IF((0=1),(H206/H241),"")</f>
      </c>
      <c r="I276" s="8">
        <f>IF((0=1),(I206/I241),"")</f>
      </c>
      <c r="J276" s="8">
        <f>IF((0=1),(J206/J241),"")</f>
      </c>
      <c r="K276" s="8">
        <f>IF((0=1),(K206/K241),"")</f>
      </c>
      <c r="L276" s="8">
        <f>IF((0=1),(L206/L241),"")</f>
      </c>
      <c r="M276" s="8">
        <f>IF((0=1),(M206/M241),"")</f>
      </c>
      <c r="N276" s="8">
        <f>IF((0=1),(N206/N241),"")</f>
      </c>
      <c r="O276" s="8">
        <f>IF((0=1),(O206/O241),"")</f>
      </c>
      <c r="P276" s="8">
        <f>IF((0=1),(P206/P241),"")</f>
      </c>
      <c r="Q276" s="8">
        <f>IF((0=1),(Q206/Q241),"")</f>
      </c>
      <c r="R276" s="8">
        <f>IF((0=1),(R206/R241),"")</f>
      </c>
      <c r="S276" s="8">
        <f>IF((0=1),(S206/S241),"")</f>
      </c>
      <c r="T276" s="8">
        <f>IF((0=1),(T206/T241),"")</f>
      </c>
      <c r="U276" s="8">
        <f>IF((0=1),(U206/U241),"")</f>
      </c>
      <c r="V276" s="8">
        <f>IF((0=1),(V206/V241),"")</f>
      </c>
      <c r="W276" s="8">
        <f>IF((0=1),(W206/W241),"")</f>
      </c>
      <c r="X276" s="8">
        <f>IF((0=1),(X206/X241),"")</f>
      </c>
      <c r="Y276" s="8">
        <f>IF((0=1),(Y206/Y241),"")</f>
      </c>
      <c r="Z276" s="8">
        <f>IF((0=1),(Z206/Z241),"")</f>
      </c>
      <c r="AA276" s="8">
        <f>IF((0=1),(AA206/AA241),"")</f>
      </c>
      <c r="AB276" s="8">
        <f>IF((0=1),(AB206/AB241),"")</f>
      </c>
      <c r="AC276" s="8">
        <f>IF((0=1),(AC206/AC241),"")</f>
      </c>
      <c r="AD276" s="8">
        <f>IF((0=1),(AD206/AD241),"")</f>
      </c>
      <c r="AE276" s="8">
        <f>IF((0=1),(AE206/AE241),"")</f>
      </c>
      <c r="AF276" s="8">
        <f>IF((0=1),(AF206/AF241),"")</f>
      </c>
      <c r="AG276" s="8">
        <f>IF((0=1),(AG206/AG241),"")</f>
      </c>
      <c r="AH276" s="8">
        <f>IF((0=1),(AH206/AH241),"")</f>
      </c>
      <c r="AI276" s="8">
        <f>IF((0=1),(AI206/AI241),"")</f>
      </c>
      <c r="AJ276" s="8">
        <f>IF((0=1),(AJ206/AJ241),"")</f>
      </c>
      <c r="AK276" s="8">
        <f>IF((0=1),(AK206/AK241),"")</f>
      </c>
      <c r="AL276" s="8">
        <f>IF((0=1),(AL206/AL241),"")</f>
      </c>
      <c r="AM276" s="8">
        <f>IF((0=1),(AM206/AM241),"")</f>
      </c>
      <c r="AN276" s="8">
        <f>IF((0=1),(AN206/AN241),"")</f>
      </c>
      <c r="AO276" s="8">
        <f>IF((0=1),(AO206/AO241),"")</f>
      </c>
      <c r="AP276" s="8">
        <f>IF((0=1),(AP206/AP241),"")</f>
      </c>
      <c r="AQ276" s="8">
        <f>IF((0=1),(AQ206/AQ241),"")</f>
      </c>
      <c r="AR276" s="8">
        <f>IF((0=1),(AR206/AR241),"")</f>
      </c>
      <c r="AS276" s="8">
        <f>IF((0=1),(AS206/AS241),"")</f>
      </c>
      <c r="AT276" s="8">
        <f>IF((0=1),(AT206/AT241),"")</f>
      </c>
      <c r="AU276" s="8">
        <f>IF((0=1),(AU206/AU241),"")</f>
      </c>
      <c r="AV276" s="8">
        <f>IF((0=1),(AV206/AV241),"")</f>
      </c>
      <c r="AW276" s="8">
        <f>IF((0=1),(AW206/AW241),"")</f>
      </c>
      <c r="AX276" s="8">
        <f>IF((0=1),(AX206/AX241),"")</f>
      </c>
      <c r="AY276" s="8">
        <f>IF((0=1),(AY206/AY241),"")</f>
      </c>
      <c r="AZ276" s="8">
        <f>IF((0=1),(AZ206/AZ241),"")</f>
      </c>
      <c r="BA276" s="8">
        <f>IF((0=1),(BA206/BA241),"")</f>
      </c>
      <c r="BB276" s="8">
        <f>IF((0=1),(BB206/BB241),"")</f>
      </c>
      <c r="BC276" s="8">
        <f>IF((0=1),(BC206/BC241),"")</f>
      </c>
      <c r="BD276" s="8">
        <f>IF((0=1),(BD206/BD241),"")</f>
      </c>
      <c r="BE276" s="8">
        <f>IF((0=1),(BE206/BE241),"")</f>
      </c>
      <c r="BF276" s="8">
        <f>IF((0=1),(BF206/BF241),"")</f>
      </c>
      <c r="BG276" s="8">
        <f>IF((0=1),(BG206/BG241),"")</f>
      </c>
      <c r="BH276" s="8">
        <f>IF((0=1),(BH206/BH241),"")</f>
      </c>
      <c r="BI276" s="8">
        <f>IF((0=1),(BI206/BI241),"")</f>
      </c>
      <c r="BJ276" s="8">
        <f>IF((0=1),(BJ206/BJ241),"")</f>
      </c>
      <c r="BK276" s="8">
        <f>IF((0=1),(BK206/BK241),"")</f>
      </c>
      <c r="BL276" s="8">
        <f>IF((0=1),(BL206/BL241),"")</f>
      </c>
      <c r="BM276" s="8">
        <f>IF((0=1),(BM206/BM241),"")</f>
      </c>
      <c r="BN276" s="8">
        <f>IF((0=1),(BN206/BN241),"")</f>
      </c>
      <c r="BO276" s="8">
        <f>IF((0=1),(BO206/BO241),"")</f>
      </c>
      <c r="BP276" s="8">
        <f>IF((0=1),(BP206/BP241),"")</f>
      </c>
      <c r="BQ276" s="8">
        <f>IF((0=1),(BQ206/BQ241),"")</f>
      </c>
      <c r="BR276" s="8">
        <f>IF((0=1),(BR206/BR241),"")</f>
      </c>
      <c r="BS276" s="8">
        <f>IF((0=1),(BS206/BS241),"")</f>
      </c>
      <c r="BT276" s="8">
        <f>IF((0=1),(BT206/BT241),"")</f>
      </c>
      <c r="BU276" s="8">
        <f>IF((0=1),(BU206/BU241),"")</f>
      </c>
      <c r="BV276" s="8">
        <f>IF((0=1),(BV206/BV241),"")</f>
      </c>
      <c r="BW276" s="8">
        <f>IF((0=1),(BW206/BW241),"")</f>
      </c>
      <c r="BX276" s="8">
        <f>IF((0=1),(BX206/BX241),"")</f>
      </c>
      <c r="BY276" s="8">
        <f>IF((0=1),(BY206/BY241),"")</f>
      </c>
      <c r="BZ276" s="8">
        <f>IF((0=1),(BZ206/BZ241),"")</f>
      </c>
      <c r="CA276" s="8">
        <f>IF((0=1),(CA206/CA241),"")</f>
      </c>
      <c r="CB276" s="8">
        <f>IF((0=1),(CB206/CB241),"")</f>
      </c>
      <c r="CC276" s="8">
        <f>IF((0=1),(CC206/CC241),"")</f>
      </c>
      <c r="CD276" s="8">
        <f>IF((0=1),(CD206/CD241),"")</f>
      </c>
      <c r="CE276" s="8">
        <f>IF((0=1),(CE206/CE241),"")</f>
      </c>
      <c r="CF276" s="8">
        <f>IF((0=1),(CF206/CF241),"")</f>
      </c>
      <c r="CG276" s="8">
        <f>IF((0=1),(CG206/CG241),"")</f>
      </c>
      <c r="CH276" s="8">
        <f>IF((0=1),(CH206/CH241),"")</f>
      </c>
      <c r="CI276" s="8">
        <f>IF((0=1),(CI206/CI241),"")</f>
      </c>
      <c r="CJ276" s="8">
        <f>IF((0=1),(CJ206/CJ241),"")</f>
      </c>
      <c r="CK276" s="8">
        <f>IF((0=1),(CK206/CK241),"")</f>
      </c>
      <c r="CL276" s="8">
        <f>IF((0=1),(CL206/CL241),"")</f>
      </c>
      <c r="CM276" s="8">
        <f>IF((0=1),(CM206/CM241),"")</f>
      </c>
      <c r="CN276" s="8">
        <f>IF((0=1),(CN206/CN241),"")</f>
      </c>
      <c r="CO276" s="8">
        <f>IF((0=1),(CO206/CO241),"")</f>
      </c>
      <c r="CP276" s="8">
        <f>IF((0=1),(CP206/CP241),"")</f>
      </c>
      <c r="CQ276" s="8">
        <f>IF((0=1),(CQ206/CQ241),"")</f>
      </c>
      <c r="CR276" s="8">
        <f>IF((0=1),(CR206/CR241),"")</f>
      </c>
      <c r="CS276" s="8">
        <f>IF((0=1),(CS206/CS241),"")</f>
      </c>
      <c r="CT276" s="8">
        <f>IF((0=1),(CT206/CT241),"")</f>
      </c>
      <c r="CU276" s="8">
        <f>IF((0=1),(CU206/CU241),"")</f>
      </c>
      <c r="CV276" s="8">
        <f>IF((0=1),(CV206/CV241),"")</f>
      </c>
      <c r="CW276" s="8">
        <f>IF((0=1),(CW206/CW241),"")</f>
      </c>
      <c r="CX276" s="8">
        <f>IF((0=1),(CX206/CX241),"")</f>
      </c>
    </row>
    <row r="277">
      <c r="A277" s="0" t="inlineStr">
        <is>
          <t xml:space="preserve">Running mean, bps/day</t>
        </is>
      </c>
      <c r="B277" s="0" t="inlineStr">
        <is>
          <t xml:space="preserve">Random 16</t>
        </is>
      </c>
      <c r="C277" s="8">
        <f>IF((1=1),(C207/C242),"")</f>
        <v>-1.212</v>
      </c>
      <c r="D277" s="8">
        <f>IF((0=1),(D207/D242),"")</f>
      </c>
      <c r="E277" s="8">
        <f>IF((0=1),(E207/E242),"")</f>
      </c>
      <c r="F277" s="8">
        <f>IF((0=1),(F207/F242),"")</f>
      </c>
      <c r="G277" s="8">
        <f>IF((0=1),(G207/G242),"")</f>
      </c>
      <c r="H277" s="8">
        <f>IF((0=1),(H207/H242),"")</f>
      </c>
      <c r="I277" s="8">
        <f>IF((0=1),(I207/I242),"")</f>
      </c>
      <c r="J277" s="8">
        <f>IF((0=1),(J207/J242),"")</f>
      </c>
      <c r="K277" s="8">
        <f>IF((0=1),(K207/K242),"")</f>
      </c>
      <c r="L277" s="8">
        <f>IF((0=1),(L207/L242),"")</f>
      </c>
      <c r="M277" s="8">
        <f>IF((0=1),(M207/M242),"")</f>
      </c>
      <c r="N277" s="8">
        <f>IF((0=1),(N207/N242),"")</f>
      </c>
      <c r="O277" s="8">
        <f>IF((0=1),(O207/O242),"")</f>
      </c>
      <c r="P277" s="8">
        <f>IF((0=1),(P207/P242),"")</f>
      </c>
      <c r="Q277" s="8">
        <f>IF((0=1),(Q207/Q242),"")</f>
      </c>
      <c r="R277" s="8">
        <f>IF((0=1),(R207/R242),"")</f>
      </c>
      <c r="S277" s="8">
        <f>IF((0=1),(S207/S242),"")</f>
      </c>
      <c r="T277" s="8">
        <f>IF((0=1),(T207/T242),"")</f>
      </c>
      <c r="U277" s="8">
        <f>IF((0=1),(U207/U242),"")</f>
      </c>
      <c r="V277" s="8">
        <f>IF((0=1),(V207/V242),"")</f>
      </c>
      <c r="W277" s="8">
        <f>IF((0=1),(W207/W242),"")</f>
      </c>
      <c r="X277" s="8">
        <f>IF((0=1),(X207/X242),"")</f>
      </c>
      <c r="Y277" s="8">
        <f>IF((0=1),(Y207/Y242),"")</f>
      </c>
      <c r="Z277" s="8">
        <f>IF((0=1),(Z207/Z242),"")</f>
      </c>
      <c r="AA277" s="8">
        <f>IF((0=1),(AA207/AA242),"")</f>
      </c>
      <c r="AB277" s="8">
        <f>IF((0=1),(AB207/AB242),"")</f>
      </c>
      <c r="AC277" s="8">
        <f>IF((0=1),(AC207/AC242),"")</f>
      </c>
      <c r="AD277" s="8">
        <f>IF((0=1),(AD207/AD242),"")</f>
      </c>
      <c r="AE277" s="8">
        <f>IF((0=1),(AE207/AE242),"")</f>
      </c>
      <c r="AF277" s="8">
        <f>IF((0=1),(AF207/AF242),"")</f>
      </c>
      <c r="AG277" s="8">
        <f>IF((0=1),(AG207/AG242),"")</f>
      </c>
      <c r="AH277" s="8">
        <f>IF((0=1),(AH207/AH242),"")</f>
      </c>
      <c r="AI277" s="8">
        <f>IF((0=1),(AI207/AI242),"")</f>
      </c>
      <c r="AJ277" s="8">
        <f>IF((0=1),(AJ207/AJ242),"")</f>
      </c>
      <c r="AK277" s="8">
        <f>IF((0=1),(AK207/AK242),"")</f>
      </c>
      <c r="AL277" s="8">
        <f>IF((0=1),(AL207/AL242),"")</f>
      </c>
      <c r="AM277" s="8">
        <f>IF((0=1),(AM207/AM242),"")</f>
      </c>
      <c r="AN277" s="8">
        <f>IF((0=1),(AN207/AN242),"")</f>
      </c>
      <c r="AO277" s="8">
        <f>IF((0=1),(AO207/AO242),"")</f>
      </c>
      <c r="AP277" s="8">
        <f>IF((0=1),(AP207/AP242),"")</f>
      </c>
      <c r="AQ277" s="8">
        <f>IF((0=1),(AQ207/AQ242),"")</f>
      </c>
      <c r="AR277" s="8">
        <f>IF((0=1),(AR207/AR242),"")</f>
      </c>
      <c r="AS277" s="8">
        <f>IF((0=1),(AS207/AS242),"")</f>
      </c>
      <c r="AT277" s="8">
        <f>IF((0=1),(AT207/AT242),"")</f>
      </c>
      <c r="AU277" s="8">
        <f>IF((0=1),(AU207/AU242),"")</f>
      </c>
      <c r="AV277" s="8">
        <f>IF((0=1),(AV207/AV242),"")</f>
      </c>
      <c r="AW277" s="8">
        <f>IF((0=1),(AW207/AW242),"")</f>
      </c>
      <c r="AX277" s="8">
        <f>IF((0=1),(AX207/AX242),"")</f>
      </c>
      <c r="AY277" s="8">
        <f>IF((0=1),(AY207/AY242),"")</f>
      </c>
      <c r="AZ277" s="8">
        <f>IF((0=1),(AZ207/AZ242),"")</f>
      </c>
      <c r="BA277" s="8">
        <f>IF((0=1),(BA207/BA242),"")</f>
      </c>
      <c r="BB277" s="8">
        <f>IF((0=1),(BB207/BB242),"")</f>
      </c>
      <c r="BC277" s="8">
        <f>IF((0=1),(BC207/BC242),"")</f>
      </c>
      <c r="BD277" s="8">
        <f>IF((0=1),(BD207/BD242),"")</f>
      </c>
      <c r="BE277" s="8">
        <f>IF((0=1),(BE207/BE242),"")</f>
      </c>
      <c r="BF277" s="8">
        <f>IF((0=1),(BF207/BF242),"")</f>
      </c>
      <c r="BG277" s="8">
        <f>IF((0=1),(BG207/BG242),"")</f>
      </c>
      <c r="BH277" s="8">
        <f>IF((0=1),(BH207/BH242),"")</f>
      </c>
      <c r="BI277" s="8">
        <f>IF((0=1),(BI207/BI242),"")</f>
      </c>
      <c r="BJ277" s="8">
        <f>IF((0=1),(BJ207/BJ242),"")</f>
      </c>
      <c r="BK277" s="8">
        <f>IF((0=1),(BK207/BK242),"")</f>
      </c>
      <c r="BL277" s="8">
        <f>IF((0=1),(BL207/BL242),"")</f>
      </c>
      <c r="BM277" s="8">
        <f>IF((0=1),(BM207/BM242),"")</f>
      </c>
      <c r="BN277" s="8">
        <f>IF((0=1),(BN207/BN242),"")</f>
      </c>
      <c r="BO277" s="8">
        <f>IF((0=1),(BO207/BO242),"")</f>
      </c>
      <c r="BP277" s="8">
        <f>IF((0=1),(BP207/BP242),"")</f>
      </c>
      <c r="BQ277" s="8">
        <f>IF((0=1),(BQ207/BQ242),"")</f>
      </c>
      <c r="BR277" s="8">
        <f>IF((0=1),(BR207/BR242),"")</f>
      </c>
      <c r="BS277" s="8">
        <f>IF((0=1),(BS207/BS242),"")</f>
      </c>
      <c r="BT277" s="8">
        <f>IF((0=1),(BT207/BT242),"")</f>
      </c>
      <c r="BU277" s="8">
        <f>IF((0=1),(BU207/BU242),"")</f>
      </c>
      <c r="BV277" s="8">
        <f>IF((0=1),(BV207/BV242),"")</f>
      </c>
      <c r="BW277" s="8">
        <f>IF((0=1),(BW207/BW242),"")</f>
      </c>
      <c r="BX277" s="8">
        <f>IF((0=1),(BX207/BX242),"")</f>
      </c>
      <c r="BY277" s="8">
        <f>IF((0=1),(BY207/BY242),"")</f>
      </c>
      <c r="BZ277" s="8">
        <f>IF((0=1),(BZ207/BZ242),"")</f>
      </c>
      <c r="CA277" s="8">
        <f>IF((0=1),(CA207/CA242),"")</f>
      </c>
      <c r="CB277" s="8">
        <f>IF((0=1),(CB207/CB242),"")</f>
      </c>
      <c r="CC277" s="8">
        <f>IF((0=1),(CC207/CC242),"")</f>
      </c>
      <c r="CD277" s="8">
        <f>IF((0=1),(CD207/CD242),"")</f>
      </c>
      <c r="CE277" s="8">
        <f>IF((0=1),(CE207/CE242),"")</f>
      </c>
      <c r="CF277" s="8">
        <f>IF((0=1),(CF207/CF242),"")</f>
      </c>
      <c r="CG277" s="8">
        <f>IF((0=1),(CG207/CG242),"")</f>
      </c>
      <c r="CH277" s="8">
        <f>IF((0=1),(CH207/CH242),"")</f>
      </c>
      <c r="CI277" s="8">
        <f>IF((0=1),(CI207/CI242),"")</f>
      </c>
      <c r="CJ277" s="8">
        <f>IF((0=1),(CJ207/CJ242),"")</f>
      </c>
      <c r="CK277" s="8">
        <f>IF((0=1),(CK207/CK242),"")</f>
      </c>
      <c r="CL277" s="8">
        <f>IF((0=1),(CL207/CL242),"")</f>
      </c>
      <c r="CM277" s="8">
        <f>IF((0=1),(CM207/CM242),"")</f>
      </c>
      <c r="CN277" s="8">
        <f>IF((0=1),(CN207/CN242),"")</f>
      </c>
      <c r="CO277" s="8">
        <f>IF((0=1),(CO207/CO242),"")</f>
      </c>
      <c r="CP277" s="8">
        <f>IF((0=1),(CP207/CP242),"")</f>
      </c>
      <c r="CQ277" s="8">
        <f>IF((0=1),(CQ207/CQ242),"")</f>
      </c>
      <c r="CR277" s="8">
        <f>IF((0=1),(CR207/CR242),"")</f>
      </c>
      <c r="CS277" s="8">
        <f>IF((0=1),(CS207/CS242),"")</f>
      </c>
      <c r="CT277" s="8">
        <f>IF((0=1),(CT207/CT242),"")</f>
      </c>
      <c r="CU277" s="8">
        <f>IF((0=1),(CU207/CU242),"")</f>
      </c>
      <c r="CV277" s="8">
        <f>IF((0=1),(CV207/CV242),"")</f>
      </c>
      <c r="CW277" s="8">
        <f>IF((0=1),(CW207/CW242),"")</f>
      </c>
      <c r="CX277" s="8">
        <f>IF((0=1),(CX207/CX242),"")</f>
      </c>
    </row>
    <row r="278">
      <c r="A278" s="0" t="inlineStr">
        <is>
          <t xml:space="preserve">Running mean, bps/day</t>
        </is>
      </c>
      <c r="B278" s="0" t="inlineStr">
        <is>
          <t xml:space="preserve">Random 17</t>
        </is>
      </c>
      <c r="C278" s="8">
        <f>IF((1=1),(C208/C243),"")</f>
        <v>-2.98</v>
      </c>
      <c r="D278" s="8">
        <f>IF((0=1),(D208/D243),"")</f>
      </c>
      <c r="E278" s="8">
        <f>IF((0=1),(E208/E243),"")</f>
      </c>
      <c r="F278" s="8">
        <f>IF((0=1),(F208/F243),"")</f>
      </c>
      <c r="G278" s="8">
        <f>IF((0=1),(G208/G243),"")</f>
      </c>
      <c r="H278" s="8">
        <f>IF((0=1),(H208/H243),"")</f>
      </c>
      <c r="I278" s="8">
        <f>IF((0=1),(I208/I243),"")</f>
      </c>
      <c r="J278" s="8">
        <f>IF((0=1),(J208/J243),"")</f>
      </c>
      <c r="K278" s="8">
        <f>IF((0=1),(K208/K243),"")</f>
      </c>
      <c r="L278" s="8">
        <f>IF((0=1),(L208/L243),"")</f>
      </c>
      <c r="M278" s="8">
        <f>IF((0=1),(M208/M243),"")</f>
      </c>
      <c r="N278" s="8">
        <f>IF((0=1),(N208/N243),"")</f>
      </c>
      <c r="O278" s="8">
        <f>IF((0=1),(O208/O243),"")</f>
      </c>
      <c r="P278" s="8">
        <f>IF((0=1),(P208/P243),"")</f>
      </c>
      <c r="Q278" s="8">
        <f>IF((0=1),(Q208/Q243),"")</f>
      </c>
      <c r="R278" s="8">
        <f>IF((0=1),(R208/R243),"")</f>
      </c>
      <c r="S278" s="8">
        <f>IF((0=1),(S208/S243),"")</f>
      </c>
      <c r="T278" s="8">
        <f>IF((0=1),(T208/T243),"")</f>
      </c>
      <c r="U278" s="8">
        <f>IF((0=1),(U208/U243),"")</f>
      </c>
      <c r="V278" s="8">
        <f>IF((0=1),(V208/V243),"")</f>
      </c>
      <c r="W278" s="8">
        <f>IF((0=1),(W208/W243),"")</f>
      </c>
      <c r="X278" s="8">
        <f>IF((0=1),(X208/X243),"")</f>
      </c>
      <c r="Y278" s="8">
        <f>IF((0=1),(Y208/Y243),"")</f>
      </c>
      <c r="Z278" s="8">
        <f>IF((0=1),(Z208/Z243),"")</f>
      </c>
      <c r="AA278" s="8">
        <f>IF((0=1),(AA208/AA243),"")</f>
      </c>
      <c r="AB278" s="8">
        <f>IF((0=1),(AB208/AB243),"")</f>
      </c>
      <c r="AC278" s="8">
        <f>IF((0=1),(AC208/AC243),"")</f>
      </c>
      <c r="AD278" s="8">
        <f>IF((0=1),(AD208/AD243),"")</f>
      </c>
      <c r="AE278" s="8">
        <f>IF((0=1),(AE208/AE243),"")</f>
      </c>
      <c r="AF278" s="8">
        <f>IF((0=1),(AF208/AF243),"")</f>
      </c>
      <c r="AG278" s="8">
        <f>IF((0=1),(AG208/AG243),"")</f>
      </c>
      <c r="AH278" s="8">
        <f>IF((0=1),(AH208/AH243),"")</f>
      </c>
      <c r="AI278" s="8">
        <f>IF((0=1),(AI208/AI243),"")</f>
      </c>
      <c r="AJ278" s="8">
        <f>IF((0=1),(AJ208/AJ243),"")</f>
      </c>
      <c r="AK278" s="8">
        <f>IF((0=1),(AK208/AK243),"")</f>
      </c>
      <c r="AL278" s="8">
        <f>IF((0=1),(AL208/AL243),"")</f>
      </c>
      <c r="AM278" s="8">
        <f>IF((0=1),(AM208/AM243),"")</f>
      </c>
      <c r="AN278" s="8">
        <f>IF((0=1),(AN208/AN243),"")</f>
      </c>
      <c r="AO278" s="8">
        <f>IF((0=1),(AO208/AO243),"")</f>
      </c>
      <c r="AP278" s="8">
        <f>IF((0=1),(AP208/AP243),"")</f>
      </c>
      <c r="AQ278" s="8">
        <f>IF((0=1),(AQ208/AQ243),"")</f>
      </c>
      <c r="AR278" s="8">
        <f>IF((0=1),(AR208/AR243),"")</f>
      </c>
      <c r="AS278" s="8">
        <f>IF((0=1),(AS208/AS243),"")</f>
      </c>
      <c r="AT278" s="8">
        <f>IF((0=1),(AT208/AT243),"")</f>
      </c>
      <c r="AU278" s="8">
        <f>IF((0=1),(AU208/AU243),"")</f>
      </c>
      <c r="AV278" s="8">
        <f>IF((0=1),(AV208/AV243),"")</f>
      </c>
      <c r="AW278" s="8">
        <f>IF((0=1),(AW208/AW243),"")</f>
      </c>
      <c r="AX278" s="8">
        <f>IF((0=1),(AX208/AX243),"")</f>
      </c>
      <c r="AY278" s="8">
        <f>IF((0=1),(AY208/AY243),"")</f>
      </c>
      <c r="AZ278" s="8">
        <f>IF((0=1),(AZ208/AZ243),"")</f>
      </c>
      <c r="BA278" s="8">
        <f>IF((0=1),(BA208/BA243),"")</f>
      </c>
      <c r="BB278" s="8">
        <f>IF((0=1),(BB208/BB243),"")</f>
      </c>
      <c r="BC278" s="8">
        <f>IF((0=1),(BC208/BC243),"")</f>
      </c>
      <c r="BD278" s="8">
        <f>IF((0=1),(BD208/BD243),"")</f>
      </c>
      <c r="BE278" s="8">
        <f>IF((0=1),(BE208/BE243),"")</f>
      </c>
      <c r="BF278" s="8">
        <f>IF((0=1),(BF208/BF243),"")</f>
      </c>
      <c r="BG278" s="8">
        <f>IF((0=1),(BG208/BG243),"")</f>
      </c>
      <c r="BH278" s="8">
        <f>IF((0=1),(BH208/BH243),"")</f>
      </c>
      <c r="BI278" s="8">
        <f>IF((0=1),(BI208/BI243),"")</f>
      </c>
      <c r="BJ278" s="8">
        <f>IF((0=1),(BJ208/BJ243),"")</f>
      </c>
      <c r="BK278" s="8">
        <f>IF((0=1),(BK208/BK243),"")</f>
      </c>
      <c r="BL278" s="8">
        <f>IF((0=1),(BL208/BL243),"")</f>
      </c>
      <c r="BM278" s="8">
        <f>IF((0=1),(BM208/BM243),"")</f>
      </c>
      <c r="BN278" s="8">
        <f>IF((0=1),(BN208/BN243),"")</f>
      </c>
      <c r="BO278" s="8">
        <f>IF((0=1),(BO208/BO243),"")</f>
      </c>
      <c r="BP278" s="8">
        <f>IF((0=1),(BP208/BP243),"")</f>
      </c>
      <c r="BQ278" s="8">
        <f>IF((0=1),(BQ208/BQ243),"")</f>
      </c>
      <c r="BR278" s="8">
        <f>IF((0=1),(BR208/BR243),"")</f>
      </c>
      <c r="BS278" s="8">
        <f>IF((0=1),(BS208/BS243),"")</f>
      </c>
      <c r="BT278" s="8">
        <f>IF((0=1),(BT208/BT243),"")</f>
      </c>
      <c r="BU278" s="8">
        <f>IF((0=1),(BU208/BU243),"")</f>
      </c>
      <c r="BV278" s="8">
        <f>IF((0=1),(BV208/BV243),"")</f>
      </c>
      <c r="BW278" s="8">
        <f>IF((0=1),(BW208/BW243),"")</f>
      </c>
      <c r="BX278" s="8">
        <f>IF((0=1),(BX208/BX243),"")</f>
      </c>
      <c r="BY278" s="8">
        <f>IF((0=1),(BY208/BY243),"")</f>
      </c>
      <c r="BZ278" s="8">
        <f>IF((0=1),(BZ208/BZ243),"")</f>
      </c>
      <c r="CA278" s="8">
        <f>IF((0=1),(CA208/CA243),"")</f>
      </c>
      <c r="CB278" s="8">
        <f>IF((0=1),(CB208/CB243),"")</f>
      </c>
      <c r="CC278" s="8">
        <f>IF((0=1),(CC208/CC243),"")</f>
      </c>
      <c r="CD278" s="8">
        <f>IF((0=1),(CD208/CD243),"")</f>
      </c>
      <c r="CE278" s="8">
        <f>IF((0=1),(CE208/CE243),"")</f>
      </c>
      <c r="CF278" s="8">
        <f>IF((0=1),(CF208/CF243),"")</f>
      </c>
      <c r="CG278" s="8">
        <f>IF((0=1),(CG208/CG243),"")</f>
      </c>
      <c r="CH278" s="8">
        <f>IF((0=1),(CH208/CH243),"")</f>
      </c>
      <c r="CI278" s="8">
        <f>IF((0=1),(CI208/CI243),"")</f>
      </c>
      <c r="CJ278" s="8">
        <f>IF((0=1),(CJ208/CJ243),"")</f>
      </c>
      <c r="CK278" s="8">
        <f>IF((0=1),(CK208/CK243),"")</f>
      </c>
      <c r="CL278" s="8">
        <f>IF((0=1),(CL208/CL243),"")</f>
      </c>
      <c r="CM278" s="8">
        <f>IF((0=1),(CM208/CM243),"")</f>
      </c>
      <c r="CN278" s="8">
        <f>IF((0=1),(CN208/CN243),"")</f>
      </c>
      <c r="CO278" s="8">
        <f>IF((0=1),(CO208/CO243),"")</f>
      </c>
      <c r="CP278" s="8">
        <f>IF((0=1),(CP208/CP243),"")</f>
      </c>
      <c r="CQ278" s="8">
        <f>IF((0=1),(CQ208/CQ243),"")</f>
      </c>
      <c r="CR278" s="8">
        <f>IF((0=1),(CR208/CR243),"")</f>
      </c>
      <c r="CS278" s="8">
        <f>IF((0=1),(CS208/CS243),"")</f>
      </c>
      <c r="CT278" s="8">
        <f>IF((0=1),(CT208/CT243),"")</f>
      </c>
      <c r="CU278" s="8">
        <f>IF((0=1),(CU208/CU243),"")</f>
      </c>
      <c r="CV278" s="8">
        <f>IF((0=1),(CV208/CV243),"")</f>
      </c>
      <c r="CW278" s="8">
        <f>IF((0=1),(CW208/CW243),"")</f>
      </c>
      <c r="CX278" s="8">
        <f>IF((0=1),(CX208/CX243),"")</f>
      </c>
    </row>
    <row r="279">
      <c r="A279" s="0" t="inlineStr">
        <is>
          <t xml:space="preserve">Running mean, bps/day</t>
        </is>
      </c>
      <c r="B279" s="0" t="inlineStr">
        <is>
          <t xml:space="preserve">Random 18</t>
        </is>
      </c>
      <c r="C279" s="8">
        <f>IF((1=1),(C209/C244),"")</f>
        <v>10.83</v>
      </c>
      <c r="D279" s="8">
        <f>IF((0=1),(D209/D244),"")</f>
      </c>
      <c r="E279" s="8">
        <f>IF((0=1),(E209/E244),"")</f>
      </c>
      <c r="F279" s="8">
        <f>IF((0=1),(F209/F244),"")</f>
      </c>
      <c r="G279" s="8">
        <f>IF((0=1),(G209/G244),"")</f>
      </c>
      <c r="H279" s="8">
        <f>IF((0=1),(H209/H244),"")</f>
      </c>
      <c r="I279" s="8">
        <f>IF((0=1),(I209/I244),"")</f>
      </c>
      <c r="J279" s="8">
        <f>IF((0=1),(J209/J244),"")</f>
      </c>
      <c r="K279" s="8">
        <f>IF((0=1),(K209/K244),"")</f>
      </c>
      <c r="L279" s="8">
        <f>IF((0=1),(L209/L244),"")</f>
      </c>
      <c r="M279" s="8">
        <f>IF((0=1),(M209/M244),"")</f>
      </c>
      <c r="N279" s="8">
        <f>IF((0=1),(N209/N244),"")</f>
      </c>
      <c r="O279" s="8">
        <f>IF((0=1),(O209/O244),"")</f>
      </c>
      <c r="P279" s="8">
        <f>IF((0=1),(P209/P244),"")</f>
      </c>
      <c r="Q279" s="8">
        <f>IF((0=1),(Q209/Q244),"")</f>
      </c>
      <c r="R279" s="8">
        <f>IF((0=1),(R209/R244),"")</f>
      </c>
      <c r="S279" s="8">
        <f>IF((0=1),(S209/S244),"")</f>
      </c>
      <c r="T279" s="8">
        <f>IF((0=1),(T209/T244),"")</f>
      </c>
      <c r="U279" s="8">
        <f>IF((0=1),(U209/U244),"")</f>
      </c>
      <c r="V279" s="8">
        <f>IF((0=1),(V209/V244),"")</f>
      </c>
      <c r="W279" s="8">
        <f>IF((0=1),(W209/W244),"")</f>
      </c>
      <c r="X279" s="8">
        <f>IF((0=1),(X209/X244),"")</f>
      </c>
      <c r="Y279" s="8">
        <f>IF((0=1),(Y209/Y244),"")</f>
      </c>
      <c r="Z279" s="8">
        <f>IF((0=1),(Z209/Z244),"")</f>
      </c>
      <c r="AA279" s="8">
        <f>IF((0=1),(AA209/AA244),"")</f>
      </c>
      <c r="AB279" s="8">
        <f>IF((0=1),(AB209/AB244),"")</f>
      </c>
      <c r="AC279" s="8">
        <f>IF((0=1),(AC209/AC244),"")</f>
      </c>
      <c r="AD279" s="8">
        <f>IF((0=1),(AD209/AD244),"")</f>
      </c>
      <c r="AE279" s="8">
        <f>IF((0=1),(AE209/AE244),"")</f>
      </c>
      <c r="AF279" s="8">
        <f>IF((0=1),(AF209/AF244),"")</f>
      </c>
      <c r="AG279" s="8">
        <f>IF((0=1),(AG209/AG244),"")</f>
      </c>
      <c r="AH279" s="8">
        <f>IF((0=1),(AH209/AH244),"")</f>
      </c>
      <c r="AI279" s="8">
        <f>IF((0=1),(AI209/AI244),"")</f>
      </c>
      <c r="AJ279" s="8">
        <f>IF((0=1),(AJ209/AJ244),"")</f>
      </c>
      <c r="AK279" s="8">
        <f>IF((0=1),(AK209/AK244),"")</f>
      </c>
      <c r="AL279" s="8">
        <f>IF((0=1),(AL209/AL244),"")</f>
      </c>
      <c r="AM279" s="8">
        <f>IF((0=1),(AM209/AM244),"")</f>
      </c>
      <c r="AN279" s="8">
        <f>IF((0=1),(AN209/AN244),"")</f>
      </c>
      <c r="AO279" s="8">
        <f>IF((0=1),(AO209/AO244),"")</f>
      </c>
      <c r="AP279" s="8">
        <f>IF((0=1),(AP209/AP244),"")</f>
      </c>
      <c r="AQ279" s="8">
        <f>IF((0=1),(AQ209/AQ244),"")</f>
      </c>
      <c r="AR279" s="8">
        <f>IF((0=1),(AR209/AR244),"")</f>
      </c>
      <c r="AS279" s="8">
        <f>IF((0=1),(AS209/AS244),"")</f>
      </c>
      <c r="AT279" s="8">
        <f>IF((0=1),(AT209/AT244),"")</f>
      </c>
      <c r="AU279" s="8">
        <f>IF((0=1),(AU209/AU244),"")</f>
      </c>
      <c r="AV279" s="8">
        <f>IF((0=1),(AV209/AV244),"")</f>
      </c>
      <c r="AW279" s="8">
        <f>IF((0=1),(AW209/AW244),"")</f>
      </c>
      <c r="AX279" s="8">
        <f>IF((0=1),(AX209/AX244),"")</f>
      </c>
      <c r="AY279" s="8">
        <f>IF((0=1),(AY209/AY244),"")</f>
      </c>
      <c r="AZ279" s="8">
        <f>IF((0=1),(AZ209/AZ244),"")</f>
      </c>
      <c r="BA279" s="8">
        <f>IF((0=1),(BA209/BA244),"")</f>
      </c>
      <c r="BB279" s="8">
        <f>IF((0=1),(BB209/BB244),"")</f>
      </c>
      <c r="BC279" s="8">
        <f>IF((0=1),(BC209/BC244),"")</f>
      </c>
      <c r="BD279" s="8">
        <f>IF((0=1),(BD209/BD244),"")</f>
      </c>
      <c r="BE279" s="8">
        <f>IF((0=1),(BE209/BE244),"")</f>
      </c>
      <c r="BF279" s="8">
        <f>IF((0=1),(BF209/BF244),"")</f>
      </c>
      <c r="BG279" s="8">
        <f>IF((0=1),(BG209/BG244),"")</f>
      </c>
      <c r="BH279" s="8">
        <f>IF((0=1),(BH209/BH244),"")</f>
      </c>
      <c r="BI279" s="8">
        <f>IF((0=1),(BI209/BI244),"")</f>
      </c>
      <c r="BJ279" s="8">
        <f>IF((0=1),(BJ209/BJ244),"")</f>
      </c>
      <c r="BK279" s="8">
        <f>IF((0=1),(BK209/BK244),"")</f>
      </c>
      <c r="BL279" s="8">
        <f>IF((0=1),(BL209/BL244),"")</f>
      </c>
      <c r="BM279" s="8">
        <f>IF((0=1),(BM209/BM244),"")</f>
      </c>
      <c r="BN279" s="8">
        <f>IF((0=1),(BN209/BN244),"")</f>
      </c>
      <c r="BO279" s="8">
        <f>IF((0=1),(BO209/BO244),"")</f>
      </c>
      <c r="BP279" s="8">
        <f>IF((0=1),(BP209/BP244),"")</f>
      </c>
      <c r="BQ279" s="8">
        <f>IF((0=1),(BQ209/BQ244),"")</f>
      </c>
      <c r="BR279" s="8">
        <f>IF((0=1),(BR209/BR244),"")</f>
      </c>
      <c r="BS279" s="8">
        <f>IF((0=1),(BS209/BS244),"")</f>
      </c>
      <c r="BT279" s="8">
        <f>IF((0=1),(BT209/BT244),"")</f>
      </c>
      <c r="BU279" s="8">
        <f>IF((0=1),(BU209/BU244),"")</f>
      </c>
      <c r="BV279" s="8">
        <f>IF((0=1),(BV209/BV244),"")</f>
      </c>
      <c r="BW279" s="8">
        <f>IF((0=1),(BW209/BW244),"")</f>
      </c>
      <c r="BX279" s="8">
        <f>IF((0=1),(BX209/BX244),"")</f>
      </c>
      <c r="BY279" s="8">
        <f>IF((0=1),(BY209/BY244),"")</f>
      </c>
      <c r="BZ279" s="8">
        <f>IF((0=1),(BZ209/BZ244),"")</f>
      </c>
      <c r="CA279" s="8">
        <f>IF((0=1),(CA209/CA244),"")</f>
      </c>
      <c r="CB279" s="8">
        <f>IF((0=1),(CB209/CB244),"")</f>
      </c>
      <c r="CC279" s="8">
        <f>IF((0=1),(CC209/CC244),"")</f>
      </c>
      <c r="CD279" s="8">
        <f>IF((0=1),(CD209/CD244),"")</f>
      </c>
      <c r="CE279" s="8">
        <f>IF((0=1),(CE209/CE244),"")</f>
      </c>
      <c r="CF279" s="8">
        <f>IF((0=1),(CF209/CF244),"")</f>
      </c>
      <c r="CG279" s="8">
        <f>IF((0=1),(CG209/CG244),"")</f>
      </c>
      <c r="CH279" s="8">
        <f>IF((0=1),(CH209/CH244),"")</f>
      </c>
      <c r="CI279" s="8">
        <f>IF((0=1),(CI209/CI244),"")</f>
      </c>
      <c r="CJ279" s="8">
        <f>IF((0=1),(CJ209/CJ244),"")</f>
      </c>
      <c r="CK279" s="8">
        <f>IF((0=1),(CK209/CK244),"")</f>
      </c>
      <c r="CL279" s="8">
        <f>IF((0=1),(CL209/CL244),"")</f>
      </c>
      <c r="CM279" s="8">
        <f>IF((0=1),(CM209/CM244),"")</f>
      </c>
      <c r="CN279" s="8">
        <f>IF((0=1),(CN209/CN244),"")</f>
      </c>
      <c r="CO279" s="8">
        <f>IF((0=1),(CO209/CO244),"")</f>
      </c>
      <c r="CP279" s="8">
        <f>IF((0=1),(CP209/CP244),"")</f>
      </c>
      <c r="CQ279" s="8">
        <f>IF((0=1),(CQ209/CQ244),"")</f>
      </c>
      <c r="CR279" s="8">
        <f>IF((0=1),(CR209/CR244),"")</f>
      </c>
      <c r="CS279" s="8">
        <f>IF((0=1),(CS209/CS244),"")</f>
      </c>
      <c r="CT279" s="8">
        <f>IF((0=1),(CT209/CT244),"")</f>
      </c>
      <c r="CU279" s="8">
        <f>IF((0=1),(CU209/CU244),"")</f>
      </c>
      <c r="CV279" s="8">
        <f>IF((0=1),(CV209/CV244),"")</f>
      </c>
      <c r="CW279" s="8">
        <f>IF((0=1),(CW209/CW244),"")</f>
      </c>
      <c r="CX279" s="8">
        <f>IF((0=1),(CX209/CX244),"")</f>
      </c>
    </row>
    <row r="280">
      <c r="A280" s="0" t="inlineStr">
        <is>
          <t xml:space="preserve">Running mean, bps/day</t>
        </is>
      </c>
      <c r="B280" s="0" t="inlineStr">
        <is>
          <t xml:space="preserve">Random 19</t>
        </is>
      </c>
      <c r="C280" s="8">
        <f>IF((1=1),(C210/C245),"")</f>
        <v>5.56</v>
      </c>
      <c r="D280" s="8">
        <f>IF((0=1),(D210/D245),"")</f>
      </c>
      <c r="E280" s="8">
        <f>IF((0=1),(E210/E245),"")</f>
      </c>
      <c r="F280" s="8">
        <f>IF((0=1),(F210/F245),"")</f>
      </c>
      <c r="G280" s="8">
        <f>IF((0=1),(G210/G245),"")</f>
      </c>
      <c r="H280" s="8">
        <f>IF((0=1),(H210/H245),"")</f>
      </c>
      <c r="I280" s="8">
        <f>IF((0=1),(I210/I245),"")</f>
      </c>
      <c r="J280" s="8">
        <f>IF((0=1),(J210/J245),"")</f>
      </c>
      <c r="K280" s="8">
        <f>IF((0=1),(K210/K245),"")</f>
      </c>
      <c r="L280" s="8">
        <f>IF((0=1),(L210/L245),"")</f>
      </c>
      <c r="M280" s="8">
        <f>IF((0=1),(M210/M245),"")</f>
      </c>
      <c r="N280" s="8">
        <f>IF((0=1),(N210/N245),"")</f>
      </c>
      <c r="O280" s="8">
        <f>IF((0=1),(O210/O245),"")</f>
      </c>
      <c r="P280" s="8">
        <f>IF((0=1),(P210/P245),"")</f>
      </c>
      <c r="Q280" s="8">
        <f>IF((0=1),(Q210/Q245),"")</f>
      </c>
      <c r="R280" s="8">
        <f>IF((0=1),(R210/R245),"")</f>
      </c>
      <c r="S280" s="8">
        <f>IF((0=1),(S210/S245),"")</f>
      </c>
      <c r="T280" s="8">
        <f>IF((0=1),(T210/T245),"")</f>
      </c>
      <c r="U280" s="8">
        <f>IF((0=1),(U210/U245),"")</f>
      </c>
      <c r="V280" s="8">
        <f>IF((0=1),(V210/V245),"")</f>
      </c>
      <c r="W280" s="8">
        <f>IF((0=1),(W210/W245),"")</f>
      </c>
      <c r="X280" s="8">
        <f>IF((0=1),(X210/X245),"")</f>
      </c>
      <c r="Y280" s="8">
        <f>IF((0=1),(Y210/Y245),"")</f>
      </c>
      <c r="Z280" s="8">
        <f>IF((0=1),(Z210/Z245),"")</f>
      </c>
      <c r="AA280" s="8">
        <f>IF((0=1),(AA210/AA245),"")</f>
      </c>
      <c r="AB280" s="8">
        <f>IF((0=1),(AB210/AB245),"")</f>
      </c>
      <c r="AC280" s="8">
        <f>IF((0=1),(AC210/AC245),"")</f>
      </c>
      <c r="AD280" s="8">
        <f>IF((0=1),(AD210/AD245),"")</f>
      </c>
      <c r="AE280" s="8">
        <f>IF((0=1),(AE210/AE245),"")</f>
      </c>
      <c r="AF280" s="8">
        <f>IF((0=1),(AF210/AF245),"")</f>
      </c>
      <c r="AG280" s="8">
        <f>IF((0=1),(AG210/AG245),"")</f>
      </c>
      <c r="AH280" s="8">
        <f>IF((0=1),(AH210/AH245),"")</f>
      </c>
      <c r="AI280" s="8">
        <f>IF((0=1),(AI210/AI245),"")</f>
      </c>
      <c r="AJ280" s="8">
        <f>IF((0=1),(AJ210/AJ245),"")</f>
      </c>
      <c r="AK280" s="8">
        <f>IF((0=1),(AK210/AK245),"")</f>
      </c>
      <c r="AL280" s="8">
        <f>IF((0=1),(AL210/AL245),"")</f>
      </c>
      <c r="AM280" s="8">
        <f>IF((0=1),(AM210/AM245),"")</f>
      </c>
      <c r="AN280" s="8">
        <f>IF((0=1),(AN210/AN245),"")</f>
      </c>
      <c r="AO280" s="8">
        <f>IF((0=1),(AO210/AO245),"")</f>
      </c>
      <c r="AP280" s="8">
        <f>IF((0=1),(AP210/AP245),"")</f>
      </c>
      <c r="AQ280" s="8">
        <f>IF((0=1),(AQ210/AQ245),"")</f>
      </c>
      <c r="AR280" s="8">
        <f>IF((0=1),(AR210/AR245),"")</f>
      </c>
      <c r="AS280" s="8">
        <f>IF((0=1),(AS210/AS245),"")</f>
      </c>
      <c r="AT280" s="8">
        <f>IF((0=1),(AT210/AT245),"")</f>
      </c>
      <c r="AU280" s="8">
        <f>IF((0=1),(AU210/AU245),"")</f>
      </c>
      <c r="AV280" s="8">
        <f>IF((0=1),(AV210/AV245),"")</f>
      </c>
      <c r="AW280" s="8">
        <f>IF((0=1),(AW210/AW245),"")</f>
      </c>
      <c r="AX280" s="8">
        <f>IF((0=1),(AX210/AX245),"")</f>
      </c>
      <c r="AY280" s="8">
        <f>IF((0=1),(AY210/AY245),"")</f>
      </c>
      <c r="AZ280" s="8">
        <f>IF((0=1),(AZ210/AZ245),"")</f>
      </c>
      <c r="BA280" s="8">
        <f>IF((0=1),(BA210/BA245),"")</f>
      </c>
      <c r="BB280" s="8">
        <f>IF((0=1),(BB210/BB245),"")</f>
      </c>
      <c r="BC280" s="8">
        <f>IF((0=1),(BC210/BC245),"")</f>
      </c>
      <c r="BD280" s="8">
        <f>IF((0=1),(BD210/BD245),"")</f>
      </c>
      <c r="BE280" s="8">
        <f>IF((0=1),(BE210/BE245),"")</f>
      </c>
      <c r="BF280" s="8">
        <f>IF((0=1),(BF210/BF245),"")</f>
      </c>
      <c r="BG280" s="8">
        <f>IF((0=1),(BG210/BG245),"")</f>
      </c>
      <c r="BH280" s="8">
        <f>IF((0=1),(BH210/BH245),"")</f>
      </c>
      <c r="BI280" s="8">
        <f>IF((0=1),(BI210/BI245),"")</f>
      </c>
      <c r="BJ280" s="8">
        <f>IF((0=1),(BJ210/BJ245),"")</f>
      </c>
      <c r="BK280" s="8">
        <f>IF((0=1),(BK210/BK245),"")</f>
      </c>
      <c r="BL280" s="8">
        <f>IF((0=1),(BL210/BL245),"")</f>
      </c>
      <c r="BM280" s="8">
        <f>IF((0=1),(BM210/BM245),"")</f>
      </c>
      <c r="BN280" s="8">
        <f>IF((0=1),(BN210/BN245),"")</f>
      </c>
      <c r="BO280" s="8">
        <f>IF((0=1),(BO210/BO245),"")</f>
      </c>
      <c r="BP280" s="8">
        <f>IF((0=1),(BP210/BP245),"")</f>
      </c>
      <c r="BQ280" s="8">
        <f>IF((0=1),(BQ210/BQ245),"")</f>
      </c>
      <c r="BR280" s="8">
        <f>IF((0=1),(BR210/BR245),"")</f>
      </c>
      <c r="BS280" s="8">
        <f>IF((0=1),(BS210/BS245),"")</f>
      </c>
      <c r="BT280" s="8">
        <f>IF((0=1),(BT210/BT245),"")</f>
      </c>
      <c r="BU280" s="8">
        <f>IF((0=1),(BU210/BU245),"")</f>
      </c>
      <c r="BV280" s="8">
        <f>IF((0=1),(BV210/BV245),"")</f>
      </c>
      <c r="BW280" s="8">
        <f>IF((0=1),(BW210/BW245),"")</f>
      </c>
      <c r="BX280" s="8">
        <f>IF((0=1),(BX210/BX245),"")</f>
      </c>
      <c r="BY280" s="8">
        <f>IF((0=1),(BY210/BY245),"")</f>
      </c>
      <c r="BZ280" s="8">
        <f>IF((0=1),(BZ210/BZ245),"")</f>
      </c>
      <c r="CA280" s="8">
        <f>IF((0=1),(CA210/CA245),"")</f>
      </c>
      <c r="CB280" s="8">
        <f>IF((0=1),(CB210/CB245),"")</f>
      </c>
      <c r="CC280" s="8">
        <f>IF((0=1),(CC210/CC245),"")</f>
      </c>
      <c r="CD280" s="8">
        <f>IF((0=1),(CD210/CD245),"")</f>
      </c>
      <c r="CE280" s="8">
        <f>IF((0=1),(CE210/CE245),"")</f>
      </c>
      <c r="CF280" s="8">
        <f>IF((0=1),(CF210/CF245),"")</f>
      </c>
      <c r="CG280" s="8">
        <f>IF((0=1),(CG210/CG245),"")</f>
      </c>
      <c r="CH280" s="8">
        <f>IF((0=1),(CH210/CH245),"")</f>
      </c>
      <c r="CI280" s="8">
        <f>IF((0=1),(CI210/CI245),"")</f>
      </c>
      <c r="CJ280" s="8">
        <f>IF((0=1),(CJ210/CJ245),"")</f>
      </c>
      <c r="CK280" s="8">
        <f>IF((0=1),(CK210/CK245),"")</f>
      </c>
      <c r="CL280" s="8">
        <f>IF((0=1),(CL210/CL245),"")</f>
      </c>
      <c r="CM280" s="8">
        <f>IF((0=1),(CM210/CM245),"")</f>
      </c>
      <c r="CN280" s="8">
        <f>IF((0=1),(CN210/CN245),"")</f>
      </c>
      <c r="CO280" s="8">
        <f>IF((0=1),(CO210/CO245),"")</f>
      </c>
      <c r="CP280" s="8">
        <f>IF((0=1),(CP210/CP245),"")</f>
      </c>
      <c r="CQ280" s="8">
        <f>IF((0=1),(CQ210/CQ245),"")</f>
      </c>
      <c r="CR280" s="8">
        <f>IF((0=1),(CR210/CR245),"")</f>
      </c>
      <c r="CS280" s="8">
        <f>IF((0=1),(CS210/CS245),"")</f>
      </c>
      <c r="CT280" s="8">
        <f>IF((0=1),(CT210/CT245),"")</f>
      </c>
      <c r="CU280" s="8">
        <f>IF((0=1),(CU210/CU245),"")</f>
      </c>
      <c r="CV280" s="8">
        <f>IF((0=1),(CV210/CV245),"")</f>
      </c>
      <c r="CW280" s="8">
        <f>IF((0=1),(CW210/CW245),"")</f>
      </c>
      <c r="CX280" s="8">
        <f>IF((0=1),(CX210/CX245),"")</f>
      </c>
    </row>
    <row r="281">
      <c r="A281" s="0" t="inlineStr">
        <is>
          <t xml:space="preserve">Running mean, bps/day</t>
        </is>
      </c>
      <c r="B281" s="0" t="inlineStr">
        <is>
          <t xml:space="preserve">Random 20</t>
        </is>
      </c>
      <c r="C281" s="8">
        <f>IF((1=1),(C211/C246),"")</f>
        <v>5.013</v>
      </c>
      <c r="D281" s="8">
        <f>IF((0=1),(D211/D246),"")</f>
      </c>
      <c r="E281" s="8">
        <f>IF((0=1),(E211/E246),"")</f>
      </c>
      <c r="F281" s="8">
        <f>IF((0=1),(F211/F246),"")</f>
      </c>
      <c r="G281" s="8">
        <f>IF((0=1),(G211/G246),"")</f>
      </c>
      <c r="H281" s="8">
        <f>IF((0=1),(H211/H246),"")</f>
      </c>
      <c r="I281" s="8">
        <f>IF((0=1),(I211/I246),"")</f>
      </c>
      <c r="J281" s="8">
        <f>IF((0=1),(J211/J246),"")</f>
      </c>
      <c r="K281" s="8">
        <f>IF((0=1),(K211/K246),"")</f>
      </c>
      <c r="L281" s="8">
        <f>IF((0=1),(L211/L246),"")</f>
      </c>
      <c r="M281" s="8">
        <f>IF((0=1),(M211/M246),"")</f>
      </c>
      <c r="N281" s="8">
        <f>IF((0=1),(N211/N246),"")</f>
      </c>
      <c r="O281" s="8">
        <f>IF((0=1),(O211/O246),"")</f>
      </c>
      <c r="P281" s="8">
        <f>IF((0=1),(P211/P246),"")</f>
      </c>
      <c r="Q281" s="8">
        <f>IF((0=1),(Q211/Q246),"")</f>
      </c>
      <c r="R281" s="8">
        <f>IF((0=1),(R211/R246),"")</f>
      </c>
      <c r="S281" s="8">
        <f>IF((0=1),(S211/S246),"")</f>
      </c>
      <c r="T281" s="8">
        <f>IF((0=1),(T211/T246),"")</f>
      </c>
      <c r="U281" s="8">
        <f>IF((0=1),(U211/U246),"")</f>
      </c>
      <c r="V281" s="8">
        <f>IF((0=1),(V211/V246),"")</f>
      </c>
      <c r="W281" s="8">
        <f>IF((0=1),(W211/W246),"")</f>
      </c>
      <c r="X281" s="8">
        <f>IF((0=1),(X211/X246),"")</f>
      </c>
      <c r="Y281" s="8">
        <f>IF((0=1),(Y211/Y246),"")</f>
      </c>
      <c r="Z281" s="8">
        <f>IF((0=1),(Z211/Z246),"")</f>
      </c>
      <c r="AA281" s="8">
        <f>IF((0=1),(AA211/AA246),"")</f>
      </c>
      <c r="AB281" s="8">
        <f>IF((0=1),(AB211/AB246),"")</f>
      </c>
      <c r="AC281" s="8">
        <f>IF((0=1),(AC211/AC246),"")</f>
      </c>
      <c r="AD281" s="8">
        <f>IF((0=1),(AD211/AD246),"")</f>
      </c>
      <c r="AE281" s="8">
        <f>IF((0=1),(AE211/AE246),"")</f>
      </c>
      <c r="AF281" s="8">
        <f>IF((0=1),(AF211/AF246),"")</f>
      </c>
      <c r="AG281" s="8">
        <f>IF((0=1),(AG211/AG246),"")</f>
      </c>
      <c r="AH281" s="8">
        <f>IF((0=1),(AH211/AH246),"")</f>
      </c>
      <c r="AI281" s="8">
        <f>IF((0=1),(AI211/AI246),"")</f>
      </c>
      <c r="AJ281" s="8">
        <f>IF((0=1),(AJ211/AJ246),"")</f>
      </c>
      <c r="AK281" s="8">
        <f>IF((0=1),(AK211/AK246),"")</f>
      </c>
      <c r="AL281" s="8">
        <f>IF((0=1),(AL211/AL246),"")</f>
      </c>
      <c r="AM281" s="8">
        <f>IF((0=1),(AM211/AM246),"")</f>
      </c>
      <c r="AN281" s="8">
        <f>IF((0=1),(AN211/AN246),"")</f>
      </c>
      <c r="AO281" s="8">
        <f>IF((0=1),(AO211/AO246),"")</f>
      </c>
      <c r="AP281" s="8">
        <f>IF((0=1),(AP211/AP246),"")</f>
      </c>
      <c r="AQ281" s="8">
        <f>IF((0=1),(AQ211/AQ246),"")</f>
      </c>
      <c r="AR281" s="8">
        <f>IF((0=1),(AR211/AR246),"")</f>
      </c>
      <c r="AS281" s="8">
        <f>IF((0=1),(AS211/AS246),"")</f>
      </c>
      <c r="AT281" s="8">
        <f>IF((0=1),(AT211/AT246),"")</f>
      </c>
      <c r="AU281" s="8">
        <f>IF((0=1),(AU211/AU246),"")</f>
      </c>
      <c r="AV281" s="8">
        <f>IF((0=1),(AV211/AV246),"")</f>
      </c>
      <c r="AW281" s="8">
        <f>IF((0=1),(AW211/AW246),"")</f>
      </c>
      <c r="AX281" s="8">
        <f>IF((0=1),(AX211/AX246),"")</f>
      </c>
      <c r="AY281" s="8">
        <f>IF((0=1),(AY211/AY246),"")</f>
      </c>
      <c r="AZ281" s="8">
        <f>IF((0=1),(AZ211/AZ246),"")</f>
      </c>
      <c r="BA281" s="8">
        <f>IF((0=1),(BA211/BA246),"")</f>
      </c>
      <c r="BB281" s="8">
        <f>IF((0=1),(BB211/BB246),"")</f>
      </c>
      <c r="BC281" s="8">
        <f>IF((0=1),(BC211/BC246),"")</f>
      </c>
      <c r="BD281" s="8">
        <f>IF((0=1),(BD211/BD246),"")</f>
      </c>
      <c r="BE281" s="8">
        <f>IF((0=1),(BE211/BE246),"")</f>
      </c>
      <c r="BF281" s="8">
        <f>IF((0=1),(BF211/BF246),"")</f>
      </c>
      <c r="BG281" s="8">
        <f>IF((0=1),(BG211/BG246),"")</f>
      </c>
      <c r="BH281" s="8">
        <f>IF((0=1),(BH211/BH246),"")</f>
      </c>
      <c r="BI281" s="8">
        <f>IF((0=1),(BI211/BI246),"")</f>
      </c>
      <c r="BJ281" s="8">
        <f>IF((0=1),(BJ211/BJ246),"")</f>
      </c>
      <c r="BK281" s="8">
        <f>IF((0=1),(BK211/BK246),"")</f>
      </c>
      <c r="BL281" s="8">
        <f>IF((0=1),(BL211/BL246),"")</f>
      </c>
      <c r="BM281" s="8">
        <f>IF((0=1),(BM211/BM246),"")</f>
      </c>
      <c r="BN281" s="8">
        <f>IF((0=1),(BN211/BN246),"")</f>
      </c>
      <c r="BO281" s="8">
        <f>IF((0=1),(BO211/BO246),"")</f>
      </c>
      <c r="BP281" s="8">
        <f>IF((0=1),(BP211/BP246),"")</f>
      </c>
      <c r="BQ281" s="8">
        <f>IF((0=1),(BQ211/BQ246),"")</f>
      </c>
      <c r="BR281" s="8">
        <f>IF((0=1),(BR211/BR246),"")</f>
      </c>
      <c r="BS281" s="8">
        <f>IF((0=1),(BS211/BS246),"")</f>
      </c>
      <c r="BT281" s="8">
        <f>IF((0=1),(BT211/BT246),"")</f>
      </c>
      <c r="BU281" s="8">
        <f>IF((0=1),(BU211/BU246),"")</f>
      </c>
      <c r="BV281" s="8">
        <f>IF((0=1),(BV211/BV246),"")</f>
      </c>
      <c r="BW281" s="8">
        <f>IF((0=1),(BW211/BW246),"")</f>
      </c>
      <c r="BX281" s="8">
        <f>IF((0=1),(BX211/BX246),"")</f>
      </c>
      <c r="BY281" s="8">
        <f>IF((0=1),(BY211/BY246),"")</f>
      </c>
      <c r="BZ281" s="8">
        <f>IF((0=1),(BZ211/BZ246),"")</f>
      </c>
      <c r="CA281" s="8">
        <f>IF((0=1),(CA211/CA246),"")</f>
      </c>
      <c r="CB281" s="8">
        <f>IF((0=1),(CB211/CB246),"")</f>
      </c>
      <c r="CC281" s="8">
        <f>IF((0=1),(CC211/CC246),"")</f>
      </c>
      <c r="CD281" s="8">
        <f>IF((0=1),(CD211/CD246),"")</f>
      </c>
      <c r="CE281" s="8">
        <f>IF((0=1),(CE211/CE246),"")</f>
      </c>
      <c r="CF281" s="8">
        <f>IF((0=1),(CF211/CF246),"")</f>
      </c>
      <c r="CG281" s="8">
        <f>IF((0=1),(CG211/CG246),"")</f>
      </c>
      <c r="CH281" s="8">
        <f>IF((0=1),(CH211/CH246),"")</f>
      </c>
      <c r="CI281" s="8">
        <f>IF((0=1),(CI211/CI246),"")</f>
      </c>
      <c r="CJ281" s="8">
        <f>IF((0=1),(CJ211/CJ246),"")</f>
      </c>
      <c r="CK281" s="8">
        <f>IF((0=1),(CK211/CK246),"")</f>
      </c>
      <c r="CL281" s="8">
        <f>IF((0=1),(CL211/CL246),"")</f>
      </c>
      <c r="CM281" s="8">
        <f>IF((0=1),(CM211/CM246),"")</f>
      </c>
      <c r="CN281" s="8">
        <f>IF((0=1),(CN211/CN246),"")</f>
      </c>
      <c r="CO281" s="8">
        <f>IF((0=1),(CO211/CO246),"")</f>
      </c>
      <c r="CP281" s="8">
        <f>IF((0=1),(CP211/CP246),"")</f>
      </c>
      <c r="CQ281" s="8">
        <f>IF((0=1),(CQ211/CQ246),"")</f>
      </c>
      <c r="CR281" s="8">
        <f>IF((0=1),(CR211/CR246),"")</f>
      </c>
      <c r="CS281" s="8">
        <f>IF((0=1),(CS211/CS246),"")</f>
      </c>
      <c r="CT281" s="8">
        <f>IF((0=1),(CT211/CT246),"")</f>
      </c>
      <c r="CU281" s="8">
        <f>IF((0=1),(CU211/CU246),"")</f>
      </c>
      <c r="CV281" s="8">
        <f>IF((0=1),(CV211/CV246),"")</f>
      </c>
      <c r="CW281" s="8">
        <f>IF((0=1),(CW211/CW246),"")</f>
      </c>
      <c r="CX281" s="8">
        <f>IF((0=1),(CX211/CX246),"")</f>
      </c>
    </row>
    <row r="282">
      <c r="A282" s="0" t="inlineStr">
        <is>
          <t xml:space="preserve">Squared excess</t>
        </is>
      </c>
      <c r="B282" s="0" t="inlineStr">
        <is>
          <t xml:space="preserve">worst 100 by yesterday's close-to-close return</t>
        </is>
      </c>
      <c r="C282" s="8">
        <f>IF((1=1),(C2*C2),"")</f>
        <v>186.431716</v>
      </c>
      <c r="D282" s="8">
        <f>IF((0=1),(D2*D2),"")</f>
      </c>
      <c r="E282" s="8">
        <f>IF((0=1),(E2*E2),"")</f>
      </c>
      <c r="F282" s="8">
        <f>IF((0=1),(F2*F2),"")</f>
      </c>
      <c r="G282" s="8">
        <f>IF((0=1),(G2*G2),"")</f>
      </c>
      <c r="H282" s="8">
        <f>IF((0=1),(H2*H2),"")</f>
      </c>
      <c r="I282" s="8">
        <f>IF((0=1),(I2*I2),"")</f>
      </c>
      <c r="J282" s="8">
        <f>IF((0=1),(J2*J2),"")</f>
      </c>
      <c r="K282" s="8">
        <f>IF((0=1),(K2*K2),"")</f>
      </c>
      <c r="L282" s="8">
        <f>IF((0=1),(L2*L2),"")</f>
      </c>
      <c r="M282" s="8">
        <f>IF((0=1),(M2*M2),"")</f>
      </c>
      <c r="N282" s="8">
        <f>IF((0=1),(N2*N2),"")</f>
      </c>
      <c r="O282" s="8">
        <f>IF((0=1),(O2*O2),"")</f>
      </c>
      <c r="P282" s="8">
        <f>IF((0=1),(P2*P2),"")</f>
      </c>
      <c r="Q282" s="8">
        <f>IF((0=1),(Q2*Q2),"")</f>
      </c>
      <c r="R282" s="8">
        <f>IF((0=1),(R2*R2),"")</f>
      </c>
      <c r="S282" s="8">
        <f>IF((0=1),(S2*S2),"")</f>
      </c>
      <c r="T282" s="8">
        <f>IF((0=1),(T2*T2),"")</f>
      </c>
      <c r="U282" s="8">
        <f>IF((0=1),(U2*U2),"")</f>
      </c>
      <c r="V282" s="8">
        <f>IF((0=1),(V2*V2),"")</f>
      </c>
      <c r="W282" s="8">
        <f>IF((0=1),(W2*W2),"")</f>
      </c>
      <c r="X282" s="8">
        <f>IF((0=1),(X2*X2),"")</f>
      </c>
      <c r="Y282" s="8">
        <f>IF((0=1),(Y2*Y2),"")</f>
      </c>
      <c r="Z282" s="8">
        <f>IF((0=1),(Z2*Z2),"")</f>
      </c>
      <c r="AA282" s="8">
        <f>IF((0=1),(AA2*AA2),"")</f>
      </c>
      <c r="AB282" s="8">
        <f>IF((0=1),(AB2*AB2),"")</f>
      </c>
      <c r="AC282" s="8">
        <f>IF((0=1),(AC2*AC2),"")</f>
      </c>
      <c r="AD282" s="8">
        <f>IF((0=1),(AD2*AD2),"")</f>
      </c>
      <c r="AE282" s="8">
        <f>IF((0=1),(AE2*AE2),"")</f>
      </c>
      <c r="AF282" s="8">
        <f>IF((0=1),(AF2*AF2),"")</f>
      </c>
      <c r="AG282" s="8">
        <f>IF((0=1),(AG2*AG2),"")</f>
      </c>
      <c r="AH282" s="8">
        <f>IF((0=1),(AH2*AH2),"")</f>
      </c>
      <c r="AI282" s="8">
        <f>IF((0=1),(AI2*AI2),"")</f>
      </c>
      <c r="AJ282" s="8">
        <f>IF((0=1),(AJ2*AJ2),"")</f>
      </c>
      <c r="AK282" s="8">
        <f>IF((0=1),(AK2*AK2),"")</f>
      </c>
      <c r="AL282" s="8">
        <f>IF((0=1),(AL2*AL2),"")</f>
      </c>
      <c r="AM282" s="8">
        <f>IF((0=1),(AM2*AM2),"")</f>
      </c>
      <c r="AN282" s="8">
        <f>IF((0=1),(AN2*AN2),"")</f>
      </c>
      <c r="AO282" s="8">
        <f>IF((0=1),(AO2*AO2),"")</f>
      </c>
      <c r="AP282" s="8">
        <f>IF((0=1),(AP2*AP2),"")</f>
      </c>
      <c r="AQ282" s="8">
        <f>IF((0=1),(AQ2*AQ2),"")</f>
      </c>
      <c r="AR282" s="8">
        <f>IF((0=1),(AR2*AR2),"")</f>
      </c>
      <c r="AS282" s="8">
        <f>IF((0=1),(AS2*AS2),"")</f>
      </c>
      <c r="AT282" s="8">
        <f>IF((0=1),(AT2*AT2),"")</f>
      </c>
      <c r="AU282" s="8">
        <f>IF((0=1),(AU2*AU2),"")</f>
      </c>
      <c r="AV282" s="8">
        <f>IF((0=1),(AV2*AV2),"")</f>
      </c>
      <c r="AW282" s="8">
        <f>IF((0=1),(AW2*AW2),"")</f>
      </c>
      <c r="AX282" s="8">
        <f>IF((0=1),(AX2*AX2),"")</f>
      </c>
      <c r="AY282" s="8">
        <f>IF((0=1),(AY2*AY2),"")</f>
      </c>
      <c r="AZ282" s="8">
        <f>IF((0=1),(AZ2*AZ2),"")</f>
      </c>
      <c r="BA282" s="8">
        <f>IF((0=1),(BA2*BA2),"")</f>
      </c>
      <c r="BB282" s="8">
        <f>IF((0=1),(BB2*BB2),"")</f>
      </c>
      <c r="BC282" s="8">
        <f>IF((0=1),(BC2*BC2),"")</f>
      </c>
      <c r="BD282" s="8">
        <f>IF((0=1),(BD2*BD2),"")</f>
      </c>
      <c r="BE282" s="8">
        <f>IF((0=1),(BE2*BE2),"")</f>
      </c>
      <c r="BF282" s="8">
        <f>IF((0=1),(BF2*BF2),"")</f>
      </c>
      <c r="BG282" s="8">
        <f>IF((0=1),(BG2*BG2),"")</f>
      </c>
      <c r="BH282" s="8">
        <f>IF((0=1),(BH2*BH2),"")</f>
      </c>
      <c r="BI282" s="8">
        <f>IF((0=1),(BI2*BI2),"")</f>
      </c>
      <c r="BJ282" s="8">
        <f>IF((0=1),(BJ2*BJ2),"")</f>
      </c>
      <c r="BK282" s="8">
        <f>IF((0=1),(BK2*BK2),"")</f>
      </c>
      <c r="BL282" s="8">
        <f>IF((0=1),(BL2*BL2),"")</f>
      </c>
      <c r="BM282" s="8">
        <f>IF((0=1),(BM2*BM2),"")</f>
      </c>
      <c r="BN282" s="8">
        <f>IF((0=1),(BN2*BN2),"")</f>
      </c>
      <c r="BO282" s="8">
        <f>IF((0=1),(BO2*BO2),"")</f>
      </c>
      <c r="BP282" s="8">
        <f>IF((0=1),(BP2*BP2),"")</f>
      </c>
      <c r="BQ282" s="8">
        <f>IF((0=1),(BQ2*BQ2),"")</f>
      </c>
      <c r="BR282" s="8">
        <f>IF((0=1),(BR2*BR2),"")</f>
      </c>
      <c r="BS282" s="8">
        <f>IF((0=1),(BS2*BS2),"")</f>
      </c>
      <c r="BT282" s="8">
        <f>IF((0=1),(BT2*BT2),"")</f>
      </c>
      <c r="BU282" s="8">
        <f>IF((0=1),(BU2*BU2),"")</f>
      </c>
      <c r="BV282" s="8">
        <f>IF((0=1),(BV2*BV2),"")</f>
      </c>
      <c r="BW282" s="8">
        <f>IF((0=1),(BW2*BW2),"")</f>
      </c>
      <c r="BX282" s="8">
        <f>IF((0=1),(BX2*BX2),"")</f>
      </c>
      <c r="BY282" s="8">
        <f>IF((0=1),(BY2*BY2),"")</f>
      </c>
      <c r="BZ282" s="8">
        <f>IF((0=1),(BZ2*BZ2),"")</f>
      </c>
      <c r="CA282" s="8">
        <f>IF((0=1),(CA2*CA2),"")</f>
      </c>
      <c r="CB282" s="8">
        <f>IF((0=1),(CB2*CB2),"")</f>
      </c>
      <c r="CC282" s="8">
        <f>IF((0=1),(CC2*CC2),"")</f>
      </c>
      <c r="CD282" s="8">
        <f>IF((0=1),(CD2*CD2),"")</f>
      </c>
      <c r="CE282" s="8">
        <f>IF((0=1),(CE2*CE2),"")</f>
      </c>
      <c r="CF282" s="8">
        <f>IF((0=1),(CF2*CF2),"")</f>
      </c>
      <c r="CG282" s="8">
        <f>IF((0=1),(CG2*CG2),"")</f>
      </c>
      <c r="CH282" s="8">
        <f>IF((0=1),(CH2*CH2),"")</f>
      </c>
      <c r="CI282" s="8">
        <f>IF((0=1),(CI2*CI2),"")</f>
      </c>
      <c r="CJ282" s="8">
        <f>IF((0=1),(CJ2*CJ2),"")</f>
      </c>
      <c r="CK282" s="8">
        <f>IF((0=1),(CK2*CK2),"")</f>
      </c>
      <c r="CL282" s="8">
        <f>IF((0=1),(CL2*CL2),"")</f>
      </c>
      <c r="CM282" s="8">
        <f>IF((0=1),(CM2*CM2),"")</f>
      </c>
      <c r="CN282" s="8">
        <f>IF((0=1),(CN2*CN2),"")</f>
      </c>
      <c r="CO282" s="8">
        <f>IF((0=1),(CO2*CO2),"")</f>
      </c>
      <c r="CP282" s="8">
        <f>IF((0=1),(CP2*CP2),"")</f>
      </c>
      <c r="CQ282" s="8">
        <f>IF((0=1),(CQ2*CQ2),"")</f>
      </c>
      <c r="CR282" s="8">
        <f>IF((0=1),(CR2*CR2),"")</f>
      </c>
      <c r="CS282" s="8">
        <f>IF((0=1),(CS2*CS2),"")</f>
      </c>
      <c r="CT282" s="8">
        <f>IF((0=1),(CT2*CT2),"")</f>
      </c>
      <c r="CU282" s="8">
        <f>IF((0=1),(CU2*CU2),"")</f>
      </c>
      <c r="CV282" s="8">
        <f>IF((0=1),(CV2*CV2),"")</f>
      </c>
      <c r="CW282" s="8">
        <f>IF((0=1),(CW2*CW2),"")</f>
      </c>
      <c r="CX282" s="8">
        <f>IF((0=1),(CX2*CX2),"")</f>
      </c>
    </row>
    <row r="283">
      <c r="A283" s="0" t="inlineStr">
        <is>
          <t xml:space="preserve">Squared excess</t>
        </is>
      </c>
      <c r="B283" s="0" t="inlineStr">
        <is>
          <t xml:space="preserve">lowest 100 by 60-day volatility</t>
        </is>
      </c>
      <c r="C283" s="8">
        <f>IF((1=1),(C3*C3),"")</f>
        <v>159.971904</v>
      </c>
      <c r="D283" s="8">
        <f>IF((0=1),(D3*D3),"")</f>
      </c>
      <c r="E283" s="8">
        <f>IF((0=1),(E3*E3),"")</f>
      </c>
      <c r="F283" s="8">
        <f>IF((0=1),(F3*F3),"")</f>
      </c>
      <c r="G283" s="8">
        <f>IF((0=1),(G3*G3),"")</f>
      </c>
      <c r="H283" s="8">
        <f>IF((0=1),(H3*H3),"")</f>
      </c>
      <c r="I283" s="8">
        <f>IF((0=1),(I3*I3),"")</f>
      </c>
      <c r="J283" s="8">
        <f>IF((0=1),(J3*J3),"")</f>
      </c>
      <c r="K283" s="8">
        <f>IF((0=1),(K3*K3),"")</f>
      </c>
      <c r="L283" s="8">
        <f>IF((0=1),(L3*L3),"")</f>
      </c>
      <c r="M283" s="8">
        <f>IF((0=1),(M3*M3),"")</f>
      </c>
      <c r="N283" s="8">
        <f>IF((0=1),(N3*N3),"")</f>
      </c>
      <c r="O283" s="8">
        <f>IF((0=1),(O3*O3),"")</f>
      </c>
      <c r="P283" s="8">
        <f>IF((0=1),(P3*P3),"")</f>
      </c>
      <c r="Q283" s="8">
        <f>IF((0=1),(Q3*Q3),"")</f>
      </c>
      <c r="R283" s="8">
        <f>IF((0=1),(R3*R3),"")</f>
      </c>
      <c r="S283" s="8">
        <f>IF((0=1),(S3*S3),"")</f>
      </c>
      <c r="T283" s="8">
        <f>IF((0=1),(T3*T3),"")</f>
      </c>
      <c r="U283" s="8">
        <f>IF((0=1),(U3*U3),"")</f>
      </c>
      <c r="V283" s="8">
        <f>IF((0=1),(V3*V3),"")</f>
      </c>
      <c r="W283" s="8">
        <f>IF((0=1),(W3*W3),"")</f>
      </c>
      <c r="X283" s="8">
        <f>IF((0=1),(X3*X3),"")</f>
      </c>
      <c r="Y283" s="8">
        <f>IF((0=1),(Y3*Y3),"")</f>
      </c>
      <c r="Z283" s="8">
        <f>IF((0=1),(Z3*Z3),"")</f>
      </c>
      <c r="AA283" s="8">
        <f>IF((0=1),(AA3*AA3),"")</f>
      </c>
      <c r="AB283" s="8">
        <f>IF((0=1),(AB3*AB3),"")</f>
      </c>
      <c r="AC283" s="8">
        <f>IF((0=1),(AC3*AC3),"")</f>
      </c>
      <c r="AD283" s="8">
        <f>IF((0=1),(AD3*AD3),"")</f>
      </c>
      <c r="AE283" s="8">
        <f>IF((0=1),(AE3*AE3),"")</f>
      </c>
      <c r="AF283" s="8">
        <f>IF((0=1),(AF3*AF3),"")</f>
      </c>
      <c r="AG283" s="8">
        <f>IF((0=1),(AG3*AG3),"")</f>
      </c>
      <c r="AH283" s="8">
        <f>IF((0=1),(AH3*AH3),"")</f>
      </c>
      <c r="AI283" s="8">
        <f>IF((0=1),(AI3*AI3),"")</f>
      </c>
      <c r="AJ283" s="8">
        <f>IF((0=1),(AJ3*AJ3),"")</f>
      </c>
      <c r="AK283" s="8">
        <f>IF((0=1),(AK3*AK3),"")</f>
      </c>
      <c r="AL283" s="8">
        <f>IF((0=1),(AL3*AL3),"")</f>
      </c>
      <c r="AM283" s="8">
        <f>IF((0=1),(AM3*AM3),"")</f>
      </c>
      <c r="AN283" s="8">
        <f>IF((0=1),(AN3*AN3),"")</f>
      </c>
      <c r="AO283" s="8">
        <f>IF((0=1),(AO3*AO3),"")</f>
      </c>
      <c r="AP283" s="8">
        <f>IF((0=1),(AP3*AP3),"")</f>
      </c>
      <c r="AQ283" s="8">
        <f>IF((0=1),(AQ3*AQ3),"")</f>
      </c>
      <c r="AR283" s="8">
        <f>IF((0=1),(AR3*AR3),"")</f>
      </c>
      <c r="AS283" s="8">
        <f>IF((0=1),(AS3*AS3),"")</f>
      </c>
      <c r="AT283" s="8">
        <f>IF((0=1),(AT3*AT3),"")</f>
      </c>
      <c r="AU283" s="8">
        <f>IF((0=1),(AU3*AU3),"")</f>
      </c>
      <c r="AV283" s="8">
        <f>IF((0=1),(AV3*AV3),"")</f>
      </c>
      <c r="AW283" s="8">
        <f>IF((0=1),(AW3*AW3),"")</f>
      </c>
      <c r="AX283" s="8">
        <f>IF((0=1),(AX3*AX3),"")</f>
      </c>
      <c r="AY283" s="8">
        <f>IF((0=1),(AY3*AY3),"")</f>
      </c>
      <c r="AZ283" s="8">
        <f>IF((0=1),(AZ3*AZ3),"")</f>
      </c>
      <c r="BA283" s="8">
        <f>IF((0=1),(BA3*BA3),"")</f>
      </c>
      <c r="BB283" s="8">
        <f>IF((0=1),(BB3*BB3),"")</f>
      </c>
      <c r="BC283" s="8">
        <f>IF((0=1),(BC3*BC3),"")</f>
      </c>
      <c r="BD283" s="8">
        <f>IF((0=1),(BD3*BD3),"")</f>
      </c>
      <c r="BE283" s="8">
        <f>IF((0=1),(BE3*BE3),"")</f>
      </c>
      <c r="BF283" s="8">
        <f>IF((0=1),(BF3*BF3),"")</f>
      </c>
      <c r="BG283" s="8">
        <f>IF((0=1),(BG3*BG3),"")</f>
      </c>
      <c r="BH283" s="8">
        <f>IF((0=1),(BH3*BH3),"")</f>
      </c>
      <c r="BI283" s="8">
        <f>IF((0=1),(BI3*BI3),"")</f>
      </c>
      <c r="BJ283" s="8">
        <f>IF((0=1),(BJ3*BJ3),"")</f>
      </c>
      <c r="BK283" s="8">
        <f>IF((0=1),(BK3*BK3),"")</f>
      </c>
      <c r="BL283" s="8">
        <f>IF((0=1),(BL3*BL3),"")</f>
      </c>
      <c r="BM283" s="8">
        <f>IF((0=1),(BM3*BM3),"")</f>
      </c>
      <c r="BN283" s="8">
        <f>IF((0=1),(BN3*BN3),"")</f>
      </c>
      <c r="BO283" s="8">
        <f>IF((0=1),(BO3*BO3),"")</f>
      </c>
      <c r="BP283" s="8">
        <f>IF((0=1),(BP3*BP3),"")</f>
      </c>
      <c r="BQ283" s="8">
        <f>IF((0=1),(BQ3*BQ3),"")</f>
      </c>
      <c r="BR283" s="8">
        <f>IF((0=1),(BR3*BR3),"")</f>
      </c>
      <c r="BS283" s="8">
        <f>IF((0=1),(BS3*BS3),"")</f>
      </c>
      <c r="BT283" s="8">
        <f>IF((0=1),(BT3*BT3),"")</f>
      </c>
      <c r="BU283" s="8">
        <f>IF((0=1),(BU3*BU3),"")</f>
      </c>
      <c r="BV283" s="8">
        <f>IF((0=1),(BV3*BV3),"")</f>
      </c>
      <c r="BW283" s="8">
        <f>IF((0=1),(BW3*BW3),"")</f>
      </c>
      <c r="BX283" s="8">
        <f>IF((0=1),(BX3*BX3),"")</f>
      </c>
      <c r="BY283" s="8">
        <f>IF((0=1),(BY3*BY3),"")</f>
      </c>
      <c r="BZ283" s="8">
        <f>IF((0=1),(BZ3*BZ3),"")</f>
      </c>
      <c r="CA283" s="8">
        <f>IF((0=1),(CA3*CA3),"")</f>
      </c>
      <c r="CB283" s="8">
        <f>IF((0=1),(CB3*CB3),"")</f>
      </c>
      <c r="CC283" s="8">
        <f>IF((0=1),(CC3*CC3),"")</f>
      </c>
      <c r="CD283" s="8">
        <f>IF((0=1),(CD3*CD3),"")</f>
      </c>
      <c r="CE283" s="8">
        <f>IF((0=1),(CE3*CE3),"")</f>
      </c>
      <c r="CF283" s="8">
        <f>IF((0=1),(CF3*CF3),"")</f>
      </c>
      <c r="CG283" s="8">
        <f>IF((0=1),(CG3*CG3),"")</f>
      </c>
      <c r="CH283" s="8">
        <f>IF((0=1),(CH3*CH3),"")</f>
      </c>
      <c r="CI283" s="8">
        <f>IF((0=1),(CI3*CI3),"")</f>
      </c>
      <c r="CJ283" s="8">
        <f>IF((0=1),(CJ3*CJ3),"")</f>
      </c>
      <c r="CK283" s="8">
        <f>IF((0=1),(CK3*CK3),"")</f>
      </c>
      <c r="CL283" s="8">
        <f>IF((0=1),(CL3*CL3),"")</f>
      </c>
      <c r="CM283" s="8">
        <f>IF((0=1),(CM3*CM3),"")</f>
      </c>
      <c r="CN283" s="8">
        <f>IF((0=1),(CN3*CN3),"")</f>
      </c>
      <c r="CO283" s="8">
        <f>IF((0=1),(CO3*CO3),"")</f>
      </c>
      <c r="CP283" s="8">
        <f>IF((0=1),(CP3*CP3),"")</f>
      </c>
      <c r="CQ283" s="8">
        <f>IF((0=1),(CQ3*CQ3),"")</f>
      </c>
      <c r="CR283" s="8">
        <f>IF((0=1),(CR3*CR3),"")</f>
      </c>
      <c r="CS283" s="8">
        <f>IF((0=1),(CS3*CS3),"")</f>
      </c>
      <c r="CT283" s="8">
        <f>IF((0=1),(CT3*CT3),"")</f>
      </c>
      <c r="CU283" s="8">
        <f>IF((0=1),(CU3*CU3),"")</f>
      </c>
      <c r="CV283" s="8">
        <f>IF((0=1),(CV3*CV3),"")</f>
      </c>
      <c r="CW283" s="8">
        <f>IF((0=1),(CW3*CW3),"")</f>
      </c>
      <c r="CX283" s="8">
        <f>IF((0=1),(CX3*CX3),"")</f>
      </c>
    </row>
    <row r="284">
      <c r="A284" s="0" t="inlineStr">
        <is>
          <t xml:space="preserve">Squared excess</t>
        </is>
      </c>
      <c r="B284" s="0" t="inlineStr">
        <is>
          <t xml:space="preserve">largest 100 by market cap</t>
        </is>
      </c>
      <c r="C284" s="8">
        <f>IF((1=1),(C4*C4),"")</f>
        <v>22.572001000000004</v>
      </c>
      <c r="D284" s="8">
        <f>IF((0=1),(D4*D4),"")</f>
      </c>
      <c r="E284" s="8">
        <f>IF((0=1),(E4*E4),"")</f>
      </c>
      <c r="F284" s="8">
        <f>IF((0=1),(F4*F4),"")</f>
      </c>
      <c r="G284" s="8">
        <f>IF((0=1),(G4*G4),"")</f>
      </c>
      <c r="H284" s="8">
        <f>IF((0=1),(H4*H4),"")</f>
      </c>
      <c r="I284" s="8">
        <f>IF((0=1),(I4*I4),"")</f>
      </c>
      <c r="J284" s="8">
        <f>IF((0=1),(J4*J4),"")</f>
      </c>
      <c r="K284" s="8">
        <f>IF((0=1),(K4*K4),"")</f>
      </c>
      <c r="L284" s="8">
        <f>IF((0=1),(L4*L4),"")</f>
      </c>
      <c r="M284" s="8">
        <f>IF((0=1),(M4*M4),"")</f>
      </c>
      <c r="N284" s="8">
        <f>IF((0=1),(N4*N4),"")</f>
      </c>
      <c r="O284" s="8">
        <f>IF((0=1),(O4*O4),"")</f>
      </c>
      <c r="P284" s="8">
        <f>IF((0=1),(P4*P4),"")</f>
      </c>
      <c r="Q284" s="8">
        <f>IF((0=1),(Q4*Q4),"")</f>
      </c>
      <c r="R284" s="8">
        <f>IF((0=1),(R4*R4),"")</f>
      </c>
      <c r="S284" s="8">
        <f>IF((0=1),(S4*S4),"")</f>
      </c>
      <c r="T284" s="8">
        <f>IF((0=1),(T4*T4),"")</f>
      </c>
      <c r="U284" s="8">
        <f>IF((0=1),(U4*U4),"")</f>
      </c>
      <c r="V284" s="8">
        <f>IF((0=1),(V4*V4),"")</f>
      </c>
      <c r="W284" s="8">
        <f>IF((0=1),(W4*W4),"")</f>
      </c>
      <c r="X284" s="8">
        <f>IF((0=1),(X4*X4),"")</f>
      </c>
      <c r="Y284" s="8">
        <f>IF((0=1),(Y4*Y4),"")</f>
      </c>
      <c r="Z284" s="8">
        <f>IF((0=1),(Z4*Z4),"")</f>
      </c>
      <c r="AA284" s="8">
        <f>IF((0=1),(AA4*AA4),"")</f>
      </c>
      <c r="AB284" s="8">
        <f>IF((0=1),(AB4*AB4),"")</f>
      </c>
      <c r="AC284" s="8">
        <f>IF((0=1),(AC4*AC4),"")</f>
      </c>
      <c r="AD284" s="8">
        <f>IF((0=1),(AD4*AD4),"")</f>
      </c>
      <c r="AE284" s="8">
        <f>IF((0=1),(AE4*AE4),"")</f>
      </c>
      <c r="AF284" s="8">
        <f>IF((0=1),(AF4*AF4),"")</f>
      </c>
      <c r="AG284" s="8">
        <f>IF((0=1),(AG4*AG4),"")</f>
      </c>
      <c r="AH284" s="8">
        <f>IF((0=1),(AH4*AH4),"")</f>
      </c>
      <c r="AI284" s="8">
        <f>IF((0=1),(AI4*AI4),"")</f>
      </c>
      <c r="AJ284" s="8">
        <f>IF((0=1),(AJ4*AJ4),"")</f>
      </c>
      <c r="AK284" s="8">
        <f>IF((0=1),(AK4*AK4),"")</f>
      </c>
      <c r="AL284" s="8">
        <f>IF((0=1),(AL4*AL4),"")</f>
      </c>
      <c r="AM284" s="8">
        <f>IF((0=1),(AM4*AM4),"")</f>
      </c>
      <c r="AN284" s="8">
        <f>IF((0=1),(AN4*AN4),"")</f>
      </c>
      <c r="AO284" s="8">
        <f>IF((0=1),(AO4*AO4),"")</f>
      </c>
      <c r="AP284" s="8">
        <f>IF((0=1),(AP4*AP4),"")</f>
      </c>
      <c r="AQ284" s="8">
        <f>IF((0=1),(AQ4*AQ4),"")</f>
      </c>
      <c r="AR284" s="8">
        <f>IF((0=1),(AR4*AR4),"")</f>
      </c>
      <c r="AS284" s="8">
        <f>IF((0=1),(AS4*AS4),"")</f>
      </c>
      <c r="AT284" s="8">
        <f>IF((0=1),(AT4*AT4),"")</f>
      </c>
      <c r="AU284" s="8">
        <f>IF((0=1),(AU4*AU4),"")</f>
      </c>
      <c r="AV284" s="8">
        <f>IF((0=1),(AV4*AV4),"")</f>
      </c>
      <c r="AW284" s="8">
        <f>IF((0=1),(AW4*AW4),"")</f>
      </c>
      <c r="AX284" s="8">
        <f>IF((0=1),(AX4*AX4),"")</f>
      </c>
      <c r="AY284" s="8">
        <f>IF((0=1),(AY4*AY4),"")</f>
      </c>
      <c r="AZ284" s="8">
        <f>IF((0=1),(AZ4*AZ4),"")</f>
      </c>
      <c r="BA284" s="8">
        <f>IF((0=1),(BA4*BA4),"")</f>
      </c>
      <c r="BB284" s="8">
        <f>IF((0=1),(BB4*BB4),"")</f>
      </c>
      <c r="BC284" s="8">
        <f>IF((0=1),(BC4*BC4),"")</f>
      </c>
      <c r="BD284" s="8">
        <f>IF((0=1),(BD4*BD4),"")</f>
      </c>
      <c r="BE284" s="8">
        <f>IF((0=1),(BE4*BE4),"")</f>
      </c>
      <c r="BF284" s="8">
        <f>IF((0=1),(BF4*BF4),"")</f>
      </c>
      <c r="BG284" s="8">
        <f>IF((0=1),(BG4*BG4),"")</f>
      </c>
      <c r="BH284" s="8">
        <f>IF((0=1),(BH4*BH4),"")</f>
      </c>
      <c r="BI284" s="8">
        <f>IF((0=1),(BI4*BI4),"")</f>
      </c>
      <c r="BJ284" s="8">
        <f>IF((0=1),(BJ4*BJ4),"")</f>
      </c>
      <c r="BK284" s="8">
        <f>IF((0=1),(BK4*BK4),"")</f>
      </c>
      <c r="BL284" s="8">
        <f>IF((0=1),(BL4*BL4),"")</f>
      </c>
      <c r="BM284" s="8">
        <f>IF((0=1),(BM4*BM4),"")</f>
      </c>
      <c r="BN284" s="8">
        <f>IF((0=1),(BN4*BN4),"")</f>
      </c>
      <c r="BO284" s="8">
        <f>IF((0=1),(BO4*BO4),"")</f>
      </c>
      <c r="BP284" s="8">
        <f>IF((0=1),(BP4*BP4),"")</f>
      </c>
      <c r="BQ284" s="8">
        <f>IF((0=1),(BQ4*BQ4),"")</f>
      </c>
      <c r="BR284" s="8">
        <f>IF((0=1),(BR4*BR4),"")</f>
      </c>
      <c r="BS284" s="8">
        <f>IF((0=1),(BS4*BS4),"")</f>
      </c>
      <c r="BT284" s="8">
        <f>IF((0=1),(BT4*BT4),"")</f>
      </c>
      <c r="BU284" s="8">
        <f>IF((0=1),(BU4*BU4),"")</f>
      </c>
      <c r="BV284" s="8">
        <f>IF((0=1),(BV4*BV4),"")</f>
      </c>
      <c r="BW284" s="8">
        <f>IF((0=1),(BW4*BW4),"")</f>
      </c>
      <c r="BX284" s="8">
        <f>IF((0=1),(BX4*BX4),"")</f>
      </c>
      <c r="BY284" s="8">
        <f>IF((0=1),(BY4*BY4),"")</f>
      </c>
      <c r="BZ284" s="8">
        <f>IF((0=1),(BZ4*BZ4),"")</f>
      </c>
      <c r="CA284" s="8">
        <f>IF((0=1),(CA4*CA4),"")</f>
      </c>
      <c r="CB284" s="8">
        <f>IF((0=1),(CB4*CB4),"")</f>
      </c>
      <c r="CC284" s="8">
        <f>IF((0=1),(CC4*CC4),"")</f>
      </c>
      <c r="CD284" s="8">
        <f>IF((0=1),(CD4*CD4),"")</f>
      </c>
      <c r="CE284" s="8">
        <f>IF((0=1),(CE4*CE4),"")</f>
      </c>
      <c r="CF284" s="8">
        <f>IF((0=1),(CF4*CF4),"")</f>
      </c>
      <c r="CG284" s="8">
        <f>IF((0=1),(CG4*CG4),"")</f>
      </c>
      <c r="CH284" s="8">
        <f>IF((0=1),(CH4*CH4),"")</f>
      </c>
      <c r="CI284" s="8">
        <f>IF((0=1),(CI4*CI4),"")</f>
      </c>
      <c r="CJ284" s="8">
        <f>IF((0=1),(CJ4*CJ4),"")</f>
      </c>
      <c r="CK284" s="8">
        <f>IF((0=1),(CK4*CK4),"")</f>
      </c>
      <c r="CL284" s="8">
        <f>IF((0=1),(CL4*CL4),"")</f>
      </c>
      <c r="CM284" s="8">
        <f>IF((0=1),(CM4*CM4),"")</f>
      </c>
      <c r="CN284" s="8">
        <f>IF((0=1),(CN4*CN4),"")</f>
      </c>
      <c r="CO284" s="8">
        <f>IF((0=1),(CO4*CO4),"")</f>
      </c>
      <c r="CP284" s="8">
        <f>IF((0=1),(CP4*CP4),"")</f>
      </c>
      <c r="CQ284" s="8">
        <f>IF((0=1),(CQ4*CQ4),"")</f>
      </c>
      <c r="CR284" s="8">
        <f>IF((0=1),(CR4*CR4),"")</f>
      </c>
      <c r="CS284" s="8">
        <f>IF((0=1),(CS4*CS4),"")</f>
      </c>
      <c r="CT284" s="8">
        <f>IF((0=1),(CT4*CT4),"")</f>
      </c>
      <c r="CU284" s="8">
        <f>IF((0=1),(CU4*CU4),"")</f>
      </c>
      <c r="CV284" s="8">
        <f>IF((0=1),(CV4*CV4),"")</f>
      </c>
      <c r="CW284" s="8">
        <f>IF((0=1),(CW4*CW4),"")</f>
      </c>
      <c r="CX284" s="8">
        <f>IF((0=1),(CX4*CX4),"")</f>
      </c>
    </row>
    <row r="285">
      <c r="A285" s="0" t="inlineStr">
        <is>
          <t xml:space="preserve">Squared excess</t>
        </is>
      </c>
      <c r="B285" s="0" t="inlineStr">
        <is>
          <t xml:space="preserve">top 100 by 12-1 month return</t>
        </is>
      </c>
      <c r="C285" s="8">
        <f>IF((1=1),(C5*C5),"")</f>
        <v>553.755024</v>
      </c>
      <c r="D285" s="8">
        <f>IF((0=1),(D5*D5),"")</f>
      </c>
      <c r="E285" s="8">
        <f>IF((0=1),(E5*E5),"")</f>
      </c>
      <c r="F285" s="8">
        <f>IF((0=1),(F5*F5),"")</f>
      </c>
      <c r="G285" s="8">
        <f>IF((0=1),(G5*G5),"")</f>
      </c>
      <c r="H285" s="8">
        <f>IF((0=1),(H5*H5),"")</f>
      </c>
      <c r="I285" s="8">
        <f>IF((0=1),(I5*I5),"")</f>
      </c>
      <c r="J285" s="8">
        <f>IF((0=1),(J5*J5),"")</f>
      </c>
      <c r="K285" s="8">
        <f>IF((0=1),(K5*K5),"")</f>
      </c>
      <c r="L285" s="8">
        <f>IF((0=1),(L5*L5),"")</f>
      </c>
      <c r="M285" s="8">
        <f>IF((0=1),(M5*M5),"")</f>
      </c>
      <c r="N285" s="8">
        <f>IF((0=1),(N5*N5),"")</f>
      </c>
      <c r="O285" s="8">
        <f>IF((0=1),(O5*O5),"")</f>
      </c>
      <c r="P285" s="8">
        <f>IF((0=1),(P5*P5),"")</f>
      </c>
      <c r="Q285" s="8">
        <f>IF((0=1),(Q5*Q5),"")</f>
      </c>
      <c r="R285" s="8">
        <f>IF((0=1),(R5*R5),"")</f>
      </c>
      <c r="S285" s="8">
        <f>IF((0=1),(S5*S5),"")</f>
      </c>
      <c r="T285" s="8">
        <f>IF((0=1),(T5*T5),"")</f>
      </c>
      <c r="U285" s="8">
        <f>IF((0=1),(U5*U5),"")</f>
      </c>
      <c r="V285" s="8">
        <f>IF((0=1),(V5*V5),"")</f>
      </c>
      <c r="W285" s="8">
        <f>IF((0=1),(W5*W5),"")</f>
      </c>
      <c r="X285" s="8">
        <f>IF((0=1),(X5*X5),"")</f>
      </c>
      <c r="Y285" s="8">
        <f>IF((0=1),(Y5*Y5),"")</f>
      </c>
      <c r="Z285" s="8">
        <f>IF((0=1),(Z5*Z5),"")</f>
      </c>
      <c r="AA285" s="8">
        <f>IF((0=1),(AA5*AA5),"")</f>
      </c>
      <c r="AB285" s="8">
        <f>IF((0=1),(AB5*AB5),"")</f>
      </c>
      <c r="AC285" s="8">
        <f>IF((0=1),(AC5*AC5),"")</f>
      </c>
      <c r="AD285" s="8">
        <f>IF((0=1),(AD5*AD5),"")</f>
      </c>
      <c r="AE285" s="8">
        <f>IF((0=1),(AE5*AE5),"")</f>
      </c>
      <c r="AF285" s="8">
        <f>IF((0=1),(AF5*AF5),"")</f>
      </c>
      <c r="AG285" s="8">
        <f>IF((0=1),(AG5*AG5),"")</f>
      </c>
      <c r="AH285" s="8">
        <f>IF((0=1),(AH5*AH5),"")</f>
      </c>
      <c r="AI285" s="8">
        <f>IF((0=1),(AI5*AI5),"")</f>
      </c>
      <c r="AJ285" s="8">
        <f>IF((0=1),(AJ5*AJ5),"")</f>
      </c>
      <c r="AK285" s="8">
        <f>IF((0=1),(AK5*AK5),"")</f>
      </c>
      <c r="AL285" s="8">
        <f>IF((0=1),(AL5*AL5),"")</f>
      </c>
      <c r="AM285" s="8">
        <f>IF((0=1),(AM5*AM5),"")</f>
      </c>
      <c r="AN285" s="8">
        <f>IF((0=1),(AN5*AN5),"")</f>
      </c>
      <c r="AO285" s="8">
        <f>IF((0=1),(AO5*AO5),"")</f>
      </c>
      <c r="AP285" s="8">
        <f>IF((0=1),(AP5*AP5),"")</f>
      </c>
      <c r="AQ285" s="8">
        <f>IF((0=1),(AQ5*AQ5),"")</f>
      </c>
      <c r="AR285" s="8">
        <f>IF((0=1),(AR5*AR5),"")</f>
      </c>
      <c r="AS285" s="8">
        <f>IF((0=1),(AS5*AS5),"")</f>
      </c>
      <c r="AT285" s="8">
        <f>IF((0=1),(AT5*AT5),"")</f>
      </c>
      <c r="AU285" s="8">
        <f>IF((0=1),(AU5*AU5),"")</f>
      </c>
      <c r="AV285" s="8">
        <f>IF((0=1),(AV5*AV5),"")</f>
      </c>
      <c r="AW285" s="8">
        <f>IF((0=1),(AW5*AW5),"")</f>
      </c>
      <c r="AX285" s="8">
        <f>IF((0=1),(AX5*AX5),"")</f>
      </c>
      <c r="AY285" s="8">
        <f>IF((0=1),(AY5*AY5),"")</f>
      </c>
      <c r="AZ285" s="8">
        <f>IF((0=1),(AZ5*AZ5),"")</f>
      </c>
      <c r="BA285" s="8">
        <f>IF((0=1),(BA5*BA5),"")</f>
      </c>
      <c r="BB285" s="8">
        <f>IF((0=1),(BB5*BB5),"")</f>
      </c>
      <c r="BC285" s="8">
        <f>IF((0=1),(BC5*BC5),"")</f>
      </c>
      <c r="BD285" s="8">
        <f>IF((0=1),(BD5*BD5),"")</f>
      </c>
      <c r="BE285" s="8">
        <f>IF((0=1),(BE5*BE5),"")</f>
      </c>
      <c r="BF285" s="8">
        <f>IF((0=1),(BF5*BF5),"")</f>
      </c>
      <c r="BG285" s="8">
        <f>IF((0=1),(BG5*BG5),"")</f>
      </c>
      <c r="BH285" s="8">
        <f>IF((0=1),(BH5*BH5),"")</f>
      </c>
      <c r="BI285" s="8">
        <f>IF((0=1),(BI5*BI5),"")</f>
      </c>
      <c r="BJ285" s="8">
        <f>IF((0=1),(BJ5*BJ5),"")</f>
      </c>
      <c r="BK285" s="8">
        <f>IF((0=1),(BK5*BK5),"")</f>
      </c>
      <c r="BL285" s="8">
        <f>IF((0=1),(BL5*BL5),"")</f>
      </c>
      <c r="BM285" s="8">
        <f>IF((0=1),(BM5*BM5),"")</f>
      </c>
      <c r="BN285" s="8">
        <f>IF((0=1),(BN5*BN5),"")</f>
      </c>
      <c r="BO285" s="8">
        <f>IF((0=1),(BO5*BO5),"")</f>
      </c>
      <c r="BP285" s="8">
        <f>IF((0=1),(BP5*BP5),"")</f>
      </c>
      <c r="BQ285" s="8">
        <f>IF((0=1),(BQ5*BQ5),"")</f>
      </c>
      <c r="BR285" s="8">
        <f>IF((0=1),(BR5*BR5),"")</f>
      </c>
      <c r="BS285" s="8">
        <f>IF((0=1),(BS5*BS5),"")</f>
      </c>
      <c r="BT285" s="8">
        <f>IF((0=1),(BT5*BT5),"")</f>
      </c>
      <c r="BU285" s="8">
        <f>IF((0=1),(BU5*BU5),"")</f>
      </c>
      <c r="BV285" s="8">
        <f>IF((0=1),(BV5*BV5),"")</f>
      </c>
      <c r="BW285" s="8">
        <f>IF((0=1),(BW5*BW5),"")</f>
      </c>
      <c r="BX285" s="8">
        <f>IF((0=1),(BX5*BX5),"")</f>
      </c>
      <c r="BY285" s="8">
        <f>IF((0=1),(BY5*BY5),"")</f>
      </c>
      <c r="BZ285" s="8">
        <f>IF((0=1),(BZ5*BZ5),"")</f>
      </c>
      <c r="CA285" s="8">
        <f>IF((0=1),(CA5*CA5),"")</f>
      </c>
      <c r="CB285" s="8">
        <f>IF((0=1),(CB5*CB5),"")</f>
      </c>
      <c r="CC285" s="8">
        <f>IF((0=1),(CC5*CC5),"")</f>
      </c>
      <c r="CD285" s="8">
        <f>IF((0=1),(CD5*CD5),"")</f>
      </c>
      <c r="CE285" s="8">
        <f>IF((0=1),(CE5*CE5),"")</f>
      </c>
      <c r="CF285" s="8">
        <f>IF((0=1),(CF5*CF5),"")</f>
      </c>
      <c r="CG285" s="8">
        <f>IF((0=1),(CG5*CG5),"")</f>
      </c>
      <c r="CH285" s="8">
        <f>IF((0=1),(CH5*CH5),"")</f>
      </c>
      <c r="CI285" s="8">
        <f>IF((0=1),(CI5*CI5),"")</f>
      </c>
      <c r="CJ285" s="8">
        <f>IF((0=1),(CJ5*CJ5),"")</f>
      </c>
      <c r="CK285" s="8">
        <f>IF((0=1),(CK5*CK5),"")</f>
      </c>
      <c r="CL285" s="8">
        <f>IF((0=1),(CL5*CL5),"")</f>
      </c>
      <c r="CM285" s="8">
        <f>IF((0=1),(CM5*CM5),"")</f>
      </c>
      <c r="CN285" s="8">
        <f>IF((0=1),(CN5*CN5),"")</f>
      </c>
      <c r="CO285" s="8">
        <f>IF((0=1),(CO5*CO5),"")</f>
      </c>
      <c r="CP285" s="8">
        <f>IF((0=1),(CP5*CP5),"")</f>
      </c>
      <c r="CQ285" s="8">
        <f>IF((0=1),(CQ5*CQ5),"")</f>
      </c>
      <c r="CR285" s="8">
        <f>IF((0=1),(CR5*CR5),"")</f>
      </c>
      <c r="CS285" s="8">
        <f>IF((0=1),(CS5*CS5),"")</f>
      </c>
      <c r="CT285" s="8">
        <f>IF((0=1),(CT5*CT5),"")</f>
      </c>
      <c r="CU285" s="8">
        <f>IF((0=1),(CU5*CU5),"")</f>
      </c>
      <c r="CV285" s="8">
        <f>IF((0=1),(CV5*CV5),"")</f>
      </c>
      <c r="CW285" s="8">
        <f>IF((0=1),(CW5*CW5),"")</f>
      </c>
      <c r="CX285" s="8">
        <f>IF((0=1),(CX5*CX5),"")</f>
      </c>
    </row>
    <row r="286">
      <c r="A286" s="0" t="inlineStr">
        <is>
          <t xml:space="preserve">Squared excess</t>
        </is>
      </c>
      <c r="B286" s="0" t="inlineStr">
        <is>
          <t xml:space="preserve">best 100 by yesterday's close-to-close return</t>
        </is>
      </c>
      <c r="C286" s="8">
        <f>IF((1=1),(C6*C6),"")</f>
        <v>209.17836899999998</v>
      </c>
      <c r="D286" s="8">
        <f>IF((0=1),(D6*D6),"")</f>
      </c>
      <c r="E286" s="8">
        <f>IF((0=1),(E6*E6),"")</f>
      </c>
      <c r="F286" s="8">
        <f>IF((0=1),(F6*F6),"")</f>
      </c>
      <c r="G286" s="8">
        <f>IF((0=1),(G6*G6),"")</f>
      </c>
      <c r="H286" s="8">
        <f>IF((0=1),(H6*H6),"")</f>
      </c>
      <c r="I286" s="8">
        <f>IF((0=1),(I6*I6),"")</f>
      </c>
      <c r="J286" s="8">
        <f>IF((0=1),(J6*J6),"")</f>
      </c>
      <c r="K286" s="8">
        <f>IF((0=1),(K6*K6),"")</f>
      </c>
      <c r="L286" s="8">
        <f>IF((0=1),(L6*L6),"")</f>
      </c>
      <c r="M286" s="8">
        <f>IF((0=1),(M6*M6),"")</f>
      </c>
      <c r="N286" s="8">
        <f>IF((0=1),(N6*N6),"")</f>
      </c>
      <c r="O286" s="8">
        <f>IF((0=1),(O6*O6),"")</f>
      </c>
      <c r="P286" s="8">
        <f>IF((0=1),(P6*P6),"")</f>
      </c>
      <c r="Q286" s="8">
        <f>IF((0=1),(Q6*Q6),"")</f>
      </c>
      <c r="R286" s="8">
        <f>IF((0=1),(R6*R6),"")</f>
      </c>
      <c r="S286" s="8">
        <f>IF((0=1),(S6*S6),"")</f>
      </c>
      <c r="T286" s="8">
        <f>IF((0=1),(T6*T6),"")</f>
      </c>
      <c r="U286" s="8">
        <f>IF((0=1),(U6*U6),"")</f>
      </c>
      <c r="V286" s="8">
        <f>IF((0=1),(V6*V6),"")</f>
      </c>
      <c r="W286" s="8">
        <f>IF((0=1),(W6*W6),"")</f>
      </c>
      <c r="X286" s="8">
        <f>IF((0=1),(X6*X6),"")</f>
      </c>
      <c r="Y286" s="8">
        <f>IF((0=1),(Y6*Y6),"")</f>
      </c>
      <c r="Z286" s="8">
        <f>IF((0=1),(Z6*Z6),"")</f>
      </c>
      <c r="AA286" s="8">
        <f>IF((0=1),(AA6*AA6),"")</f>
      </c>
      <c r="AB286" s="8">
        <f>IF((0=1),(AB6*AB6),"")</f>
      </c>
      <c r="AC286" s="8">
        <f>IF((0=1),(AC6*AC6),"")</f>
      </c>
      <c r="AD286" s="8">
        <f>IF((0=1),(AD6*AD6),"")</f>
      </c>
      <c r="AE286" s="8">
        <f>IF((0=1),(AE6*AE6),"")</f>
      </c>
      <c r="AF286" s="8">
        <f>IF((0=1),(AF6*AF6),"")</f>
      </c>
      <c r="AG286" s="8">
        <f>IF((0=1),(AG6*AG6),"")</f>
      </c>
      <c r="AH286" s="8">
        <f>IF((0=1),(AH6*AH6),"")</f>
      </c>
      <c r="AI286" s="8">
        <f>IF((0=1),(AI6*AI6),"")</f>
      </c>
      <c r="AJ286" s="8">
        <f>IF((0=1),(AJ6*AJ6),"")</f>
      </c>
      <c r="AK286" s="8">
        <f>IF((0=1),(AK6*AK6),"")</f>
      </c>
      <c r="AL286" s="8">
        <f>IF((0=1),(AL6*AL6),"")</f>
      </c>
      <c r="AM286" s="8">
        <f>IF((0=1),(AM6*AM6),"")</f>
      </c>
      <c r="AN286" s="8">
        <f>IF((0=1),(AN6*AN6),"")</f>
      </c>
      <c r="AO286" s="8">
        <f>IF((0=1),(AO6*AO6),"")</f>
      </c>
      <c r="AP286" s="8">
        <f>IF((0=1),(AP6*AP6),"")</f>
      </c>
      <c r="AQ286" s="8">
        <f>IF((0=1),(AQ6*AQ6),"")</f>
      </c>
      <c r="AR286" s="8">
        <f>IF((0=1),(AR6*AR6),"")</f>
      </c>
      <c r="AS286" s="8">
        <f>IF((0=1),(AS6*AS6),"")</f>
      </c>
      <c r="AT286" s="8">
        <f>IF((0=1),(AT6*AT6),"")</f>
      </c>
      <c r="AU286" s="8">
        <f>IF((0=1),(AU6*AU6),"")</f>
      </c>
      <c r="AV286" s="8">
        <f>IF((0=1),(AV6*AV6),"")</f>
      </c>
      <c r="AW286" s="8">
        <f>IF((0=1),(AW6*AW6),"")</f>
      </c>
      <c r="AX286" s="8">
        <f>IF((0=1),(AX6*AX6),"")</f>
      </c>
      <c r="AY286" s="8">
        <f>IF((0=1),(AY6*AY6),"")</f>
      </c>
      <c r="AZ286" s="8">
        <f>IF((0=1),(AZ6*AZ6),"")</f>
      </c>
      <c r="BA286" s="8">
        <f>IF((0=1),(BA6*BA6),"")</f>
      </c>
      <c r="BB286" s="8">
        <f>IF((0=1),(BB6*BB6),"")</f>
      </c>
      <c r="BC286" s="8">
        <f>IF((0=1),(BC6*BC6),"")</f>
      </c>
      <c r="BD286" s="8">
        <f>IF((0=1),(BD6*BD6),"")</f>
      </c>
      <c r="BE286" s="8">
        <f>IF((0=1),(BE6*BE6),"")</f>
      </c>
      <c r="BF286" s="8">
        <f>IF((0=1),(BF6*BF6),"")</f>
      </c>
      <c r="BG286" s="8">
        <f>IF((0=1),(BG6*BG6),"")</f>
      </c>
      <c r="BH286" s="8">
        <f>IF((0=1),(BH6*BH6),"")</f>
      </c>
      <c r="BI286" s="8">
        <f>IF((0=1),(BI6*BI6),"")</f>
      </c>
      <c r="BJ286" s="8">
        <f>IF((0=1),(BJ6*BJ6),"")</f>
      </c>
      <c r="BK286" s="8">
        <f>IF((0=1),(BK6*BK6),"")</f>
      </c>
      <c r="BL286" s="8">
        <f>IF((0=1),(BL6*BL6),"")</f>
      </c>
      <c r="BM286" s="8">
        <f>IF((0=1),(BM6*BM6),"")</f>
      </c>
      <c r="BN286" s="8">
        <f>IF((0=1),(BN6*BN6),"")</f>
      </c>
      <c r="BO286" s="8">
        <f>IF((0=1),(BO6*BO6),"")</f>
      </c>
      <c r="BP286" s="8">
        <f>IF((0=1),(BP6*BP6),"")</f>
      </c>
      <c r="BQ286" s="8">
        <f>IF((0=1),(BQ6*BQ6),"")</f>
      </c>
      <c r="BR286" s="8">
        <f>IF((0=1),(BR6*BR6),"")</f>
      </c>
      <c r="BS286" s="8">
        <f>IF((0=1),(BS6*BS6),"")</f>
      </c>
      <c r="BT286" s="8">
        <f>IF((0=1),(BT6*BT6),"")</f>
      </c>
      <c r="BU286" s="8">
        <f>IF((0=1),(BU6*BU6),"")</f>
      </c>
      <c r="BV286" s="8">
        <f>IF((0=1),(BV6*BV6),"")</f>
      </c>
      <c r="BW286" s="8">
        <f>IF((0=1),(BW6*BW6),"")</f>
      </c>
      <c r="BX286" s="8">
        <f>IF((0=1),(BX6*BX6),"")</f>
      </c>
      <c r="BY286" s="8">
        <f>IF((0=1),(BY6*BY6),"")</f>
      </c>
      <c r="BZ286" s="8">
        <f>IF((0=1),(BZ6*BZ6),"")</f>
      </c>
      <c r="CA286" s="8">
        <f>IF((0=1),(CA6*CA6),"")</f>
      </c>
      <c r="CB286" s="8">
        <f>IF((0=1),(CB6*CB6),"")</f>
      </c>
      <c r="CC286" s="8">
        <f>IF((0=1),(CC6*CC6),"")</f>
      </c>
      <c r="CD286" s="8">
        <f>IF((0=1),(CD6*CD6),"")</f>
      </c>
      <c r="CE286" s="8">
        <f>IF((0=1),(CE6*CE6),"")</f>
      </c>
      <c r="CF286" s="8">
        <f>IF((0=1),(CF6*CF6),"")</f>
      </c>
      <c r="CG286" s="8">
        <f>IF((0=1),(CG6*CG6),"")</f>
      </c>
      <c r="CH286" s="8">
        <f>IF((0=1),(CH6*CH6),"")</f>
      </c>
      <c r="CI286" s="8">
        <f>IF((0=1),(CI6*CI6),"")</f>
      </c>
      <c r="CJ286" s="8">
        <f>IF((0=1),(CJ6*CJ6),"")</f>
      </c>
      <c r="CK286" s="8">
        <f>IF((0=1),(CK6*CK6),"")</f>
      </c>
      <c r="CL286" s="8">
        <f>IF((0=1),(CL6*CL6),"")</f>
      </c>
      <c r="CM286" s="8">
        <f>IF((0=1),(CM6*CM6),"")</f>
      </c>
      <c r="CN286" s="8">
        <f>IF((0=1),(CN6*CN6),"")</f>
      </c>
      <c r="CO286" s="8">
        <f>IF((0=1),(CO6*CO6),"")</f>
      </c>
      <c r="CP286" s="8">
        <f>IF((0=1),(CP6*CP6),"")</f>
      </c>
      <c r="CQ286" s="8">
        <f>IF((0=1),(CQ6*CQ6),"")</f>
      </c>
      <c r="CR286" s="8">
        <f>IF((0=1),(CR6*CR6),"")</f>
      </c>
      <c r="CS286" s="8">
        <f>IF((0=1),(CS6*CS6),"")</f>
      </c>
      <c r="CT286" s="8">
        <f>IF((0=1),(CT6*CT6),"")</f>
      </c>
      <c r="CU286" s="8">
        <f>IF((0=1),(CU6*CU6),"")</f>
      </c>
      <c r="CV286" s="8">
        <f>IF((0=1),(CV6*CV6),"")</f>
      </c>
      <c r="CW286" s="8">
        <f>IF((0=1),(CW6*CW6),"")</f>
      </c>
      <c r="CX286" s="8">
        <f>IF((0=1),(CX6*CX6),"")</f>
      </c>
    </row>
    <row r="287">
      <c r="A287" s="0" t="inlineStr">
        <is>
          <t xml:space="preserve">Squared excess</t>
        </is>
      </c>
      <c r="B287" s="0" t="inlineStr">
        <is>
          <t xml:space="preserve">Retail Attention Overnight</t>
        </is>
      </c>
      <c r="C287" s="8">
        <f>IF((1=1),(C7*C7),"")</f>
        <v>382.5935999999999</v>
      </c>
      <c r="D287" s="8">
        <f>IF((0=1),(D7*D7),"")</f>
      </c>
      <c r="E287" s="8">
        <f>IF((0=1),(E7*E7),"")</f>
      </c>
      <c r="F287" s="8">
        <f>IF((0=1),(F7*F7),"")</f>
      </c>
      <c r="G287" s="8">
        <f>IF((0=1),(G7*G7),"")</f>
      </c>
      <c r="H287" s="8">
        <f>IF((0=1),(H7*H7),"")</f>
      </c>
      <c r="I287" s="8">
        <f>IF((0=1),(I7*I7),"")</f>
      </c>
      <c r="J287" s="8">
        <f>IF((0=1),(J7*J7),"")</f>
      </c>
      <c r="K287" s="8">
        <f>IF((0=1),(K7*K7),"")</f>
      </c>
      <c r="L287" s="8">
        <f>IF((0=1),(L7*L7),"")</f>
      </c>
      <c r="M287" s="8">
        <f>IF((0=1),(M7*M7),"")</f>
      </c>
      <c r="N287" s="8">
        <f>IF((0=1),(N7*N7),"")</f>
      </c>
      <c r="O287" s="8">
        <f>IF((0=1),(O7*O7),"")</f>
      </c>
      <c r="P287" s="8">
        <f>IF((0=1),(P7*P7),"")</f>
      </c>
      <c r="Q287" s="8">
        <f>IF((0=1),(Q7*Q7),"")</f>
      </c>
      <c r="R287" s="8">
        <f>IF((0=1),(R7*R7),"")</f>
      </c>
      <c r="S287" s="8">
        <f>IF((0=1),(S7*S7),"")</f>
      </c>
      <c r="T287" s="8">
        <f>IF((0=1),(T7*T7),"")</f>
      </c>
      <c r="U287" s="8">
        <f>IF((0=1),(U7*U7),"")</f>
      </c>
      <c r="V287" s="8">
        <f>IF((0=1),(V7*V7),"")</f>
      </c>
      <c r="W287" s="8">
        <f>IF((0=1),(W7*W7),"")</f>
      </c>
      <c r="X287" s="8">
        <f>IF((0=1),(X7*X7),"")</f>
      </c>
      <c r="Y287" s="8">
        <f>IF((0=1),(Y7*Y7),"")</f>
      </c>
      <c r="Z287" s="8">
        <f>IF((0=1),(Z7*Z7),"")</f>
      </c>
      <c r="AA287" s="8">
        <f>IF((0=1),(AA7*AA7),"")</f>
      </c>
      <c r="AB287" s="8">
        <f>IF((0=1),(AB7*AB7),"")</f>
      </c>
      <c r="AC287" s="8">
        <f>IF((0=1),(AC7*AC7),"")</f>
      </c>
      <c r="AD287" s="8">
        <f>IF((0=1),(AD7*AD7),"")</f>
      </c>
      <c r="AE287" s="8">
        <f>IF((0=1),(AE7*AE7),"")</f>
      </c>
      <c r="AF287" s="8">
        <f>IF((0=1),(AF7*AF7),"")</f>
      </c>
      <c r="AG287" s="8">
        <f>IF((0=1),(AG7*AG7),"")</f>
      </c>
      <c r="AH287" s="8">
        <f>IF((0=1),(AH7*AH7),"")</f>
      </c>
      <c r="AI287" s="8">
        <f>IF((0=1),(AI7*AI7),"")</f>
      </c>
      <c r="AJ287" s="8">
        <f>IF((0=1),(AJ7*AJ7),"")</f>
      </c>
      <c r="AK287" s="8">
        <f>IF((0=1),(AK7*AK7),"")</f>
      </c>
      <c r="AL287" s="8">
        <f>IF((0=1),(AL7*AL7),"")</f>
      </c>
      <c r="AM287" s="8">
        <f>IF((0=1),(AM7*AM7),"")</f>
      </c>
      <c r="AN287" s="8">
        <f>IF((0=1),(AN7*AN7),"")</f>
      </c>
      <c r="AO287" s="8">
        <f>IF((0=1),(AO7*AO7),"")</f>
      </c>
      <c r="AP287" s="8">
        <f>IF((0=1),(AP7*AP7),"")</f>
      </c>
      <c r="AQ287" s="8">
        <f>IF((0=1),(AQ7*AQ7),"")</f>
      </c>
      <c r="AR287" s="8">
        <f>IF((0=1),(AR7*AR7),"")</f>
      </c>
      <c r="AS287" s="8">
        <f>IF((0=1),(AS7*AS7),"")</f>
      </c>
      <c r="AT287" s="8">
        <f>IF((0=1),(AT7*AT7),"")</f>
      </c>
      <c r="AU287" s="8">
        <f>IF((0=1),(AU7*AU7),"")</f>
      </c>
      <c r="AV287" s="8">
        <f>IF((0=1),(AV7*AV7),"")</f>
      </c>
      <c r="AW287" s="8">
        <f>IF((0=1),(AW7*AW7),"")</f>
      </c>
      <c r="AX287" s="8">
        <f>IF((0=1),(AX7*AX7),"")</f>
      </c>
      <c r="AY287" s="8">
        <f>IF((0=1),(AY7*AY7),"")</f>
      </c>
      <c r="AZ287" s="8">
        <f>IF((0=1),(AZ7*AZ7),"")</f>
      </c>
      <c r="BA287" s="8">
        <f>IF((0=1),(BA7*BA7),"")</f>
      </c>
      <c r="BB287" s="8">
        <f>IF((0=1),(BB7*BB7),"")</f>
      </c>
      <c r="BC287" s="8">
        <f>IF((0=1),(BC7*BC7),"")</f>
      </c>
      <c r="BD287" s="8">
        <f>IF((0=1),(BD7*BD7),"")</f>
      </c>
      <c r="BE287" s="8">
        <f>IF((0=1),(BE7*BE7),"")</f>
      </c>
      <c r="BF287" s="8">
        <f>IF((0=1),(BF7*BF7),"")</f>
      </c>
      <c r="BG287" s="8">
        <f>IF((0=1),(BG7*BG7),"")</f>
      </c>
      <c r="BH287" s="8">
        <f>IF((0=1),(BH7*BH7),"")</f>
      </c>
      <c r="BI287" s="8">
        <f>IF((0=1),(BI7*BI7),"")</f>
      </c>
      <c r="BJ287" s="8">
        <f>IF((0=1),(BJ7*BJ7),"")</f>
      </c>
      <c r="BK287" s="8">
        <f>IF((0=1),(BK7*BK7),"")</f>
      </c>
      <c r="BL287" s="8">
        <f>IF((0=1),(BL7*BL7),"")</f>
      </c>
      <c r="BM287" s="8">
        <f>IF((0=1),(BM7*BM7),"")</f>
      </c>
      <c r="BN287" s="8">
        <f>IF((0=1),(BN7*BN7),"")</f>
      </c>
      <c r="BO287" s="8">
        <f>IF((0=1),(BO7*BO7),"")</f>
      </c>
      <c r="BP287" s="8">
        <f>IF((0=1),(BP7*BP7),"")</f>
      </c>
      <c r="BQ287" s="8">
        <f>IF((0=1),(BQ7*BQ7),"")</f>
      </c>
      <c r="BR287" s="8">
        <f>IF((0=1),(BR7*BR7),"")</f>
      </c>
      <c r="BS287" s="8">
        <f>IF((0=1),(BS7*BS7),"")</f>
      </c>
      <c r="BT287" s="8">
        <f>IF((0=1),(BT7*BT7),"")</f>
      </c>
      <c r="BU287" s="8">
        <f>IF((0=1),(BU7*BU7),"")</f>
      </c>
      <c r="BV287" s="8">
        <f>IF((0=1),(BV7*BV7),"")</f>
      </c>
      <c r="BW287" s="8">
        <f>IF((0=1),(BW7*BW7),"")</f>
      </c>
      <c r="BX287" s="8">
        <f>IF((0=1),(BX7*BX7),"")</f>
      </c>
      <c r="BY287" s="8">
        <f>IF((0=1),(BY7*BY7),"")</f>
      </c>
      <c r="BZ287" s="8">
        <f>IF((0=1),(BZ7*BZ7),"")</f>
      </c>
      <c r="CA287" s="8">
        <f>IF((0=1),(CA7*CA7),"")</f>
      </c>
      <c r="CB287" s="8">
        <f>IF((0=1),(CB7*CB7),"")</f>
      </c>
      <c r="CC287" s="8">
        <f>IF((0=1),(CC7*CC7),"")</f>
      </c>
      <c r="CD287" s="8">
        <f>IF((0=1),(CD7*CD7),"")</f>
      </c>
      <c r="CE287" s="8">
        <f>IF((0=1),(CE7*CE7),"")</f>
      </c>
      <c r="CF287" s="8">
        <f>IF((0=1),(CF7*CF7),"")</f>
      </c>
      <c r="CG287" s="8">
        <f>IF((0=1),(CG7*CG7),"")</f>
      </c>
      <c r="CH287" s="8">
        <f>IF((0=1),(CH7*CH7),"")</f>
      </c>
      <c r="CI287" s="8">
        <f>IF((0=1),(CI7*CI7),"")</f>
      </c>
      <c r="CJ287" s="8">
        <f>IF((0=1),(CJ7*CJ7),"")</f>
      </c>
      <c r="CK287" s="8">
        <f>IF((0=1),(CK7*CK7),"")</f>
      </c>
      <c r="CL287" s="8">
        <f>IF((0=1),(CL7*CL7),"")</f>
      </c>
      <c r="CM287" s="8">
        <f>IF((0=1),(CM7*CM7),"")</f>
      </c>
      <c r="CN287" s="8">
        <f>IF((0=1),(CN7*CN7),"")</f>
      </c>
      <c r="CO287" s="8">
        <f>IF((0=1),(CO7*CO7),"")</f>
      </c>
      <c r="CP287" s="8">
        <f>IF((0=1),(CP7*CP7),"")</f>
      </c>
      <c r="CQ287" s="8">
        <f>IF((0=1),(CQ7*CQ7),"")</f>
      </c>
      <c r="CR287" s="8">
        <f>IF((0=1),(CR7*CR7),"")</f>
      </c>
      <c r="CS287" s="8">
        <f>IF((0=1),(CS7*CS7),"")</f>
      </c>
      <c r="CT287" s="8">
        <f>IF((0=1),(CT7*CT7),"")</f>
      </c>
      <c r="CU287" s="8">
        <f>IF((0=1),(CU7*CU7),"")</f>
      </c>
      <c r="CV287" s="8">
        <f>IF((0=1),(CV7*CV7),"")</f>
      </c>
      <c r="CW287" s="8">
        <f>IF((0=1),(CW7*CW7),"")</f>
      </c>
      <c r="CX287" s="8">
        <f>IF((0=1),(CX7*CX7),"")</f>
      </c>
    </row>
    <row r="288">
      <c r="A288" s="0" t="inlineStr">
        <is>
          <t xml:space="preserve">Squared excess</t>
        </is>
      </c>
      <c r="B288" s="0" t="inlineStr">
        <is>
          <t xml:space="preserve">Post-Earnings Drift, Overnight Leg</t>
        </is>
      </c>
      <c r="C288" s="8">
        <f>IF((1=1),(C8*C8),"")</f>
        <v>136.983616</v>
      </c>
      <c r="D288" s="8">
        <f>IF((0=1),(D8*D8),"")</f>
      </c>
      <c r="E288" s="8">
        <f>IF((0=1),(E8*E8),"")</f>
      </c>
      <c r="F288" s="8">
        <f>IF((0=1),(F8*F8),"")</f>
      </c>
      <c r="G288" s="8">
        <f>IF((0=1),(G8*G8),"")</f>
      </c>
      <c r="H288" s="8">
        <f>IF((0=1),(H8*H8),"")</f>
      </c>
      <c r="I288" s="8">
        <f>IF((0=1),(I8*I8),"")</f>
      </c>
      <c r="J288" s="8">
        <f>IF((0=1),(J8*J8),"")</f>
      </c>
      <c r="K288" s="8">
        <f>IF((0=1),(K8*K8),"")</f>
      </c>
      <c r="L288" s="8">
        <f>IF((0=1),(L8*L8),"")</f>
      </c>
      <c r="M288" s="8">
        <f>IF((0=1),(M8*M8),"")</f>
      </c>
      <c r="N288" s="8">
        <f>IF((0=1),(N8*N8),"")</f>
      </c>
      <c r="O288" s="8">
        <f>IF((0=1),(O8*O8),"")</f>
      </c>
      <c r="P288" s="8">
        <f>IF((0=1),(P8*P8),"")</f>
      </c>
      <c r="Q288" s="8">
        <f>IF((0=1),(Q8*Q8),"")</f>
      </c>
      <c r="R288" s="8">
        <f>IF((0=1),(R8*R8),"")</f>
      </c>
      <c r="S288" s="8">
        <f>IF((0=1),(S8*S8),"")</f>
      </c>
      <c r="T288" s="8">
        <f>IF((0=1),(T8*T8),"")</f>
      </c>
      <c r="U288" s="8">
        <f>IF((0=1),(U8*U8),"")</f>
      </c>
      <c r="V288" s="8">
        <f>IF((0=1),(V8*V8),"")</f>
      </c>
      <c r="W288" s="8">
        <f>IF((0=1),(W8*W8),"")</f>
      </c>
      <c r="X288" s="8">
        <f>IF((0=1),(X8*X8),"")</f>
      </c>
      <c r="Y288" s="8">
        <f>IF((0=1),(Y8*Y8),"")</f>
      </c>
      <c r="Z288" s="8">
        <f>IF((0=1),(Z8*Z8),"")</f>
      </c>
      <c r="AA288" s="8">
        <f>IF((0=1),(AA8*AA8),"")</f>
      </c>
      <c r="AB288" s="8">
        <f>IF((0=1),(AB8*AB8),"")</f>
      </c>
      <c r="AC288" s="8">
        <f>IF((0=1),(AC8*AC8),"")</f>
      </c>
      <c r="AD288" s="8">
        <f>IF((0=1),(AD8*AD8),"")</f>
      </c>
      <c r="AE288" s="8">
        <f>IF((0=1),(AE8*AE8),"")</f>
      </c>
      <c r="AF288" s="8">
        <f>IF((0=1),(AF8*AF8),"")</f>
      </c>
      <c r="AG288" s="8">
        <f>IF((0=1),(AG8*AG8),"")</f>
      </c>
      <c r="AH288" s="8">
        <f>IF((0=1),(AH8*AH8),"")</f>
      </c>
      <c r="AI288" s="8">
        <f>IF((0=1),(AI8*AI8),"")</f>
      </c>
      <c r="AJ288" s="8">
        <f>IF((0=1),(AJ8*AJ8),"")</f>
      </c>
      <c r="AK288" s="8">
        <f>IF((0=1),(AK8*AK8),"")</f>
      </c>
      <c r="AL288" s="8">
        <f>IF((0=1),(AL8*AL8),"")</f>
      </c>
      <c r="AM288" s="8">
        <f>IF((0=1),(AM8*AM8),"")</f>
      </c>
      <c r="AN288" s="8">
        <f>IF((0=1),(AN8*AN8),"")</f>
      </c>
      <c r="AO288" s="8">
        <f>IF((0=1),(AO8*AO8),"")</f>
      </c>
      <c r="AP288" s="8">
        <f>IF((0=1),(AP8*AP8),"")</f>
      </c>
      <c r="AQ288" s="8">
        <f>IF((0=1),(AQ8*AQ8),"")</f>
      </c>
      <c r="AR288" s="8">
        <f>IF((0=1),(AR8*AR8),"")</f>
      </c>
      <c r="AS288" s="8">
        <f>IF((0=1),(AS8*AS8),"")</f>
      </c>
      <c r="AT288" s="8">
        <f>IF((0=1),(AT8*AT8),"")</f>
      </c>
      <c r="AU288" s="8">
        <f>IF((0=1),(AU8*AU8),"")</f>
      </c>
      <c r="AV288" s="8">
        <f>IF((0=1),(AV8*AV8),"")</f>
      </c>
      <c r="AW288" s="8">
        <f>IF((0=1),(AW8*AW8),"")</f>
      </c>
      <c r="AX288" s="8">
        <f>IF((0=1),(AX8*AX8),"")</f>
      </c>
      <c r="AY288" s="8">
        <f>IF((0=1),(AY8*AY8),"")</f>
      </c>
      <c r="AZ288" s="8">
        <f>IF((0=1),(AZ8*AZ8),"")</f>
      </c>
      <c r="BA288" s="8">
        <f>IF((0=1),(BA8*BA8),"")</f>
      </c>
      <c r="BB288" s="8">
        <f>IF((0=1),(BB8*BB8),"")</f>
      </c>
      <c r="BC288" s="8">
        <f>IF((0=1),(BC8*BC8),"")</f>
      </c>
      <c r="BD288" s="8">
        <f>IF((0=1),(BD8*BD8),"")</f>
      </c>
      <c r="BE288" s="8">
        <f>IF((0=1),(BE8*BE8),"")</f>
      </c>
      <c r="BF288" s="8">
        <f>IF((0=1),(BF8*BF8),"")</f>
      </c>
      <c r="BG288" s="8">
        <f>IF((0=1),(BG8*BG8),"")</f>
      </c>
      <c r="BH288" s="8">
        <f>IF((0=1),(BH8*BH8),"")</f>
      </c>
      <c r="BI288" s="8">
        <f>IF((0=1),(BI8*BI8),"")</f>
      </c>
      <c r="BJ288" s="8">
        <f>IF((0=1),(BJ8*BJ8),"")</f>
      </c>
      <c r="BK288" s="8">
        <f>IF((0=1),(BK8*BK8),"")</f>
      </c>
      <c r="BL288" s="8">
        <f>IF((0=1),(BL8*BL8),"")</f>
      </c>
      <c r="BM288" s="8">
        <f>IF((0=1),(BM8*BM8),"")</f>
      </c>
      <c r="BN288" s="8">
        <f>IF((0=1),(BN8*BN8),"")</f>
      </c>
      <c r="BO288" s="8">
        <f>IF((0=1),(BO8*BO8),"")</f>
      </c>
      <c r="BP288" s="8">
        <f>IF((0=1),(BP8*BP8),"")</f>
      </c>
      <c r="BQ288" s="8">
        <f>IF((0=1),(BQ8*BQ8),"")</f>
      </c>
      <c r="BR288" s="8">
        <f>IF((0=1),(BR8*BR8),"")</f>
      </c>
      <c r="BS288" s="8">
        <f>IF((0=1),(BS8*BS8),"")</f>
      </c>
      <c r="BT288" s="8">
        <f>IF((0=1),(BT8*BT8),"")</f>
      </c>
      <c r="BU288" s="8">
        <f>IF((0=1),(BU8*BU8),"")</f>
      </c>
      <c r="BV288" s="8">
        <f>IF((0=1),(BV8*BV8),"")</f>
      </c>
      <c r="BW288" s="8">
        <f>IF((0=1),(BW8*BW8),"")</f>
      </c>
      <c r="BX288" s="8">
        <f>IF((0=1),(BX8*BX8),"")</f>
      </c>
      <c r="BY288" s="8">
        <f>IF((0=1),(BY8*BY8),"")</f>
      </c>
      <c r="BZ288" s="8">
        <f>IF((0=1),(BZ8*BZ8),"")</f>
      </c>
      <c r="CA288" s="8">
        <f>IF((0=1),(CA8*CA8),"")</f>
      </c>
      <c r="CB288" s="8">
        <f>IF((0=1),(CB8*CB8),"")</f>
      </c>
      <c r="CC288" s="8">
        <f>IF((0=1),(CC8*CC8),"")</f>
      </c>
      <c r="CD288" s="8">
        <f>IF((0=1),(CD8*CD8),"")</f>
      </c>
      <c r="CE288" s="8">
        <f>IF((0=1),(CE8*CE8),"")</f>
      </c>
      <c r="CF288" s="8">
        <f>IF((0=1),(CF8*CF8),"")</f>
      </c>
      <c r="CG288" s="8">
        <f>IF((0=1),(CG8*CG8),"")</f>
      </c>
      <c r="CH288" s="8">
        <f>IF((0=1),(CH8*CH8),"")</f>
      </c>
      <c r="CI288" s="8">
        <f>IF((0=1),(CI8*CI8),"")</f>
      </c>
      <c r="CJ288" s="8">
        <f>IF((0=1),(CJ8*CJ8),"")</f>
      </c>
      <c r="CK288" s="8">
        <f>IF((0=1),(CK8*CK8),"")</f>
      </c>
      <c r="CL288" s="8">
        <f>IF((0=1),(CL8*CL8),"")</f>
      </c>
      <c r="CM288" s="8">
        <f>IF((0=1),(CM8*CM8),"")</f>
      </c>
      <c r="CN288" s="8">
        <f>IF((0=1),(CN8*CN8),"")</f>
      </c>
      <c r="CO288" s="8">
        <f>IF((0=1),(CO8*CO8),"")</f>
      </c>
      <c r="CP288" s="8">
        <f>IF((0=1),(CP8*CP8),"")</f>
      </c>
      <c r="CQ288" s="8">
        <f>IF((0=1),(CQ8*CQ8),"")</f>
      </c>
      <c r="CR288" s="8">
        <f>IF((0=1),(CR8*CR8),"")</f>
      </c>
      <c r="CS288" s="8">
        <f>IF((0=1),(CS8*CS8),"")</f>
      </c>
      <c r="CT288" s="8">
        <f>IF((0=1),(CT8*CT8),"")</f>
      </c>
      <c r="CU288" s="8">
        <f>IF((0=1),(CU8*CU8),"")</f>
      </c>
      <c r="CV288" s="8">
        <f>IF((0=1),(CV8*CV8),"")</f>
      </c>
      <c r="CW288" s="8">
        <f>IF((0=1),(CW8*CW8),"")</f>
      </c>
      <c r="CX288" s="8">
        <f>IF((0=1),(CX8*CX8),"")</f>
      </c>
    </row>
    <row r="289">
      <c r="A289" s="0" t="inlineStr">
        <is>
          <t xml:space="preserve">Squared excess</t>
        </is>
      </c>
      <c r="B289" s="0" t="inlineStr">
        <is>
          <t xml:space="preserve">Intraday-to-Overnight Reversal</t>
        </is>
      </c>
      <c r="C289" s="8">
        <f>IF((1=1),(C9*C9),"")</f>
        <v>16.793604</v>
      </c>
      <c r="D289" s="8">
        <f>IF((0=1),(D9*D9),"")</f>
      </c>
      <c r="E289" s="8">
        <f>IF((0=1),(E9*E9),"")</f>
      </c>
      <c r="F289" s="8">
        <f>IF((0=1),(F9*F9),"")</f>
      </c>
      <c r="G289" s="8">
        <f>IF((0=1),(G9*G9),"")</f>
      </c>
      <c r="H289" s="8">
        <f>IF((0=1),(H9*H9),"")</f>
      </c>
      <c r="I289" s="8">
        <f>IF((0=1),(I9*I9),"")</f>
      </c>
      <c r="J289" s="8">
        <f>IF((0=1),(J9*J9),"")</f>
      </c>
      <c r="K289" s="8">
        <f>IF((0=1),(K9*K9),"")</f>
      </c>
      <c r="L289" s="8">
        <f>IF((0=1),(L9*L9),"")</f>
      </c>
      <c r="M289" s="8">
        <f>IF((0=1),(M9*M9),"")</f>
      </c>
      <c r="N289" s="8">
        <f>IF((0=1),(N9*N9),"")</f>
      </c>
      <c r="O289" s="8">
        <f>IF((0=1),(O9*O9),"")</f>
      </c>
      <c r="P289" s="8">
        <f>IF((0=1),(P9*P9),"")</f>
      </c>
      <c r="Q289" s="8">
        <f>IF((0=1),(Q9*Q9),"")</f>
      </c>
      <c r="R289" s="8">
        <f>IF((0=1),(R9*R9),"")</f>
      </c>
      <c r="S289" s="8">
        <f>IF((0=1),(S9*S9),"")</f>
      </c>
      <c r="T289" s="8">
        <f>IF((0=1),(T9*T9),"")</f>
      </c>
      <c r="U289" s="8">
        <f>IF((0=1),(U9*U9),"")</f>
      </c>
      <c r="V289" s="8">
        <f>IF((0=1),(V9*V9),"")</f>
      </c>
      <c r="W289" s="8">
        <f>IF((0=1),(W9*W9),"")</f>
      </c>
      <c r="X289" s="8">
        <f>IF((0=1),(X9*X9),"")</f>
      </c>
      <c r="Y289" s="8">
        <f>IF((0=1),(Y9*Y9),"")</f>
      </c>
      <c r="Z289" s="8">
        <f>IF((0=1),(Z9*Z9),"")</f>
      </c>
      <c r="AA289" s="8">
        <f>IF((0=1),(AA9*AA9),"")</f>
      </c>
      <c r="AB289" s="8">
        <f>IF((0=1),(AB9*AB9),"")</f>
      </c>
      <c r="AC289" s="8">
        <f>IF((0=1),(AC9*AC9),"")</f>
      </c>
      <c r="AD289" s="8">
        <f>IF((0=1),(AD9*AD9),"")</f>
      </c>
      <c r="AE289" s="8">
        <f>IF((0=1),(AE9*AE9),"")</f>
      </c>
      <c r="AF289" s="8">
        <f>IF((0=1),(AF9*AF9),"")</f>
      </c>
      <c r="AG289" s="8">
        <f>IF((0=1),(AG9*AG9),"")</f>
      </c>
      <c r="AH289" s="8">
        <f>IF((0=1),(AH9*AH9),"")</f>
      </c>
      <c r="AI289" s="8">
        <f>IF((0=1),(AI9*AI9),"")</f>
      </c>
      <c r="AJ289" s="8">
        <f>IF((0=1),(AJ9*AJ9),"")</f>
      </c>
      <c r="AK289" s="8">
        <f>IF((0=1),(AK9*AK9),"")</f>
      </c>
      <c r="AL289" s="8">
        <f>IF((0=1),(AL9*AL9),"")</f>
      </c>
      <c r="AM289" s="8">
        <f>IF((0=1),(AM9*AM9),"")</f>
      </c>
      <c r="AN289" s="8">
        <f>IF((0=1),(AN9*AN9),"")</f>
      </c>
      <c r="AO289" s="8">
        <f>IF((0=1),(AO9*AO9),"")</f>
      </c>
      <c r="AP289" s="8">
        <f>IF((0=1),(AP9*AP9),"")</f>
      </c>
      <c r="AQ289" s="8">
        <f>IF((0=1),(AQ9*AQ9),"")</f>
      </c>
      <c r="AR289" s="8">
        <f>IF((0=1),(AR9*AR9),"")</f>
      </c>
      <c r="AS289" s="8">
        <f>IF((0=1),(AS9*AS9),"")</f>
      </c>
      <c r="AT289" s="8">
        <f>IF((0=1),(AT9*AT9),"")</f>
      </c>
      <c r="AU289" s="8">
        <f>IF((0=1),(AU9*AU9),"")</f>
      </c>
      <c r="AV289" s="8">
        <f>IF((0=1),(AV9*AV9),"")</f>
      </c>
      <c r="AW289" s="8">
        <f>IF((0=1),(AW9*AW9),"")</f>
      </c>
      <c r="AX289" s="8">
        <f>IF((0=1),(AX9*AX9),"")</f>
      </c>
      <c r="AY289" s="8">
        <f>IF((0=1),(AY9*AY9),"")</f>
      </c>
      <c r="AZ289" s="8">
        <f>IF((0=1),(AZ9*AZ9),"")</f>
      </c>
      <c r="BA289" s="8">
        <f>IF((0=1),(BA9*BA9),"")</f>
      </c>
      <c r="BB289" s="8">
        <f>IF((0=1),(BB9*BB9),"")</f>
      </c>
      <c r="BC289" s="8">
        <f>IF((0=1),(BC9*BC9),"")</f>
      </c>
      <c r="BD289" s="8">
        <f>IF((0=1),(BD9*BD9),"")</f>
      </c>
      <c r="BE289" s="8">
        <f>IF((0=1),(BE9*BE9),"")</f>
      </c>
      <c r="BF289" s="8">
        <f>IF((0=1),(BF9*BF9),"")</f>
      </c>
      <c r="BG289" s="8">
        <f>IF((0=1),(BG9*BG9),"")</f>
      </c>
      <c r="BH289" s="8">
        <f>IF((0=1),(BH9*BH9),"")</f>
      </c>
      <c r="BI289" s="8">
        <f>IF((0=1),(BI9*BI9),"")</f>
      </c>
      <c r="BJ289" s="8">
        <f>IF((0=1),(BJ9*BJ9),"")</f>
      </c>
      <c r="BK289" s="8">
        <f>IF((0=1),(BK9*BK9),"")</f>
      </c>
      <c r="BL289" s="8">
        <f>IF((0=1),(BL9*BL9),"")</f>
      </c>
      <c r="BM289" s="8">
        <f>IF((0=1),(BM9*BM9),"")</f>
      </c>
      <c r="BN289" s="8">
        <f>IF((0=1),(BN9*BN9),"")</f>
      </c>
      <c r="BO289" s="8">
        <f>IF((0=1),(BO9*BO9),"")</f>
      </c>
      <c r="BP289" s="8">
        <f>IF((0=1),(BP9*BP9),"")</f>
      </c>
      <c r="BQ289" s="8">
        <f>IF((0=1),(BQ9*BQ9),"")</f>
      </c>
      <c r="BR289" s="8">
        <f>IF((0=1),(BR9*BR9),"")</f>
      </c>
      <c r="BS289" s="8">
        <f>IF((0=1),(BS9*BS9),"")</f>
      </c>
      <c r="BT289" s="8">
        <f>IF((0=1),(BT9*BT9),"")</f>
      </c>
      <c r="BU289" s="8">
        <f>IF((0=1),(BU9*BU9),"")</f>
      </c>
      <c r="BV289" s="8">
        <f>IF((0=1),(BV9*BV9),"")</f>
      </c>
      <c r="BW289" s="8">
        <f>IF((0=1),(BW9*BW9),"")</f>
      </c>
      <c r="BX289" s="8">
        <f>IF((0=1),(BX9*BX9),"")</f>
      </c>
      <c r="BY289" s="8">
        <f>IF((0=1),(BY9*BY9),"")</f>
      </c>
      <c r="BZ289" s="8">
        <f>IF((0=1),(BZ9*BZ9),"")</f>
      </c>
      <c r="CA289" s="8">
        <f>IF((0=1),(CA9*CA9),"")</f>
      </c>
      <c r="CB289" s="8">
        <f>IF((0=1),(CB9*CB9),"")</f>
      </c>
      <c r="CC289" s="8">
        <f>IF((0=1),(CC9*CC9),"")</f>
      </c>
      <c r="CD289" s="8">
        <f>IF((0=1),(CD9*CD9),"")</f>
      </c>
      <c r="CE289" s="8">
        <f>IF((0=1),(CE9*CE9),"")</f>
      </c>
      <c r="CF289" s="8">
        <f>IF((0=1),(CF9*CF9),"")</f>
      </c>
      <c r="CG289" s="8">
        <f>IF((0=1),(CG9*CG9),"")</f>
      </c>
      <c r="CH289" s="8">
        <f>IF((0=1),(CH9*CH9),"")</f>
      </c>
      <c r="CI289" s="8">
        <f>IF((0=1),(CI9*CI9),"")</f>
      </c>
      <c r="CJ289" s="8">
        <f>IF((0=1),(CJ9*CJ9),"")</f>
      </c>
      <c r="CK289" s="8">
        <f>IF((0=1),(CK9*CK9),"")</f>
      </c>
      <c r="CL289" s="8">
        <f>IF((0=1),(CL9*CL9),"")</f>
      </c>
      <c r="CM289" s="8">
        <f>IF((0=1),(CM9*CM9),"")</f>
      </c>
      <c r="CN289" s="8">
        <f>IF((0=1),(CN9*CN9),"")</f>
      </c>
      <c r="CO289" s="8">
        <f>IF((0=1),(CO9*CO9),"")</f>
      </c>
      <c r="CP289" s="8">
        <f>IF((0=1),(CP9*CP9),"")</f>
      </c>
      <c r="CQ289" s="8">
        <f>IF((0=1),(CQ9*CQ9),"")</f>
      </c>
      <c r="CR289" s="8">
        <f>IF((0=1),(CR9*CR9),"")</f>
      </c>
      <c r="CS289" s="8">
        <f>IF((0=1),(CS9*CS9),"")</f>
      </c>
      <c r="CT289" s="8">
        <f>IF((0=1),(CT9*CT9),"")</f>
      </c>
      <c r="CU289" s="8">
        <f>IF((0=1),(CU9*CU9),"")</f>
      </c>
      <c r="CV289" s="8">
        <f>IF((0=1),(CV9*CV9),"")</f>
      </c>
      <c r="CW289" s="8">
        <f>IF((0=1),(CW9*CW9),"")</f>
      </c>
      <c r="CX289" s="8">
        <f>IF((0=1),(CX9*CX9),"")</f>
      </c>
    </row>
    <row r="290">
      <c r="A290" s="0" t="inlineStr">
        <is>
          <t xml:space="preserve">Squared excess</t>
        </is>
      </c>
      <c r="B290" s="0" t="inlineStr">
        <is>
          <t xml:space="preserve">Analyst Revision Momentum</t>
        </is>
      </c>
      <c r="C290" s="8">
        <f>IF((1=1),(C10*C10),"")</f>
        <v>8.791224999999999</v>
      </c>
      <c r="D290" s="8">
        <f>IF((0=1),(D10*D10),"")</f>
      </c>
      <c r="E290" s="8">
        <f>IF((0=1),(E10*E10),"")</f>
      </c>
      <c r="F290" s="8">
        <f>IF((0=1),(F10*F10),"")</f>
      </c>
      <c r="G290" s="8">
        <f>IF((0=1),(G10*G10),"")</f>
      </c>
      <c r="H290" s="8">
        <f>IF((0=1),(H10*H10),"")</f>
      </c>
      <c r="I290" s="8">
        <f>IF((0=1),(I10*I10),"")</f>
      </c>
      <c r="J290" s="8">
        <f>IF((0=1),(J10*J10),"")</f>
      </c>
      <c r="K290" s="8">
        <f>IF((0=1),(K10*K10),"")</f>
      </c>
      <c r="L290" s="8">
        <f>IF((0=1),(L10*L10),"")</f>
      </c>
      <c r="M290" s="8">
        <f>IF((0=1),(M10*M10),"")</f>
      </c>
      <c r="N290" s="8">
        <f>IF((0=1),(N10*N10),"")</f>
      </c>
      <c r="O290" s="8">
        <f>IF((0=1),(O10*O10),"")</f>
      </c>
      <c r="P290" s="8">
        <f>IF((0=1),(P10*P10),"")</f>
      </c>
      <c r="Q290" s="8">
        <f>IF((0=1),(Q10*Q10),"")</f>
      </c>
      <c r="R290" s="8">
        <f>IF((0=1),(R10*R10),"")</f>
      </c>
      <c r="S290" s="8">
        <f>IF((0=1),(S10*S10),"")</f>
      </c>
      <c r="T290" s="8">
        <f>IF((0=1),(T10*T10),"")</f>
      </c>
      <c r="U290" s="8">
        <f>IF((0=1),(U10*U10),"")</f>
      </c>
      <c r="V290" s="8">
        <f>IF((0=1),(V10*V10),"")</f>
      </c>
      <c r="W290" s="8">
        <f>IF((0=1),(W10*W10),"")</f>
      </c>
      <c r="X290" s="8">
        <f>IF((0=1),(X10*X10),"")</f>
      </c>
      <c r="Y290" s="8">
        <f>IF((0=1),(Y10*Y10),"")</f>
      </c>
      <c r="Z290" s="8">
        <f>IF((0=1),(Z10*Z10),"")</f>
      </c>
      <c r="AA290" s="8">
        <f>IF((0=1),(AA10*AA10),"")</f>
      </c>
      <c r="AB290" s="8">
        <f>IF((0=1),(AB10*AB10),"")</f>
      </c>
      <c r="AC290" s="8">
        <f>IF((0=1),(AC10*AC10),"")</f>
      </c>
      <c r="AD290" s="8">
        <f>IF((0=1),(AD10*AD10),"")</f>
      </c>
      <c r="AE290" s="8">
        <f>IF((0=1),(AE10*AE10),"")</f>
      </c>
      <c r="AF290" s="8">
        <f>IF((0=1),(AF10*AF10),"")</f>
      </c>
      <c r="AG290" s="8">
        <f>IF((0=1),(AG10*AG10),"")</f>
      </c>
      <c r="AH290" s="8">
        <f>IF((0=1),(AH10*AH10),"")</f>
      </c>
      <c r="AI290" s="8">
        <f>IF((0=1),(AI10*AI10),"")</f>
      </c>
      <c r="AJ290" s="8">
        <f>IF((0=1),(AJ10*AJ10),"")</f>
      </c>
      <c r="AK290" s="8">
        <f>IF((0=1),(AK10*AK10),"")</f>
      </c>
      <c r="AL290" s="8">
        <f>IF((0=1),(AL10*AL10),"")</f>
      </c>
      <c r="AM290" s="8">
        <f>IF((0=1),(AM10*AM10),"")</f>
      </c>
      <c r="AN290" s="8">
        <f>IF((0=1),(AN10*AN10),"")</f>
      </c>
      <c r="AO290" s="8">
        <f>IF((0=1),(AO10*AO10),"")</f>
      </c>
      <c r="AP290" s="8">
        <f>IF((0=1),(AP10*AP10),"")</f>
      </c>
      <c r="AQ290" s="8">
        <f>IF((0=1),(AQ10*AQ10),"")</f>
      </c>
      <c r="AR290" s="8">
        <f>IF((0=1),(AR10*AR10),"")</f>
      </c>
      <c r="AS290" s="8">
        <f>IF((0=1),(AS10*AS10),"")</f>
      </c>
      <c r="AT290" s="8">
        <f>IF((0=1),(AT10*AT10),"")</f>
      </c>
      <c r="AU290" s="8">
        <f>IF((0=1),(AU10*AU10),"")</f>
      </c>
      <c r="AV290" s="8">
        <f>IF((0=1),(AV10*AV10),"")</f>
      </c>
      <c r="AW290" s="8">
        <f>IF((0=1),(AW10*AW10),"")</f>
      </c>
      <c r="AX290" s="8">
        <f>IF((0=1),(AX10*AX10),"")</f>
      </c>
      <c r="AY290" s="8">
        <f>IF((0=1),(AY10*AY10),"")</f>
      </c>
      <c r="AZ290" s="8">
        <f>IF((0=1),(AZ10*AZ10),"")</f>
      </c>
      <c r="BA290" s="8">
        <f>IF((0=1),(BA10*BA10),"")</f>
      </c>
      <c r="BB290" s="8">
        <f>IF((0=1),(BB10*BB10),"")</f>
      </c>
      <c r="BC290" s="8">
        <f>IF((0=1),(BC10*BC10),"")</f>
      </c>
      <c r="BD290" s="8">
        <f>IF((0=1),(BD10*BD10),"")</f>
      </c>
      <c r="BE290" s="8">
        <f>IF((0=1),(BE10*BE10),"")</f>
      </c>
      <c r="BF290" s="8">
        <f>IF((0=1),(BF10*BF10),"")</f>
      </c>
      <c r="BG290" s="8">
        <f>IF((0=1),(BG10*BG10),"")</f>
      </c>
      <c r="BH290" s="8">
        <f>IF((0=1),(BH10*BH10),"")</f>
      </c>
      <c r="BI290" s="8">
        <f>IF((0=1),(BI10*BI10),"")</f>
      </c>
      <c r="BJ290" s="8">
        <f>IF((0=1),(BJ10*BJ10),"")</f>
      </c>
      <c r="BK290" s="8">
        <f>IF((0=1),(BK10*BK10),"")</f>
      </c>
      <c r="BL290" s="8">
        <f>IF((0=1),(BL10*BL10),"")</f>
      </c>
      <c r="BM290" s="8">
        <f>IF((0=1),(BM10*BM10),"")</f>
      </c>
      <c r="BN290" s="8">
        <f>IF((0=1),(BN10*BN10),"")</f>
      </c>
      <c r="BO290" s="8">
        <f>IF((0=1),(BO10*BO10),"")</f>
      </c>
      <c r="BP290" s="8">
        <f>IF((0=1),(BP10*BP10),"")</f>
      </c>
      <c r="BQ290" s="8">
        <f>IF((0=1),(BQ10*BQ10),"")</f>
      </c>
      <c r="BR290" s="8">
        <f>IF((0=1),(BR10*BR10),"")</f>
      </c>
      <c r="BS290" s="8">
        <f>IF((0=1),(BS10*BS10),"")</f>
      </c>
      <c r="BT290" s="8">
        <f>IF((0=1),(BT10*BT10),"")</f>
      </c>
      <c r="BU290" s="8">
        <f>IF((0=1),(BU10*BU10),"")</f>
      </c>
      <c r="BV290" s="8">
        <f>IF((0=1),(BV10*BV10),"")</f>
      </c>
      <c r="BW290" s="8">
        <f>IF((0=1),(BW10*BW10),"")</f>
      </c>
      <c r="BX290" s="8">
        <f>IF((0=1),(BX10*BX10),"")</f>
      </c>
      <c r="BY290" s="8">
        <f>IF((0=1),(BY10*BY10),"")</f>
      </c>
      <c r="BZ290" s="8">
        <f>IF((0=1),(BZ10*BZ10),"")</f>
      </c>
      <c r="CA290" s="8">
        <f>IF((0=1),(CA10*CA10),"")</f>
      </c>
      <c r="CB290" s="8">
        <f>IF((0=1),(CB10*CB10),"")</f>
      </c>
      <c r="CC290" s="8">
        <f>IF((0=1),(CC10*CC10),"")</f>
      </c>
      <c r="CD290" s="8">
        <f>IF((0=1),(CD10*CD10),"")</f>
      </c>
      <c r="CE290" s="8">
        <f>IF((0=1),(CE10*CE10),"")</f>
      </c>
      <c r="CF290" s="8">
        <f>IF((0=1),(CF10*CF10),"")</f>
      </c>
      <c r="CG290" s="8">
        <f>IF((0=1),(CG10*CG10),"")</f>
      </c>
      <c r="CH290" s="8">
        <f>IF((0=1),(CH10*CH10),"")</f>
      </c>
      <c r="CI290" s="8">
        <f>IF((0=1),(CI10*CI10),"")</f>
      </c>
      <c r="CJ290" s="8">
        <f>IF((0=1),(CJ10*CJ10),"")</f>
      </c>
      <c r="CK290" s="8">
        <f>IF((0=1),(CK10*CK10),"")</f>
      </c>
      <c r="CL290" s="8">
        <f>IF((0=1),(CL10*CL10),"")</f>
      </c>
      <c r="CM290" s="8">
        <f>IF((0=1),(CM10*CM10),"")</f>
      </c>
      <c r="CN290" s="8">
        <f>IF((0=1),(CN10*CN10),"")</f>
      </c>
      <c r="CO290" s="8">
        <f>IF((0=1),(CO10*CO10),"")</f>
      </c>
      <c r="CP290" s="8">
        <f>IF((0=1),(CP10*CP10),"")</f>
      </c>
      <c r="CQ290" s="8">
        <f>IF((0=1),(CQ10*CQ10),"")</f>
      </c>
      <c r="CR290" s="8">
        <f>IF((0=1),(CR10*CR10),"")</f>
      </c>
      <c r="CS290" s="8">
        <f>IF((0=1),(CS10*CS10),"")</f>
      </c>
      <c r="CT290" s="8">
        <f>IF((0=1),(CT10*CT10),"")</f>
      </c>
      <c r="CU290" s="8">
        <f>IF((0=1),(CU10*CU10),"")</f>
      </c>
      <c r="CV290" s="8">
        <f>IF((0=1),(CV10*CV10),"")</f>
      </c>
      <c r="CW290" s="8">
        <f>IF((0=1),(CW10*CW10),"")</f>
      </c>
      <c r="CX290" s="8">
        <f>IF((0=1),(CX10*CX10),"")</f>
      </c>
    </row>
    <row r="291">
      <c r="A291" s="0" t="inlineStr">
        <is>
          <t xml:space="preserve">Squared excess</t>
        </is>
      </c>
      <c r="B291" s="0" t="inlineStr">
        <is>
          <t xml:space="preserve">Clustered Insider Buying</t>
        </is>
      </c>
      <c r="C291" s="8">
        <f>IF((1=1),(C11*C11),"")</f>
        <v>4.592448999999999</v>
      </c>
      <c r="D291" s="8">
        <f>IF((0=1),(D11*D11),"")</f>
      </c>
      <c r="E291" s="8">
        <f>IF((0=1),(E11*E11),"")</f>
      </c>
      <c r="F291" s="8">
        <f>IF((0=1),(F11*F11),"")</f>
      </c>
      <c r="G291" s="8">
        <f>IF((0=1),(G11*G11),"")</f>
      </c>
      <c r="H291" s="8">
        <f>IF((0=1),(H11*H11),"")</f>
      </c>
      <c r="I291" s="8">
        <f>IF((0=1),(I11*I11),"")</f>
      </c>
      <c r="J291" s="8">
        <f>IF((0=1),(J11*J11),"")</f>
      </c>
      <c r="K291" s="8">
        <f>IF((0=1),(K11*K11),"")</f>
      </c>
      <c r="L291" s="8">
        <f>IF((0=1),(L11*L11),"")</f>
      </c>
      <c r="M291" s="8">
        <f>IF((0=1),(M11*M11),"")</f>
      </c>
      <c r="N291" s="8">
        <f>IF((0=1),(N11*N11),"")</f>
      </c>
      <c r="O291" s="8">
        <f>IF((0=1),(O11*O11),"")</f>
      </c>
      <c r="P291" s="8">
        <f>IF((0=1),(P11*P11),"")</f>
      </c>
      <c r="Q291" s="8">
        <f>IF((0=1),(Q11*Q11),"")</f>
      </c>
      <c r="R291" s="8">
        <f>IF((0=1),(R11*R11),"")</f>
      </c>
      <c r="S291" s="8">
        <f>IF((0=1),(S11*S11),"")</f>
      </c>
      <c r="T291" s="8">
        <f>IF((0=1),(T11*T11),"")</f>
      </c>
      <c r="U291" s="8">
        <f>IF((0=1),(U11*U11),"")</f>
      </c>
      <c r="V291" s="8">
        <f>IF((0=1),(V11*V11),"")</f>
      </c>
      <c r="W291" s="8">
        <f>IF((0=1),(W11*W11),"")</f>
      </c>
      <c r="X291" s="8">
        <f>IF((0=1),(X11*X11),"")</f>
      </c>
      <c r="Y291" s="8">
        <f>IF((0=1),(Y11*Y11),"")</f>
      </c>
      <c r="Z291" s="8">
        <f>IF((0=1),(Z11*Z11),"")</f>
      </c>
      <c r="AA291" s="8">
        <f>IF((0=1),(AA11*AA11),"")</f>
      </c>
      <c r="AB291" s="8">
        <f>IF((0=1),(AB11*AB11),"")</f>
      </c>
      <c r="AC291" s="8">
        <f>IF((0=1),(AC11*AC11),"")</f>
      </c>
      <c r="AD291" s="8">
        <f>IF((0=1),(AD11*AD11),"")</f>
      </c>
      <c r="AE291" s="8">
        <f>IF((0=1),(AE11*AE11),"")</f>
      </c>
      <c r="AF291" s="8">
        <f>IF((0=1),(AF11*AF11),"")</f>
      </c>
      <c r="AG291" s="8">
        <f>IF((0=1),(AG11*AG11),"")</f>
      </c>
      <c r="AH291" s="8">
        <f>IF((0=1),(AH11*AH11),"")</f>
      </c>
      <c r="AI291" s="8">
        <f>IF((0=1),(AI11*AI11),"")</f>
      </c>
      <c r="AJ291" s="8">
        <f>IF((0=1),(AJ11*AJ11),"")</f>
      </c>
      <c r="AK291" s="8">
        <f>IF((0=1),(AK11*AK11),"")</f>
      </c>
      <c r="AL291" s="8">
        <f>IF((0=1),(AL11*AL11),"")</f>
      </c>
      <c r="AM291" s="8">
        <f>IF((0=1),(AM11*AM11),"")</f>
      </c>
      <c r="AN291" s="8">
        <f>IF((0=1),(AN11*AN11),"")</f>
      </c>
      <c r="AO291" s="8">
        <f>IF((0=1),(AO11*AO11),"")</f>
      </c>
      <c r="AP291" s="8">
        <f>IF((0=1),(AP11*AP11),"")</f>
      </c>
      <c r="AQ291" s="8">
        <f>IF((0=1),(AQ11*AQ11),"")</f>
      </c>
      <c r="AR291" s="8">
        <f>IF((0=1),(AR11*AR11),"")</f>
      </c>
      <c r="AS291" s="8">
        <f>IF((0=1),(AS11*AS11),"")</f>
      </c>
      <c r="AT291" s="8">
        <f>IF((0=1),(AT11*AT11),"")</f>
      </c>
      <c r="AU291" s="8">
        <f>IF((0=1),(AU11*AU11),"")</f>
      </c>
      <c r="AV291" s="8">
        <f>IF((0=1),(AV11*AV11),"")</f>
      </c>
      <c r="AW291" s="8">
        <f>IF((0=1),(AW11*AW11),"")</f>
      </c>
      <c r="AX291" s="8">
        <f>IF((0=1),(AX11*AX11),"")</f>
      </c>
      <c r="AY291" s="8">
        <f>IF((0=1),(AY11*AY11),"")</f>
      </c>
      <c r="AZ291" s="8">
        <f>IF((0=1),(AZ11*AZ11),"")</f>
      </c>
      <c r="BA291" s="8">
        <f>IF((0=1),(BA11*BA11),"")</f>
      </c>
      <c r="BB291" s="8">
        <f>IF((0=1),(BB11*BB11),"")</f>
      </c>
      <c r="BC291" s="8">
        <f>IF((0=1),(BC11*BC11),"")</f>
      </c>
      <c r="BD291" s="8">
        <f>IF((0=1),(BD11*BD11),"")</f>
      </c>
      <c r="BE291" s="8">
        <f>IF((0=1),(BE11*BE11),"")</f>
      </c>
      <c r="BF291" s="8">
        <f>IF((0=1),(BF11*BF11),"")</f>
      </c>
      <c r="BG291" s="8">
        <f>IF((0=1),(BG11*BG11),"")</f>
      </c>
      <c r="BH291" s="8">
        <f>IF((0=1),(BH11*BH11),"")</f>
      </c>
      <c r="BI291" s="8">
        <f>IF((0=1),(BI11*BI11),"")</f>
      </c>
      <c r="BJ291" s="8">
        <f>IF((0=1),(BJ11*BJ11),"")</f>
      </c>
      <c r="BK291" s="8">
        <f>IF((0=1),(BK11*BK11),"")</f>
      </c>
      <c r="BL291" s="8">
        <f>IF((0=1),(BL11*BL11),"")</f>
      </c>
      <c r="BM291" s="8">
        <f>IF((0=1),(BM11*BM11),"")</f>
      </c>
      <c r="BN291" s="8">
        <f>IF((0=1),(BN11*BN11),"")</f>
      </c>
      <c r="BO291" s="8">
        <f>IF((0=1),(BO11*BO11),"")</f>
      </c>
      <c r="BP291" s="8">
        <f>IF((0=1),(BP11*BP11),"")</f>
      </c>
      <c r="BQ291" s="8">
        <f>IF((0=1),(BQ11*BQ11),"")</f>
      </c>
      <c r="BR291" s="8">
        <f>IF((0=1),(BR11*BR11),"")</f>
      </c>
      <c r="BS291" s="8">
        <f>IF((0=1),(BS11*BS11),"")</f>
      </c>
      <c r="BT291" s="8">
        <f>IF((0=1),(BT11*BT11),"")</f>
      </c>
      <c r="BU291" s="8">
        <f>IF((0=1),(BU11*BU11),"")</f>
      </c>
      <c r="BV291" s="8">
        <f>IF((0=1),(BV11*BV11),"")</f>
      </c>
      <c r="BW291" s="8">
        <f>IF((0=1),(BW11*BW11),"")</f>
      </c>
      <c r="BX291" s="8">
        <f>IF((0=1),(BX11*BX11),"")</f>
      </c>
      <c r="BY291" s="8">
        <f>IF((0=1),(BY11*BY11),"")</f>
      </c>
      <c r="BZ291" s="8">
        <f>IF((0=1),(BZ11*BZ11),"")</f>
      </c>
      <c r="CA291" s="8">
        <f>IF((0=1),(CA11*CA11),"")</f>
      </c>
      <c r="CB291" s="8">
        <f>IF((0=1),(CB11*CB11),"")</f>
      </c>
      <c r="CC291" s="8">
        <f>IF((0=1),(CC11*CC11),"")</f>
      </c>
      <c r="CD291" s="8">
        <f>IF((0=1),(CD11*CD11),"")</f>
      </c>
      <c r="CE291" s="8">
        <f>IF((0=1),(CE11*CE11),"")</f>
      </c>
      <c r="CF291" s="8">
        <f>IF((0=1),(CF11*CF11),"")</f>
      </c>
      <c r="CG291" s="8">
        <f>IF((0=1),(CG11*CG11),"")</f>
      </c>
      <c r="CH291" s="8">
        <f>IF((0=1),(CH11*CH11),"")</f>
      </c>
      <c r="CI291" s="8">
        <f>IF((0=1),(CI11*CI11),"")</f>
      </c>
      <c r="CJ291" s="8">
        <f>IF((0=1),(CJ11*CJ11),"")</f>
      </c>
      <c r="CK291" s="8">
        <f>IF((0=1),(CK11*CK11),"")</f>
      </c>
      <c r="CL291" s="8">
        <f>IF((0=1),(CL11*CL11),"")</f>
      </c>
      <c r="CM291" s="8">
        <f>IF((0=1),(CM11*CM11),"")</f>
      </c>
      <c r="CN291" s="8">
        <f>IF((0=1),(CN11*CN11),"")</f>
      </c>
      <c r="CO291" s="8">
        <f>IF((0=1),(CO11*CO11),"")</f>
      </c>
      <c r="CP291" s="8">
        <f>IF((0=1),(CP11*CP11),"")</f>
      </c>
      <c r="CQ291" s="8">
        <f>IF((0=1),(CQ11*CQ11),"")</f>
      </c>
      <c r="CR291" s="8">
        <f>IF((0=1),(CR11*CR11),"")</f>
      </c>
      <c r="CS291" s="8">
        <f>IF((0=1),(CS11*CS11),"")</f>
      </c>
      <c r="CT291" s="8">
        <f>IF((0=1),(CT11*CT11),"")</f>
      </c>
      <c r="CU291" s="8">
        <f>IF((0=1),(CU11*CU11),"")</f>
      </c>
      <c r="CV291" s="8">
        <f>IF((0=1),(CV11*CV11),"")</f>
      </c>
      <c r="CW291" s="8">
        <f>IF((0=1),(CW11*CW11),"")</f>
      </c>
      <c r="CX291" s="8">
        <f>IF((0=1),(CX11*CX11),"")</f>
      </c>
    </row>
    <row r="292">
      <c r="A292" s="0" t="inlineStr">
        <is>
          <t xml:space="preserve">Squared excess</t>
        </is>
      </c>
      <c r="B292" s="0" t="inlineStr">
        <is>
          <t xml:space="preserve">Same-Month Seasonality</t>
        </is>
      </c>
      <c r="C292" s="8">
        <f>IF((1=1),(C12*C12),"")</f>
        <v>465.43747600000006</v>
      </c>
      <c r="D292" s="8">
        <f>IF((0=1),(D12*D12),"")</f>
      </c>
      <c r="E292" s="8">
        <f>IF((0=1),(E12*E12),"")</f>
      </c>
      <c r="F292" s="8">
        <f>IF((0=1),(F12*F12),"")</f>
      </c>
      <c r="G292" s="8">
        <f>IF((0=1),(G12*G12),"")</f>
      </c>
      <c r="H292" s="8">
        <f>IF((0=1),(H12*H12),"")</f>
      </c>
      <c r="I292" s="8">
        <f>IF((0=1),(I12*I12),"")</f>
      </c>
      <c r="J292" s="8">
        <f>IF((0=1),(J12*J12),"")</f>
      </c>
      <c r="K292" s="8">
        <f>IF((0=1),(K12*K12),"")</f>
      </c>
      <c r="L292" s="8">
        <f>IF((0=1),(L12*L12),"")</f>
      </c>
      <c r="M292" s="8">
        <f>IF((0=1),(M12*M12),"")</f>
      </c>
      <c r="N292" s="8">
        <f>IF((0=1),(N12*N12),"")</f>
      </c>
      <c r="O292" s="8">
        <f>IF((0=1),(O12*O12),"")</f>
      </c>
      <c r="P292" s="8">
        <f>IF((0=1),(P12*P12),"")</f>
      </c>
      <c r="Q292" s="8">
        <f>IF((0=1),(Q12*Q12),"")</f>
      </c>
      <c r="R292" s="8">
        <f>IF((0=1),(R12*R12),"")</f>
      </c>
      <c r="S292" s="8">
        <f>IF((0=1),(S12*S12),"")</f>
      </c>
      <c r="T292" s="8">
        <f>IF((0=1),(T12*T12),"")</f>
      </c>
      <c r="U292" s="8">
        <f>IF((0=1),(U12*U12),"")</f>
      </c>
      <c r="V292" s="8">
        <f>IF((0=1),(V12*V12),"")</f>
      </c>
      <c r="W292" s="8">
        <f>IF((0=1),(W12*W12),"")</f>
      </c>
      <c r="X292" s="8">
        <f>IF((0=1),(X12*X12),"")</f>
      </c>
      <c r="Y292" s="8">
        <f>IF((0=1),(Y12*Y12),"")</f>
      </c>
      <c r="Z292" s="8">
        <f>IF((0=1),(Z12*Z12),"")</f>
      </c>
      <c r="AA292" s="8">
        <f>IF((0=1),(AA12*AA12),"")</f>
      </c>
      <c r="AB292" s="8">
        <f>IF((0=1),(AB12*AB12),"")</f>
      </c>
      <c r="AC292" s="8">
        <f>IF((0=1),(AC12*AC12),"")</f>
      </c>
      <c r="AD292" s="8">
        <f>IF((0=1),(AD12*AD12),"")</f>
      </c>
      <c r="AE292" s="8">
        <f>IF((0=1),(AE12*AE12),"")</f>
      </c>
      <c r="AF292" s="8">
        <f>IF((0=1),(AF12*AF12),"")</f>
      </c>
      <c r="AG292" s="8">
        <f>IF((0=1),(AG12*AG12),"")</f>
      </c>
      <c r="AH292" s="8">
        <f>IF((0=1),(AH12*AH12),"")</f>
      </c>
      <c r="AI292" s="8">
        <f>IF((0=1),(AI12*AI12),"")</f>
      </c>
      <c r="AJ292" s="8">
        <f>IF((0=1),(AJ12*AJ12),"")</f>
      </c>
      <c r="AK292" s="8">
        <f>IF((0=1),(AK12*AK12),"")</f>
      </c>
      <c r="AL292" s="8">
        <f>IF((0=1),(AL12*AL12),"")</f>
      </c>
      <c r="AM292" s="8">
        <f>IF((0=1),(AM12*AM12),"")</f>
      </c>
      <c r="AN292" s="8">
        <f>IF((0=1),(AN12*AN12),"")</f>
      </c>
      <c r="AO292" s="8">
        <f>IF((0=1),(AO12*AO12),"")</f>
      </c>
      <c r="AP292" s="8">
        <f>IF((0=1),(AP12*AP12),"")</f>
      </c>
      <c r="AQ292" s="8">
        <f>IF((0=1),(AQ12*AQ12),"")</f>
      </c>
      <c r="AR292" s="8">
        <f>IF((0=1),(AR12*AR12),"")</f>
      </c>
      <c r="AS292" s="8">
        <f>IF((0=1),(AS12*AS12),"")</f>
      </c>
      <c r="AT292" s="8">
        <f>IF((0=1),(AT12*AT12),"")</f>
      </c>
      <c r="AU292" s="8">
        <f>IF((0=1),(AU12*AU12),"")</f>
      </c>
      <c r="AV292" s="8">
        <f>IF((0=1),(AV12*AV12),"")</f>
      </c>
      <c r="AW292" s="8">
        <f>IF((0=1),(AW12*AW12),"")</f>
      </c>
      <c r="AX292" s="8">
        <f>IF((0=1),(AX12*AX12),"")</f>
      </c>
      <c r="AY292" s="8">
        <f>IF((0=1),(AY12*AY12),"")</f>
      </c>
      <c r="AZ292" s="8">
        <f>IF((0=1),(AZ12*AZ12),"")</f>
      </c>
      <c r="BA292" s="8">
        <f>IF((0=1),(BA12*BA12),"")</f>
      </c>
      <c r="BB292" s="8">
        <f>IF((0=1),(BB12*BB12),"")</f>
      </c>
      <c r="BC292" s="8">
        <f>IF((0=1),(BC12*BC12),"")</f>
      </c>
      <c r="BD292" s="8">
        <f>IF((0=1),(BD12*BD12),"")</f>
      </c>
      <c r="BE292" s="8">
        <f>IF((0=1),(BE12*BE12),"")</f>
      </c>
      <c r="BF292" s="8">
        <f>IF((0=1),(BF12*BF12),"")</f>
      </c>
      <c r="BG292" s="8">
        <f>IF((0=1),(BG12*BG12),"")</f>
      </c>
      <c r="BH292" s="8">
        <f>IF((0=1),(BH12*BH12),"")</f>
      </c>
      <c r="BI292" s="8">
        <f>IF((0=1),(BI12*BI12),"")</f>
      </c>
      <c r="BJ292" s="8">
        <f>IF((0=1),(BJ12*BJ12),"")</f>
      </c>
      <c r="BK292" s="8">
        <f>IF((0=1),(BK12*BK12),"")</f>
      </c>
      <c r="BL292" s="8">
        <f>IF((0=1),(BL12*BL12),"")</f>
      </c>
      <c r="BM292" s="8">
        <f>IF((0=1),(BM12*BM12),"")</f>
      </c>
      <c r="BN292" s="8">
        <f>IF((0=1),(BN12*BN12),"")</f>
      </c>
      <c r="BO292" s="8">
        <f>IF((0=1),(BO12*BO12),"")</f>
      </c>
      <c r="BP292" s="8">
        <f>IF((0=1),(BP12*BP12),"")</f>
      </c>
      <c r="BQ292" s="8">
        <f>IF((0=1),(BQ12*BQ12),"")</f>
      </c>
      <c r="BR292" s="8">
        <f>IF((0=1),(BR12*BR12),"")</f>
      </c>
      <c r="BS292" s="8">
        <f>IF((0=1),(BS12*BS12),"")</f>
      </c>
      <c r="BT292" s="8">
        <f>IF((0=1),(BT12*BT12),"")</f>
      </c>
      <c r="BU292" s="8">
        <f>IF((0=1),(BU12*BU12),"")</f>
      </c>
      <c r="BV292" s="8">
        <f>IF((0=1),(BV12*BV12),"")</f>
      </c>
      <c r="BW292" s="8">
        <f>IF((0=1),(BW12*BW12),"")</f>
      </c>
      <c r="BX292" s="8">
        <f>IF((0=1),(BX12*BX12),"")</f>
      </c>
      <c r="BY292" s="8">
        <f>IF((0=1),(BY12*BY12),"")</f>
      </c>
      <c r="BZ292" s="8">
        <f>IF((0=1),(BZ12*BZ12),"")</f>
      </c>
      <c r="CA292" s="8">
        <f>IF((0=1),(CA12*CA12),"")</f>
      </c>
      <c r="CB292" s="8">
        <f>IF((0=1),(CB12*CB12),"")</f>
      </c>
      <c r="CC292" s="8">
        <f>IF((0=1),(CC12*CC12),"")</f>
      </c>
      <c r="CD292" s="8">
        <f>IF((0=1),(CD12*CD12),"")</f>
      </c>
      <c r="CE292" s="8">
        <f>IF((0=1),(CE12*CE12),"")</f>
      </c>
      <c r="CF292" s="8">
        <f>IF((0=1),(CF12*CF12),"")</f>
      </c>
      <c r="CG292" s="8">
        <f>IF((0=1),(CG12*CG12),"")</f>
      </c>
      <c r="CH292" s="8">
        <f>IF((0=1),(CH12*CH12),"")</f>
      </c>
      <c r="CI292" s="8">
        <f>IF((0=1),(CI12*CI12),"")</f>
      </c>
      <c r="CJ292" s="8">
        <f>IF((0=1),(CJ12*CJ12),"")</f>
      </c>
      <c r="CK292" s="8">
        <f>IF((0=1),(CK12*CK12),"")</f>
      </c>
      <c r="CL292" s="8">
        <f>IF((0=1),(CL12*CL12),"")</f>
      </c>
      <c r="CM292" s="8">
        <f>IF((0=1),(CM12*CM12),"")</f>
      </c>
      <c r="CN292" s="8">
        <f>IF((0=1),(CN12*CN12),"")</f>
      </c>
      <c r="CO292" s="8">
        <f>IF((0=1),(CO12*CO12),"")</f>
      </c>
      <c r="CP292" s="8">
        <f>IF((0=1),(CP12*CP12),"")</f>
      </c>
      <c r="CQ292" s="8">
        <f>IF((0=1),(CQ12*CQ12),"")</f>
      </c>
      <c r="CR292" s="8">
        <f>IF((0=1),(CR12*CR12),"")</f>
      </c>
      <c r="CS292" s="8">
        <f>IF((0=1),(CS12*CS12),"")</f>
      </c>
      <c r="CT292" s="8">
        <f>IF((0=1),(CT12*CT12),"")</f>
      </c>
      <c r="CU292" s="8">
        <f>IF((0=1),(CU12*CU12),"")</f>
      </c>
      <c r="CV292" s="8">
        <f>IF((0=1),(CV12*CV12),"")</f>
      </c>
      <c r="CW292" s="8">
        <f>IF((0=1),(CW12*CW12),"")</f>
      </c>
      <c r="CX292" s="8">
        <f>IF((0=1),(CX12*CX12),"")</f>
      </c>
    </row>
    <row r="293">
      <c r="A293" s="0" t="inlineStr">
        <is>
          <t xml:space="preserve">Squared excess</t>
        </is>
      </c>
      <c r="B293" s="0" t="inlineStr">
        <is>
          <t xml:space="preserve">Quality at a Reasonable Price</t>
        </is>
      </c>
      <c r="C293" s="8">
        <f>IF((1=1),(C13*C13),"")</f>
        <v>0.007395999999999999</v>
      </c>
      <c r="D293" s="8">
        <f>IF((0=1),(D13*D13),"")</f>
      </c>
      <c r="E293" s="8">
        <f>IF((0=1),(E13*E13),"")</f>
      </c>
      <c r="F293" s="8">
        <f>IF((0=1),(F13*F13),"")</f>
      </c>
      <c r="G293" s="8">
        <f>IF((0=1),(G13*G13),"")</f>
      </c>
      <c r="H293" s="8">
        <f>IF((0=1),(H13*H13),"")</f>
      </c>
      <c r="I293" s="8">
        <f>IF((0=1),(I13*I13),"")</f>
      </c>
      <c r="J293" s="8">
        <f>IF((0=1),(J13*J13),"")</f>
      </c>
      <c r="K293" s="8">
        <f>IF((0=1),(K13*K13),"")</f>
      </c>
      <c r="L293" s="8">
        <f>IF((0=1),(L13*L13),"")</f>
      </c>
      <c r="M293" s="8">
        <f>IF((0=1),(M13*M13),"")</f>
      </c>
      <c r="N293" s="8">
        <f>IF((0=1),(N13*N13),"")</f>
      </c>
      <c r="O293" s="8">
        <f>IF((0=1),(O13*O13),"")</f>
      </c>
      <c r="P293" s="8">
        <f>IF((0=1),(P13*P13),"")</f>
      </c>
      <c r="Q293" s="8">
        <f>IF((0=1),(Q13*Q13),"")</f>
      </c>
      <c r="R293" s="8">
        <f>IF((0=1),(R13*R13),"")</f>
      </c>
      <c r="S293" s="8">
        <f>IF((0=1),(S13*S13),"")</f>
      </c>
      <c r="T293" s="8">
        <f>IF((0=1),(T13*T13),"")</f>
      </c>
      <c r="U293" s="8">
        <f>IF((0=1),(U13*U13),"")</f>
      </c>
      <c r="V293" s="8">
        <f>IF((0=1),(V13*V13),"")</f>
      </c>
      <c r="W293" s="8">
        <f>IF((0=1),(W13*W13),"")</f>
      </c>
      <c r="X293" s="8">
        <f>IF((0=1),(X13*X13),"")</f>
      </c>
      <c r="Y293" s="8">
        <f>IF((0=1),(Y13*Y13),"")</f>
      </c>
      <c r="Z293" s="8">
        <f>IF((0=1),(Z13*Z13),"")</f>
      </c>
      <c r="AA293" s="8">
        <f>IF((0=1),(AA13*AA13),"")</f>
      </c>
      <c r="AB293" s="8">
        <f>IF((0=1),(AB13*AB13),"")</f>
      </c>
      <c r="AC293" s="8">
        <f>IF((0=1),(AC13*AC13),"")</f>
      </c>
      <c r="AD293" s="8">
        <f>IF((0=1),(AD13*AD13),"")</f>
      </c>
      <c r="AE293" s="8">
        <f>IF((0=1),(AE13*AE13),"")</f>
      </c>
      <c r="AF293" s="8">
        <f>IF((0=1),(AF13*AF13),"")</f>
      </c>
      <c r="AG293" s="8">
        <f>IF((0=1),(AG13*AG13),"")</f>
      </c>
      <c r="AH293" s="8">
        <f>IF((0=1),(AH13*AH13),"")</f>
      </c>
      <c r="AI293" s="8">
        <f>IF((0=1),(AI13*AI13),"")</f>
      </c>
      <c r="AJ293" s="8">
        <f>IF((0=1),(AJ13*AJ13),"")</f>
      </c>
      <c r="AK293" s="8">
        <f>IF((0=1),(AK13*AK13),"")</f>
      </c>
      <c r="AL293" s="8">
        <f>IF((0=1),(AL13*AL13),"")</f>
      </c>
      <c r="AM293" s="8">
        <f>IF((0=1),(AM13*AM13),"")</f>
      </c>
      <c r="AN293" s="8">
        <f>IF((0=1),(AN13*AN13),"")</f>
      </c>
      <c r="AO293" s="8">
        <f>IF((0=1),(AO13*AO13),"")</f>
      </c>
      <c r="AP293" s="8">
        <f>IF((0=1),(AP13*AP13),"")</f>
      </c>
      <c r="AQ293" s="8">
        <f>IF((0=1),(AQ13*AQ13),"")</f>
      </c>
      <c r="AR293" s="8">
        <f>IF((0=1),(AR13*AR13),"")</f>
      </c>
      <c r="AS293" s="8">
        <f>IF((0=1),(AS13*AS13),"")</f>
      </c>
      <c r="AT293" s="8">
        <f>IF((0=1),(AT13*AT13),"")</f>
      </c>
      <c r="AU293" s="8">
        <f>IF((0=1),(AU13*AU13),"")</f>
      </c>
      <c r="AV293" s="8">
        <f>IF((0=1),(AV13*AV13),"")</f>
      </c>
      <c r="AW293" s="8">
        <f>IF((0=1),(AW13*AW13),"")</f>
      </c>
      <c r="AX293" s="8">
        <f>IF((0=1),(AX13*AX13),"")</f>
      </c>
      <c r="AY293" s="8">
        <f>IF((0=1),(AY13*AY13),"")</f>
      </c>
      <c r="AZ293" s="8">
        <f>IF((0=1),(AZ13*AZ13),"")</f>
      </c>
      <c r="BA293" s="8">
        <f>IF((0=1),(BA13*BA13),"")</f>
      </c>
      <c r="BB293" s="8">
        <f>IF((0=1),(BB13*BB13),"")</f>
      </c>
      <c r="BC293" s="8">
        <f>IF((0=1),(BC13*BC13),"")</f>
      </c>
      <c r="BD293" s="8">
        <f>IF((0=1),(BD13*BD13),"")</f>
      </c>
      <c r="BE293" s="8">
        <f>IF((0=1),(BE13*BE13),"")</f>
      </c>
      <c r="BF293" s="8">
        <f>IF((0=1),(BF13*BF13),"")</f>
      </c>
      <c r="BG293" s="8">
        <f>IF((0=1),(BG13*BG13),"")</f>
      </c>
      <c r="BH293" s="8">
        <f>IF((0=1),(BH13*BH13),"")</f>
      </c>
      <c r="BI293" s="8">
        <f>IF((0=1),(BI13*BI13),"")</f>
      </c>
      <c r="BJ293" s="8">
        <f>IF((0=1),(BJ13*BJ13),"")</f>
      </c>
      <c r="BK293" s="8">
        <f>IF((0=1),(BK13*BK13),"")</f>
      </c>
      <c r="BL293" s="8">
        <f>IF((0=1),(BL13*BL13),"")</f>
      </c>
      <c r="BM293" s="8">
        <f>IF((0=1),(BM13*BM13),"")</f>
      </c>
      <c r="BN293" s="8">
        <f>IF((0=1),(BN13*BN13),"")</f>
      </c>
      <c r="BO293" s="8">
        <f>IF((0=1),(BO13*BO13),"")</f>
      </c>
      <c r="BP293" s="8">
        <f>IF((0=1),(BP13*BP13),"")</f>
      </c>
      <c r="BQ293" s="8">
        <f>IF((0=1),(BQ13*BQ13),"")</f>
      </c>
      <c r="BR293" s="8">
        <f>IF((0=1),(BR13*BR13),"")</f>
      </c>
      <c r="BS293" s="8">
        <f>IF((0=1),(BS13*BS13),"")</f>
      </c>
      <c r="BT293" s="8">
        <f>IF((0=1),(BT13*BT13),"")</f>
      </c>
      <c r="BU293" s="8">
        <f>IF((0=1),(BU13*BU13),"")</f>
      </c>
      <c r="BV293" s="8">
        <f>IF((0=1),(BV13*BV13),"")</f>
      </c>
      <c r="BW293" s="8">
        <f>IF((0=1),(BW13*BW13),"")</f>
      </c>
      <c r="BX293" s="8">
        <f>IF((0=1),(BX13*BX13),"")</f>
      </c>
      <c r="BY293" s="8">
        <f>IF((0=1),(BY13*BY13),"")</f>
      </c>
      <c r="BZ293" s="8">
        <f>IF((0=1),(BZ13*BZ13),"")</f>
      </c>
      <c r="CA293" s="8">
        <f>IF((0=1),(CA13*CA13),"")</f>
      </c>
      <c r="CB293" s="8">
        <f>IF((0=1),(CB13*CB13),"")</f>
      </c>
      <c r="CC293" s="8">
        <f>IF((0=1),(CC13*CC13),"")</f>
      </c>
      <c r="CD293" s="8">
        <f>IF((0=1),(CD13*CD13),"")</f>
      </c>
      <c r="CE293" s="8">
        <f>IF((0=1),(CE13*CE13),"")</f>
      </c>
      <c r="CF293" s="8">
        <f>IF((0=1),(CF13*CF13),"")</f>
      </c>
      <c r="CG293" s="8">
        <f>IF((0=1),(CG13*CG13),"")</f>
      </c>
      <c r="CH293" s="8">
        <f>IF((0=1),(CH13*CH13),"")</f>
      </c>
      <c r="CI293" s="8">
        <f>IF((0=1),(CI13*CI13),"")</f>
      </c>
      <c r="CJ293" s="8">
        <f>IF((0=1),(CJ13*CJ13),"")</f>
      </c>
      <c r="CK293" s="8">
        <f>IF((0=1),(CK13*CK13),"")</f>
      </c>
      <c r="CL293" s="8">
        <f>IF((0=1),(CL13*CL13),"")</f>
      </c>
      <c r="CM293" s="8">
        <f>IF((0=1),(CM13*CM13),"")</f>
      </c>
      <c r="CN293" s="8">
        <f>IF((0=1),(CN13*CN13),"")</f>
      </c>
      <c r="CO293" s="8">
        <f>IF((0=1),(CO13*CO13),"")</f>
      </c>
      <c r="CP293" s="8">
        <f>IF((0=1),(CP13*CP13),"")</f>
      </c>
      <c r="CQ293" s="8">
        <f>IF((0=1),(CQ13*CQ13),"")</f>
      </c>
      <c r="CR293" s="8">
        <f>IF((0=1),(CR13*CR13),"")</f>
      </c>
      <c r="CS293" s="8">
        <f>IF((0=1),(CS13*CS13),"")</f>
      </c>
      <c r="CT293" s="8">
        <f>IF((0=1),(CT13*CT13),"")</f>
      </c>
      <c r="CU293" s="8">
        <f>IF((0=1),(CU13*CU13),"")</f>
      </c>
      <c r="CV293" s="8">
        <f>IF((0=1),(CV13*CV13),"")</f>
      </c>
      <c r="CW293" s="8">
        <f>IF((0=1),(CW13*CW13),"")</f>
      </c>
      <c r="CX293" s="8">
        <f>IF((0=1),(CX13*CX13),"")</f>
      </c>
    </row>
    <row r="294">
      <c r="A294" s="0" t="inlineStr">
        <is>
          <t xml:space="preserve">Squared excess</t>
        </is>
      </c>
      <c r="B294" s="0" t="inlineStr">
        <is>
          <t xml:space="preserve">Residual Momentum</t>
        </is>
      </c>
      <c r="C294" s="8">
        <f>IF((1=1),(C14*C14),"")</f>
        <v>194.212096</v>
      </c>
      <c r="D294" s="8">
        <f>IF((0=1),(D14*D14),"")</f>
      </c>
      <c r="E294" s="8">
        <f>IF((0=1),(E14*E14),"")</f>
      </c>
      <c r="F294" s="8">
        <f>IF((0=1),(F14*F14),"")</f>
      </c>
      <c r="G294" s="8">
        <f>IF((0=1),(G14*G14),"")</f>
      </c>
      <c r="H294" s="8">
        <f>IF((0=1),(H14*H14),"")</f>
      </c>
      <c r="I294" s="8">
        <f>IF((0=1),(I14*I14),"")</f>
      </c>
      <c r="J294" s="8">
        <f>IF((0=1),(J14*J14),"")</f>
      </c>
      <c r="K294" s="8">
        <f>IF((0=1),(K14*K14),"")</f>
      </c>
      <c r="L294" s="8">
        <f>IF((0=1),(L14*L14),"")</f>
      </c>
      <c r="M294" s="8">
        <f>IF((0=1),(M14*M14),"")</f>
      </c>
      <c r="N294" s="8">
        <f>IF((0=1),(N14*N14),"")</f>
      </c>
      <c r="O294" s="8">
        <f>IF((0=1),(O14*O14),"")</f>
      </c>
      <c r="P294" s="8">
        <f>IF((0=1),(P14*P14),"")</f>
      </c>
      <c r="Q294" s="8">
        <f>IF((0=1),(Q14*Q14),"")</f>
      </c>
      <c r="R294" s="8">
        <f>IF((0=1),(R14*R14),"")</f>
      </c>
      <c r="S294" s="8">
        <f>IF((0=1),(S14*S14),"")</f>
      </c>
      <c r="T294" s="8">
        <f>IF((0=1),(T14*T14),"")</f>
      </c>
      <c r="U294" s="8">
        <f>IF((0=1),(U14*U14),"")</f>
      </c>
      <c r="V294" s="8">
        <f>IF((0=1),(V14*V14),"")</f>
      </c>
      <c r="W294" s="8">
        <f>IF((0=1),(W14*W14),"")</f>
      </c>
      <c r="X294" s="8">
        <f>IF((0=1),(X14*X14),"")</f>
      </c>
      <c r="Y294" s="8">
        <f>IF((0=1),(Y14*Y14),"")</f>
      </c>
      <c r="Z294" s="8">
        <f>IF((0=1),(Z14*Z14),"")</f>
      </c>
      <c r="AA294" s="8">
        <f>IF((0=1),(AA14*AA14),"")</f>
      </c>
      <c r="AB294" s="8">
        <f>IF((0=1),(AB14*AB14),"")</f>
      </c>
      <c r="AC294" s="8">
        <f>IF((0=1),(AC14*AC14),"")</f>
      </c>
      <c r="AD294" s="8">
        <f>IF((0=1),(AD14*AD14),"")</f>
      </c>
      <c r="AE294" s="8">
        <f>IF((0=1),(AE14*AE14),"")</f>
      </c>
      <c r="AF294" s="8">
        <f>IF((0=1),(AF14*AF14),"")</f>
      </c>
      <c r="AG294" s="8">
        <f>IF((0=1),(AG14*AG14),"")</f>
      </c>
      <c r="AH294" s="8">
        <f>IF((0=1),(AH14*AH14),"")</f>
      </c>
      <c r="AI294" s="8">
        <f>IF((0=1),(AI14*AI14),"")</f>
      </c>
      <c r="AJ294" s="8">
        <f>IF((0=1),(AJ14*AJ14),"")</f>
      </c>
      <c r="AK294" s="8">
        <f>IF((0=1),(AK14*AK14),"")</f>
      </c>
      <c r="AL294" s="8">
        <f>IF((0=1),(AL14*AL14),"")</f>
      </c>
      <c r="AM294" s="8">
        <f>IF((0=1),(AM14*AM14),"")</f>
      </c>
      <c r="AN294" s="8">
        <f>IF((0=1),(AN14*AN14),"")</f>
      </c>
      <c r="AO294" s="8">
        <f>IF((0=1),(AO14*AO14),"")</f>
      </c>
      <c r="AP294" s="8">
        <f>IF((0=1),(AP14*AP14),"")</f>
      </c>
      <c r="AQ294" s="8">
        <f>IF((0=1),(AQ14*AQ14),"")</f>
      </c>
      <c r="AR294" s="8">
        <f>IF((0=1),(AR14*AR14),"")</f>
      </c>
      <c r="AS294" s="8">
        <f>IF((0=1),(AS14*AS14),"")</f>
      </c>
      <c r="AT294" s="8">
        <f>IF((0=1),(AT14*AT14),"")</f>
      </c>
      <c r="AU294" s="8">
        <f>IF((0=1),(AU14*AU14),"")</f>
      </c>
      <c r="AV294" s="8">
        <f>IF((0=1),(AV14*AV14),"")</f>
      </c>
      <c r="AW294" s="8">
        <f>IF((0=1),(AW14*AW14),"")</f>
      </c>
      <c r="AX294" s="8">
        <f>IF((0=1),(AX14*AX14),"")</f>
      </c>
      <c r="AY294" s="8">
        <f>IF((0=1),(AY14*AY14),"")</f>
      </c>
      <c r="AZ294" s="8">
        <f>IF((0=1),(AZ14*AZ14),"")</f>
      </c>
      <c r="BA294" s="8">
        <f>IF((0=1),(BA14*BA14),"")</f>
      </c>
      <c r="BB294" s="8">
        <f>IF((0=1),(BB14*BB14),"")</f>
      </c>
      <c r="BC294" s="8">
        <f>IF((0=1),(BC14*BC14),"")</f>
      </c>
      <c r="BD294" s="8">
        <f>IF((0=1),(BD14*BD14),"")</f>
      </c>
      <c r="BE294" s="8">
        <f>IF((0=1),(BE14*BE14),"")</f>
      </c>
      <c r="BF294" s="8">
        <f>IF((0=1),(BF14*BF14),"")</f>
      </c>
      <c r="BG294" s="8">
        <f>IF((0=1),(BG14*BG14),"")</f>
      </c>
      <c r="BH294" s="8">
        <f>IF((0=1),(BH14*BH14),"")</f>
      </c>
      <c r="BI294" s="8">
        <f>IF((0=1),(BI14*BI14),"")</f>
      </c>
      <c r="BJ294" s="8">
        <f>IF((0=1),(BJ14*BJ14),"")</f>
      </c>
      <c r="BK294" s="8">
        <f>IF((0=1),(BK14*BK14),"")</f>
      </c>
      <c r="BL294" s="8">
        <f>IF((0=1),(BL14*BL14),"")</f>
      </c>
      <c r="BM294" s="8">
        <f>IF((0=1),(BM14*BM14),"")</f>
      </c>
      <c r="BN294" s="8">
        <f>IF((0=1),(BN14*BN14),"")</f>
      </c>
      <c r="BO294" s="8">
        <f>IF((0=1),(BO14*BO14),"")</f>
      </c>
      <c r="BP294" s="8">
        <f>IF((0=1),(BP14*BP14),"")</f>
      </c>
      <c r="BQ294" s="8">
        <f>IF((0=1),(BQ14*BQ14),"")</f>
      </c>
      <c r="BR294" s="8">
        <f>IF((0=1),(BR14*BR14),"")</f>
      </c>
      <c r="BS294" s="8">
        <f>IF((0=1),(BS14*BS14),"")</f>
      </c>
      <c r="BT294" s="8">
        <f>IF((0=1),(BT14*BT14),"")</f>
      </c>
      <c r="BU294" s="8">
        <f>IF((0=1),(BU14*BU14),"")</f>
      </c>
      <c r="BV294" s="8">
        <f>IF((0=1),(BV14*BV14),"")</f>
      </c>
      <c r="BW294" s="8">
        <f>IF((0=1),(BW14*BW14),"")</f>
      </c>
      <c r="BX294" s="8">
        <f>IF((0=1),(BX14*BX14),"")</f>
      </c>
      <c r="BY294" s="8">
        <f>IF((0=1),(BY14*BY14),"")</f>
      </c>
      <c r="BZ294" s="8">
        <f>IF((0=1),(BZ14*BZ14),"")</f>
      </c>
      <c r="CA294" s="8">
        <f>IF((0=1),(CA14*CA14),"")</f>
      </c>
      <c r="CB294" s="8">
        <f>IF((0=1),(CB14*CB14),"")</f>
      </c>
      <c r="CC294" s="8">
        <f>IF((0=1),(CC14*CC14),"")</f>
      </c>
      <c r="CD294" s="8">
        <f>IF((0=1),(CD14*CD14),"")</f>
      </c>
      <c r="CE294" s="8">
        <f>IF((0=1),(CE14*CE14),"")</f>
      </c>
      <c r="CF294" s="8">
        <f>IF((0=1),(CF14*CF14),"")</f>
      </c>
      <c r="CG294" s="8">
        <f>IF((0=1),(CG14*CG14),"")</f>
      </c>
      <c r="CH294" s="8">
        <f>IF((0=1),(CH14*CH14),"")</f>
      </c>
      <c r="CI294" s="8">
        <f>IF((0=1),(CI14*CI14),"")</f>
      </c>
      <c r="CJ294" s="8">
        <f>IF((0=1),(CJ14*CJ14),"")</f>
      </c>
      <c r="CK294" s="8">
        <f>IF((0=1),(CK14*CK14),"")</f>
      </c>
      <c r="CL294" s="8">
        <f>IF((0=1),(CL14*CL14),"")</f>
      </c>
      <c r="CM294" s="8">
        <f>IF((0=1),(CM14*CM14),"")</f>
      </c>
      <c r="CN294" s="8">
        <f>IF((0=1),(CN14*CN14),"")</f>
      </c>
      <c r="CO294" s="8">
        <f>IF((0=1),(CO14*CO14),"")</f>
      </c>
      <c r="CP294" s="8">
        <f>IF((0=1),(CP14*CP14),"")</f>
      </c>
      <c r="CQ294" s="8">
        <f>IF((0=1),(CQ14*CQ14),"")</f>
      </c>
      <c r="CR294" s="8">
        <f>IF((0=1),(CR14*CR14),"")</f>
      </c>
      <c r="CS294" s="8">
        <f>IF((0=1),(CS14*CS14),"")</f>
      </c>
      <c r="CT294" s="8">
        <f>IF((0=1),(CT14*CT14),"")</f>
      </c>
      <c r="CU294" s="8">
        <f>IF((0=1),(CU14*CU14),"")</f>
      </c>
      <c r="CV294" s="8">
        <f>IF((0=1),(CV14*CV14),"")</f>
      </c>
      <c r="CW294" s="8">
        <f>IF((0=1),(CW14*CW14),"")</f>
      </c>
      <c r="CX294" s="8">
        <f>IF((0=1),(CX14*CX14),"")</f>
      </c>
    </row>
    <row r="295">
      <c r="A295" s="0" t="inlineStr">
        <is>
          <t xml:space="preserve">Squared excess</t>
        </is>
      </c>
      <c r="B295" s="0" t="inlineStr">
        <is>
          <t xml:space="preserve">Overnight Return Persistence</t>
        </is>
      </c>
      <c r="C295" s="8">
        <f>IF((1=1),(C15*C15),"")</f>
        <v>66.78158400000001</v>
      </c>
      <c r="D295" s="8">
        <f>IF((0=1),(D15*D15),"")</f>
      </c>
      <c r="E295" s="8">
        <f>IF((0=1),(E15*E15),"")</f>
      </c>
      <c r="F295" s="8">
        <f>IF((0=1),(F15*F15),"")</f>
      </c>
      <c r="G295" s="8">
        <f>IF((0=1),(G15*G15),"")</f>
      </c>
      <c r="H295" s="8">
        <f>IF((0=1),(H15*H15),"")</f>
      </c>
      <c r="I295" s="8">
        <f>IF((0=1),(I15*I15),"")</f>
      </c>
      <c r="J295" s="8">
        <f>IF((0=1),(J15*J15),"")</f>
      </c>
      <c r="K295" s="8">
        <f>IF((0=1),(K15*K15),"")</f>
      </c>
      <c r="L295" s="8">
        <f>IF((0=1),(L15*L15),"")</f>
      </c>
      <c r="M295" s="8">
        <f>IF((0=1),(M15*M15),"")</f>
      </c>
      <c r="N295" s="8">
        <f>IF((0=1),(N15*N15),"")</f>
      </c>
      <c r="O295" s="8">
        <f>IF((0=1),(O15*O15),"")</f>
      </c>
      <c r="P295" s="8">
        <f>IF((0=1),(P15*P15),"")</f>
      </c>
      <c r="Q295" s="8">
        <f>IF((0=1),(Q15*Q15),"")</f>
      </c>
      <c r="R295" s="8">
        <f>IF((0=1),(R15*R15),"")</f>
      </c>
      <c r="S295" s="8">
        <f>IF((0=1),(S15*S15),"")</f>
      </c>
      <c r="T295" s="8">
        <f>IF((0=1),(T15*T15),"")</f>
      </c>
      <c r="U295" s="8">
        <f>IF((0=1),(U15*U15),"")</f>
      </c>
      <c r="V295" s="8">
        <f>IF((0=1),(V15*V15),"")</f>
      </c>
      <c r="W295" s="8">
        <f>IF((0=1),(W15*W15),"")</f>
      </c>
      <c r="X295" s="8">
        <f>IF((0=1),(X15*X15),"")</f>
      </c>
      <c r="Y295" s="8">
        <f>IF((0=1),(Y15*Y15),"")</f>
      </c>
      <c r="Z295" s="8">
        <f>IF((0=1),(Z15*Z15),"")</f>
      </c>
      <c r="AA295" s="8">
        <f>IF((0=1),(AA15*AA15),"")</f>
      </c>
      <c r="AB295" s="8">
        <f>IF((0=1),(AB15*AB15),"")</f>
      </c>
      <c r="AC295" s="8">
        <f>IF((0=1),(AC15*AC15),"")</f>
      </c>
      <c r="AD295" s="8">
        <f>IF((0=1),(AD15*AD15),"")</f>
      </c>
      <c r="AE295" s="8">
        <f>IF((0=1),(AE15*AE15),"")</f>
      </c>
      <c r="AF295" s="8">
        <f>IF((0=1),(AF15*AF15),"")</f>
      </c>
      <c r="AG295" s="8">
        <f>IF((0=1),(AG15*AG15),"")</f>
      </c>
      <c r="AH295" s="8">
        <f>IF((0=1),(AH15*AH15),"")</f>
      </c>
      <c r="AI295" s="8">
        <f>IF((0=1),(AI15*AI15),"")</f>
      </c>
      <c r="AJ295" s="8">
        <f>IF((0=1),(AJ15*AJ15),"")</f>
      </c>
      <c r="AK295" s="8">
        <f>IF((0=1),(AK15*AK15),"")</f>
      </c>
      <c r="AL295" s="8">
        <f>IF((0=1),(AL15*AL15),"")</f>
      </c>
      <c r="AM295" s="8">
        <f>IF((0=1),(AM15*AM15),"")</f>
      </c>
      <c r="AN295" s="8">
        <f>IF((0=1),(AN15*AN15),"")</f>
      </c>
      <c r="AO295" s="8">
        <f>IF((0=1),(AO15*AO15),"")</f>
      </c>
      <c r="AP295" s="8">
        <f>IF((0=1),(AP15*AP15),"")</f>
      </c>
      <c r="AQ295" s="8">
        <f>IF((0=1),(AQ15*AQ15),"")</f>
      </c>
      <c r="AR295" s="8">
        <f>IF((0=1),(AR15*AR15),"")</f>
      </c>
      <c r="AS295" s="8">
        <f>IF((0=1),(AS15*AS15),"")</f>
      </c>
      <c r="AT295" s="8">
        <f>IF((0=1),(AT15*AT15),"")</f>
      </c>
      <c r="AU295" s="8">
        <f>IF((0=1),(AU15*AU15),"")</f>
      </c>
      <c r="AV295" s="8">
        <f>IF((0=1),(AV15*AV15),"")</f>
      </c>
      <c r="AW295" s="8">
        <f>IF((0=1),(AW15*AW15),"")</f>
      </c>
      <c r="AX295" s="8">
        <f>IF((0=1),(AX15*AX15),"")</f>
      </c>
      <c r="AY295" s="8">
        <f>IF((0=1),(AY15*AY15),"")</f>
      </c>
      <c r="AZ295" s="8">
        <f>IF((0=1),(AZ15*AZ15),"")</f>
      </c>
      <c r="BA295" s="8">
        <f>IF((0=1),(BA15*BA15),"")</f>
      </c>
      <c r="BB295" s="8">
        <f>IF((0=1),(BB15*BB15),"")</f>
      </c>
      <c r="BC295" s="8">
        <f>IF((0=1),(BC15*BC15),"")</f>
      </c>
      <c r="BD295" s="8">
        <f>IF((0=1),(BD15*BD15),"")</f>
      </c>
      <c r="BE295" s="8">
        <f>IF((0=1),(BE15*BE15),"")</f>
      </c>
      <c r="BF295" s="8">
        <f>IF((0=1),(BF15*BF15),"")</f>
      </c>
      <c r="BG295" s="8">
        <f>IF((0=1),(BG15*BG15),"")</f>
      </c>
      <c r="BH295" s="8">
        <f>IF((0=1),(BH15*BH15),"")</f>
      </c>
      <c r="BI295" s="8">
        <f>IF((0=1),(BI15*BI15),"")</f>
      </c>
      <c r="BJ295" s="8">
        <f>IF((0=1),(BJ15*BJ15),"")</f>
      </c>
      <c r="BK295" s="8">
        <f>IF((0=1),(BK15*BK15),"")</f>
      </c>
      <c r="BL295" s="8">
        <f>IF((0=1),(BL15*BL15),"")</f>
      </c>
      <c r="BM295" s="8">
        <f>IF((0=1),(BM15*BM15),"")</f>
      </c>
      <c r="BN295" s="8">
        <f>IF((0=1),(BN15*BN15),"")</f>
      </c>
      <c r="BO295" s="8">
        <f>IF((0=1),(BO15*BO15),"")</f>
      </c>
      <c r="BP295" s="8">
        <f>IF((0=1),(BP15*BP15),"")</f>
      </c>
      <c r="BQ295" s="8">
        <f>IF((0=1),(BQ15*BQ15),"")</f>
      </c>
      <c r="BR295" s="8">
        <f>IF((0=1),(BR15*BR15),"")</f>
      </c>
      <c r="BS295" s="8">
        <f>IF((0=1),(BS15*BS15),"")</f>
      </c>
      <c r="BT295" s="8">
        <f>IF((0=1),(BT15*BT15),"")</f>
      </c>
      <c r="BU295" s="8">
        <f>IF((0=1),(BU15*BU15),"")</f>
      </c>
      <c r="BV295" s="8">
        <f>IF((0=1),(BV15*BV15),"")</f>
      </c>
      <c r="BW295" s="8">
        <f>IF((0=1),(BW15*BW15),"")</f>
      </c>
      <c r="BX295" s="8">
        <f>IF((0=1),(BX15*BX15),"")</f>
      </c>
      <c r="BY295" s="8">
        <f>IF((0=1),(BY15*BY15),"")</f>
      </c>
      <c r="BZ295" s="8">
        <f>IF((0=1),(BZ15*BZ15),"")</f>
      </c>
      <c r="CA295" s="8">
        <f>IF((0=1),(CA15*CA15),"")</f>
      </c>
      <c r="CB295" s="8">
        <f>IF((0=1),(CB15*CB15),"")</f>
      </c>
      <c r="CC295" s="8">
        <f>IF((0=1),(CC15*CC15),"")</f>
      </c>
      <c r="CD295" s="8">
        <f>IF((0=1),(CD15*CD15),"")</f>
      </c>
      <c r="CE295" s="8">
        <f>IF((0=1),(CE15*CE15),"")</f>
      </c>
      <c r="CF295" s="8">
        <f>IF((0=1),(CF15*CF15),"")</f>
      </c>
      <c r="CG295" s="8">
        <f>IF((0=1),(CG15*CG15),"")</f>
      </c>
      <c r="CH295" s="8">
        <f>IF((0=1),(CH15*CH15),"")</f>
      </c>
      <c r="CI295" s="8">
        <f>IF((0=1),(CI15*CI15),"")</f>
      </c>
      <c r="CJ295" s="8">
        <f>IF((0=1),(CJ15*CJ15),"")</f>
      </c>
      <c r="CK295" s="8">
        <f>IF((0=1),(CK15*CK15),"")</f>
      </c>
      <c r="CL295" s="8">
        <f>IF((0=1),(CL15*CL15),"")</f>
      </c>
      <c r="CM295" s="8">
        <f>IF((0=1),(CM15*CM15),"")</f>
      </c>
      <c r="CN295" s="8">
        <f>IF((0=1),(CN15*CN15),"")</f>
      </c>
      <c r="CO295" s="8">
        <f>IF((0=1),(CO15*CO15),"")</f>
      </c>
      <c r="CP295" s="8">
        <f>IF((0=1),(CP15*CP15),"")</f>
      </c>
      <c r="CQ295" s="8">
        <f>IF((0=1),(CQ15*CQ15),"")</f>
      </c>
      <c r="CR295" s="8">
        <f>IF((0=1),(CR15*CR15),"")</f>
      </c>
      <c r="CS295" s="8">
        <f>IF((0=1),(CS15*CS15),"")</f>
      </c>
      <c r="CT295" s="8">
        <f>IF((0=1),(CT15*CT15),"")</f>
      </c>
      <c r="CU295" s="8">
        <f>IF((0=1),(CU15*CU15),"")</f>
      </c>
      <c r="CV295" s="8">
        <f>IF((0=1),(CV15*CV15),"")</f>
      </c>
      <c r="CW295" s="8">
        <f>IF((0=1),(CW15*CW15),"")</f>
      </c>
      <c r="CX295" s="8">
        <f>IF((0=1),(CX15*CX15),"")</f>
      </c>
    </row>
    <row r="296">
      <c r="A296" s="0" t="inlineStr">
        <is>
          <t xml:space="preserve">Squared excess</t>
        </is>
      </c>
      <c r="B296" s="0" t="inlineStr">
        <is>
          <t xml:space="preserve">52-Week-High Anchoring</t>
        </is>
      </c>
      <c r="C296" s="8">
        <f>IF((1=1),(C16*C16),"")</f>
        <v>294.60289600000004</v>
      </c>
      <c r="D296" s="8">
        <f>IF((0=1),(D16*D16),"")</f>
      </c>
      <c r="E296" s="8">
        <f>IF((0=1),(E16*E16),"")</f>
      </c>
      <c r="F296" s="8">
        <f>IF((0=1),(F16*F16),"")</f>
      </c>
      <c r="G296" s="8">
        <f>IF((0=1),(G16*G16),"")</f>
      </c>
      <c r="H296" s="8">
        <f>IF((0=1),(H16*H16),"")</f>
      </c>
      <c r="I296" s="8">
        <f>IF((0=1),(I16*I16),"")</f>
      </c>
      <c r="J296" s="8">
        <f>IF((0=1),(J16*J16),"")</f>
      </c>
      <c r="K296" s="8">
        <f>IF((0=1),(K16*K16),"")</f>
      </c>
      <c r="L296" s="8">
        <f>IF((0=1),(L16*L16),"")</f>
      </c>
      <c r="M296" s="8">
        <f>IF((0=1),(M16*M16),"")</f>
      </c>
      <c r="N296" s="8">
        <f>IF((0=1),(N16*N16),"")</f>
      </c>
      <c r="O296" s="8">
        <f>IF((0=1),(O16*O16),"")</f>
      </c>
      <c r="P296" s="8">
        <f>IF((0=1),(P16*P16),"")</f>
      </c>
      <c r="Q296" s="8">
        <f>IF((0=1),(Q16*Q16),"")</f>
      </c>
      <c r="R296" s="8">
        <f>IF((0=1),(R16*R16),"")</f>
      </c>
      <c r="S296" s="8">
        <f>IF((0=1),(S16*S16),"")</f>
      </c>
      <c r="T296" s="8">
        <f>IF((0=1),(T16*T16),"")</f>
      </c>
      <c r="U296" s="8">
        <f>IF((0=1),(U16*U16),"")</f>
      </c>
      <c r="V296" s="8">
        <f>IF((0=1),(V16*V16),"")</f>
      </c>
      <c r="W296" s="8">
        <f>IF((0=1),(W16*W16),"")</f>
      </c>
      <c r="X296" s="8">
        <f>IF((0=1),(X16*X16),"")</f>
      </c>
      <c r="Y296" s="8">
        <f>IF((0=1),(Y16*Y16),"")</f>
      </c>
      <c r="Z296" s="8">
        <f>IF((0=1),(Z16*Z16),"")</f>
      </c>
      <c r="AA296" s="8">
        <f>IF((0=1),(AA16*AA16),"")</f>
      </c>
      <c r="AB296" s="8">
        <f>IF((0=1),(AB16*AB16),"")</f>
      </c>
      <c r="AC296" s="8">
        <f>IF((0=1),(AC16*AC16),"")</f>
      </c>
      <c r="AD296" s="8">
        <f>IF((0=1),(AD16*AD16),"")</f>
      </c>
      <c r="AE296" s="8">
        <f>IF((0=1),(AE16*AE16),"")</f>
      </c>
      <c r="AF296" s="8">
        <f>IF((0=1),(AF16*AF16),"")</f>
      </c>
      <c r="AG296" s="8">
        <f>IF((0=1),(AG16*AG16),"")</f>
      </c>
      <c r="AH296" s="8">
        <f>IF((0=1),(AH16*AH16),"")</f>
      </c>
      <c r="AI296" s="8">
        <f>IF((0=1),(AI16*AI16),"")</f>
      </c>
      <c r="AJ296" s="8">
        <f>IF((0=1),(AJ16*AJ16),"")</f>
      </c>
      <c r="AK296" s="8">
        <f>IF((0=1),(AK16*AK16),"")</f>
      </c>
      <c r="AL296" s="8">
        <f>IF((0=1),(AL16*AL16),"")</f>
      </c>
      <c r="AM296" s="8">
        <f>IF((0=1),(AM16*AM16),"")</f>
      </c>
      <c r="AN296" s="8">
        <f>IF((0=1),(AN16*AN16),"")</f>
      </c>
      <c r="AO296" s="8">
        <f>IF((0=1),(AO16*AO16),"")</f>
      </c>
      <c r="AP296" s="8">
        <f>IF((0=1),(AP16*AP16),"")</f>
      </c>
      <c r="AQ296" s="8">
        <f>IF((0=1),(AQ16*AQ16),"")</f>
      </c>
      <c r="AR296" s="8">
        <f>IF((0=1),(AR16*AR16),"")</f>
      </c>
      <c r="AS296" s="8">
        <f>IF((0=1),(AS16*AS16),"")</f>
      </c>
      <c r="AT296" s="8">
        <f>IF((0=1),(AT16*AT16),"")</f>
      </c>
      <c r="AU296" s="8">
        <f>IF((0=1),(AU16*AU16),"")</f>
      </c>
      <c r="AV296" s="8">
        <f>IF((0=1),(AV16*AV16),"")</f>
      </c>
      <c r="AW296" s="8">
        <f>IF((0=1),(AW16*AW16),"")</f>
      </c>
      <c r="AX296" s="8">
        <f>IF((0=1),(AX16*AX16),"")</f>
      </c>
      <c r="AY296" s="8">
        <f>IF((0=1),(AY16*AY16),"")</f>
      </c>
      <c r="AZ296" s="8">
        <f>IF((0=1),(AZ16*AZ16),"")</f>
      </c>
      <c r="BA296" s="8">
        <f>IF((0=1),(BA16*BA16),"")</f>
      </c>
      <c r="BB296" s="8">
        <f>IF((0=1),(BB16*BB16),"")</f>
      </c>
      <c r="BC296" s="8">
        <f>IF((0=1),(BC16*BC16),"")</f>
      </c>
      <c r="BD296" s="8">
        <f>IF((0=1),(BD16*BD16),"")</f>
      </c>
      <c r="BE296" s="8">
        <f>IF((0=1),(BE16*BE16),"")</f>
      </c>
      <c r="BF296" s="8">
        <f>IF((0=1),(BF16*BF16),"")</f>
      </c>
      <c r="BG296" s="8">
        <f>IF((0=1),(BG16*BG16),"")</f>
      </c>
      <c r="BH296" s="8">
        <f>IF((0=1),(BH16*BH16),"")</f>
      </c>
      <c r="BI296" s="8">
        <f>IF((0=1),(BI16*BI16),"")</f>
      </c>
      <c r="BJ296" s="8">
        <f>IF((0=1),(BJ16*BJ16),"")</f>
      </c>
      <c r="BK296" s="8">
        <f>IF((0=1),(BK16*BK16),"")</f>
      </c>
      <c r="BL296" s="8">
        <f>IF((0=1),(BL16*BL16),"")</f>
      </c>
      <c r="BM296" s="8">
        <f>IF((0=1),(BM16*BM16),"")</f>
      </c>
      <c r="BN296" s="8">
        <f>IF((0=1),(BN16*BN16),"")</f>
      </c>
      <c r="BO296" s="8">
        <f>IF((0=1),(BO16*BO16),"")</f>
      </c>
      <c r="BP296" s="8">
        <f>IF((0=1),(BP16*BP16),"")</f>
      </c>
      <c r="BQ296" s="8">
        <f>IF((0=1),(BQ16*BQ16),"")</f>
      </c>
      <c r="BR296" s="8">
        <f>IF((0=1),(BR16*BR16),"")</f>
      </c>
      <c r="BS296" s="8">
        <f>IF((0=1),(BS16*BS16),"")</f>
      </c>
      <c r="BT296" s="8">
        <f>IF((0=1),(BT16*BT16),"")</f>
      </c>
      <c r="BU296" s="8">
        <f>IF((0=1),(BU16*BU16),"")</f>
      </c>
      <c r="BV296" s="8">
        <f>IF((0=1),(BV16*BV16),"")</f>
      </c>
      <c r="BW296" s="8">
        <f>IF((0=1),(BW16*BW16),"")</f>
      </c>
      <c r="BX296" s="8">
        <f>IF((0=1),(BX16*BX16),"")</f>
      </c>
      <c r="BY296" s="8">
        <f>IF((0=1),(BY16*BY16),"")</f>
      </c>
      <c r="BZ296" s="8">
        <f>IF((0=1),(BZ16*BZ16),"")</f>
      </c>
      <c r="CA296" s="8">
        <f>IF((0=1),(CA16*CA16),"")</f>
      </c>
      <c r="CB296" s="8">
        <f>IF((0=1),(CB16*CB16),"")</f>
      </c>
      <c r="CC296" s="8">
        <f>IF((0=1),(CC16*CC16),"")</f>
      </c>
      <c r="CD296" s="8">
        <f>IF((0=1),(CD16*CD16),"")</f>
      </c>
      <c r="CE296" s="8">
        <f>IF((0=1),(CE16*CE16),"")</f>
      </c>
      <c r="CF296" s="8">
        <f>IF((0=1),(CF16*CF16),"")</f>
      </c>
      <c r="CG296" s="8">
        <f>IF((0=1),(CG16*CG16),"")</f>
      </c>
      <c r="CH296" s="8">
        <f>IF((0=1),(CH16*CH16),"")</f>
      </c>
      <c r="CI296" s="8">
        <f>IF((0=1),(CI16*CI16),"")</f>
      </c>
      <c r="CJ296" s="8">
        <f>IF((0=1),(CJ16*CJ16),"")</f>
      </c>
      <c r="CK296" s="8">
        <f>IF((0=1),(CK16*CK16),"")</f>
      </c>
      <c r="CL296" s="8">
        <f>IF((0=1),(CL16*CL16),"")</f>
      </c>
      <c r="CM296" s="8">
        <f>IF((0=1),(CM16*CM16),"")</f>
      </c>
      <c r="CN296" s="8">
        <f>IF((0=1),(CN16*CN16),"")</f>
      </c>
      <c r="CO296" s="8">
        <f>IF((0=1),(CO16*CO16),"")</f>
      </c>
      <c r="CP296" s="8">
        <f>IF((0=1),(CP16*CP16),"")</f>
      </c>
      <c r="CQ296" s="8">
        <f>IF((0=1),(CQ16*CQ16),"")</f>
      </c>
      <c r="CR296" s="8">
        <f>IF((0=1),(CR16*CR16),"")</f>
      </c>
      <c r="CS296" s="8">
        <f>IF((0=1),(CS16*CS16),"")</f>
      </c>
      <c r="CT296" s="8">
        <f>IF((0=1),(CT16*CT16),"")</f>
      </c>
      <c r="CU296" s="8">
        <f>IF((0=1),(CU16*CU16),"")</f>
      </c>
      <c r="CV296" s="8">
        <f>IF((0=1),(CV16*CV16),"")</f>
      </c>
      <c r="CW296" s="8">
        <f>IF((0=1),(CW16*CW16),"")</f>
      </c>
      <c r="CX296" s="8">
        <f>IF((0=1),(CX16*CX16),"")</f>
      </c>
    </row>
    <row r="297">
      <c r="A297" s="0" t="inlineStr">
        <is>
          <t xml:space="preserve">Squared excess</t>
        </is>
      </c>
      <c r="B297" s="0" t="inlineStr">
        <is>
          <t xml:space="preserve">Random 1</t>
        </is>
      </c>
      <c r="C297" s="8">
        <f>IF((1=1),(C17*C17),"")</f>
        <v>16.785409000000005</v>
      </c>
      <c r="D297" s="8">
        <f>IF((0=1),(D17*D17),"")</f>
      </c>
      <c r="E297" s="8">
        <f>IF((0=1),(E17*E17),"")</f>
      </c>
      <c r="F297" s="8">
        <f>IF((0=1),(F17*F17),"")</f>
      </c>
      <c r="G297" s="8">
        <f>IF((0=1),(G17*G17),"")</f>
      </c>
      <c r="H297" s="8">
        <f>IF((0=1),(H17*H17),"")</f>
      </c>
      <c r="I297" s="8">
        <f>IF((0=1),(I17*I17),"")</f>
      </c>
      <c r="J297" s="8">
        <f>IF((0=1),(J17*J17),"")</f>
      </c>
      <c r="K297" s="8">
        <f>IF((0=1),(K17*K17),"")</f>
      </c>
      <c r="L297" s="8">
        <f>IF((0=1),(L17*L17),"")</f>
      </c>
      <c r="M297" s="8">
        <f>IF((0=1),(M17*M17),"")</f>
      </c>
      <c r="N297" s="8">
        <f>IF((0=1),(N17*N17),"")</f>
      </c>
      <c r="O297" s="8">
        <f>IF((0=1),(O17*O17),"")</f>
      </c>
      <c r="P297" s="8">
        <f>IF((0=1),(P17*P17),"")</f>
      </c>
      <c r="Q297" s="8">
        <f>IF((0=1),(Q17*Q17),"")</f>
      </c>
      <c r="R297" s="8">
        <f>IF((0=1),(R17*R17),"")</f>
      </c>
      <c r="S297" s="8">
        <f>IF((0=1),(S17*S17),"")</f>
      </c>
      <c r="T297" s="8">
        <f>IF((0=1),(T17*T17),"")</f>
      </c>
      <c r="U297" s="8">
        <f>IF((0=1),(U17*U17),"")</f>
      </c>
      <c r="V297" s="8">
        <f>IF((0=1),(V17*V17),"")</f>
      </c>
      <c r="W297" s="8">
        <f>IF((0=1),(W17*W17),"")</f>
      </c>
      <c r="X297" s="8">
        <f>IF((0=1),(X17*X17),"")</f>
      </c>
      <c r="Y297" s="8">
        <f>IF((0=1),(Y17*Y17),"")</f>
      </c>
      <c r="Z297" s="8">
        <f>IF((0=1),(Z17*Z17),"")</f>
      </c>
      <c r="AA297" s="8">
        <f>IF((0=1),(AA17*AA17),"")</f>
      </c>
      <c r="AB297" s="8">
        <f>IF((0=1),(AB17*AB17),"")</f>
      </c>
      <c r="AC297" s="8">
        <f>IF((0=1),(AC17*AC17),"")</f>
      </c>
      <c r="AD297" s="8">
        <f>IF((0=1),(AD17*AD17),"")</f>
      </c>
      <c r="AE297" s="8">
        <f>IF((0=1),(AE17*AE17),"")</f>
      </c>
      <c r="AF297" s="8">
        <f>IF((0=1),(AF17*AF17),"")</f>
      </c>
      <c r="AG297" s="8">
        <f>IF((0=1),(AG17*AG17),"")</f>
      </c>
      <c r="AH297" s="8">
        <f>IF((0=1),(AH17*AH17),"")</f>
      </c>
      <c r="AI297" s="8">
        <f>IF((0=1),(AI17*AI17),"")</f>
      </c>
      <c r="AJ297" s="8">
        <f>IF((0=1),(AJ17*AJ17),"")</f>
      </c>
      <c r="AK297" s="8">
        <f>IF((0=1),(AK17*AK17),"")</f>
      </c>
      <c r="AL297" s="8">
        <f>IF((0=1),(AL17*AL17),"")</f>
      </c>
      <c r="AM297" s="8">
        <f>IF((0=1),(AM17*AM17),"")</f>
      </c>
      <c r="AN297" s="8">
        <f>IF((0=1),(AN17*AN17),"")</f>
      </c>
      <c r="AO297" s="8">
        <f>IF((0=1),(AO17*AO17),"")</f>
      </c>
      <c r="AP297" s="8">
        <f>IF((0=1),(AP17*AP17),"")</f>
      </c>
      <c r="AQ297" s="8">
        <f>IF((0=1),(AQ17*AQ17),"")</f>
      </c>
      <c r="AR297" s="8">
        <f>IF((0=1),(AR17*AR17),"")</f>
      </c>
      <c r="AS297" s="8">
        <f>IF((0=1),(AS17*AS17),"")</f>
      </c>
      <c r="AT297" s="8">
        <f>IF((0=1),(AT17*AT17),"")</f>
      </c>
      <c r="AU297" s="8">
        <f>IF((0=1),(AU17*AU17),"")</f>
      </c>
      <c r="AV297" s="8">
        <f>IF((0=1),(AV17*AV17),"")</f>
      </c>
      <c r="AW297" s="8">
        <f>IF((0=1),(AW17*AW17),"")</f>
      </c>
      <c r="AX297" s="8">
        <f>IF((0=1),(AX17*AX17),"")</f>
      </c>
      <c r="AY297" s="8">
        <f>IF((0=1),(AY17*AY17),"")</f>
      </c>
      <c r="AZ297" s="8">
        <f>IF((0=1),(AZ17*AZ17),"")</f>
      </c>
      <c r="BA297" s="8">
        <f>IF((0=1),(BA17*BA17),"")</f>
      </c>
      <c r="BB297" s="8">
        <f>IF((0=1),(BB17*BB17),"")</f>
      </c>
      <c r="BC297" s="8">
        <f>IF((0=1),(BC17*BC17),"")</f>
      </c>
      <c r="BD297" s="8">
        <f>IF((0=1),(BD17*BD17),"")</f>
      </c>
      <c r="BE297" s="8">
        <f>IF((0=1),(BE17*BE17),"")</f>
      </c>
      <c r="BF297" s="8">
        <f>IF((0=1),(BF17*BF17),"")</f>
      </c>
      <c r="BG297" s="8">
        <f>IF((0=1),(BG17*BG17),"")</f>
      </c>
      <c r="BH297" s="8">
        <f>IF((0=1),(BH17*BH17),"")</f>
      </c>
      <c r="BI297" s="8">
        <f>IF((0=1),(BI17*BI17),"")</f>
      </c>
      <c r="BJ297" s="8">
        <f>IF((0=1),(BJ17*BJ17),"")</f>
      </c>
      <c r="BK297" s="8">
        <f>IF((0=1),(BK17*BK17),"")</f>
      </c>
      <c r="BL297" s="8">
        <f>IF((0=1),(BL17*BL17),"")</f>
      </c>
      <c r="BM297" s="8">
        <f>IF((0=1),(BM17*BM17),"")</f>
      </c>
      <c r="BN297" s="8">
        <f>IF((0=1),(BN17*BN17),"")</f>
      </c>
      <c r="BO297" s="8">
        <f>IF((0=1),(BO17*BO17),"")</f>
      </c>
      <c r="BP297" s="8">
        <f>IF((0=1),(BP17*BP17),"")</f>
      </c>
      <c r="BQ297" s="8">
        <f>IF((0=1),(BQ17*BQ17),"")</f>
      </c>
      <c r="BR297" s="8">
        <f>IF((0=1),(BR17*BR17),"")</f>
      </c>
      <c r="BS297" s="8">
        <f>IF((0=1),(BS17*BS17),"")</f>
      </c>
      <c r="BT297" s="8">
        <f>IF((0=1),(BT17*BT17),"")</f>
      </c>
      <c r="BU297" s="8">
        <f>IF((0=1),(BU17*BU17),"")</f>
      </c>
      <c r="BV297" s="8">
        <f>IF((0=1),(BV17*BV17),"")</f>
      </c>
      <c r="BW297" s="8">
        <f>IF((0=1),(BW17*BW17),"")</f>
      </c>
      <c r="BX297" s="8">
        <f>IF((0=1),(BX17*BX17),"")</f>
      </c>
      <c r="BY297" s="8">
        <f>IF((0=1),(BY17*BY17),"")</f>
      </c>
      <c r="BZ297" s="8">
        <f>IF((0=1),(BZ17*BZ17),"")</f>
      </c>
      <c r="CA297" s="8">
        <f>IF((0=1),(CA17*CA17),"")</f>
      </c>
      <c r="CB297" s="8">
        <f>IF((0=1),(CB17*CB17),"")</f>
      </c>
      <c r="CC297" s="8">
        <f>IF((0=1),(CC17*CC17),"")</f>
      </c>
      <c r="CD297" s="8">
        <f>IF((0=1),(CD17*CD17),"")</f>
      </c>
      <c r="CE297" s="8">
        <f>IF((0=1),(CE17*CE17),"")</f>
      </c>
      <c r="CF297" s="8">
        <f>IF((0=1),(CF17*CF17),"")</f>
      </c>
      <c r="CG297" s="8">
        <f>IF((0=1),(CG17*CG17),"")</f>
      </c>
      <c r="CH297" s="8">
        <f>IF((0=1),(CH17*CH17),"")</f>
      </c>
      <c r="CI297" s="8">
        <f>IF((0=1),(CI17*CI17),"")</f>
      </c>
      <c r="CJ297" s="8">
        <f>IF((0=1),(CJ17*CJ17),"")</f>
      </c>
      <c r="CK297" s="8">
        <f>IF((0=1),(CK17*CK17),"")</f>
      </c>
      <c r="CL297" s="8">
        <f>IF((0=1),(CL17*CL17),"")</f>
      </c>
      <c r="CM297" s="8">
        <f>IF((0=1),(CM17*CM17),"")</f>
      </c>
      <c r="CN297" s="8">
        <f>IF((0=1),(CN17*CN17),"")</f>
      </c>
      <c r="CO297" s="8">
        <f>IF((0=1),(CO17*CO17),"")</f>
      </c>
      <c r="CP297" s="8">
        <f>IF((0=1),(CP17*CP17),"")</f>
      </c>
      <c r="CQ297" s="8">
        <f>IF((0=1),(CQ17*CQ17),"")</f>
      </c>
      <c r="CR297" s="8">
        <f>IF((0=1),(CR17*CR17),"")</f>
      </c>
      <c r="CS297" s="8">
        <f>IF((0=1),(CS17*CS17),"")</f>
      </c>
      <c r="CT297" s="8">
        <f>IF((0=1),(CT17*CT17),"")</f>
      </c>
      <c r="CU297" s="8">
        <f>IF((0=1),(CU17*CU17),"")</f>
      </c>
      <c r="CV297" s="8">
        <f>IF((0=1),(CV17*CV17),"")</f>
      </c>
      <c r="CW297" s="8">
        <f>IF((0=1),(CW17*CW17),"")</f>
      </c>
      <c r="CX297" s="8">
        <f>IF((0=1),(CX17*CX17),"")</f>
      </c>
    </row>
    <row r="298">
      <c r="A298" s="0" t="inlineStr">
        <is>
          <t xml:space="preserve">Squared excess</t>
        </is>
      </c>
      <c r="B298" s="0" t="inlineStr">
        <is>
          <t xml:space="preserve">Random 2</t>
        </is>
      </c>
      <c r="C298" s="8">
        <f>IF((1=1),(C18*C18),"")</f>
        <v>0.49420899999999995</v>
      </c>
      <c r="D298" s="8">
        <f>IF((0=1),(D18*D18),"")</f>
      </c>
      <c r="E298" s="8">
        <f>IF((0=1),(E18*E18),"")</f>
      </c>
      <c r="F298" s="8">
        <f>IF((0=1),(F18*F18),"")</f>
      </c>
      <c r="G298" s="8">
        <f>IF((0=1),(G18*G18),"")</f>
      </c>
      <c r="H298" s="8">
        <f>IF((0=1),(H18*H18),"")</f>
      </c>
      <c r="I298" s="8">
        <f>IF((0=1),(I18*I18),"")</f>
      </c>
      <c r="J298" s="8">
        <f>IF((0=1),(J18*J18),"")</f>
      </c>
      <c r="K298" s="8">
        <f>IF((0=1),(K18*K18),"")</f>
      </c>
      <c r="L298" s="8">
        <f>IF((0=1),(L18*L18),"")</f>
      </c>
      <c r="M298" s="8">
        <f>IF((0=1),(M18*M18),"")</f>
      </c>
      <c r="N298" s="8">
        <f>IF((0=1),(N18*N18),"")</f>
      </c>
      <c r="O298" s="8">
        <f>IF((0=1),(O18*O18),"")</f>
      </c>
      <c r="P298" s="8">
        <f>IF((0=1),(P18*P18),"")</f>
      </c>
      <c r="Q298" s="8">
        <f>IF((0=1),(Q18*Q18),"")</f>
      </c>
      <c r="R298" s="8">
        <f>IF((0=1),(R18*R18),"")</f>
      </c>
      <c r="S298" s="8">
        <f>IF((0=1),(S18*S18),"")</f>
      </c>
      <c r="T298" s="8">
        <f>IF((0=1),(T18*T18),"")</f>
      </c>
      <c r="U298" s="8">
        <f>IF((0=1),(U18*U18),"")</f>
      </c>
      <c r="V298" s="8">
        <f>IF((0=1),(V18*V18),"")</f>
      </c>
      <c r="W298" s="8">
        <f>IF((0=1),(W18*W18),"")</f>
      </c>
      <c r="X298" s="8">
        <f>IF((0=1),(X18*X18),"")</f>
      </c>
      <c r="Y298" s="8">
        <f>IF((0=1),(Y18*Y18),"")</f>
      </c>
      <c r="Z298" s="8">
        <f>IF((0=1),(Z18*Z18),"")</f>
      </c>
      <c r="AA298" s="8">
        <f>IF((0=1),(AA18*AA18),"")</f>
      </c>
      <c r="AB298" s="8">
        <f>IF((0=1),(AB18*AB18),"")</f>
      </c>
      <c r="AC298" s="8">
        <f>IF((0=1),(AC18*AC18),"")</f>
      </c>
      <c r="AD298" s="8">
        <f>IF((0=1),(AD18*AD18),"")</f>
      </c>
      <c r="AE298" s="8">
        <f>IF((0=1),(AE18*AE18),"")</f>
      </c>
      <c r="AF298" s="8">
        <f>IF((0=1),(AF18*AF18),"")</f>
      </c>
      <c r="AG298" s="8">
        <f>IF((0=1),(AG18*AG18),"")</f>
      </c>
      <c r="AH298" s="8">
        <f>IF((0=1),(AH18*AH18),"")</f>
      </c>
      <c r="AI298" s="8">
        <f>IF((0=1),(AI18*AI18),"")</f>
      </c>
      <c r="AJ298" s="8">
        <f>IF((0=1),(AJ18*AJ18),"")</f>
      </c>
      <c r="AK298" s="8">
        <f>IF((0=1),(AK18*AK18),"")</f>
      </c>
      <c r="AL298" s="8">
        <f>IF((0=1),(AL18*AL18),"")</f>
      </c>
      <c r="AM298" s="8">
        <f>IF((0=1),(AM18*AM18),"")</f>
      </c>
      <c r="AN298" s="8">
        <f>IF((0=1),(AN18*AN18),"")</f>
      </c>
      <c r="AO298" s="8">
        <f>IF((0=1),(AO18*AO18),"")</f>
      </c>
      <c r="AP298" s="8">
        <f>IF((0=1),(AP18*AP18),"")</f>
      </c>
      <c r="AQ298" s="8">
        <f>IF((0=1),(AQ18*AQ18),"")</f>
      </c>
      <c r="AR298" s="8">
        <f>IF((0=1),(AR18*AR18),"")</f>
      </c>
      <c r="AS298" s="8">
        <f>IF((0=1),(AS18*AS18),"")</f>
      </c>
      <c r="AT298" s="8">
        <f>IF((0=1),(AT18*AT18),"")</f>
      </c>
      <c r="AU298" s="8">
        <f>IF((0=1),(AU18*AU18),"")</f>
      </c>
      <c r="AV298" s="8">
        <f>IF((0=1),(AV18*AV18),"")</f>
      </c>
      <c r="AW298" s="8">
        <f>IF((0=1),(AW18*AW18),"")</f>
      </c>
      <c r="AX298" s="8">
        <f>IF((0=1),(AX18*AX18),"")</f>
      </c>
      <c r="AY298" s="8">
        <f>IF((0=1),(AY18*AY18),"")</f>
      </c>
      <c r="AZ298" s="8">
        <f>IF((0=1),(AZ18*AZ18),"")</f>
      </c>
      <c r="BA298" s="8">
        <f>IF((0=1),(BA18*BA18),"")</f>
      </c>
      <c r="BB298" s="8">
        <f>IF((0=1),(BB18*BB18),"")</f>
      </c>
      <c r="BC298" s="8">
        <f>IF((0=1),(BC18*BC18),"")</f>
      </c>
      <c r="BD298" s="8">
        <f>IF((0=1),(BD18*BD18),"")</f>
      </c>
      <c r="BE298" s="8">
        <f>IF((0=1),(BE18*BE18),"")</f>
      </c>
      <c r="BF298" s="8">
        <f>IF((0=1),(BF18*BF18),"")</f>
      </c>
      <c r="BG298" s="8">
        <f>IF((0=1),(BG18*BG18),"")</f>
      </c>
      <c r="BH298" s="8">
        <f>IF((0=1),(BH18*BH18),"")</f>
      </c>
      <c r="BI298" s="8">
        <f>IF((0=1),(BI18*BI18),"")</f>
      </c>
      <c r="BJ298" s="8">
        <f>IF((0=1),(BJ18*BJ18),"")</f>
      </c>
      <c r="BK298" s="8">
        <f>IF((0=1),(BK18*BK18),"")</f>
      </c>
      <c r="BL298" s="8">
        <f>IF((0=1),(BL18*BL18),"")</f>
      </c>
      <c r="BM298" s="8">
        <f>IF((0=1),(BM18*BM18),"")</f>
      </c>
      <c r="BN298" s="8">
        <f>IF((0=1),(BN18*BN18),"")</f>
      </c>
      <c r="BO298" s="8">
        <f>IF((0=1),(BO18*BO18),"")</f>
      </c>
      <c r="BP298" s="8">
        <f>IF((0=1),(BP18*BP18),"")</f>
      </c>
      <c r="BQ298" s="8">
        <f>IF((0=1),(BQ18*BQ18),"")</f>
      </c>
      <c r="BR298" s="8">
        <f>IF((0=1),(BR18*BR18),"")</f>
      </c>
      <c r="BS298" s="8">
        <f>IF((0=1),(BS18*BS18),"")</f>
      </c>
      <c r="BT298" s="8">
        <f>IF((0=1),(BT18*BT18),"")</f>
      </c>
      <c r="BU298" s="8">
        <f>IF((0=1),(BU18*BU18),"")</f>
      </c>
      <c r="BV298" s="8">
        <f>IF((0=1),(BV18*BV18),"")</f>
      </c>
      <c r="BW298" s="8">
        <f>IF((0=1),(BW18*BW18),"")</f>
      </c>
      <c r="BX298" s="8">
        <f>IF((0=1),(BX18*BX18),"")</f>
      </c>
      <c r="BY298" s="8">
        <f>IF((0=1),(BY18*BY18),"")</f>
      </c>
      <c r="BZ298" s="8">
        <f>IF((0=1),(BZ18*BZ18),"")</f>
      </c>
      <c r="CA298" s="8">
        <f>IF((0=1),(CA18*CA18),"")</f>
      </c>
      <c r="CB298" s="8">
        <f>IF((0=1),(CB18*CB18),"")</f>
      </c>
      <c r="CC298" s="8">
        <f>IF((0=1),(CC18*CC18),"")</f>
      </c>
      <c r="CD298" s="8">
        <f>IF((0=1),(CD18*CD18),"")</f>
      </c>
      <c r="CE298" s="8">
        <f>IF((0=1),(CE18*CE18),"")</f>
      </c>
      <c r="CF298" s="8">
        <f>IF((0=1),(CF18*CF18),"")</f>
      </c>
      <c r="CG298" s="8">
        <f>IF((0=1),(CG18*CG18),"")</f>
      </c>
      <c r="CH298" s="8">
        <f>IF((0=1),(CH18*CH18),"")</f>
      </c>
      <c r="CI298" s="8">
        <f>IF((0=1),(CI18*CI18),"")</f>
      </c>
      <c r="CJ298" s="8">
        <f>IF((0=1),(CJ18*CJ18),"")</f>
      </c>
      <c r="CK298" s="8">
        <f>IF((0=1),(CK18*CK18),"")</f>
      </c>
      <c r="CL298" s="8">
        <f>IF((0=1),(CL18*CL18),"")</f>
      </c>
      <c r="CM298" s="8">
        <f>IF((0=1),(CM18*CM18),"")</f>
      </c>
      <c r="CN298" s="8">
        <f>IF((0=1),(CN18*CN18),"")</f>
      </c>
      <c r="CO298" s="8">
        <f>IF((0=1),(CO18*CO18),"")</f>
      </c>
      <c r="CP298" s="8">
        <f>IF((0=1),(CP18*CP18),"")</f>
      </c>
      <c r="CQ298" s="8">
        <f>IF((0=1),(CQ18*CQ18),"")</f>
      </c>
      <c r="CR298" s="8">
        <f>IF((0=1),(CR18*CR18),"")</f>
      </c>
      <c r="CS298" s="8">
        <f>IF((0=1),(CS18*CS18),"")</f>
      </c>
      <c r="CT298" s="8">
        <f>IF((0=1),(CT18*CT18),"")</f>
      </c>
      <c r="CU298" s="8">
        <f>IF((0=1),(CU18*CU18),"")</f>
      </c>
      <c r="CV298" s="8">
        <f>IF((0=1),(CV18*CV18),"")</f>
      </c>
      <c r="CW298" s="8">
        <f>IF((0=1),(CW18*CW18),"")</f>
      </c>
      <c r="CX298" s="8">
        <f>IF((0=1),(CX18*CX18),"")</f>
      </c>
    </row>
    <row r="299">
      <c r="A299" s="0" t="inlineStr">
        <is>
          <t xml:space="preserve">Squared excess</t>
        </is>
      </c>
      <c r="B299" s="0" t="inlineStr">
        <is>
          <t xml:space="preserve">Random 3</t>
        </is>
      </c>
      <c r="C299" s="8">
        <f>IF((1=1),(C19*C19),"")</f>
        <v>21.3444</v>
      </c>
      <c r="D299" s="8">
        <f>IF((0=1),(D19*D19),"")</f>
      </c>
      <c r="E299" s="8">
        <f>IF((0=1),(E19*E19),"")</f>
      </c>
      <c r="F299" s="8">
        <f>IF((0=1),(F19*F19),"")</f>
      </c>
      <c r="G299" s="8">
        <f>IF((0=1),(G19*G19),"")</f>
      </c>
      <c r="H299" s="8">
        <f>IF((0=1),(H19*H19),"")</f>
      </c>
      <c r="I299" s="8">
        <f>IF((0=1),(I19*I19),"")</f>
      </c>
      <c r="J299" s="8">
        <f>IF((0=1),(J19*J19),"")</f>
      </c>
      <c r="K299" s="8">
        <f>IF((0=1),(K19*K19),"")</f>
      </c>
      <c r="L299" s="8">
        <f>IF((0=1),(L19*L19),"")</f>
      </c>
      <c r="M299" s="8">
        <f>IF((0=1),(M19*M19),"")</f>
      </c>
      <c r="N299" s="8">
        <f>IF((0=1),(N19*N19),"")</f>
      </c>
      <c r="O299" s="8">
        <f>IF((0=1),(O19*O19),"")</f>
      </c>
      <c r="P299" s="8">
        <f>IF((0=1),(P19*P19),"")</f>
      </c>
      <c r="Q299" s="8">
        <f>IF((0=1),(Q19*Q19),"")</f>
      </c>
      <c r="R299" s="8">
        <f>IF((0=1),(R19*R19),"")</f>
      </c>
      <c r="S299" s="8">
        <f>IF((0=1),(S19*S19),"")</f>
      </c>
      <c r="T299" s="8">
        <f>IF((0=1),(T19*T19),"")</f>
      </c>
      <c r="U299" s="8">
        <f>IF((0=1),(U19*U19),"")</f>
      </c>
      <c r="V299" s="8">
        <f>IF((0=1),(V19*V19),"")</f>
      </c>
      <c r="W299" s="8">
        <f>IF((0=1),(W19*W19),"")</f>
      </c>
      <c r="X299" s="8">
        <f>IF((0=1),(X19*X19),"")</f>
      </c>
      <c r="Y299" s="8">
        <f>IF((0=1),(Y19*Y19),"")</f>
      </c>
      <c r="Z299" s="8">
        <f>IF((0=1),(Z19*Z19),"")</f>
      </c>
      <c r="AA299" s="8">
        <f>IF((0=1),(AA19*AA19),"")</f>
      </c>
      <c r="AB299" s="8">
        <f>IF((0=1),(AB19*AB19),"")</f>
      </c>
      <c r="AC299" s="8">
        <f>IF((0=1),(AC19*AC19),"")</f>
      </c>
      <c r="AD299" s="8">
        <f>IF((0=1),(AD19*AD19),"")</f>
      </c>
      <c r="AE299" s="8">
        <f>IF((0=1),(AE19*AE19),"")</f>
      </c>
      <c r="AF299" s="8">
        <f>IF((0=1),(AF19*AF19),"")</f>
      </c>
      <c r="AG299" s="8">
        <f>IF((0=1),(AG19*AG19),"")</f>
      </c>
      <c r="AH299" s="8">
        <f>IF((0=1),(AH19*AH19),"")</f>
      </c>
      <c r="AI299" s="8">
        <f>IF((0=1),(AI19*AI19),"")</f>
      </c>
      <c r="AJ299" s="8">
        <f>IF((0=1),(AJ19*AJ19),"")</f>
      </c>
      <c r="AK299" s="8">
        <f>IF((0=1),(AK19*AK19),"")</f>
      </c>
      <c r="AL299" s="8">
        <f>IF((0=1),(AL19*AL19),"")</f>
      </c>
      <c r="AM299" s="8">
        <f>IF((0=1),(AM19*AM19),"")</f>
      </c>
      <c r="AN299" s="8">
        <f>IF((0=1),(AN19*AN19),"")</f>
      </c>
      <c r="AO299" s="8">
        <f>IF((0=1),(AO19*AO19),"")</f>
      </c>
      <c r="AP299" s="8">
        <f>IF((0=1),(AP19*AP19),"")</f>
      </c>
      <c r="AQ299" s="8">
        <f>IF((0=1),(AQ19*AQ19),"")</f>
      </c>
      <c r="AR299" s="8">
        <f>IF((0=1),(AR19*AR19),"")</f>
      </c>
      <c r="AS299" s="8">
        <f>IF((0=1),(AS19*AS19),"")</f>
      </c>
      <c r="AT299" s="8">
        <f>IF((0=1),(AT19*AT19),"")</f>
      </c>
      <c r="AU299" s="8">
        <f>IF((0=1),(AU19*AU19),"")</f>
      </c>
      <c r="AV299" s="8">
        <f>IF((0=1),(AV19*AV19),"")</f>
      </c>
      <c r="AW299" s="8">
        <f>IF((0=1),(AW19*AW19),"")</f>
      </c>
      <c r="AX299" s="8">
        <f>IF((0=1),(AX19*AX19),"")</f>
      </c>
      <c r="AY299" s="8">
        <f>IF((0=1),(AY19*AY19),"")</f>
      </c>
      <c r="AZ299" s="8">
        <f>IF((0=1),(AZ19*AZ19),"")</f>
      </c>
      <c r="BA299" s="8">
        <f>IF((0=1),(BA19*BA19),"")</f>
      </c>
      <c r="BB299" s="8">
        <f>IF((0=1),(BB19*BB19),"")</f>
      </c>
      <c r="BC299" s="8">
        <f>IF((0=1),(BC19*BC19),"")</f>
      </c>
      <c r="BD299" s="8">
        <f>IF((0=1),(BD19*BD19),"")</f>
      </c>
      <c r="BE299" s="8">
        <f>IF((0=1),(BE19*BE19),"")</f>
      </c>
      <c r="BF299" s="8">
        <f>IF((0=1),(BF19*BF19),"")</f>
      </c>
      <c r="BG299" s="8">
        <f>IF((0=1),(BG19*BG19),"")</f>
      </c>
      <c r="BH299" s="8">
        <f>IF((0=1),(BH19*BH19),"")</f>
      </c>
      <c r="BI299" s="8">
        <f>IF((0=1),(BI19*BI19),"")</f>
      </c>
      <c r="BJ299" s="8">
        <f>IF((0=1),(BJ19*BJ19),"")</f>
      </c>
      <c r="BK299" s="8">
        <f>IF((0=1),(BK19*BK19),"")</f>
      </c>
      <c r="BL299" s="8">
        <f>IF((0=1),(BL19*BL19),"")</f>
      </c>
      <c r="BM299" s="8">
        <f>IF((0=1),(BM19*BM19),"")</f>
      </c>
      <c r="BN299" s="8">
        <f>IF((0=1),(BN19*BN19),"")</f>
      </c>
      <c r="BO299" s="8">
        <f>IF((0=1),(BO19*BO19),"")</f>
      </c>
      <c r="BP299" s="8">
        <f>IF((0=1),(BP19*BP19),"")</f>
      </c>
      <c r="BQ299" s="8">
        <f>IF((0=1),(BQ19*BQ19),"")</f>
      </c>
      <c r="BR299" s="8">
        <f>IF((0=1),(BR19*BR19),"")</f>
      </c>
      <c r="BS299" s="8">
        <f>IF((0=1),(BS19*BS19),"")</f>
      </c>
      <c r="BT299" s="8">
        <f>IF((0=1),(BT19*BT19),"")</f>
      </c>
      <c r="BU299" s="8">
        <f>IF((0=1),(BU19*BU19),"")</f>
      </c>
      <c r="BV299" s="8">
        <f>IF((0=1),(BV19*BV19),"")</f>
      </c>
      <c r="BW299" s="8">
        <f>IF((0=1),(BW19*BW19),"")</f>
      </c>
      <c r="BX299" s="8">
        <f>IF((0=1),(BX19*BX19),"")</f>
      </c>
      <c r="BY299" s="8">
        <f>IF((0=1),(BY19*BY19),"")</f>
      </c>
      <c r="BZ299" s="8">
        <f>IF((0=1),(BZ19*BZ19),"")</f>
      </c>
      <c r="CA299" s="8">
        <f>IF((0=1),(CA19*CA19),"")</f>
      </c>
      <c r="CB299" s="8">
        <f>IF((0=1),(CB19*CB19),"")</f>
      </c>
      <c r="CC299" s="8">
        <f>IF((0=1),(CC19*CC19),"")</f>
      </c>
      <c r="CD299" s="8">
        <f>IF((0=1),(CD19*CD19),"")</f>
      </c>
      <c r="CE299" s="8">
        <f>IF((0=1),(CE19*CE19),"")</f>
      </c>
      <c r="CF299" s="8">
        <f>IF((0=1),(CF19*CF19),"")</f>
      </c>
      <c r="CG299" s="8">
        <f>IF((0=1),(CG19*CG19),"")</f>
      </c>
      <c r="CH299" s="8">
        <f>IF((0=1),(CH19*CH19),"")</f>
      </c>
      <c r="CI299" s="8">
        <f>IF((0=1),(CI19*CI19),"")</f>
      </c>
      <c r="CJ299" s="8">
        <f>IF((0=1),(CJ19*CJ19),"")</f>
      </c>
      <c r="CK299" s="8">
        <f>IF((0=1),(CK19*CK19),"")</f>
      </c>
      <c r="CL299" s="8">
        <f>IF((0=1),(CL19*CL19),"")</f>
      </c>
      <c r="CM299" s="8">
        <f>IF((0=1),(CM19*CM19),"")</f>
      </c>
      <c r="CN299" s="8">
        <f>IF((0=1),(CN19*CN19),"")</f>
      </c>
      <c r="CO299" s="8">
        <f>IF((0=1),(CO19*CO19),"")</f>
      </c>
      <c r="CP299" s="8">
        <f>IF((0=1),(CP19*CP19),"")</f>
      </c>
      <c r="CQ299" s="8">
        <f>IF((0=1),(CQ19*CQ19),"")</f>
      </c>
      <c r="CR299" s="8">
        <f>IF((0=1),(CR19*CR19),"")</f>
      </c>
      <c r="CS299" s="8">
        <f>IF((0=1),(CS19*CS19),"")</f>
      </c>
      <c r="CT299" s="8">
        <f>IF((0=1),(CT19*CT19),"")</f>
      </c>
      <c r="CU299" s="8">
        <f>IF((0=1),(CU19*CU19),"")</f>
      </c>
      <c r="CV299" s="8">
        <f>IF((0=1),(CV19*CV19),"")</f>
      </c>
      <c r="CW299" s="8">
        <f>IF((0=1),(CW19*CW19),"")</f>
      </c>
      <c r="CX299" s="8">
        <f>IF((0=1),(CX19*CX19),"")</f>
      </c>
    </row>
    <row r="300">
      <c r="A300" s="0" t="inlineStr">
        <is>
          <t xml:space="preserve">Squared excess</t>
        </is>
      </c>
      <c r="B300" s="0" t="inlineStr">
        <is>
          <t xml:space="preserve">Random 4</t>
        </is>
      </c>
      <c r="C300" s="8">
        <f>IF((1=1),(C20*C20),"")</f>
        <v>3.0800249999999996</v>
      </c>
      <c r="D300" s="8">
        <f>IF((0=1),(D20*D20),"")</f>
      </c>
      <c r="E300" s="8">
        <f>IF((0=1),(E20*E20),"")</f>
      </c>
      <c r="F300" s="8">
        <f>IF((0=1),(F20*F20),"")</f>
      </c>
      <c r="G300" s="8">
        <f>IF((0=1),(G20*G20),"")</f>
      </c>
      <c r="H300" s="8">
        <f>IF((0=1),(H20*H20),"")</f>
      </c>
      <c r="I300" s="8">
        <f>IF((0=1),(I20*I20),"")</f>
      </c>
      <c r="J300" s="8">
        <f>IF((0=1),(J20*J20),"")</f>
      </c>
      <c r="K300" s="8">
        <f>IF((0=1),(K20*K20),"")</f>
      </c>
      <c r="L300" s="8">
        <f>IF((0=1),(L20*L20),"")</f>
      </c>
      <c r="M300" s="8">
        <f>IF((0=1),(M20*M20),"")</f>
      </c>
      <c r="N300" s="8">
        <f>IF((0=1),(N20*N20),"")</f>
      </c>
      <c r="O300" s="8">
        <f>IF((0=1),(O20*O20),"")</f>
      </c>
      <c r="P300" s="8">
        <f>IF((0=1),(P20*P20),"")</f>
      </c>
      <c r="Q300" s="8">
        <f>IF((0=1),(Q20*Q20),"")</f>
      </c>
      <c r="R300" s="8">
        <f>IF((0=1),(R20*R20),"")</f>
      </c>
      <c r="S300" s="8">
        <f>IF((0=1),(S20*S20),"")</f>
      </c>
      <c r="T300" s="8">
        <f>IF((0=1),(T20*T20),"")</f>
      </c>
      <c r="U300" s="8">
        <f>IF((0=1),(U20*U20),"")</f>
      </c>
      <c r="V300" s="8">
        <f>IF((0=1),(V20*V20),"")</f>
      </c>
      <c r="W300" s="8">
        <f>IF((0=1),(W20*W20),"")</f>
      </c>
      <c r="X300" s="8">
        <f>IF((0=1),(X20*X20),"")</f>
      </c>
      <c r="Y300" s="8">
        <f>IF((0=1),(Y20*Y20),"")</f>
      </c>
      <c r="Z300" s="8">
        <f>IF((0=1),(Z20*Z20),"")</f>
      </c>
      <c r="AA300" s="8">
        <f>IF((0=1),(AA20*AA20),"")</f>
      </c>
      <c r="AB300" s="8">
        <f>IF((0=1),(AB20*AB20),"")</f>
      </c>
      <c r="AC300" s="8">
        <f>IF((0=1),(AC20*AC20),"")</f>
      </c>
      <c r="AD300" s="8">
        <f>IF((0=1),(AD20*AD20),"")</f>
      </c>
      <c r="AE300" s="8">
        <f>IF((0=1),(AE20*AE20),"")</f>
      </c>
      <c r="AF300" s="8">
        <f>IF((0=1),(AF20*AF20),"")</f>
      </c>
      <c r="AG300" s="8">
        <f>IF((0=1),(AG20*AG20),"")</f>
      </c>
      <c r="AH300" s="8">
        <f>IF((0=1),(AH20*AH20),"")</f>
      </c>
      <c r="AI300" s="8">
        <f>IF((0=1),(AI20*AI20),"")</f>
      </c>
      <c r="AJ300" s="8">
        <f>IF((0=1),(AJ20*AJ20),"")</f>
      </c>
      <c r="AK300" s="8">
        <f>IF((0=1),(AK20*AK20),"")</f>
      </c>
      <c r="AL300" s="8">
        <f>IF((0=1),(AL20*AL20),"")</f>
      </c>
      <c r="AM300" s="8">
        <f>IF((0=1),(AM20*AM20),"")</f>
      </c>
      <c r="AN300" s="8">
        <f>IF((0=1),(AN20*AN20),"")</f>
      </c>
      <c r="AO300" s="8">
        <f>IF((0=1),(AO20*AO20),"")</f>
      </c>
      <c r="AP300" s="8">
        <f>IF((0=1),(AP20*AP20),"")</f>
      </c>
      <c r="AQ300" s="8">
        <f>IF((0=1),(AQ20*AQ20),"")</f>
      </c>
      <c r="AR300" s="8">
        <f>IF((0=1),(AR20*AR20),"")</f>
      </c>
      <c r="AS300" s="8">
        <f>IF((0=1),(AS20*AS20),"")</f>
      </c>
      <c r="AT300" s="8">
        <f>IF((0=1),(AT20*AT20),"")</f>
      </c>
      <c r="AU300" s="8">
        <f>IF((0=1),(AU20*AU20),"")</f>
      </c>
      <c r="AV300" s="8">
        <f>IF((0=1),(AV20*AV20),"")</f>
      </c>
      <c r="AW300" s="8">
        <f>IF((0=1),(AW20*AW20),"")</f>
      </c>
      <c r="AX300" s="8">
        <f>IF((0=1),(AX20*AX20),"")</f>
      </c>
      <c r="AY300" s="8">
        <f>IF((0=1),(AY20*AY20),"")</f>
      </c>
      <c r="AZ300" s="8">
        <f>IF((0=1),(AZ20*AZ20),"")</f>
      </c>
      <c r="BA300" s="8">
        <f>IF((0=1),(BA20*BA20),"")</f>
      </c>
      <c r="BB300" s="8">
        <f>IF((0=1),(BB20*BB20),"")</f>
      </c>
      <c r="BC300" s="8">
        <f>IF((0=1),(BC20*BC20),"")</f>
      </c>
      <c r="BD300" s="8">
        <f>IF((0=1),(BD20*BD20),"")</f>
      </c>
      <c r="BE300" s="8">
        <f>IF((0=1),(BE20*BE20),"")</f>
      </c>
      <c r="BF300" s="8">
        <f>IF((0=1),(BF20*BF20),"")</f>
      </c>
      <c r="BG300" s="8">
        <f>IF((0=1),(BG20*BG20),"")</f>
      </c>
      <c r="BH300" s="8">
        <f>IF((0=1),(BH20*BH20),"")</f>
      </c>
      <c r="BI300" s="8">
        <f>IF((0=1),(BI20*BI20),"")</f>
      </c>
      <c r="BJ300" s="8">
        <f>IF((0=1),(BJ20*BJ20),"")</f>
      </c>
      <c r="BK300" s="8">
        <f>IF((0=1),(BK20*BK20),"")</f>
      </c>
      <c r="BL300" s="8">
        <f>IF((0=1),(BL20*BL20),"")</f>
      </c>
      <c r="BM300" s="8">
        <f>IF((0=1),(BM20*BM20),"")</f>
      </c>
      <c r="BN300" s="8">
        <f>IF((0=1),(BN20*BN20),"")</f>
      </c>
      <c r="BO300" s="8">
        <f>IF((0=1),(BO20*BO20),"")</f>
      </c>
      <c r="BP300" s="8">
        <f>IF((0=1),(BP20*BP20),"")</f>
      </c>
      <c r="BQ300" s="8">
        <f>IF((0=1),(BQ20*BQ20),"")</f>
      </c>
      <c r="BR300" s="8">
        <f>IF((0=1),(BR20*BR20),"")</f>
      </c>
      <c r="BS300" s="8">
        <f>IF((0=1),(BS20*BS20),"")</f>
      </c>
      <c r="BT300" s="8">
        <f>IF((0=1),(BT20*BT20),"")</f>
      </c>
      <c r="BU300" s="8">
        <f>IF((0=1),(BU20*BU20),"")</f>
      </c>
      <c r="BV300" s="8">
        <f>IF((0=1),(BV20*BV20),"")</f>
      </c>
      <c r="BW300" s="8">
        <f>IF((0=1),(BW20*BW20),"")</f>
      </c>
      <c r="BX300" s="8">
        <f>IF((0=1),(BX20*BX20),"")</f>
      </c>
      <c r="BY300" s="8">
        <f>IF((0=1),(BY20*BY20),"")</f>
      </c>
      <c r="BZ300" s="8">
        <f>IF((0=1),(BZ20*BZ20),"")</f>
      </c>
      <c r="CA300" s="8">
        <f>IF((0=1),(CA20*CA20),"")</f>
      </c>
      <c r="CB300" s="8">
        <f>IF((0=1),(CB20*CB20),"")</f>
      </c>
      <c r="CC300" s="8">
        <f>IF((0=1),(CC20*CC20),"")</f>
      </c>
      <c r="CD300" s="8">
        <f>IF((0=1),(CD20*CD20),"")</f>
      </c>
      <c r="CE300" s="8">
        <f>IF((0=1),(CE20*CE20),"")</f>
      </c>
      <c r="CF300" s="8">
        <f>IF((0=1),(CF20*CF20),"")</f>
      </c>
      <c r="CG300" s="8">
        <f>IF((0=1),(CG20*CG20),"")</f>
      </c>
      <c r="CH300" s="8">
        <f>IF((0=1),(CH20*CH20),"")</f>
      </c>
      <c r="CI300" s="8">
        <f>IF((0=1),(CI20*CI20),"")</f>
      </c>
      <c r="CJ300" s="8">
        <f>IF((0=1),(CJ20*CJ20),"")</f>
      </c>
      <c r="CK300" s="8">
        <f>IF((0=1),(CK20*CK20),"")</f>
      </c>
      <c r="CL300" s="8">
        <f>IF((0=1),(CL20*CL20),"")</f>
      </c>
      <c r="CM300" s="8">
        <f>IF((0=1),(CM20*CM20),"")</f>
      </c>
      <c r="CN300" s="8">
        <f>IF((0=1),(CN20*CN20),"")</f>
      </c>
      <c r="CO300" s="8">
        <f>IF((0=1),(CO20*CO20),"")</f>
      </c>
      <c r="CP300" s="8">
        <f>IF((0=1),(CP20*CP20),"")</f>
      </c>
      <c r="CQ300" s="8">
        <f>IF((0=1),(CQ20*CQ20),"")</f>
      </c>
      <c r="CR300" s="8">
        <f>IF((0=1),(CR20*CR20),"")</f>
      </c>
      <c r="CS300" s="8">
        <f>IF((0=1),(CS20*CS20),"")</f>
      </c>
      <c r="CT300" s="8">
        <f>IF((0=1),(CT20*CT20),"")</f>
      </c>
      <c r="CU300" s="8">
        <f>IF((0=1),(CU20*CU20),"")</f>
      </c>
      <c r="CV300" s="8">
        <f>IF((0=1),(CV20*CV20),"")</f>
      </c>
      <c r="CW300" s="8">
        <f>IF((0=1),(CW20*CW20),"")</f>
      </c>
      <c r="CX300" s="8">
        <f>IF((0=1),(CX20*CX20),"")</f>
      </c>
    </row>
    <row r="301">
      <c r="A301" s="0" t="inlineStr">
        <is>
          <t xml:space="preserve">Squared excess</t>
        </is>
      </c>
      <c r="B301" s="0" t="inlineStr">
        <is>
          <t xml:space="preserve">Random 5</t>
        </is>
      </c>
      <c r="C301" s="8">
        <f>IF((1=1),(C21*C21),"")</f>
        <v>71.99522499999999</v>
      </c>
      <c r="D301" s="8">
        <f>IF((0=1),(D21*D21),"")</f>
      </c>
      <c r="E301" s="8">
        <f>IF((0=1),(E21*E21),"")</f>
      </c>
      <c r="F301" s="8">
        <f>IF((0=1),(F21*F21),"")</f>
      </c>
      <c r="G301" s="8">
        <f>IF((0=1),(G21*G21),"")</f>
      </c>
      <c r="H301" s="8">
        <f>IF((0=1),(H21*H21),"")</f>
      </c>
      <c r="I301" s="8">
        <f>IF((0=1),(I21*I21),"")</f>
      </c>
      <c r="J301" s="8">
        <f>IF((0=1),(J21*J21),"")</f>
      </c>
      <c r="K301" s="8">
        <f>IF((0=1),(K21*K21),"")</f>
      </c>
      <c r="L301" s="8">
        <f>IF((0=1),(L21*L21),"")</f>
      </c>
      <c r="M301" s="8">
        <f>IF((0=1),(M21*M21),"")</f>
      </c>
      <c r="N301" s="8">
        <f>IF((0=1),(N21*N21),"")</f>
      </c>
      <c r="O301" s="8">
        <f>IF((0=1),(O21*O21),"")</f>
      </c>
      <c r="P301" s="8">
        <f>IF((0=1),(P21*P21),"")</f>
      </c>
      <c r="Q301" s="8">
        <f>IF((0=1),(Q21*Q21),"")</f>
      </c>
      <c r="R301" s="8">
        <f>IF((0=1),(R21*R21),"")</f>
      </c>
      <c r="S301" s="8">
        <f>IF((0=1),(S21*S21),"")</f>
      </c>
      <c r="T301" s="8">
        <f>IF((0=1),(T21*T21),"")</f>
      </c>
      <c r="U301" s="8">
        <f>IF((0=1),(U21*U21),"")</f>
      </c>
      <c r="V301" s="8">
        <f>IF((0=1),(V21*V21),"")</f>
      </c>
      <c r="W301" s="8">
        <f>IF((0=1),(W21*W21),"")</f>
      </c>
      <c r="X301" s="8">
        <f>IF((0=1),(X21*X21),"")</f>
      </c>
      <c r="Y301" s="8">
        <f>IF((0=1),(Y21*Y21),"")</f>
      </c>
      <c r="Z301" s="8">
        <f>IF((0=1),(Z21*Z21),"")</f>
      </c>
      <c r="AA301" s="8">
        <f>IF((0=1),(AA21*AA21),"")</f>
      </c>
      <c r="AB301" s="8">
        <f>IF((0=1),(AB21*AB21),"")</f>
      </c>
      <c r="AC301" s="8">
        <f>IF((0=1),(AC21*AC21),"")</f>
      </c>
      <c r="AD301" s="8">
        <f>IF((0=1),(AD21*AD21),"")</f>
      </c>
      <c r="AE301" s="8">
        <f>IF((0=1),(AE21*AE21),"")</f>
      </c>
      <c r="AF301" s="8">
        <f>IF((0=1),(AF21*AF21),"")</f>
      </c>
      <c r="AG301" s="8">
        <f>IF((0=1),(AG21*AG21),"")</f>
      </c>
      <c r="AH301" s="8">
        <f>IF((0=1),(AH21*AH21),"")</f>
      </c>
      <c r="AI301" s="8">
        <f>IF((0=1),(AI21*AI21),"")</f>
      </c>
      <c r="AJ301" s="8">
        <f>IF((0=1),(AJ21*AJ21),"")</f>
      </c>
      <c r="AK301" s="8">
        <f>IF((0=1),(AK21*AK21),"")</f>
      </c>
      <c r="AL301" s="8">
        <f>IF((0=1),(AL21*AL21),"")</f>
      </c>
      <c r="AM301" s="8">
        <f>IF((0=1),(AM21*AM21),"")</f>
      </c>
      <c r="AN301" s="8">
        <f>IF((0=1),(AN21*AN21),"")</f>
      </c>
      <c r="AO301" s="8">
        <f>IF((0=1),(AO21*AO21),"")</f>
      </c>
      <c r="AP301" s="8">
        <f>IF((0=1),(AP21*AP21),"")</f>
      </c>
      <c r="AQ301" s="8">
        <f>IF((0=1),(AQ21*AQ21),"")</f>
      </c>
      <c r="AR301" s="8">
        <f>IF((0=1),(AR21*AR21),"")</f>
      </c>
      <c r="AS301" s="8">
        <f>IF((0=1),(AS21*AS21),"")</f>
      </c>
      <c r="AT301" s="8">
        <f>IF((0=1),(AT21*AT21),"")</f>
      </c>
      <c r="AU301" s="8">
        <f>IF((0=1),(AU21*AU21),"")</f>
      </c>
      <c r="AV301" s="8">
        <f>IF((0=1),(AV21*AV21),"")</f>
      </c>
      <c r="AW301" s="8">
        <f>IF((0=1),(AW21*AW21),"")</f>
      </c>
      <c r="AX301" s="8">
        <f>IF((0=1),(AX21*AX21),"")</f>
      </c>
      <c r="AY301" s="8">
        <f>IF((0=1),(AY21*AY21),"")</f>
      </c>
      <c r="AZ301" s="8">
        <f>IF((0=1),(AZ21*AZ21),"")</f>
      </c>
      <c r="BA301" s="8">
        <f>IF((0=1),(BA21*BA21),"")</f>
      </c>
      <c r="BB301" s="8">
        <f>IF((0=1),(BB21*BB21),"")</f>
      </c>
      <c r="BC301" s="8">
        <f>IF((0=1),(BC21*BC21),"")</f>
      </c>
      <c r="BD301" s="8">
        <f>IF((0=1),(BD21*BD21),"")</f>
      </c>
      <c r="BE301" s="8">
        <f>IF((0=1),(BE21*BE21),"")</f>
      </c>
      <c r="BF301" s="8">
        <f>IF((0=1),(BF21*BF21),"")</f>
      </c>
      <c r="BG301" s="8">
        <f>IF((0=1),(BG21*BG21),"")</f>
      </c>
      <c r="BH301" s="8">
        <f>IF((0=1),(BH21*BH21),"")</f>
      </c>
      <c r="BI301" s="8">
        <f>IF((0=1),(BI21*BI21),"")</f>
      </c>
      <c r="BJ301" s="8">
        <f>IF((0=1),(BJ21*BJ21),"")</f>
      </c>
      <c r="BK301" s="8">
        <f>IF((0=1),(BK21*BK21),"")</f>
      </c>
      <c r="BL301" s="8">
        <f>IF((0=1),(BL21*BL21),"")</f>
      </c>
      <c r="BM301" s="8">
        <f>IF((0=1),(BM21*BM21),"")</f>
      </c>
      <c r="BN301" s="8">
        <f>IF((0=1),(BN21*BN21),"")</f>
      </c>
      <c r="BO301" s="8">
        <f>IF((0=1),(BO21*BO21),"")</f>
      </c>
      <c r="BP301" s="8">
        <f>IF((0=1),(BP21*BP21),"")</f>
      </c>
      <c r="BQ301" s="8">
        <f>IF((0=1),(BQ21*BQ21),"")</f>
      </c>
      <c r="BR301" s="8">
        <f>IF((0=1),(BR21*BR21),"")</f>
      </c>
      <c r="BS301" s="8">
        <f>IF((0=1),(BS21*BS21),"")</f>
      </c>
      <c r="BT301" s="8">
        <f>IF((0=1),(BT21*BT21),"")</f>
      </c>
      <c r="BU301" s="8">
        <f>IF((0=1),(BU21*BU21),"")</f>
      </c>
      <c r="BV301" s="8">
        <f>IF((0=1),(BV21*BV21),"")</f>
      </c>
      <c r="BW301" s="8">
        <f>IF((0=1),(BW21*BW21),"")</f>
      </c>
      <c r="BX301" s="8">
        <f>IF((0=1),(BX21*BX21),"")</f>
      </c>
      <c r="BY301" s="8">
        <f>IF((0=1),(BY21*BY21),"")</f>
      </c>
      <c r="BZ301" s="8">
        <f>IF((0=1),(BZ21*BZ21),"")</f>
      </c>
      <c r="CA301" s="8">
        <f>IF((0=1),(CA21*CA21),"")</f>
      </c>
      <c r="CB301" s="8">
        <f>IF((0=1),(CB21*CB21),"")</f>
      </c>
      <c r="CC301" s="8">
        <f>IF((0=1),(CC21*CC21),"")</f>
      </c>
      <c r="CD301" s="8">
        <f>IF((0=1),(CD21*CD21),"")</f>
      </c>
      <c r="CE301" s="8">
        <f>IF((0=1),(CE21*CE21),"")</f>
      </c>
      <c r="CF301" s="8">
        <f>IF((0=1),(CF21*CF21),"")</f>
      </c>
      <c r="CG301" s="8">
        <f>IF((0=1),(CG21*CG21),"")</f>
      </c>
      <c r="CH301" s="8">
        <f>IF((0=1),(CH21*CH21),"")</f>
      </c>
      <c r="CI301" s="8">
        <f>IF((0=1),(CI21*CI21),"")</f>
      </c>
      <c r="CJ301" s="8">
        <f>IF((0=1),(CJ21*CJ21),"")</f>
      </c>
      <c r="CK301" s="8">
        <f>IF((0=1),(CK21*CK21),"")</f>
      </c>
      <c r="CL301" s="8">
        <f>IF((0=1),(CL21*CL21),"")</f>
      </c>
      <c r="CM301" s="8">
        <f>IF((0=1),(CM21*CM21),"")</f>
      </c>
      <c r="CN301" s="8">
        <f>IF((0=1),(CN21*CN21),"")</f>
      </c>
      <c r="CO301" s="8">
        <f>IF((0=1),(CO21*CO21),"")</f>
      </c>
      <c r="CP301" s="8">
        <f>IF((0=1),(CP21*CP21),"")</f>
      </c>
      <c r="CQ301" s="8">
        <f>IF((0=1),(CQ21*CQ21),"")</f>
      </c>
      <c r="CR301" s="8">
        <f>IF((0=1),(CR21*CR21),"")</f>
      </c>
      <c r="CS301" s="8">
        <f>IF((0=1),(CS21*CS21),"")</f>
      </c>
      <c r="CT301" s="8">
        <f>IF((0=1),(CT21*CT21),"")</f>
      </c>
      <c r="CU301" s="8">
        <f>IF((0=1),(CU21*CU21),"")</f>
      </c>
      <c r="CV301" s="8">
        <f>IF((0=1),(CV21*CV21),"")</f>
      </c>
      <c r="CW301" s="8">
        <f>IF((0=1),(CW21*CW21),"")</f>
      </c>
      <c r="CX301" s="8">
        <f>IF((0=1),(CX21*CX21),"")</f>
      </c>
    </row>
    <row r="302">
      <c r="A302" s="0" t="inlineStr">
        <is>
          <t xml:space="preserve">Squared excess</t>
        </is>
      </c>
      <c r="B302" s="0" t="inlineStr">
        <is>
          <t xml:space="preserve">Random 6</t>
        </is>
      </c>
      <c r="C302" s="8">
        <f>IF((1=1),(C22*C22),"")</f>
        <v>9.024016</v>
      </c>
      <c r="D302" s="8">
        <f>IF((0=1),(D22*D22),"")</f>
      </c>
      <c r="E302" s="8">
        <f>IF((0=1),(E22*E22),"")</f>
      </c>
      <c r="F302" s="8">
        <f>IF((0=1),(F22*F22),"")</f>
      </c>
      <c r="G302" s="8">
        <f>IF((0=1),(G22*G22),"")</f>
      </c>
      <c r="H302" s="8">
        <f>IF((0=1),(H22*H22),"")</f>
      </c>
      <c r="I302" s="8">
        <f>IF((0=1),(I22*I22),"")</f>
      </c>
      <c r="J302" s="8">
        <f>IF((0=1),(J22*J22),"")</f>
      </c>
      <c r="K302" s="8">
        <f>IF((0=1),(K22*K22),"")</f>
      </c>
      <c r="L302" s="8">
        <f>IF((0=1),(L22*L22),"")</f>
      </c>
      <c r="M302" s="8">
        <f>IF((0=1),(M22*M22),"")</f>
      </c>
      <c r="N302" s="8">
        <f>IF((0=1),(N22*N22),"")</f>
      </c>
      <c r="O302" s="8">
        <f>IF((0=1),(O22*O22),"")</f>
      </c>
      <c r="P302" s="8">
        <f>IF((0=1),(P22*P22),"")</f>
      </c>
      <c r="Q302" s="8">
        <f>IF((0=1),(Q22*Q22),"")</f>
      </c>
      <c r="R302" s="8">
        <f>IF((0=1),(R22*R22),"")</f>
      </c>
      <c r="S302" s="8">
        <f>IF((0=1),(S22*S22),"")</f>
      </c>
      <c r="T302" s="8">
        <f>IF((0=1),(T22*T22),"")</f>
      </c>
      <c r="U302" s="8">
        <f>IF((0=1),(U22*U22),"")</f>
      </c>
      <c r="V302" s="8">
        <f>IF((0=1),(V22*V22),"")</f>
      </c>
      <c r="W302" s="8">
        <f>IF((0=1),(W22*W22),"")</f>
      </c>
      <c r="X302" s="8">
        <f>IF((0=1),(X22*X22),"")</f>
      </c>
      <c r="Y302" s="8">
        <f>IF((0=1),(Y22*Y22),"")</f>
      </c>
      <c r="Z302" s="8">
        <f>IF((0=1),(Z22*Z22),"")</f>
      </c>
      <c r="AA302" s="8">
        <f>IF((0=1),(AA22*AA22),"")</f>
      </c>
      <c r="AB302" s="8">
        <f>IF((0=1),(AB22*AB22),"")</f>
      </c>
      <c r="AC302" s="8">
        <f>IF((0=1),(AC22*AC22),"")</f>
      </c>
      <c r="AD302" s="8">
        <f>IF((0=1),(AD22*AD22),"")</f>
      </c>
      <c r="AE302" s="8">
        <f>IF((0=1),(AE22*AE22),"")</f>
      </c>
      <c r="AF302" s="8">
        <f>IF((0=1),(AF22*AF22),"")</f>
      </c>
      <c r="AG302" s="8">
        <f>IF((0=1),(AG22*AG22),"")</f>
      </c>
      <c r="AH302" s="8">
        <f>IF((0=1),(AH22*AH22),"")</f>
      </c>
      <c r="AI302" s="8">
        <f>IF((0=1),(AI22*AI22),"")</f>
      </c>
      <c r="AJ302" s="8">
        <f>IF((0=1),(AJ22*AJ22),"")</f>
      </c>
      <c r="AK302" s="8">
        <f>IF((0=1),(AK22*AK22),"")</f>
      </c>
      <c r="AL302" s="8">
        <f>IF((0=1),(AL22*AL22),"")</f>
      </c>
      <c r="AM302" s="8">
        <f>IF((0=1),(AM22*AM22),"")</f>
      </c>
      <c r="AN302" s="8">
        <f>IF((0=1),(AN22*AN22),"")</f>
      </c>
      <c r="AO302" s="8">
        <f>IF((0=1),(AO22*AO22),"")</f>
      </c>
      <c r="AP302" s="8">
        <f>IF((0=1),(AP22*AP22),"")</f>
      </c>
      <c r="AQ302" s="8">
        <f>IF((0=1),(AQ22*AQ22),"")</f>
      </c>
      <c r="AR302" s="8">
        <f>IF((0=1),(AR22*AR22),"")</f>
      </c>
      <c r="AS302" s="8">
        <f>IF((0=1),(AS22*AS22),"")</f>
      </c>
      <c r="AT302" s="8">
        <f>IF((0=1),(AT22*AT22),"")</f>
      </c>
      <c r="AU302" s="8">
        <f>IF((0=1),(AU22*AU22),"")</f>
      </c>
      <c r="AV302" s="8">
        <f>IF((0=1),(AV22*AV22),"")</f>
      </c>
      <c r="AW302" s="8">
        <f>IF((0=1),(AW22*AW22),"")</f>
      </c>
      <c r="AX302" s="8">
        <f>IF((0=1),(AX22*AX22),"")</f>
      </c>
      <c r="AY302" s="8">
        <f>IF((0=1),(AY22*AY22),"")</f>
      </c>
      <c r="AZ302" s="8">
        <f>IF((0=1),(AZ22*AZ22),"")</f>
      </c>
      <c r="BA302" s="8">
        <f>IF((0=1),(BA22*BA22),"")</f>
      </c>
      <c r="BB302" s="8">
        <f>IF((0=1),(BB22*BB22),"")</f>
      </c>
      <c r="BC302" s="8">
        <f>IF((0=1),(BC22*BC22),"")</f>
      </c>
      <c r="BD302" s="8">
        <f>IF((0=1),(BD22*BD22),"")</f>
      </c>
      <c r="BE302" s="8">
        <f>IF((0=1),(BE22*BE22),"")</f>
      </c>
      <c r="BF302" s="8">
        <f>IF((0=1),(BF22*BF22),"")</f>
      </c>
      <c r="BG302" s="8">
        <f>IF((0=1),(BG22*BG22),"")</f>
      </c>
      <c r="BH302" s="8">
        <f>IF((0=1),(BH22*BH22),"")</f>
      </c>
      <c r="BI302" s="8">
        <f>IF((0=1),(BI22*BI22),"")</f>
      </c>
      <c r="BJ302" s="8">
        <f>IF((0=1),(BJ22*BJ22),"")</f>
      </c>
      <c r="BK302" s="8">
        <f>IF((0=1),(BK22*BK22),"")</f>
      </c>
      <c r="BL302" s="8">
        <f>IF((0=1),(BL22*BL22),"")</f>
      </c>
      <c r="BM302" s="8">
        <f>IF((0=1),(BM22*BM22),"")</f>
      </c>
      <c r="BN302" s="8">
        <f>IF((0=1),(BN22*BN22),"")</f>
      </c>
      <c r="BO302" s="8">
        <f>IF((0=1),(BO22*BO22),"")</f>
      </c>
      <c r="BP302" s="8">
        <f>IF((0=1),(BP22*BP22),"")</f>
      </c>
      <c r="BQ302" s="8">
        <f>IF((0=1),(BQ22*BQ22),"")</f>
      </c>
      <c r="BR302" s="8">
        <f>IF((0=1),(BR22*BR22),"")</f>
      </c>
      <c r="BS302" s="8">
        <f>IF((0=1),(BS22*BS22),"")</f>
      </c>
      <c r="BT302" s="8">
        <f>IF((0=1),(BT22*BT22),"")</f>
      </c>
      <c r="BU302" s="8">
        <f>IF((0=1),(BU22*BU22),"")</f>
      </c>
      <c r="BV302" s="8">
        <f>IF((0=1),(BV22*BV22),"")</f>
      </c>
      <c r="BW302" s="8">
        <f>IF((0=1),(BW22*BW22),"")</f>
      </c>
      <c r="BX302" s="8">
        <f>IF((0=1),(BX22*BX22),"")</f>
      </c>
      <c r="BY302" s="8">
        <f>IF((0=1),(BY22*BY22),"")</f>
      </c>
      <c r="BZ302" s="8">
        <f>IF((0=1),(BZ22*BZ22),"")</f>
      </c>
      <c r="CA302" s="8">
        <f>IF((0=1),(CA22*CA22),"")</f>
      </c>
      <c r="CB302" s="8">
        <f>IF((0=1),(CB22*CB22),"")</f>
      </c>
      <c r="CC302" s="8">
        <f>IF((0=1),(CC22*CC22),"")</f>
      </c>
      <c r="CD302" s="8">
        <f>IF((0=1),(CD22*CD22),"")</f>
      </c>
      <c r="CE302" s="8">
        <f>IF((0=1),(CE22*CE22),"")</f>
      </c>
      <c r="CF302" s="8">
        <f>IF((0=1),(CF22*CF22),"")</f>
      </c>
      <c r="CG302" s="8">
        <f>IF((0=1),(CG22*CG22),"")</f>
      </c>
      <c r="CH302" s="8">
        <f>IF((0=1),(CH22*CH22),"")</f>
      </c>
      <c r="CI302" s="8">
        <f>IF((0=1),(CI22*CI22),"")</f>
      </c>
      <c r="CJ302" s="8">
        <f>IF((0=1),(CJ22*CJ22),"")</f>
      </c>
      <c r="CK302" s="8">
        <f>IF((0=1),(CK22*CK22),"")</f>
      </c>
      <c r="CL302" s="8">
        <f>IF((0=1),(CL22*CL22),"")</f>
      </c>
      <c r="CM302" s="8">
        <f>IF((0=1),(CM22*CM22),"")</f>
      </c>
      <c r="CN302" s="8">
        <f>IF((0=1),(CN22*CN22),"")</f>
      </c>
      <c r="CO302" s="8">
        <f>IF((0=1),(CO22*CO22),"")</f>
      </c>
      <c r="CP302" s="8">
        <f>IF((0=1),(CP22*CP22),"")</f>
      </c>
      <c r="CQ302" s="8">
        <f>IF((0=1),(CQ22*CQ22),"")</f>
      </c>
      <c r="CR302" s="8">
        <f>IF((0=1),(CR22*CR22),"")</f>
      </c>
      <c r="CS302" s="8">
        <f>IF((0=1),(CS22*CS22),"")</f>
      </c>
      <c r="CT302" s="8">
        <f>IF((0=1),(CT22*CT22),"")</f>
      </c>
      <c r="CU302" s="8">
        <f>IF((0=1),(CU22*CU22),"")</f>
      </c>
      <c r="CV302" s="8">
        <f>IF((0=1),(CV22*CV22),"")</f>
      </c>
      <c r="CW302" s="8">
        <f>IF((0=1),(CW22*CW22),"")</f>
      </c>
      <c r="CX302" s="8">
        <f>IF((0=1),(CX22*CX22),"")</f>
      </c>
    </row>
    <row r="303">
      <c r="A303" s="0" t="inlineStr">
        <is>
          <t xml:space="preserve">Squared excess</t>
        </is>
      </c>
      <c r="B303" s="0" t="inlineStr">
        <is>
          <t xml:space="preserve">Random 7</t>
        </is>
      </c>
      <c r="C303" s="8">
        <f>IF((1=1),(C23*C23),"")</f>
        <v>10.647169</v>
      </c>
      <c r="D303" s="8">
        <f>IF((0=1),(D23*D23),"")</f>
      </c>
      <c r="E303" s="8">
        <f>IF((0=1),(E23*E23),"")</f>
      </c>
      <c r="F303" s="8">
        <f>IF((0=1),(F23*F23),"")</f>
      </c>
      <c r="G303" s="8">
        <f>IF((0=1),(G23*G23),"")</f>
      </c>
      <c r="H303" s="8">
        <f>IF((0=1),(H23*H23),"")</f>
      </c>
      <c r="I303" s="8">
        <f>IF((0=1),(I23*I23),"")</f>
      </c>
      <c r="J303" s="8">
        <f>IF((0=1),(J23*J23),"")</f>
      </c>
      <c r="K303" s="8">
        <f>IF((0=1),(K23*K23),"")</f>
      </c>
      <c r="L303" s="8">
        <f>IF((0=1),(L23*L23),"")</f>
      </c>
      <c r="M303" s="8">
        <f>IF((0=1),(M23*M23),"")</f>
      </c>
      <c r="N303" s="8">
        <f>IF((0=1),(N23*N23),"")</f>
      </c>
      <c r="O303" s="8">
        <f>IF((0=1),(O23*O23),"")</f>
      </c>
      <c r="P303" s="8">
        <f>IF((0=1),(P23*P23),"")</f>
      </c>
      <c r="Q303" s="8">
        <f>IF((0=1),(Q23*Q23),"")</f>
      </c>
      <c r="R303" s="8">
        <f>IF((0=1),(R23*R23),"")</f>
      </c>
      <c r="S303" s="8">
        <f>IF((0=1),(S23*S23),"")</f>
      </c>
      <c r="T303" s="8">
        <f>IF((0=1),(T23*T23),"")</f>
      </c>
      <c r="U303" s="8">
        <f>IF((0=1),(U23*U23),"")</f>
      </c>
      <c r="V303" s="8">
        <f>IF((0=1),(V23*V23),"")</f>
      </c>
      <c r="W303" s="8">
        <f>IF((0=1),(W23*W23),"")</f>
      </c>
      <c r="X303" s="8">
        <f>IF((0=1),(X23*X23),"")</f>
      </c>
      <c r="Y303" s="8">
        <f>IF((0=1),(Y23*Y23),"")</f>
      </c>
      <c r="Z303" s="8">
        <f>IF((0=1),(Z23*Z23),"")</f>
      </c>
      <c r="AA303" s="8">
        <f>IF((0=1),(AA23*AA23),"")</f>
      </c>
      <c r="AB303" s="8">
        <f>IF((0=1),(AB23*AB23),"")</f>
      </c>
      <c r="AC303" s="8">
        <f>IF((0=1),(AC23*AC23),"")</f>
      </c>
      <c r="AD303" s="8">
        <f>IF((0=1),(AD23*AD23),"")</f>
      </c>
      <c r="AE303" s="8">
        <f>IF((0=1),(AE23*AE23),"")</f>
      </c>
      <c r="AF303" s="8">
        <f>IF((0=1),(AF23*AF23),"")</f>
      </c>
      <c r="AG303" s="8">
        <f>IF((0=1),(AG23*AG23),"")</f>
      </c>
      <c r="AH303" s="8">
        <f>IF((0=1),(AH23*AH23),"")</f>
      </c>
      <c r="AI303" s="8">
        <f>IF((0=1),(AI23*AI23),"")</f>
      </c>
      <c r="AJ303" s="8">
        <f>IF((0=1),(AJ23*AJ23),"")</f>
      </c>
      <c r="AK303" s="8">
        <f>IF((0=1),(AK23*AK23),"")</f>
      </c>
      <c r="AL303" s="8">
        <f>IF((0=1),(AL23*AL23),"")</f>
      </c>
      <c r="AM303" s="8">
        <f>IF((0=1),(AM23*AM23),"")</f>
      </c>
      <c r="AN303" s="8">
        <f>IF((0=1),(AN23*AN23),"")</f>
      </c>
      <c r="AO303" s="8">
        <f>IF((0=1),(AO23*AO23),"")</f>
      </c>
      <c r="AP303" s="8">
        <f>IF((0=1),(AP23*AP23),"")</f>
      </c>
      <c r="AQ303" s="8">
        <f>IF((0=1),(AQ23*AQ23),"")</f>
      </c>
      <c r="AR303" s="8">
        <f>IF((0=1),(AR23*AR23),"")</f>
      </c>
      <c r="AS303" s="8">
        <f>IF((0=1),(AS23*AS23),"")</f>
      </c>
      <c r="AT303" s="8">
        <f>IF((0=1),(AT23*AT23),"")</f>
      </c>
      <c r="AU303" s="8">
        <f>IF((0=1),(AU23*AU23),"")</f>
      </c>
      <c r="AV303" s="8">
        <f>IF((0=1),(AV23*AV23),"")</f>
      </c>
      <c r="AW303" s="8">
        <f>IF((0=1),(AW23*AW23),"")</f>
      </c>
      <c r="AX303" s="8">
        <f>IF((0=1),(AX23*AX23),"")</f>
      </c>
      <c r="AY303" s="8">
        <f>IF((0=1),(AY23*AY23),"")</f>
      </c>
      <c r="AZ303" s="8">
        <f>IF((0=1),(AZ23*AZ23),"")</f>
      </c>
      <c r="BA303" s="8">
        <f>IF((0=1),(BA23*BA23),"")</f>
      </c>
      <c r="BB303" s="8">
        <f>IF((0=1),(BB23*BB23),"")</f>
      </c>
      <c r="BC303" s="8">
        <f>IF((0=1),(BC23*BC23),"")</f>
      </c>
      <c r="BD303" s="8">
        <f>IF((0=1),(BD23*BD23),"")</f>
      </c>
      <c r="BE303" s="8">
        <f>IF((0=1),(BE23*BE23),"")</f>
      </c>
      <c r="BF303" s="8">
        <f>IF((0=1),(BF23*BF23),"")</f>
      </c>
      <c r="BG303" s="8">
        <f>IF((0=1),(BG23*BG23),"")</f>
      </c>
      <c r="BH303" s="8">
        <f>IF((0=1),(BH23*BH23),"")</f>
      </c>
      <c r="BI303" s="8">
        <f>IF((0=1),(BI23*BI23),"")</f>
      </c>
      <c r="BJ303" s="8">
        <f>IF((0=1),(BJ23*BJ23),"")</f>
      </c>
      <c r="BK303" s="8">
        <f>IF((0=1),(BK23*BK23),"")</f>
      </c>
      <c r="BL303" s="8">
        <f>IF((0=1),(BL23*BL23),"")</f>
      </c>
      <c r="BM303" s="8">
        <f>IF((0=1),(BM23*BM23),"")</f>
      </c>
      <c r="BN303" s="8">
        <f>IF((0=1),(BN23*BN23),"")</f>
      </c>
      <c r="BO303" s="8">
        <f>IF((0=1),(BO23*BO23),"")</f>
      </c>
      <c r="BP303" s="8">
        <f>IF((0=1),(BP23*BP23),"")</f>
      </c>
      <c r="BQ303" s="8">
        <f>IF((0=1),(BQ23*BQ23),"")</f>
      </c>
      <c r="BR303" s="8">
        <f>IF((0=1),(BR23*BR23),"")</f>
      </c>
      <c r="BS303" s="8">
        <f>IF((0=1),(BS23*BS23),"")</f>
      </c>
      <c r="BT303" s="8">
        <f>IF((0=1),(BT23*BT23),"")</f>
      </c>
      <c r="BU303" s="8">
        <f>IF((0=1),(BU23*BU23),"")</f>
      </c>
      <c r="BV303" s="8">
        <f>IF((0=1),(BV23*BV23),"")</f>
      </c>
      <c r="BW303" s="8">
        <f>IF((0=1),(BW23*BW23),"")</f>
      </c>
      <c r="BX303" s="8">
        <f>IF((0=1),(BX23*BX23),"")</f>
      </c>
      <c r="BY303" s="8">
        <f>IF((0=1),(BY23*BY23),"")</f>
      </c>
      <c r="BZ303" s="8">
        <f>IF((0=1),(BZ23*BZ23),"")</f>
      </c>
      <c r="CA303" s="8">
        <f>IF((0=1),(CA23*CA23),"")</f>
      </c>
      <c r="CB303" s="8">
        <f>IF((0=1),(CB23*CB23),"")</f>
      </c>
      <c r="CC303" s="8">
        <f>IF((0=1),(CC23*CC23),"")</f>
      </c>
      <c r="CD303" s="8">
        <f>IF((0=1),(CD23*CD23),"")</f>
      </c>
      <c r="CE303" s="8">
        <f>IF((0=1),(CE23*CE23),"")</f>
      </c>
      <c r="CF303" s="8">
        <f>IF((0=1),(CF23*CF23),"")</f>
      </c>
      <c r="CG303" s="8">
        <f>IF((0=1),(CG23*CG23),"")</f>
      </c>
      <c r="CH303" s="8">
        <f>IF((0=1),(CH23*CH23),"")</f>
      </c>
      <c r="CI303" s="8">
        <f>IF((0=1),(CI23*CI23),"")</f>
      </c>
      <c r="CJ303" s="8">
        <f>IF((0=1),(CJ23*CJ23),"")</f>
      </c>
      <c r="CK303" s="8">
        <f>IF((0=1),(CK23*CK23),"")</f>
      </c>
      <c r="CL303" s="8">
        <f>IF((0=1),(CL23*CL23),"")</f>
      </c>
      <c r="CM303" s="8">
        <f>IF((0=1),(CM23*CM23),"")</f>
      </c>
      <c r="CN303" s="8">
        <f>IF((0=1),(CN23*CN23),"")</f>
      </c>
      <c r="CO303" s="8">
        <f>IF((0=1),(CO23*CO23),"")</f>
      </c>
      <c r="CP303" s="8">
        <f>IF((0=1),(CP23*CP23),"")</f>
      </c>
      <c r="CQ303" s="8">
        <f>IF((0=1),(CQ23*CQ23),"")</f>
      </c>
      <c r="CR303" s="8">
        <f>IF((0=1),(CR23*CR23),"")</f>
      </c>
      <c r="CS303" s="8">
        <f>IF((0=1),(CS23*CS23),"")</f>
      </c>
      <c r="CT303" s="8">
        <f>IF((0=1),(CT23*CT23),"")</f>
      </c>
      <c r="CU303" s="8">
        <f>IF((0=1),(CU23*CU23),"")</f>
      </c>
      <c r="CV303" s="8">
        <f>IF((0=1),(CV23*CV23),"")</f>
      </c>
      <c r="CW303" s="8">
        <f>IF((0=1),(CW23*CW23),"")</f>
      </c>
      <c r="CX303" s="8">
        <f>IF((0=1),(CX23*CX23),"")</f>
      </c>
    </row>
    <row r="304">
      <c r="A304" s="0" t="inlineStr">
        <is>
          <t xml:space="preserve">Squared excess</t>
        </is>
      </c>
      <c r="B304" s="0" t="inlineStr">
        <is>
          <t xml:space="preserve">Random 8</t>
        </is>
      </c>
      <c r="C304" s="8">
        <f>IF((1=1),(C24*C24),"")</f>
        <v>9.815689</v>
      </c>
      <c r="D304" s="8">
        <f>IF((0=1),(D24*D24),"")</f>
      </c>
      <c r="E304" s="8">
        <f>IF((0=1),(E24*E24),"")</f>
      </c>
      <c r="F304" s="8">
        <f>IF((0=1),(F24*F24),"")</f>
      </c>
      <c r="G304" s="8">
        <f>IF((0=1),(G24*G24),"")</f>
      </c>
      <c r="H304" s="8">
        <f>IF((0=1),(H24*H24),"")</f>
      </c>
      <c r="I304" s="8">
        <f>IF((0=1),(I24*I24),"")</f>
      </c>
      <c r="J304" s="8">
        <f>IF((0=1),(J24*J24),"")</f>
      </c>
      <c r="K304" s="8">
        <f>IF((0=1),(K24*K24),"")</f>
      </c>
      <c r="L304" s="8">
        <f>IF((0=1),(L24*L24),"")</f>
      </c>
      <c r="M304" s="8">
        <f>IF((0=1),(M24*M24),"")</f>
      </c>
      <c r="N304" s="8">
        <f>IF((0=1),(N24*N24),"")</f>
      </c>
      <c r="O304" s="8">
        <f>IF((0=1),(O24*O24),"")</f>
      </c>
      <c r="P304" s="8">
        <f>IF((0=1),(P24*P24),"")</f>
      </c>
      <c r="Q304" s="8">
        <f>IF((0=1),(Q24*Q24),"")</f>
      </c>
      <c r="R304" s="8">
        <f>IF((0=1),(R24*R24),"")</f>
      </c>
      <c r="S304" s="8">
        <f>IF((0=1),(S24*S24),"")</f>
      </c>
      <c r="T304" s="8">
        <f>IF((0=1),(T24*T24),"")</f>
      </c>
      <c r="U304" s="8">
        <f>IF((0=1),(U24*U24),"")</f>
      </c>
      <c r="V304" s="8">
        <f>IF((0=1),(V24*V24),"")</f>
      </c>
      <c r="W304" s="8">
        <f>IF((0=1),(W24*W24),"")</f>
      </c>
      <c r="X304" s="8">
        <f>IF((0=1),(X24*X24),"")</f>
      </c>
      <c r="Y304" s="8">
        <f>IF((0=1),(Y24*Y24),"")</f>
      </c>
      <c r="Z304" s="8">
        <f>IF((0=1),(Z24*Z24),"")</f>
      </c>
      <c r="AA304" s="8">
        <f>IF((0=1),(AA24*AA24),"")</f>
      </c>
      <c r="AB304" s="8">
        <f>IF((0=1),(AB24*AB24),"")</f>
      </c>
      <c r="AC304" s="8">
        <f>IF((0=1),(AC24*AC24),"")</f>
      </c>
      <c r="AD304" s="8">
        <f>IF((0=1),(AD24*AD24),"")</f>
      </c>
      <c r="AE304" s="8">
        <f>IF((0=1),(AE24*AE24),"")</f>
      </c>
      <c r="AF304" s="8">
        <f>IF((0=1),(AF24*AF24),"")</f>
      </c>
      <c r="AG304" s="8">
        <f>IF((0=1),(AG24*AG24),"")</f>
      </c>
      <c r="AH304" s="8">
        <f>IF((0=1),(AH24*AH24),"")</f>
      </c>
      <c r="AI304" s="8">
        <f>IF((0=1),(AI24*AI24),"")</f>
      </c>
      <c r="AJ304" s="8">
        <f>IF((0=1),(AJ24*AJ24),"")</f>
      </c>
      <c r="AK304" s="8">
        <f>IF((0=1),(AK24*AK24),"")</f>
      </c>
      <c r="AL304" s="8">
        <f>IF((0=1),(AL24*AL24),"")</f>
      </c>
      <c r="AM304" s="8">
        <f>IF((0=1),(AM24*AM24),"")</f>
      </c>
      <c r="AN304" s="8">
        <f>IF((0=1),(AN24*AN24),"")</f>
      </c>
      <c r="AO304" s="8">
        <f>IF((0=1),(AO24*AO24),"")</f>
      </c>
      <c r="AP304" s="8">
        <f>IF((0=1),(AP24*AP24),"")</f>
      </c>
      <c r="AQ304" s="8">
        <f>IF((0=1),(AQ24*AQ24),"")</f>
      </c>
      <c r="AR304" s="8">
        <f>IF((0=1),(AR24*AR24),"")</f>
      </c>
      <c r="AS304" s="8">
        <f>IF((0=1),(AS24*AS24),"")</f>
      </c>
      <c r="AT304" s="8">
        <f>IF((0=1),(AT24*AT24),"")</f>
      </c>
      <c r="AU304" s="8">
        <f>IF((0=1),(AU24*AU24),"")</f>
      </c>
      <c r="AV304" s="8">
        <f>IF((0=1),(AV24*AV24),"")</f>
      </c>
      <c r="AW304" s="8">
        <f>IF((0=1),(AW24*AW24),"")</f>
      </c>
      <c r="AX304" s="8">
        <f>IF((0=1),(AX24*AX24),"")</f>
      </c>
      <c r="AY304" s="8">
        <f>IF((0=1),(AY24*AY24),"")</f>
      </c>
      <c r="AZ304" s="8">
        <f>IF((0=1),(AZ24*AZ24),"")</f>
      </c>
      <c r="BA304" s="8">
        <f>IF((0=1),(BA24*BA24),"")</f>
      </c>
      <c r="BB304" s="8">
        <f>IF((0=1),(BB24*BB24),"")</f>
      </c>
      <c r="BC304" s="8">
        <f>IF((0=1),(BC24*BC24),"")</f>
      </c>
      <c r="BD304" s="8">
        <f>IF((0=1),(BD24*BD24),"")</f>
      </c>
      <c r="BE304" s="8">
        <f>IF((0=1),(BE24*BE24),"")</f>
      </c>
      <c r="BF304" s="8">
        <f>IF((0=1),(BF24*BF24),"")</f>
      </c>
      <c r="BG304" s="8">
        <f>IF((0=1),(BG24*BG24),"")</f>
      </c>
      <c r="BH304" s="8">
        <f>IF((0=1),(BH24*BH24),"")</f>
      </c>
      <c r="BI304" s="8">
        <f>IF((0=1),(BI24*BI24),"")</f>
      </c>
      <c r="BJ304" s="8">
        <f>IF((0=1),(BJ24*BJ24),"")</f>
      </c>
      <c r="BK304" s="8">
        <f>IF((0=1),(BK24*BK24),"")</f>
      </c>
      <c r="BL304" s="8">
        <f>IF((0=1),(BL24*BL24),"")</f>
      </c>
      <c r="BM304" s="8">
        <f>IF((0=1),(BM24*BM24),"")</f>
      </c>
      <c r="BN304" s="8">
        <f>IF((0=1),(BN24*BN24),"")</f>
      </c>
      <c r="BO304" s="8">
        <f>IF((0=1),(BO24*BO24),"")</f>
      </c>
      <c r="BP304" s="8">
        <f>IF((0=1),(BP24*BP24),"")</f>
      </c>
      <c r="BQ304" s="8">
        <f>IF((0=1),(BQ24*BQ24),"")</f>
      </c>
      <c r="BR304" s="8">
        <f>IF((0=1),(BR24*BR24),"")</f>
      </c>
      <c r="BS304" s="8">
        <f>IF((0=1),(BS24*BS24),"")</f>
      </c>
      <c r="BT304" s="8">
        <f>IF((0=1),(BT24*BT24),"")</f>
      </c>
      <c r="BU304" s="8">
        <f>IF((0=1),(BU24*BU24),"")</f>
      </c>
      <c r="BV304" s="8">
        <f>IF((0=1),(BV24*BV24),"")</f>
      </c>
      <c r="BW304" s="8">
        <f>IF((0=1),(BW24*BW24),"")</f>
      </c>
      <c r="BX304" s="8">
        <f>IF((0=1),(BX24*BX24),"")</f>
      </c>
      <c r="BY304" s="8">
        <f>IF((0=1),(BY24*BY24),"")</f>
      </c>
      <c r="BZ304" s="8">
        <f>IF((0=1),(BZ24*BZ24),"")</f>
      </c>
      <c r="CA304" s="8">
        <f>IF((0=1),(CA24*CA24),"")</f>
      </c>
      <c r="CB304" s="8">
        <f>IF((0=1),(CB24*CB24),"")</f>
      </c>
      <c r="CC304" s="8">
        <f>IF((0=1),(CC24*CC24),"")</f>
      </c>
      <c r="CD304" s="8">
        <f>IF((0=1),(CD24*CD24),"")</f>
      </c>
      <c r="CE304" s="8">
        <f>IF((0=1),(CE24*CE24),"")</f>
      </c>
      <c r="CF304" s="8">
        <f>IF((0=1),(CF24*CF24),"")</f>
      </c>
      <c r="CG304" s="8">
        <f>IF((0=1),(CG24*CG24),"")</f>
      </c>
      <c r="CH304" s="8">
        <f>IF((0=1),(CH24*CH24),"")</f>
      </c>
      <c r="CI304" s="8">
        <f>IF((0=1),(CI24*CI24),"")</f>
      </c>
      <c r="CJ304" s="8">
        <f>IF((0=1),(CJ24*CJ24),"")</f>
      </c>
      <c r="CK304" s="8">
        <f>IF((0=1),(CK24*CK24),"")</f>
      </c>
      <c r="CL304" s="8">
        <f>IF((0=1),(CL24*CL24),"")</f>
      </c>
      <c r="CM304" s="8">
        <f>IF((0=1),(CM24*CM24),"")</f>
      </c>
      <c r="CN304" s="8">
        <f>IF((0=1),(CN24*CN24),"")</f>
      </c>
      <c r="CO304" s="8">
        <f>IF((0=1),(CO24*CO24),"")</f>
      </c>
      <c r="CP304" s="8">
        <f>IF((0=1),(CP24*CP24),"")</f>
      </c>
      <c r="CQ304" s="8">
        <f>IF((0=1),(CQ24*CQ24),"")</f>
      </c>
      <c r="CR304" s="8">
        <f>IF((0=1),(CR24*CR24),"")</f>
      </c>
      <c r="CS304" s="8">
        <f>IF((0=1),(CS24*CS24),"")</f>
      </c>
      <c r="CT304" s="8">
        <f>IF((0=1),(CT24*CT24),"")</f>
      </c>
      <c r="CU304" s="8">
        <f>IF((0=1),(CU24*CU24),"")</f>
      </c>
      <c r="CV304" s="8">
        <f>IF((0=1),(CV24*CV24),"")</f>
      </c>
      <c r="CW304" s="8">
        <f>IF((0=1),(CW24*CW24),"")</f>
      </c>
      <c r="CX304" s="8">
        <f>IF((0=1),(CX24*CX24),"")</f>
      </c>
    </row>
    <row r="305">
      <c r="A305" s="0" t="inlineStr">
        <is>
          <t xml:space="preserve">Squared excess</t>
        </is>
      </c>
      <c r="B305" s="0" t="inlineStr">
        <is>
          <t xml:space="preserve">Random 9</t>
        </is>
      </c>
      <c r="C305" s="8">
        <f>IF((1=1),(C25*C25),"")</f>
        <v>11.075584</v>
      </c>
      <c r="D305" s="8">
        <f>IF((0=1),(D25*D25),"")</f>
      </c>
      <c r="E305" s="8">
        <f>IF((0=1),(E25*E25),"")</f>
      </c>
      <c r="F305" s="8">
        <f>IF((0=1),(F25*F25),"")</f>
      </c>
      <c r="G305" s="8">
        <f>IF((0=1),(G25*G25),"")</f>
      </c>
      <c r="H305" s="8">
        <f>IF((0=1),(H25*H25),"")</f>
      </c>
      <c r="I305" s="8">
        <f>IF((0=1),(I25*I25),"")</f>
      </c>
      <c r="J305" s="8">
        <f>IF((0=1),(J25*J25),"")</f>
      </c>
      <c r="K305" s="8">
        <f>IF((0=1),(K25*K25),"")</f>
      </c>
      <c r="L305" s="8">
        <f>IF((0=1),(L25*L25),"")</f>
      </c>
      <c r="M305" s="8">
        <f>IF((0=1),(M25*M25),"")</f>
      </c>
      <c r="N305" s="8">
        <f>IF((0=1),(N25*N25),"")</f>
      </c>
      <c r="O305" s="8">
        <f>IF((0=1),(O25*O25),"")</f>
      </c>
      <c r="P305" s="8">
        <f>IF((0=1),(P25*P25),"")</f>
      </c>
      <c r="Q305" s="8">
        <f>IF((0=1),(Q25*Q25),"")</f>
      </c>
      <c r="R305" s="8">
        <f>IF((0=1),(R25*R25),"")</f>
      </c>
      <c r="S305" s="8">
        <f>IF((0=1),(S25*S25),"")</f>
      </c>
      <c r="T305" s="8">
        <f>IF((0=1),(T25*T25),"")</f>
      </c>
      <c r="U305" s="8">
        <f>IF((0=1),(U25*U25),"")</f>
      </c>
      <c r="V305" s="8">
        <f>IF((0=1),(V25*V25),"")</f>
      </c>
      <c r="W305" s="8">
        <f>IF((0=1),(W25*W25),"")</f>
      </c>
      <c r="X305" s="8">
        <f>IF((0=1),(X25*X25),"")</f>
      </c>
      <c r="Y305" s="8">
        <f>IF((0=1),(Y25*Y25),"")</f>
      </c>
      <c r="Z305" s="8">
        <f>IF((0=1),(Z25*Z25),"")</f>
      </c>
      <c r="AA305" s="8">
        <f>IF((0=1),(AA25*AA25),"")</f>
      </c>
      <c r="AB305" s="8">
        <f>IF((0=1),(AB25*AB25),"")</f>
      </c>
      <c r="AC305" s="8">
        <f>IF((0=1),(AC25*AC25),"")</f>
      </c>
      <c r="AD305" s="8">
        <f>IF((0=1),(AD25*AD25),"")</f>
      </c>
      <c r="AE305" s="8">
        <f>IF((0=1),(AE25*AE25),"")</f>
      </c>
      <c r="AF305" s="8">
        <f>IF((0=1),(AF25*AF25),"")</f>
      </c>
      <c r="AG305" s="8">
        <f>IF((0=1),(AG25*AG25),"")</f>
      </c>
      <c r="AH305" s="8">
        <f>IF((0=1),(AH25*AH25),"")</f>
      </c>
      <c r="AI305" s="8">
        <f>IF((0=1),(AI25*AI25),"")</f>
      </c>
      <c r="AJ305" s="8">
        <f>IF((0=1),(AJ25*AJ25),"")</f>
      </c>
      <c r="AK305" s="8">
        <f>IF((0=1),(AK25*AK25),"")</f>
      </c>
      <c r="AL305" s="8">
        <f>IF((0=1),(AL25*AL25),"")</f>
      </c>
      <c r="AM305" s="8">
        <f>IF((0=1),(AM25*AM25),"")</f>
      </c>
      <c r="AN305" s="8">
        <f>IF((0=1),(AN25*AN25),"")</f>
      </c>
      <c r="AO305" s="8">
        <f>IF((0=1),(AO25*AO25),"")</f>
      </c>
      <c r="AP305" s="8">
        <f>IF((0=1),(AP25*AP25),"")</f>
      </c>
      <c r="AQ305" s="8">
        <f>IF((0=1),(AQ25*AQ25),"")</f>
      </c>
      <c r="AR305" s="8">
        <f>IF((0=1),(AR25*AR25),"")</f>
      </c>
      <c r="AS305" s="8">
        <f>IF((0=1),(AS25*AS25),"")</f>
      </c>
      <c r="AT305" s="8">
        <f>IF((0=1),(AT25*AT25),"")</f>
      </c>
      <c r="AU305" s="8">
        <f>IF((0=1),(AU25*AU25),"")</f>
      </c>
      <c r="AV305" s="8">
        <f>IF((0=1),(AV25*AV25),"")</f>
      </c>
      <c r="AW305" s="8">
        <f>IF((0=1),(AW25*AW25),"")</f>
      </c>
      <c r="AX305" s="8">
        <f>IF((0=1),(AX25*AX25),"")</f>
      </c>
      <c r="AY305" s="8">
        <f>IF((0=1),(AY25*AY25),"")</f>
      </c>
      <c r="AZ305" s="8">
        <f>IF((0=1),(AZ25*AZ25),"")</f>
      </c>
      <c r="BA305" s="8">
        <f>IF((0=1),(BA25*BA25),"")</f>
      </c>
      <c r="BB305" s="8">
        <f>IF((0=1),(BB25*BB25),"")</f>
      </c>
      <c r="BC305" s="8">
        <f>IF((0=1),(BC25*BC25),"")</f>
      </c>
      <c r="BD305" s="8">
        <f>IF((0=1),(BD25*BD25),"")</f>
      </c>
      <c r="BE305" s="8">
        <f>IF((0=1),(BE25*BE25),"")</f>
      </c>
      <c r="BF305" s="8">
        <f>IF((0=1),(BF25*BF25),"")</f>
      </c>
      <c r="BG305" s="8">
        <f>IF((0=1),(BG25*BG25),"")</f>
      </c>
      <c r="BH305" s="8">
        <f>IF((0=1),(BH25*BH25),"")</f>
      </c>
      <c r="BI305" s="8">
        <f>IF((0=1),(BI25*BI25),"")</f>
      </c>
      <c r="BJ305" s="8">
        <f>IF((0=1),(BJ25*BJ25),"")</f>
      </c>
      <c r="BK305" s="8">
        <f>IF((0=1),(BK25*BK25),"")</f>
      </c>
      <c r="BL305" s="8">
        <f>IF((0=1),(BL25*BL25),"")</f>
      </c>
      <c r="BM305" s="8">
        <f>IF((0=1),(BM25*BM25),"")</f>
      </c>
      <c r="BN305" s="8">
        <f>IF((0=1),(BN25*BN25),"")</f>
      </c>
      <c r="BO305" s="8">
        <f>IF((0=1),(BO25*BO25),"")</f>
      </c>
      <c r="BP305" s="8">
        <f>IF((0=1),(BP25*BP25),"")</f>
      </c>
      <c r="BQ305" s="8">
        <f>IF((0=1),(BQ25*BQ25),"")</f>
      </c>
      <c r="BR305" s="8">
        <f>IF((0=1),(BR25*BR25),"")</f>
      </c>
      <c r="BS305" s="8">
        <f>IF((0=1),(BS25*BS25),"")</f>
      </c>
      <c r="BT305" s="8">
        <f>IF((0=1),(BT25*BT25),"")</f>
      </c>
      <c r="BU305" s="8">
        <f>IF((0=1),(BU25*BU25),"")</f>
      </c>
      <c r="BV305" s="8">
        <f>IF((0=1),(BV25*BV25),"")</f>
      </c>
      <c r="BW305" s="8">
        <f>IF((0=1),(BW25*BW25),"")</f>
      </c>
      <c r="BX305" s="8">
        <f>IF((0=1),(BX25*BX25),"")</f>
      </c>
      <c r="BY305" s="8">
        <f>IF((0=1),(BY25*BY25),"")</f>
      </c>
      <c r="BZ305" s="8">
        <f>IF((0=1),(BZ25*BZ25),"")</f>
      </c>
      <c r="CA305" s="8">
        <f>IF((0=1),(CA25*CA25),"")</f>
      </c>
      <c r="CB305" s="8">
        <f>IF((0=1),(CB25*CB25),"")</f>
      </c>
      <c r="CC305" s="8">
        <f>IF((0=1),(CC25*CC25),"")</f>
      </c>
      <c r="CD305" s="8">
        <f>IF((0=1),(CD25*CD25),"")</f>
      </c>
      <c r="CE305" s="8">
        <f>IF((0=1),(CE25*CE25),"")</f>
      </c>
      <c r="CF305" s="8">
        <f>IF((0=1),(CF25*CF25),"")</f>
      </c>
      <c r="CG305" s="8">
        <f>IF((0=1),(CG25*CG25),"")</f>
      </c>
      <c r="CH305" s="8">
        <f>IF((0=1),(CH25*CH25),"")</f>
      </c>
      <c r="CI305" s="8">
        <f>IF((0=1),(CI25*CI25),"")</f>
      </c>
      <c r="CJ305" s="8">
        <f>IF((0=1),(CJ25*CJ25),"")</f>
      </c>
      <c r="CK305" s="8">
        <f>IF((0=1),(CK25*CK25),"")</f>
      </c>
      <c r="CL305" s="8">
        <f>IF((0=1),(CL25*CL25),"")</f>
      </c>
      <c r="CM305" s="8">
        <f>IF((0=1),(CM25*CM25),"")</f>
      </c>
      <c r="CN305" s="8">
        <f>IF((0=1),(CN25*CN25),"")</f>
      </c>
      <c r="CO305" s="8">
        <f>IF((0=1),(CO25*CO25),"")</f>
      </c>
      <c r="CP305" s="8">
        <f>IF((0=1),(CP25*CP25),"")</f>
      </c>
      <c r="CQ305" s="8">
        <f>IF((0=1),(CQ25*CQ25),"")</f>
      </c>
      <c r="CR305" s="8">
        <f>IF((0=1),(CR25*CR25),"")</f>
      </c>
      <c r="CS305" s="8">
        <f>IF((0=1),(CS25*CS25),"")</f>
      </c>
      <c r="CT305" s="8">
        <f>IF((0=1),(CT25*CT25),"")</f>
      </c>
      <c r="CU305" s="8">
        <f>IF((0=1),(CU25*CU25),"")</f>
      </c>
      <c r="CV305" s="8">
        <f>IF((0=1),(CV25*CV25),"")</f>
      </c>
      <c r="CW305" s="8">
        <f>IF((0=1),(CW25*CW25),"")</f>
      </c>
      <c r="CX305" s="8">
        <f>IF((0=1),(CX25*CX25),"")</f>
      </c>
    </row>
    <row r="306">
      <c r="A306" s="0" t="inlineStr">
        <is>
          <t xml:space="preserve">Squared excess</t>
        </is>
      </c>
      <c r="B306" s="0" t="inlineStr">
        <is>
          <t xml:space="preserve">Random 10</t>
        </is>
      </c>
      <c r="C306" s="8">
        <f>IF((1=1),(C26*C26),"")</f>
        <v>23.677956</v>
      </c>
      <c r="D306" s="8">
        <f>IF((0=1),(D26*D26),"")</f>
      </c>
      <c r="E306" s="8">
        <f>IF((0=1),(E26*E26),"")</f>
      </c>
      <c r="F306" s="8">
        <f>IF((0=1),(F26*F26),"")</f>
      </c>
      <c r="G306" s="8">
        <f>IF((0=1),(G26*G26),"")</f>
      </c>
      <c r="H306" s="8">
        <f>IF((0=1),(H26*H26),"")</f>
      </c>
      <c r="I306" s="8">
        <f>IF((0=1),(I26*I26),"")</f>
      </c>
      <c r="J306" s="8">
        <f>IF((0=1),(J26*J26),"")</f>
      </c>
      <c r="K306" s="8">
        <f>IF((0=1),(K26*K26),"")</f>
      </c>
      <c r="L306" s="8">
        <f>IF((0=1),(L26*L26),"")</f>
      </c>
      <c r="M306" s="8">
        <f>IF((0=1),(M26*M26),"")</f>
      </c>
      <c r="N306" s="8">
        <f>IF((0=1),(N26*N26),"")</f>
      </c>
      <c r="O306" s="8">
        <f>IF((0=1),(O26*O26),"")</f>
      </c>
      <c r="P306" s="8">
        <f>IF((0=1),(P26*P26),"")</f>
      </c>
      <c r="Q306" s="8">
        <f>IF((0=1),(Q26*Q26),"")</f>
      </c>
      <c r="R306" s="8">
        <f>IF((0=1),(R26*R26),"")</f>
      </c>
      <c r="S306" s="8">
        <f>IF((0=1),(S26*S26),"")</f>
      </c>
      <c r="T306" s="8">
        <f>IF((0=1),(T26*T26),"")</f>
      </c>
      <c r="U306" s="8">
        <f>IF((0=1),(U26*U26),"")</f>
      </c>
      <c r="V306" s="8">
        <f>IF((0=1),(V26*V26),"")</f>
      </c>
      <c r="W306" s="8">
        <f>IF((0=1),(W26*W26),"")</f>
      </c>
      <c r="X306" s="8">
        <f>IF((0=1),(X26*X26),"")</f>
      </c>
      <c r="Y306" s="8">
        <f>IF((0=1),(Y26*Y26),"")</f>
      </c>
      <c r="Z306" s="8">
        <f>IF((0=1),(Z26*Z26),"")</f>
      </c>
      <c r="AA306" s="8">
        <f>IF((0=1),(AA26*AA26),"")</f>
      </c>
      <c r="AB306" s="8">
        <f>IF((0=1),(AB26*AB26),"")</f>
      </c>
      <c r="AC306" s="8">
        <f>IF((0=1),(AC26*AC26),"")</f>
      </c>
      <c r="AD306" s="8">
        <f>IF((0=1),(AD26*AD26),"")</f>
      </c>
      <c r="AE306" s="8">
        <f>IF((0=1),(AE26*AE26),"")</f>
      </c>
      <c r="AF306" s="8">
        <f>IF((0=1),(AF26*AF26),"")</f>
      </c>
      <c r="AG306" s="8">
        <f>IF((0=1),(AG26*AG26),"")</f>
      </c>
      <c r="AH306" s="8">
        <f>IF((0=1),(AH26*AH26),"")</f>
      </c>
      <c r="AI306" s="8">
        <f>IF((0=1),(AI26*AI26),"")</f>
      </c>
      <c r="AJ306" s="8">
        <f>IF((0=1),(AJ26*AJ26),"")</f>
      </c>
      <c r="AK306" s="8">
        <f>IF((0=1),(AK26*AK26),"")</f>
      </c>
      <c r="AL306" s="8">
        <f>IF((0=1),(AL26*AL26),"")</f>
      </c>
      <c r="AM306" s="8">
        <f>IF((0=1),(AM26*AM26),"")</f>
      </c>
      <c r="AN306" s="8">
        <f>IF((0=1),(AN26*AN26),"")</f>
      </c>
      <c r="AO306" s="8">
        <f>IF((0=1),(AO26*AO26),"")</f>
      </c>
      <c r="AP306" s="8">
        <f>IF((0=1),(AP26*AP26),"")</f>
      </c>
      <c r="AQ306" s="8">
        <f>IF((0=1),(AQ26*AQ26),"")</f>
      </c>
      <c r="AR306" s="8">
        <f>IF((0=1),(AR26*AR26),"")</f>
      </c>
      <c r="AS306" s="8">
        <f>IF((0=1),(AS26*AS26),"")</f>
      </c>
      <c r="AT306" s="8">
        <f>IF((0=1),(AT26*AT26),"")</f>
      </c>
      <c r="AU306" s="8">
        <f>IF((0=1),(AU26*AU26),"")</f>
      </c>
      <c r="AV306" s="8">
        <f>IF((0=1),(AV26*AV26),"")</f>
      </c>
      <c r="AW306" s="8">
        <f>IF((0=1),(AW26*AW26),"")</f>
      </c>
      <c r="AX306" s="8">
        <f>IF((0=1),(AX26*AX26),"")</f>
      </c>
      <c r="AY306" s="8">
        <f>IF((0=1),(AY26*AY26),"")</f>
      </c>
      <c r="AZ306" s="8">
        <f>IF((0=1),(AZ26*AZ26),"")</f>
      </c>
      <c r="BA306" s="8">
        <f>IF((0=1),(BA26*BA26),"")</f>
      </c>
      <c r="BB306" s="8">
        <f>IF((0=1),(BB26*BB26),"")</f>
      </c>
      <c r="BC306" s="8">
        <f>IF((0=1),(BC26*BC26),"")</f>
      </c>
      <c r="BD306" s="8">
        <f>IF((0=1),(BD26*BD26),"")</f>
      </c>
      <c r="BE306" s="8">
        <f>IF((0=1),(BE26*BE26),"")</f>
      </c>
      <c r="BF306" s="8">
        <f>IF((0=1),(BF26*BF26),"")</f>
      </c>
      <c r="BG306" s="8">
        <f>IF((0=1),(BG26*BG26),"")</f>
      </c>
      <c r="BH306" s="8">
        <f>IF((0=1),(BH26*BH26),"")</f>
      </c>
      <c r="BI306" s="8">
        <f>IF((0=1),(BI26*BI26),"")</f>
      </c>
      <c r="BJ306" s="8">
        <f>IF((0=1),(BJ26*BJ26),"")</f>
      </c>
      <c r="BK306" s="8">
        <f>IF((0=1),(BK26*BK26),"")</f>
      </c>
      <c r="BL306" s="8">
        <f>IF((0=1),(BL26*BL26),"")</f>
      </c>
      <c r="BM306" s="8">
        <f>IF((0=1),(BM26*BM26),"")</f>
      </c>
      <c r="BN306" s="8">
        <f>IF((0=1),(BN26*BN26),"")</f>
      </c>
      <c r="BO306" s="8">
        <f>IF((0=1),(BO26*BO26),"")</f>
      </c>
      <c r="BP306" s="8">
        <f>IF((0=1),(BP26*BP26),"")</f>
      </c>
      <c r="BQ306" s="8">
        <f>IF((0=1),(BQ26*BQ26),"")</f>
      </c>
      <c r="BR306" s="8">
        <f>IF((0=1),(BR26*BR26),"")</f>
      </c>
      <c r="BS306" s="8">
        <f>IF((0=1),(BS26*BS26),"")</f>
      </c>
      <c r="BT306" s="8">
        <f>IF((0=1),(BT26*BT26),"")</f>
      </c>
      <c r="BU306" s="8">
        <f>IF((0=1),(BU26*BU26),"")</f>
      </c>
      <c r="BV306" s="8">
        <f>IF((0=1),(BV26*BV26),"")</f>
      </c>
      <c r="BW306" s="8">
        <f>IF((0=1),(BW26*BW26),"")</f>
      </c>
      <c r="BX306" s="8">
        <f>IF((0=1),(BX26*BX26),"")</f>
      </c>
      <c r="BY306" s="8">
        <f>IF((0=1),(BY26*BY26),"")</f>
      </c>
      <c r="BZ306" s="8">
        <f>IF((0=1),(BZ26*BZ26),"")</f>
      </c>
      <c r="CA306" s="8">
        <f>IF((0=1),(CA26*CA26),"")</f>
      </c>
      <c r="CB306" s="8">
        <f>IF((0=1),(CB26*CB26),"")</f>
      </c>
      <c r="CC306" s="8">
        <f>IF((0=1),(CC26*CC26),"")</f>
      </c>
      <c r="CD306" s="8">
        <f>IF((0=1),(CD26*CD26),"")</f>
      </c>
      <c r="CE306" s="8">
        <f>IF((0=1),(CE26*CE26),"")</f>
      </c>
      <c r="CF306" s="8">
        <f>IF((0=1),(CF26*CF26),"")</f>
      </c>
      <c r="CG306" s="8">
        <f>IF((0=1),(CG26*CG26),"")</f>
      </c>
      <c r="CH306" s="8">
        <f>IF((0=1),(CH26*CH26),"")</f>
      </c>
      <c r="CI306" s="8">
        <f>IF((0=1),(CI26*CI26),"")</f>
      </c>
      <c r="CJ306" s="8">
        <f>IF((0=1),(CJ26*CJ26),"")</f>
      </c>
      <c r="CK306" s="8">
        <f>IF((0=1),(CK26*CK26),"")</f>
      </c>
      <c r="CL306" s="8">
        <f>IF((0=1),(CL26*CL26),"")</f>
      </c>
      <c r="CM306" s="8">
        <f>IF((0=1),(CM26*CM26),"")</f>
      </c>
      <c r="CN306" s="8">
        <f>IF((0=1),(CN26*CN26),"")</f>
      </c>
      <c r="CO306" s="8">
        <f>IF((0=1),(CO26*CO26),"")</f>
      </c>
      <c r="CP306" s="8">
        <f>IF((0=1),(CP26*CP26),"")</f>
      </c>
      <c r="CQ306" s="8">
        <f>IF((0=1),(CQ26*CQ26),"")</f>
      </c>
      <c r="CR306" s="8">
        <f>IF((0=1),(CR26*CR26),"")</f>
      </c>
      <c r="CS306" s="8">
        <f>IF((0=1),(CS26*CS26),"")</f>
      </c>
      <c r="CT306" s="8">
        <f>IF((0=1),(CT26*CT26),"")</f>
      </c>
      <c r="CU306" s="8">
        <f>IF((0=1),(CU26*CU26),"")</f>
      </c>
      <c r="CV306" s="8">
        <f>IF((0=1),(CV26*CV26),"")</f>
      </c>
      <c r="CW306" s="8">
        <f>IF((0=1),(CW26*CW26),"")</f>
      </c>
      <c r="CX306" s="8">
        <f>IF((0=1),(CX26*CX26),"")</f>
      </c>
    </row>
    <row r="307">
      <c r="A307" s="0" t="inlineStr">
        <is>
          <t xml:space="preserve">Squared excess</t>
        </is>
      </c>
      <c r="B307" s="0" t="inlineStr">
        <is>
          <t xml:space="preserve">Random 11</t>
        </is>
      </c>
      <c r="C307" s="8">
        <f>IF((1=1),(C27*C27),"")</f>
        <v>192.876544</v>
      </c>
      <c r="D307" s="8">
        <f>IF((0=1),(D27*D27),"")</f>
      </c>
      <c r="E307" s="8">
        <f>IF((0=1),(E27*E27),"")</f>
      </c>
      <c r="F307" s="8">
        <f>IF((0=1),(F27*F27),"")</f>
      </c>
      <c r="G307" s="8">
        <f>IF((0=1),(G27*G27),"")</f>
      </c>
      <c r="H307" s="8">
        <f>IF((0=1),(H27*H27),"")</f>
      </c>
      <c r="I307" s="8">
        <f>IF((0=1),(I27*I27),"")</f>
      </c>
      <c r="J307" s="8">
        <f>IF((0=1),(J27*J27),"")</f>
      </c>
      <c r="K307" s="8">
        <f>IF((0=1),(K27*K27),"")</f>
      </c>
      <c r="L307" s="8">
        <f>IF((0=1),(L27*L27),"")</f>
      </c>
      <c r="M307" s="8">
        <f>IF((0=1),(M27*M27),"")</f>
      </c>
      <c r="N307" s="8">
        <f>IF((0=1),(N27*N27),"")</f>
      </c>
      <c r="O307" s="8">
        <f>IF((0=1),(O27*O27),"")</f>
      </c>
      <c r="P307" s="8">
        <f>IF((0=1),(P27*P27),"")</f>
      </c>
      <c r="Q307" s="8">
        <f>IF((0=1),(Q27*Q27),"")</f>
      </c>
      <c r="R307" s="8">
        <f>IF((0=1),(R27*R27),"")</f>
      </c>
      <c r="S307" s="8">
        <f>IF((0=1),(S27*S27),"")</f>
      </c>
      <c r="T307" s="8">
        <f>IF((0=1),(T27*T27),"")</f>
      </c>
      <c r="U307" s="8">
        <f>IF((0=1),(U27*U27),"")</f>
      </c>
      <c r="V307" s="8">
        <f>IF((0=1),(V27*V27),"")</f>
      </c>
      <c r="W307" s="8">
        <f>IF((0=1),(W27*W27),"")</f>
      </c>
      <c r="X307" s="8">
        <f>IF((0=1),(X27*X27),"")</f>
      </c>
      <c r="Y307" s="8">
        <f>IF((0=1),(Y27*Y27),"")</f>
      </c>
      <c r="Z307" s="8">
        <f>IF((0=1),(Z27*Z27),"")</f>
      </c>
      <c r="AA307" s="8">
        <f>IF((0=1),(AA27*AA27),"")</f>
      </c>
      <c r="AB307" s="8">
        <f>IF((0=1),(AB27*AB27),"")</f>
      </c>
      <c r="AC307" s="8">
        <f>IF((0=1),(AC27*AC27),"")</f>
      </c>
      <c r="AD307" s="8">
        <f>IF((0=1),(AD27*AD27),"")</f>
      </c>
      <c r="AE307" s="8">
        <f>IF((0=1),(AE27*AE27),"")</f>
      </c>
      <c r="AF307" s="8">
        <f>IF((0=1),(AF27*AF27),"")</f>
      </c>
      <c r="AG307" s="8">
        <f>IF((0=1),(AG27*AG27),"")</f>
      </c>
      <c r="AH307" s="8">
        <f>IF((0=1),(AH27*AH27),"")</f>
      </c>
      <c r="AI307" s="8">
        <f>IF((0=1),(AI27*AI27),"")</f>
      </c>
      <c r="AJ307" s="8">
        <f>IF((0=1),(AJ27*AJ27),"")</f>
      </c>
      <c r="AK307" s="8">
        <f>IF((0=1),(AK27*AK27),"")</f>
      </c>
      <c r="AL307" s="8">
        <f>IF((0=1),(AL27*AL27),"")</f>
      </c>
      <c r="AM307" s="8">
        <f>IF((0=1),(AM27*AM27),"")</f>
      </c>
      <c r="AN307" s="8">
        <f>IF((0=1),(AN27*AN27),"")</f>
      </c>
      <c r="AO307" s="8">
        <f>IF((0=1),(AO27*AO27),"")</f>
      </c>
      <c r="AP307" s="8">
        <f>IF((0=1),(AP27*AP27),"")</f>
      </c>
      <c r="AQ307" s="8">
        <f>IF((0=1),(AQ27*AQ27),"")</f>
      </c>
      <c r="AR307" s="8">
        <f>IF((0=1),(AR27*AR27),"")</f>
      </c>
      <c r="AS307" s="8">
        <f>IF((0=1),(AS27*AS27),"")</f>
      </c>
      <c r="AT307" s="8">
        <f>IF((0=1),(AT27*AT27),"")</f>
      </c>
      <c r="AU307" s="8">
        <f>IF((0=1),(AU27*AU27),"")</f>
      </c>
      <c r="AV307" s="8">
        <f>IF((0=1),(AV27*AV27),"")</f>
      </c>
      <c r="AW307" s="8">
        <f>IF((0=1),(AW27*AW27),"")</f>
      </c>
      <c r="AX307" s="8">
        <f>IF((0=1),(AX27*AX27),"")</f>
      </c>
      <c r="AY307" s="8">
        <f>IF((0=1),(AY27*AY27),"")</f>
      </c>
      <c r="AZ307" s="8">
        <f>IF((0=1),(AZ27*AZ27),"")</f>
      </c>
      <c r="BA307" s="8">
        <f>IF((0=1),(BA27*BA27),"")</f>
      </c>
      <c r="BB307" s="8">
        <f>IF((0=1),(BB27*BB27),"")</f>
      </c>
      <c r="BC307" s="8">
        <f>IF((0=1),(BC27*BC27),"")</f>
      </c>
      <c r="BD307" s="8">
        <f>IF((0=1),(BD27*BD27),"")</f>
      </c>
      <c r="BE307" s="8">
        <f>IF((0=1),(BE27*BE27),"")</f>
      </c>
      <c r="BF307" s="8">
        <f>IF((0=1),(BF27*BF27),"")</f>
      </c>
      <c r="BG307" s="8">
        <f>IF((0=1),(BG27*BG27),"")</f>
      </c>
      <c r="BH307" s="8">
        <f>IF((0=1),(BH27*BH27),"")</f>
      </c>
      <c r="BI307" s="8">
        <f>IF((0=1),(BI27*BI27),"")</f>
      </c>
      <c r="BJ307" s="8">
        <f>IF((0=1),(BJ27*BJ27),"")</f>
      </c>
      <c r="BK307" s="8">
        <f>IF((0=1),(BK27*BK27),"")</f>
      </c>
      <c r="BL307" s="8">
        <f>IF((0=1),(BL27*BL27),"")</f>
      </c>
      <c r="BM307" s="8">
        <f>IF((0=1),(BM27*BM27),"")</f>
      </c>
      <c r="BN307" s="8">
        <f>IF((0=1),(BN27*BN27),"")</f>
      </c>
      <c r="BO307" s="8">
        <f>IF((0=1),(BO27*BO27),"")</f>
      </c>
      <c r="BP307" s="8">
        <f>IF((0=1),(BP27*BP27),"")</f>
      </c>
      <c r="BQ307" s="8">
        <f>IF((0=1),(BQ27*BQ27),"")</f>
      </c>
      <c r="BR307" s="8">
        <f>IF((0=1),(BR27*BR27),"")</f>
      </c>
      <c r="BS307" s="8">
        <f>IF((0=1),(BS27*BS27),"")</f>
      </c>
      <c r="BT307" s="8">
        <f>IF((0=1),(BT27*BT27),"")</f>
      </c>
      <c r="BU307" s="8">
        <f>IF((0=1),(BU27*BU27),"")</f>
      </c>
      <c r="BV307" s="8">
        <f>IF((0=1),(BV27*BV27),"")</f>
      </c>
      <c r="BW307" s="8">
        <f>IF((0=1),(BW27*BW27),"")</f>
      </c>
      <c r="BX307" s="8">
        <f>IF((0=1),(BX27*BX27),"")</f>
      </c>
      <c r="BY307" s="8">
        <f>IF((0=1),(BY27*BY27),"")</f>
      </c>
      <c r="BZ307" s="8">
        <f>IF((0=1),(BZ27*BZ27),"")</f>
      </c>
      <c r="CA307" s="8">
        <f>IF((0=1),(CA27*CA27),"")</f>
      </c>
      <c r="CB307" s="8">
        <f>IF((0=1),(CB27*CB27),"")</f>
      </c>
      <c r="CC307" s="8">
        <f>IF((0=1),(CC27*CC27),"")</f>
      </c>
      <c r="CD307" s="8">
        <f>IF((0=1),(CD27*CD27),"")</f>
      </c>
      <c r="CE307" s="8">
        <f>IF((0=1),(CE27*CE27),"")</f>
      </c>
      <c r="CF307" s="8">
        <f>IF((0=1),(CF27*CF27),"")</f>
      </c>
      <c r="CG307" s="8">
        <f>IF((0=1),(CG27*CG27),"")</f>
      </c>
      <c r="CH307" s="8">
        <f>IF((0=1),(CH27*CH27),"")</f>
      </c>
      <c r="CI307" s="8">
        <f>IF((0=1),(CI27*CI27),"")</f>
      </c>
      <c r="CJ307" s="8">
        <f>IF((0=1),(CJ27*CJ27),"")</f>
      </c>
      <c r="CK307" s="8">
        <f>IF((0=1),(CK27*CK27),"")</f>
      </c>
      <c r="CL307" s="8">
        <f>IF((0=1),(CL27*CL27),"")</f>
      </c>
      <c r="CM307" s="8">
        <f>IF((0=1),(CM27*CM27),"")</f>
      </c>
      <c r="CN307" s="8">
        <f>IF((0=1),(CN27*CN27),"")</f>
      </c>
      <c r="CO307" s="8">
        <f>IF((0=1),(CO27*CO27),"")</f>
      </c>
      <c r="CP307" s="8">
        <f>IF((0=1),(CP27*CP27),"")</f>
      </c>
      <c r="CQ307" s="8">
        <f>IF((0=1),(CQ27*CQ27),"")</f>
      </c>
      <c r="CR307" s="8">
        <f>IF((0=1),(CR27*CR27),"")</f>
      </c>
      <c r="CS307" s="8">
        <f>IF((0=1),(CS27*CS27),"")</f>
      </c>
      <c r="CT307" s="8">
        <f>IF((0=1),(CT27*CT27),"")</f>
      </c>
      <c r="CU307" s="8">
        <f>IF((0=1),(CU27*CU27),"")</f>
      </c>
      <c r="CV307" s="8">
        <f>IF((0=1),(CV27*CV27),"")</f>
      </c>
      <c r="CW307" s="8">
        <f>IF((0=1),(CW27*CW27),"")</f>
      </c>
      <c r="CX307" s="8">
        <f>IF((0=1),(CX27*CX27),"")</f>
      </c>
    </row>
    <row r="308">
      <c r="A308" s="0" t="inlineStr">
        <is>
          <t xml:space="preserve">Squared excess</t>
        </is>
      </c>
      <c r="B308" s="0" t="inlineStr">
        <is>
          <t xml:space="preserve">Random 12</t>
        </is>
      </c>
      <c r="C308" s="8">
        <f>IF((1=1),(C28*C28),"")</f>
        <v>0.253009</v>
      </c>
      <c r="D308" s="8">
        <f>IF((0=1),(D28*D28),"")</f>
      </c>
      <c r="E308" s="8">
        <f>IF((0=1),(E28*E28),"")</f>
      </c>
      <c r="F308" s="8">
        <f>IF((0=1),(F28*F28),"")</f>
      </c>
      <c r="G308" s="8">
        <f>IF((0=1),(G28*G28),"")</f>
      </c>
      <c r="H308" s="8">
        <f>IF((0=1),(H28*H28),"")</f>
      </c>
      <c r="I308" s="8">
        <f>IF((0=1),(I28*I28),"")</f>
      </c>
      <c r="J308" s="8">
        <f>IF((0=1),(J28*J28),"")</f>
      </c>
      <c r="K308" s="8">
        <f>IF((0=1),(K28*K28),"")</f>
      </c>
      <c r="L308" s="8">
        <f>IF((0=1),(L28*L28),"")</f>
      </c>
      <c r="M308" s="8">
        <f>IF((0=1),(M28*M28),"")</f>
      </c>
      <c r="N308" s="8">
        <f>IF((0=1),(N28*N28),"")</f>
      </c>
      <c r="O308" s="8">
        <f>IF((0=1),(O28*O28),"")</f>
      </c>
      <c r="P308" s="8">
        <f>IF((0=1),(P28*P28),"")</f>
      </c>
      <c r="Q308" s="8">
        <f>IF((0=1),(Q28*Q28),"")</f>
      </c>
      <c r="R308" s="8">
        <f>IF((0=1),(R28*R28),"")</f>
      </c>
      <c r="S308" s="8">
        <f>IF((0=1),(S28*S28),"")</f>
      </c>
      <c r="T308" s="8">
        <f>IF((0=1),(T28*T28),"")</f>
      </c>
      <c r="U308" s="8">
        <f>IF((0=1),(U28*U28),"")</f>
      </c>
      <c r="V308" s="8">
        <f>IF((0=1),(V28*V28),"")</f>
      </c>
      <c r="W308" s="8">
        <f>IF((0=1),(W28*W28),"")</f>
      </c>
      <c r="X308" s="8">
        <f>IF((0=1),(X28*X28),"")</f>
      </c>
      <c r="Y308" s="8">
        <f>IF((0=1),(Y28*Y28),"")</f>
      </c>
      <c r="Z308" s="8">
        <f>IF((0=1),(Z28*Z28),"")</f>
      </c>
      <c r="AA308" s="8">
        <f>IF((0=1),(AA28*AA28),"")</f>
      </c>
      <c r="AB308" s="8">
        <f>IF((0=1),(AB28*AB28),"")</f>
      </c>
      <c r="AC308" s="8">
        <f>IF((0=1),(AC28*AC28),"")</f>
      </c>
      <c r="AD308" s="8">
        <f>IF((0=1),(AD28*AD28),"")</f>
      </c>
      <c r="AE308" s="8">
        <f>IF((0=1),(AE28*AE28),"")</f>
      </c>
      <c r="AF308" s="8">
        <f>IF((0=1),(AF28*AF28),"")</f>
      </c>
      <c r="AG308" s="8">
        <f>IF((0=1),(AG28*AG28),"")</f>
      </c>
      <c r="AH308" s="8">
        <f>IF((0=1),(AH28*AH28),"")</f>
      </c>
      <c r="AI308" s="8">
        <f>IF((0=1),(AI28*AI28),"")</f>
      </c>
      <c r="AJ308" s="8">
        <f>IF((0=1),(AJ28*AJ28),"")</f>
      </c>
      <c r="AK308" s="8">
        <f>IF((0=1),(AK28*AK28),"")</f>
      </c>
      <c r="AL308" s="8">
        <f>IF((0=1),(AL28*AL28),"")</f>
      </c>
      <c r="AM308" s="8">
        <f>IF((0=1),(AM28*AM28),"")</f>
      </c>
      <c r="AN308" s="8">
        <f>IF((0=1),(AN28*AN28),"")</f>
      </c>
      <c r="AO308" s="8">
        <f>IF((0=1),(AO28*AO28),"")</f>
      </c>
      <c r="AP308" s="8">
        <f>IF((0=1),(AP28*AP28),"")</f>
      </c>
      <c r="AQ308" s="8">
        <f>IF((0=1),(AQ28*AQ28),"")</f>
      </c>
      <c r="AR308" s="8">
        <f>IF((0=1),(AR28*AR28),"")</f>
      </c>
      <c r="AS308" s="8">
        <f>IF((0=1),(AS28*AS28),"")</f>
      </c>
      <c r="AT308" s="8">
        <f>IF((0=1),(AT28*AT28),"")</f>
      </c>
      <c r="AU308" s="8">
        <f>IF((0=1),(AU28*AU28),"")</f>
      </c>
      <c r="AV308" s="8">
        <f>IF((0=1),(AV28*AV28),"")</f>
      </c>
      <c r="AW308" s="8">
        <f>IF((0=1),(AW28*AW28),"")</f>
      </c>
      <c r="AX308" s="8">
        <f>IF((0=1),(AX28*AX28),"")</f>
      </c>
      <c r="AY308" s="8">
        <f>IF((0=1),(AY28*AY28),"")</f>
      </c>
      <c r="AZ308" s="8">
        <f>IF((0=1),(AZ28*AZ28),"")</f>
      </c>
      <c r="BA308" s="8">
        <f>IF((0=1),(BA28*BA28),"")</f>
      </c>
      <c r="BB308" s="8">
        <f>IF((0=1),(BB28*BB28),"")</f>
      </c>
      <c r="BC308" s="8">
        <f>IF((0=1),(BC28*BC28),"")</f>
      </c>
      <c r="BD308" s="8">
        <f>IF((0=1),(BD28*BD28),"")</f>
      </c>
      <c r="BE308" s="8">
        <f>IF((0=1),(BE28*BE28),"")</f>
      </c>
      <c r="BF308" s="8">
        <f>IF((0=1),(BF28*BF28),"")</f>
      </c>
      <c r="BG308" s="8">
        <f>IF((0=1),(BG28*BG28),"")</f>
      </c>
      <c r="BH308" s="8">
        <f>IF((0=1),(BH28*BH28),"")</f>
      </c>
      <c r="BI308" s="8">
        <f>IF((0=1),(BI28*BI28),"")</f>
      </c>
      <c r="BJ308" s="8">
        <f>IF((0=1),(BJ28*BJ28),"")</f>
      </c>
      <c r="BK308" s="8">
        <f>IF((0=1),(BK28*BK28),"")</f>
      </c>
      <c r="BL308" s="8">
        <f>IF((0=1),(BL28*BL28),"")</f>
      </c>
      <c r="BM308" s="8">
        <f>IF((0=1),(BM28*BM28),"")</f>
      </c>
      <c r="BN308" s="8">
        <f>IF((0=1),(BN28*BN28),"")</f>
      </c>
      <c r="BO308" s="8">
        <f>IF((0=1),(BO28*BO28),"")</f>
      </c>
      <c r="BP308" s="8">
        <f>IF((0=1),(BP28*BP28),"")</f>
      </c>
      <c r="BQ308" s="8">
        <f>IF((0=1),(BQ28*BQ28),"")</f>
      </c>
      <c r="BR308" s="8">
        <f>IF((0=1),(BR28*BR28),"")</f>
      </c>
      <c r="BS308" s="8">
        <f>IF((0=1),(BS28*BS28),"")</f>
      </c>
      <c r="BT308" s="8">
        <f>IF((0=1),(BT28*BT28),"")</f>
      </c>
      <c r="BU308" s="8">
        <f>IF((0=1),(BU28*BU28),"")</f>
      </c>
      <c r="BV308" s="8">
        <f>IF((0=1),(BV28*BV28),"")</f>
      </c>
      <c r="BW308" s="8">
        <f>IF((0=1),(BW28*BW28),"")</f>
      </c>
      <c r="BX308" s="8">
        <f>IF((0=1),(BX28*BX28),"")</f>
      </c>
      <c r="BY308" s="8">
        <f>IF((0=1),(BY28*BY28),"")</f>
      </c>
      <c r="BZ308" s="8">
        <f>IF((0=1),(BZ28*BZ28),"")</f>
      </c>
      <c r="CA308" s="8">
        <f>IF((0=1),(CA28*CA28),"")</f>
      </c>
      <c r="CB308" s="8">
        <f>IF((0=1),(CB28*CB28),"")</f>
      </c>
      <c r="CC308" s="8">
        <f>IF((0=1),(CC28*CC28),"")</f>
      </c>
      <c r="CD308" s="8">
        <f>IF((0=1),(CD28*CD28),"")</f>
      </c>
      <c r="CE308" s="8">
        <f>IF((0=1),(CE28*CE28),"")</f>
      </c>
      <c r="CF308" s="8">
        <f>IF((0=1),(CF28*CF28),"")</f>
      </c>
      <c r="CG308" s="8">
        <f>IF((0=1),(CG28*CG28),"")</f>
      </c>
      <c r="CH308" s="8">
        <f>IF((0=1),(CH28*CH28),"")</f>
      </c>
      <c r="CI308" s="8">
        <f>IF((0=1),(CI28*CI28),"")</f>
      </c>
      <c r="CJ308" s="8">
        <f>IF((0=1),(CJ28*CJ28),"")</f>
      </c>
      <c r="CK308" s="8">
        <f>IF((0=1),(CK28*CK28),"")</f>
      </c>
      <c r="CL308" s="8">
        <f>IF((0=1),(CL28*CL28),"")</f>
      </c>
      <c r="CM308" s="8">
        <f>IF((0=1),(CM28*CM28),"")</f>
      </c>
      <c r="CN308" s="8">
        <f>IF((0=1),(CN28*CN28),"")</f>
      </c>
      <c r="CO308" s="8">
        <f>IF((0=1),(CO28*CO28),"")</f>
      </c>
      <c r="CP308" s="8">
        <f>IF((0=1),(CP28*CP28),"")</f>
      </c>
      <c r="CQ308" s="8">
        <f>IF((0=1),(CQ28*CQ28),"")</f>
      </c>
      <c r="CR308" s="8">
        <f>IF((0=1),(CR28*CR28),"")</f>
      </c>
      <c r="CS308" s="8">
        <f>IF((0=1),(CS28*CS28),"")</f>
      </c>
      <c r="CT308" s="8">
        <f>IF((0=1),(CT28*CT28),"")</f>
      </c>
      <c r="CU308" s="8">
        <f>IF((0=1),(CU28*CU28),"")</f>
      </c>
      <c r="CV308" s="8">
        <f>IF((0=1),(CV28*CV28),"")</f>
      </c>
      <c r="CW308" s="8">
        <f>IF((0=1),(CW28*CW28),"")</f>
      </c>
      <c r="CX308" s="8">
        <f>IF((0=1),(CX28*CX28),"")</f>
      </c>
    </row>
    <row r="309">
      <c r="A309" s="0" t="inlineStr">
        <is>
          <t xml:space="preserve">Squared excess</t>
        </is>
      </c>
      <c r="B309" s="0" t="inlineStr">
        <is>
          <t xml:space="preserve">Random 13</t>
        </is>
      </c>
      <c r="C309" s="8">
        <f>IF((1=1),(C29*C29),"")</f>
        <v>69.15585600000001</v>
      </c>
      <c r="D309" s="8">
        <f>IF((0=1),(D29*D29),"")</f>
      </c>
      <c r="E309" s="8">
        <f>IF((0=1),(E29*E29),"")</f>
      </c>
      <c r="F309" s="8">
        <f>IF((0=1),(F29*F29),"")</f>
      </c>
      <c r="G309" s="8">
        <f>IF((0=1),(G29*G29),"")</f>
      </c>
      <c r="H309" s="8">
        <f>IF((0=1),(H29*H29),"")</f>
      </c>
      <c r="I309" s="8">
        <f>IF((0=1),(I29*I29),"")</f>
      </c>
      <c r="J309" s="8">
        <f>IF((0=1),(J29*J29),"")</f>
      </c>
      <c r="K309" s="8">
        <f>IF((0=1),(K29*K29),"")</f>
      </c>
      <c r="L309" s="8">
        <f>IF((0=1),(L29*L29),"")</f>
      </c>
      <c r="M309" s="8">
        <f>IF((0=1),(M29*M29),"")</f>
      </c>
      <c r="N309" s="8">
        <f>IF((0=1),(N29*N29),"")</f>
      </c>
      <c r="O309" s="8">
        <f>IF((0=1),(O29*O29),"")</f>
      </c>
      <c r="P309" s="8">
        <f>IF((0=1),(P29*P29),"")</f>
      </c>
      <c r="Q309" s="8">
        <f>IF((0=1),(Q29*Q29),"")</f>
      </c>
      <c r="R309" s="8">
        <f>IF((0=1),(R29*R29),"")</f>
      </c>
      <c r="S309" s="8">
        <f>IF((0=1),(S29*S29),"")</f>
      </c>
      <c r="T309" s="8">
        <f>IF((0=1),(T29*T29),"")</f>
      </c>
      <c r="U309" s="8">
        <f>IF((0=1),(U29*U29),"")</f>
      </c>
      <c r="V309" s="8">
        <f>IF((0=1),(V29*V29),"")</f>
      </c>
      <c r="W309" s="8">
        <f>IF((0=1),(W29*W29),"")</f>
      </c>
      <c r="X309" s="8">
        <f>IF((0=1),(X29*X29),"")</f>
      </c>
      <c r="Y309" s="8">
        <f>IF((0=1),(Y29*Y29),"")</f>
      </c>
      <c r="Z309" s="8">
        <f>IF((0=1),(Z29*Z29),"")</f>
      </c>
      <c r="AA309" s="8">
        <f>IF((0=1),(AA29*AA29),"")</f>
      </c>
      <c r="AB309" s="8">
        <f>IF((0=1),(AB29*AB29),"")</f>
      </c>
      <c r="AC309" s="8">
        <f>IF((0=1),(AC29*AC29),"")</f>
      </c>
      <c r="AD309" s="8">
        <f>IF((0=1),(AD29*AD29),"")</f>
      </c>
      <c r="AE309" s="8">
        <f>IF((0=1),(AE29*AE29),"")</f>
      </c>
      <c r="AF309" s="8">
        <f>IF((0=1),(AF29*AF29),"")</f>
      </c>
      <c r="AG309" s="8">
        <f>IF((0=1),(AG29*AG29),"")</f>
      </c>
      <c r="AH309" s="8">
        <f>IF((0=1),(AH29*AH29),"")</f>
      </c>
      <c r="AI309" s="8">
        <f>IF((0=1),(AI29*AI29),"")</f>
      </c>
      <c r="AJ309" s="8">
        <f>IF((0=1),(AJ29*AJ29),"")</f>
      </c>
      <c r="AK309" s="8">
        <f>IF((0=1),(AK29*AK29),"")</f>
      </c>
      <c r="AL309" s="8">
        <f>IF((0=1),(AL29*AL29),"")</f>
      </c>
      <c r="AM309" s="8">
        <f>IF((0=1),(AM29*AM29),"")</f>
      </c>
      <c r="AN309" s="8">
        <f>IF((0=1),(AN29*AN29),"")</f>
      </c>
      <c r="AO309" s="8">
        <f>IF((0=1),(AO29*AO29),"")</f>
      </c>
      <c r="AP309" s="8">
        <f>IF((0=1),(AP29*AP29),"")</f>
      </c>
      <c r="AQ309" s="8">
        <f>IF((0=1),(AQ29*AQ29),"")</f>
      </c>
      <c r="AR309" s="8">
        <f>IF((0=1),(AR29*AR29),"")</f>
      </c>
      <c r="AS309" s="8">
        <f>IF((0=1),(AS29*AS29),"")</f>
      </c>
      <c r="AT309" s="8">
        <f>IF((0=1),(AT29*AT29),"")</f>
      </c>
      <c r="AU309" s="8">
        <f>IF((0=1),(AU29*AU29),"")</f>
      </c>
      <c r="AV309" s="8">
        <f>IF((0=1),(AV29*AV29),"")</f>
      </c>
      <c r="AW309" s="8">
        <f>IF((0=1),(AW29*AW29),"")</f>
      </c>
      <c r="AX309" s="8">
        <f>IF((0=1),(AX29*AX29),"")</f>
      </c>
      <c r="AY309" s="8">
        <f>IF((0=1),(AY29*AY29),"")</f>
      </c>
      <c r="AZ309" s="8">
        <f>IF((0=1),(AZ29*AZ29),"")</f>
      </c>
      <c r="BA309" s="8">
        <f>IF((0=1),(BA29*BA29),"")</f>
      </c>
      <c r="BB309" s="8">
        <f>IF((0=1),(BB29*BB29),"")</f>
      </c>
      <c r="BC309" s="8">
        <f>IF((0=1),(BC29*BC29),"")</f>
      </c>
      <c r="BD309" s="8">
        <f>IF((0=1),(BD29*BD29),"")</f>
      </c>
      <c r="BE309" s="8">
        <f>IF((0=1),(BE29*BE29),"")</f>
      </c>
      <c r="BF309" s="8">
        <f>IF((0=1),(BF29*BF29),"")</f>
      </c>
      <c r="BG309" s="8">
        <f>IF((0=1),(BG29*BG29),"")</f>
      </c>
      <c r="BH309" s="8">
        <f>IF((0=1),(BH29*BH29),"")</f>
      </c>
      <c r="BI309" s="8">
        <f>IF((0=1),(BI29*BI29),"")</f>
      </c>
      <c r="BJ309" s="8">
        <f>IF((0=1),(BJ29*BJ29),"")</f>
      </c>
      <c r="BK309" s="8">
        <f>IF((0=1),(BK29*BK29),"")</f>
      </c>
      <c r="BL309" s="8">
        <f>IF((0=1),(BL29*BL29),"")</f>
      </c>
      <c r="BM309" s="8">
        <f>IF((0=1),(BM29*BM29),"")</f>
      </c>
      <c r="BN309" s="8">
        <f>IF((0=1),(BN29*BN29),"")</f>
      </c>
      <c r="BO309" s="8">
        <f>IF((0=1),(BO29*BO29),"")</f>
      </c>
      <c r="BP309" s="8">
        <f>IF((0=1),(BP29*BP29),"")</f>
      </c>
      <c r="BQ309" s="8">
        <f>IF((0=1),(BQ29*BQ29),"")</f>
      </c>
      <c r="BR309" s="8">
        <f>IF((0=1),(BR29*BR29),"")</f>
      </c>
      <c r="BS309" s="8">
        <f>IF((0=1),(BS29*BS29),"")</f>
      </c>
      <c r="BT309" s="8">
        <f>IF((0=1),(BT29*BT29),"")</f>
      </c>
      <c r="BU309" s="8">
        <f>IF((0=1),(BU29*BU29),"")</f>
      </c>
      <c r="BV309" s="8">
        <f>IF((0=1),(BV29*BV29),"")</f>
      </c>
      <c r="BW309" s="8">
        <f>IF((0=1),(BW29*BW29),"")</f>
      </c>
      <c r="BX309" s="8">
        <f>IF((0=1),(BX29*BX29),"")</f>
      </c>
      <c r="BY309" s="8">
        <f>IF((0=1),(BY29*BY29),"")</f>
      </c>
      <c r="BZ309" s="8">
        <f>IF((0=1),(BZ29*BZ29),"")</f>
      </c>
      <c r="CA309" s="8">
        <f>IF((0=1),(CA29*CA29),"")</f>
      </c>
      <c r="CB309" s="8">
        <f>IF((0=1),(CB29*CB29),"")</f>
      </c>
      <c r="CC309" s="8">
        <f>IF((0=1),(CC29*CC29),"")</f>
      </c>
      <c r="CD309" s="8">
        <f>IF((0=1),(CD29*CD29),"")</f>
      </c>
      <c r="CE309" s="8">
        <f>IF((0=1),(CE29*CE29),"")</f>
      </c>
      <c r="CF309" s="8">
        <f>IF((0=1),(CF29*CF29),"")</f>
      </c>
      <c r="CG309" s="8">
        <f>IF((0=1),(CG29*CG29),"")</f>
      </c>
      <c r="CH309" s="8">
        <f>IF((0=1),(CH29*CH29),"")</f>
      </c>
      <c r="CI309" s="8">
        <f>IF((0=1),(CI29*CI29),"")</f>
      </c>
      <c r="CJ309" s="8">
        <f>IF((0=1),(CJ29*CJ29),"")</f>
      </c>
      <c r="CK309" s="8">
        <f>IF((0=1),(CK29*CK29),"")</f>
      </c>
      <c r="CL309" s="8">
        <f>IF((0=1),(CL29*CL29),"")</f>
      </c>
      <c r="CM309" s="8">
        <f>IF((0=1),(CM29*CM29),"")</f>
      </c>
      <c r="CN309" s="8">
        <f>IF((0=1),(CN29*CN29),"")</f>
      </c>
      <c r="CO309" s="8">
        <f>IF((0=1),(CO29*CO29),"")</f>
      </c>
      <c r="CP309" s="8">
        <f>IF((0=1),(CP29*CP29),"")</f>
      </c>
      <c r="CQ309" s="8">
        <f>IF((0=1),(CQ29*CQ29),"")</f>
      </c>
      <c r="CR309" s="8">
        <f>IF((0=1),(CR29*CR29),"")</f>
      </c>
      <c r="CS309" s="8">
        <f>IF((0=1),(CS29*CS29),"")</f>
      </c>
      <c r="CT309" s="8">
        <f>IF((0=1),(CT29*CT29),"")</f>
      </c>
      <c r="CU309" s="8">
        <f>IF((0=1),(CU29*CU29),"")</f>
      </c>
      <c r="CV309" s="8">
        <f>IF((0=1),(CV29*CV29),"")</f>
      </c>
      <c r="CW309" s="8">
        <f>IF((0=1),(CW29*CW29),"")</f>
      </c>
      <c r="CX309" s="8">
        <f>IF((0=1),(CX29*CX29),"")</f>
      </c>
    </row>
    <row r="310">
      <c r="A310" s="0" t="inlineStr">
        <is>
          <t xml:space="preserve">Squared excess</t>
        </is>
      </c>
      <c r="B310" s="0" t="inlineStr">
        <is>
          <t xml:space="preserve">Random 14</t>
        </is>
      </c>
      <c r="C310" s="8">
        <f>IF((1=1),(C30*C30),"")</f>
        <v>2.8628639999999996</v>
      </c>
      <c r="D310" s="8">
        <f>IF((0=1),(D30*D30),"")</f>
      </c>
      <c r="E310" s="8">
        <f>IF((0=1),(E30*E30),"")</f>
      </c>
      <c r="F310" s="8">
        <f>IF((0=1),(F30*F30),"")</f>
      </c>
      <c r="G310" s="8">
        <f>IF((0=1),(G30*G30),"")</f>
      </c>
      <c r="H310" s="8">
        <f>IF((0=1),(H30*H30),"")</f>
      </c>
      <c r="I310" s="8">
        <f>IF((0=1),(I30*I30),"")</f>
      </c>
      <c r="J310" s="8">
        <f>IF((0=1),(J30*J30),"")</f>
      </c>
      <c r="K310" s="8">
        <f>IF((0=1),(K30*K30),"")</f>
      </c>
      <c r="L310" s="8">
        <f>IF((0=1),(L30*L30),"")</f>
      </c>
      <c r="M310" s="8">
        <f>IF((0=1),(M30*M30),"")</f>
      </c>
      <c r="N310" s="8">
        <f>IF((0=1),(N30*N30),"")</f>
      </c>
      <c r="O310" s="8">
        <f>IF((0=1),(O30*O30),"")</f>
      </c>
      <c r="P310" s="8">
        <f>IF((0=1),(P30*P30),"")</f>
      </c>
      <c r="Q310" s="8">
        <f>IF((0=1),(Q30*Q30),"")</f>
      </c>
      <c r="R310" s="8">
        <f>IF((0=1),(R30*R30),"")</f>
      </c>
      <c r="S310" s="8">
        <f>IF((0=1),(S30*S30),"")</f>
      </c>
      <c r="T310" s="8">
        <f>IF((0=1),(T30*T30),"")</f>
      </c>
      <c r="U310" s="8">
        <f>IF((0=1),(U30*U30),"")</f>
      </c>
      <c r="V310" s="8">
        <f>IF((0=1),(V30*V30),"")</f>
      </c>
      <c r="W310" s="8">
        <f>IF((0=1),(W30*W30),"")</f>
      </c>
      <c r="X310" s="8">
        <f>IF((0=1),(X30*X30),"")</f>
      </c>
      <c r="Y310" s="8">
        <f>IF((0=1),(Y30*Y30),"")</f>
      </c>
      <c r="Z310" s="8">
        <f>IF((0=1),(Z30*Z30),"")</f>
      </c>
      <c r="AA310" s="8">
        <f>IF((0=1),(AA30*AA30),"")</f>
      </c>
      <c r="AB310" s="8">
        <f>IF((0=1),(AB30*AB30),"")</f>
      </c>
      <c r="AC310" s="8">
        <f>IF((0=1),(AC30*AC30),"")</f>
      </c>
      <c r="AD310" s="8">
        <f>IF((0=1),(AD30*AD30),"")</f>
      </c>
      <c r="AE310" s="8">
        <f>IF((0=1),(AE30*AE30),"")</f>
      </c>
      <c r="AF310" s="8">
        <f>IF((0=1),(AF30*AF30),"")</f>
      </c>
      <c r="AG310" s="8">
        <f>IF((0=1),(AG30*AG30),"")</f>
      </c>
      <c r="AH310" s="8">
        <f>IF((0=1),(AH30*AH30),"")</f>
      </c>
      <c r="AI310" s="8">
        <f>IF((0=1),(AI30*AI30),"")</f>
      </c>
      <c r="AJ310" s="8">
        <f>IF((0=1),(AJ30*AJ30),"")</f>
      </c>
      <c r="AK310" s="8">
        <f>IF((0=1),(AK30*AK30),"")</f>
      </c>
      <c r="AL310" s="8">
        <f>IF((0=1),(AL30*AL30),"")</f>
      </c>
      <c r="AM310" s="8">
        <f>IF((0=1),(AM30*AM30),"")</f>
      </c>
      <c r="AN310" s="8">
        <f>IF((0=1),(AN30*AN30),"")</f>
      </c>
      <c r="AO310" s="8">
        <f>IF((0=1),(AO30*AO30),"")</f>
      </c>
      <c r="AP310" s="8">
        <f>IF((0=1),(AP30*AP30),"")</f>
      </c>
      <c r="AQ310" s="8">
        <f>IF((0=1),(AQ30*AQ30),"")</f>
      </c>
      <c r="AR310" s="8">
        <f>IF((0=1),(AR30*AR30),"")</f>
      </c>
      <c r="AS310" s="8">
        <f>IF((0=1),(AS30*AS30),"")</f>
      </c>
      <c r="AT310" s="8">
        <f>IF((0=1),(AT30*AT30),"")</f>
      </c>
      <c r="AU310" s="8">
        <f>IF((0=1),(AU30*AU30),"")</f>
      </c>
      <c r="AV310" s="8">
        <f>IF((0=1),(AV30*AV30),"")</f>
      </c>
      <c r="AW310" s="8">
        <f>IF((0=1),(AW30*AW30),"")</f>
      </c>
      <c r="AX310" s="8">
        <f>IF((0=1),(AX30*AX30),"")</f>
      </c>
      <c r="AY310" s="8">
        <f>IF((0=1),(AY30*AY30),"")</f>
      </c>
      <c r="AZ310" s="8">
        <f>IF((0=1),(AZ30*AZ30),"")</f>
      </c>
      <c r="BA310" s="8">
        <f>IF((0=1),(BA30*BA30),"")</f>
      </c>
      <c r="BB310" s="8">
        <f>IF((0=1),(BB30*BB30),"")</f>
      </c>
      <c r="BC310" s="8">
        <f>IF((0=1),(BC30*BC30),"")</f>
      </c>
      <c r="BD310" s="8">
        <f>IF((0=1),(BD30*BD30),"")</f>
      </c>
      <c r="BE310" s="8">
        <f>IF((0=1),(BE30*BE30),"")</f>
      </c>
      <c r="BF310" s="8">
        <f>IF((0=1),(BF30*BF30),"")</f>
      </c>
      <c r="BG310" s="8">
        <f>IF((0=1),(BG30*BG30),"")</f>
      </c>
      <c r="BH310" s="8">
        <f>IF((0=1),(BH30*BH30),"")</f>
      </c>
      <c r="BI310" s="8">
        <f>IF((0=1),(BI30*BI30),"")</f>
      </c>
      <c r="BJ310" s="8">
        <f>IF((0=1),(BJ30*BJ30),"")</f>
      </c>
      <c r="BK310" s="8">
        <f>IF((0=1),(BK30*BK30),"")</f>
      </c>
      <c r="BL310" s="8">
        <f>IF((0=1),(BL30*BL30),"")</f>
      </c>
      <c r="BM310" s="8">
        <f>IF((0=1),(BM30*BM30),"")</f>
      </c>
      <c r="BN310" s="8">
        <f>IF((0=1),(BN30*BN30),"")</f>
      </c>
      <c r="BO310" s="8">
        <f>IF((0=1),(BO30*BO30),"")</f>
      </c>
      <c r="BP310" s="8">
        <f>IF((0=1),(BP30*BP30),"")</f>
      </c>
      <c r="BQ310" s="8">
        <f>IF((0=1),(BQ30*BQ30),"")</f>
      </c>
      <c r="BR310" s="8">
        <f>IF((0=1),(BR30*BR30),"")</f>
      </c>
      <c r="BS310" s="8">
        <f>IF((0=1),(BS30*BS30),"")</f>
      </c>
      <c r="BT310" s="8">
        <f>IF((0=1),(BT30*BT30),"")</f>
      </c>
      <c r="BU310" s="8">
        <f>IF((0=1),(BU30*BU30),"")</f>
      </c>
      <c r="BV310" s="8">
        <f>IF((0=1),(BV30*BV30),"")</f>
      </c>
      <c r="BW310" s="8">
        <f>IF((0=1),(BW30*BW30),"")</f>
      </c>
      <c r="BX310" s="8">
        <f>IF((0=1),(BX30*BX30),"")</f>
      </c>
      <c r="BY310" s="8">
        <f>IF((0=1),(BY30*BY30),"")</f>
      </c>
      <c r="BZ310" s="8">
        <f>IF((0=1),(BZ30*BZ30),"")</f>
      </c>
      <c r="CA310" s="8">
        <f>IF((0=1),(CA30*CA30),"")</f>
      </c>
      <c r="CB310" s="8">
        <f>IF((0=1),(CB30*CB30),"")</f>
      </c>
      <c r="CC310" s="8">
        <f>IF((0=1),(CC30*CC30),"")</f>
      </c>
      <c r="CD310" s="8">
        <f>IF((0=1),(CD30*CD30),"")</f>
      </c>
      <c r="CE310" s="8">
        <f>IF((0=1),(CE30*CE30),"")</f>
      </c>
      <c r="CF310" s="8">
        <f>IF((0=1),(CF30*CF30),"")</f>
      </c>
      <c r="CG310" s="8">
        <f>IF((0=1),(CG30*CG30),"")</f>
      </c>
      <c r="CH310" s="8">
        <f>IF((0=1),(CH30*CH30),"")</f>
      </c>
      <c r="CI310" s="8">
        <f>IF((0=1),(CI30*CI30),"")</f>
      </c>
      <c r="CJ310" s="8">
        <f>IF((0=1),(CJ30*CJ30),"")</f>
      </c>
      <c r="CK310" s="8">
        <f>IF((0=1),(CK30*CK30),"")</f>
      </c>
      <c r="CL310" s="8">
        <f>IF((0=1),(CL30*CL30),"")</f>
      </c>
      <c r="CM310" s="8">
        <f>IF((0=1),(CM30*CM30),"")</f>
      </c>
      <c r="CN310" s="8">
        <f>IF((0=1),(CN30*CN30),"")</f>
      </c>
      <c r="CO310" s="8">
        <f>IF((0=1),(CO30*CO30),"")</f>
      </c>
      <c r="CP310" s="8">
        <f>IF((0=1),(CP30*CP30),"")</f>
      </c>
      <c r="CQ310" s="8">
        <f>IF((0=1),(CQ30*CQ30),"")</f>
      </c>
      <c r="CR310" s="8">
        <f>IF((0=1),(CR30*CR30),"")</f>
      </c>
      <c r="CS310" s="8">
        <f>IF((0=1),(CS30*CS30),"")</f>
      </c>
      <c r="CT310" s="8">
        <f>IF((0=1),(CT30*CT30),"")</f>
      </c>
      <c r="CU310" s="8">
        <f>IF((0=1),(CU30*CU30),"")</f>
      </c>
      <c r="CV310" s="8">
        <f>IF((0=1),(CV30*CV30),"")</f>
      </c>
      <c r="CW310" s="8">
        <f>IF((0=1),(CW30*CW30),"")</f>
      </c>
      <c r="CX310" s="8">
        <f>IF((0=1),(CX30*CX30),"")</f>
      </c>
    </row>
    <row r="311">
      <c r="A311" s="0" t="inlineStr">
        <is>
          <t xml:space="preserve">Squared excess</t>
        </is>
      </c>
      <c r="B311" s="0" t="inlineStr">
        <is>
          <t xml:space="preserve">Random 15</t>
        </is>
      </c>
      <c r="C311" s="8">
        <f>IF((1=1),(C31*C31),"")</f>
        <v>190.302025</v>
      </c>
      <c r="D311" s="8">
        <f>IF((0=1),(D31*D31),"")</f>
      </c>
      <c r="E311" s="8">
        <f>IF((0=1),(E31*E31),"")</f>
      </c>
      <c r="F311" s="8">
        <f>IF((0=1),(F31*F31),"")</f>
      </c>
      <c r="G311" s="8">
        <f>IF((0=1),(G31*G31),"")</f>
      </c>
      <c r="H311" s="8">
        <f>IF((0=1),(H31*H31),"")</f>
      </c>
      <c r="I311" s="8">
        <f>IF((0=1),(I31*I31),"")</f>
      </c>
      <c r="J311" s="8">
        <f>IF((0=1),(J31*J31),"")</f>
      </c>
      <c r="K311" s="8">
        <f>IF((0=1),(K31*K31),"")</f>
      </c>
      <c r="L311" s="8">
        <f>IF((0=1),(L31*L31),"")</f>
      </c>
      <c r="M311" s="8">
        <f>IF((0=1),(M31*M31),"")</f>
      </c>
      <c r="N311" s="8">
        <f>IF((0=1),(N31*N31),"")</f>
      </c>
      <c r="O311" s="8">
        <f>IF((0=1),(O31*O31),"")</f>
      </c>
      <c r="P311" s="8">
        <f>IF((0=1),(P31*P31),"")</f>
      </c>
      <c r="Q311" s="8">
        <f>IF((0=1),(Q31*Q31),"")</f>
      </c>
      <c r="R311" s="8">
        <f>IF((0=1),(R31*R31),"")</f>
      </c>
      <c r="S311" s="8">
        <f>IF((0=1),(S31*S31),"")</f>
      </c>
      <c r="T311" s="8">
        <f>IF((0=1),(T31*T31),"")</f>
      </c>
      <c r="U311" s="8">
        <f>IF((0=1),(U31*U31),"")</f>
      </c>
      <c r="V311" s="8">
        <f>IF((0=1),(V31*V31),"")</f>
      </c>
      <c r="W311" s="8">
        <f>IF((0=1),(W31*W31),"")</f>
      </c>
      <c r="X311" s="8">
        <f>IF((0=1),(X31*X31),"")</f>
      </c>
      <c r="Y311" s="8">
        <f>IF((0=1),(Y31*Y31),"")</f>
      </c>
      <c r="Z311" s="8">
        <f>IF((0=1),(Z31*Z31),"")</f>
      </c>
      <c r="AA311" s="8">
        <f>IF((0=1),(AA31*AA31),"")</f>
      </c>
      <c r="AB311" s="8">
        <f>IF((0=1),(AB31*AB31),"")</f>
      </c>
      <c r="AC311" s="8">
        <f>IF((0=1),(AC31*AC31),"")</f>
      </c>
      <c r="AD311" s="8">
        <f>IF((0=1),(AD31*AD31),"")</f>
      </c>
      <c r="AE311" s="8">
        <f>IF((0=1),(AE31*AE31),"")</f>
      </c>
      <c r="AF311" s="8">
        <f>IF((0=1),(AF31*AF31),"")</f>
      </c>
      <c r="AG311" s="8">
        <f>IF((0=1),(AG31*AG31),"")</f>
      </c>
      <c r="AH311" s="8">
        <f>IF((0=1),(AH31*AH31),"")</f>
      </c>
      <c r="AI311" s="8">
        <f>IF((0=1),(AI31*AI31),"")</f>
      </c>
      <c r="AJ311" s="8">
        <f>IF((0=1),(AJ31*AJ31),"")</f>
      </c>
      <c r="AK311" s="8">
        <f>IF((0=1),(AK31*AK31),"")</f>
      </c>
      <c r="AL311" s="8">
        <f>IF((0=1),(AL31*AL31),"")</f>
      </c>
      <c r="AM311" s="8">
        <f>IF((0=1),(AM31*AM31),"")</f>
      </c>
      <c r="AN311" s="8">
        <f>IF((0=1),(AN31*AN31),"")</f>
      </c>
      <c r="AO311" s="8">
        <f>IF((0=1),(AO31*AO31),"")</f>
      </c>
      <c r="AP311" s="8">
        <f>IF((0=1),(AP31*AP31),"")</f>
      </c>
      <c r="AQ311" s="8">
        <f>IF((0=1),(AQ31*AQ31),"")</f>
      </c>
      <c r="AR311" s="8">
        <f>IF((0=1),(AR31*AR31),"")</f>
      </c>
      <c r="AS311" s="8">
        <f>IF((0=1),(AS31*AS31),"")</f>
      </c>
      <c r="AT311" s="8">
        <f>IF((0=1),(AT31*AT31),"")</f>
      </c>
      <c r="AU311" s="8">
        <f>IF((0=1),(AU31*AU31),"")</f>
      </c>
      <c r="AV311" s="8">
        <f>IF((0=1),(AV31*AV31),"")</f>
      </c>
      <c r="AW311" s="8">
        <f>IF((0=1),(AW31*AW31),"")</f>
      </c>
      <c r="AX311" s="8">
        <f>IF((0=1),(AX31*AX31),"")</f>
      </c>
      <c r="AY311" s="8">
        <f>IF((0=1),(AY31*AY31),"")</f>
      </c>
      <c r="AZ311" s="8">
        <f>IF((0=1),(AZ31*AZ31),"")</f>
      </c>
      <c r="BA311" s="8">
        <f>IF((0=1),(BA31*BA31),"")</f>
      </c>
      <c r="BB311" s="8">
        <f>IF((0=1),(BB31*BB31),"")</f>
      </c>
      <c r="BC311" s="8">
        <f>IF((0=1),(BC31*BC31),"")</f>
      </c>
      <c r="BD311" s="8">
        <f>IF((0=1),(BD31*BD31),"")</f>
      </c>
      <c r="BE311" s="8">
        <f>IF((0=1),(BE31*BE31),"")</f>
      </c>
      <c r="BF311" s="8">
        <f>IF((0=1),(BF31*BF31),"")</f>
      </c>
      <c r="BG311" s="8">
        <f>IF((0=1),(BG31*BG31),"")</f>
      </c>
      <c r="BH311" s="8">
        <f>IF((0=1),(BH31*BH31),"")</f>
      </c>
      <c r="BI311" s="8">
        <f>IF((0=1),(BI31*BI31),"")</f>
      </c>
      <c r="BJ311" s="8">
        <f>IF((0=1),(BJ31*BJ31),"")</f>
      </c>
      <c r="BK311" s="8">
        <f>IF((0=1),(BK31*BK31),"")</f>
      </c>
      <c r="BL311" s="8">
        <f>IF((0=1),(BL31*BL31),"")</f>
      </c>
      <c r="BM311" s="8">
        <f>IF((0=1),(BM31*BM31),"")</f>
      </c>
      <c r="BN311" s="8">
        <f>IF((0=1),(BN31*BN31),"")</f>
      </c>
      <c r="BO311" s="8">
        <f>IF((0=1),(BO31*BO31),"")</f>
      </c>
      <c r="BP311" s="8">
        <f>IF((0=1),(BP31*BP31),"")</f>
      </c>
      <c r="BQ311" s="8">
        <f>IF((0=1),(BQ31*BQ31),"")</f>
      </c>
      <c r="BR311" s="8">
        <f>IF((0=1),(BR31*BR31),"")</f>
      </c>
      <c r="BS311" s="8">
        <f>IF((0=1),(BS31*BS31),"")</f>
      </c>
      <c r="BT311" s="8">
        <f>IF((0=1),(BT31*BT31),"")</f>
      </c>
      <c r="BU311" s="8">
        <f>IF((0=1),(BU31*BU31),"")</f>
      </c>
      <c r="BV311" s="8">
        <f>IF((0=1),(BV31*BV31),"")</f>
      </c>
      <c r="BW311" s="8">
        <f>IF((0=1),(BW31*BW31),"")</f>
      </c>
      <c r="BX311" s="8">
        <f>IF((0=1),(BX31*BX31),"")</f>
      </c>
      <c r="BY311" s="8">
        <f>IF((0=1),(BY31*BY31),"")</f>
      </c>
      <c r="BZ311" s="8">
        <f>IF((0=1),(BZ31*BZ31),"")</f>
      </c>
      <c r="CA311" s="8">
        <f>IF((0=1),(CA31*CA31),"")</f>
      </c>
      <c r="CB311" s="8">
        <f>IF((0=1),(CB31*CB31),"")</f>
      </c>
      <c r="CC311" s="8">
        <f>IF((0=1),(CC31*CC31),"")</f>
      </c>
      <c r="CD311" s="8">
        <f>IF((0=1),(CD31*CD31),"")</f>
      </c>
      <c r="CE311" s="8">
        <f>IF((0=1),(CE31*CE31),"")</f>
      </c>
      <c r="CF311" s="8">
        <f>IF((0=1),(CF31*CF31),"")</f>
      </c>
      <c r="CG311" s="8">
        <f>IF((0=1),(CG31*CG31),"")</f>
      </c>
      <c r="CH311" s="8">
        <f>IF((0=1),(CH31*CH31),"")</f>
      </c>
      <c r="CI311" s="8">
        <f>IF((0=1),(CI31*CI31),"")</f>
      </c>
      <c r="CJ311" s="8">
        <f>IF((0=1),(CJ31*CJ31),"")</f>
      </c>
      <c r="CK311" s="8">
        <f>IF((0=1),(CK31*CK31),"")</f>
      </c>
      <c r="CL311" s="8">
        <f>IF((0=1),(CL31*CL31),"")</f>
      </c>
      <c r="CM311" s="8">
        <f>IF((0=1),(CM31*CM31),"")</f>
      </c>
      <c r="CN311" s="8">
        <f>IF((0=1),(CN31*CN31),"")</f>
      </c>
      <c r="CO311" s="8">
        <f>IF((0=1),(CO31*CO31),"")</f>
      </c>
      <c r="CP311" s="8">
        <f>IF((0=1),(CP31*CP31),"")</f>
      </c>
      <c r="CQ311" s="8">
        <f>IF((0=1),(CQ31*CQ31),"")</f>
      </c>
      <c r="CR311" s="8">
        <f>IF((0=1),(CR31*CR31),"")</f>
      </c>
      <c r="CS311" s="8">
        <f>IF((0=1),(CS31*CS31),"")</f>
      </c>
      <c r="CT311" s="8">
        <f>IF((0=1),(CT31*CT31),"")</f>
      </c>
      <c r="CU311" s="8">
        <f>IF((0=1),(CU31*CU31),"")</f>
      </c>
      <c r="CV311" s="8">
        <f>IF((0=1),(CV31*CV31),"")</f>
      </c>
      <c r="CW311" s="8">
        <f>IF((0=1),(CW31*CW31),"")</f>
      </c>
      <c r="CX311" s="8">
        <f>IF((0=1),(CX31*CX31),"")</f>
      </c>
    </row>
    <row r="312">
      <c r="A312" s="0" t="inlineStr">
        <is>
          <t xml:space="preserve">Squared excess</t>
        </is>
      </c>
      <c r="B312" s="0" t="inlineStr">
        <is>
          <t xml:space="preserve">Random 16</t>
        </is>
      </c>
      <c r="C312" s="8">
        <f>IF((1=1),(C32*C32),"")</f>
        <v>1.468944</v>
      </c>
      <c r="D312" s="8">
        <f>IF((0=1),(D32*D32),"")</f>
      </c>
      <c r="E312" s="8">
        <f>IF((0=1),(E32*E32),"")</f>
      </c>
      <c r="F312" s="8">
        <f>IF((0=1),(F32*F32),"")</f>
      </c>
      <c r="G312" s="8">
        <f>IF((0=1),(G32*G32),"")</f>
      </c>
      <c r="H312" s="8">
        <f>IF((0=1),(H32*H32),"")</f>
      </c>
      <c r="I312" s="8">
        <f>IF((0=1),(I32*I32),"")</f>
      </c>
      <c r="J312" s="8">
        <f>IF((0=1),(J32*J32),"")</f>
      </c>
      <c r="K312" s="8">
        <f>IF((0=1),(K32*K32),"")</f>
      </c>
      <c r="L312" s="8">
        <f>IF((0=1),(L32*L32),"")</f>
      </c>
      <c r="M312" s="8">
        <f>IF((0=1),(M32*M32),"")</f>
      </c>
      <c r="N312" s="8">
        <f>IF((0=1),(N32*N32),"")</f>
      </c>
      <c r="O312" s="8">
        <f>IF((0=1),(O32*O32),"")</f>
      </c>
      <c r="P312" s="8">
        <f>IF((0=1),(P32*P32),"")</f>
      </c>
      <c r="Q312" s="8">
        <f>IF((0=1),(Q32*Q32),"")</f>
      </c>
      <c r="R312" s="8">
        <f>IF((0=1),(R32*R32),"")</f>
      </c>
      <c r="S312" s="8">
        <f>IF((0=1),(S32*S32),"")</f>
      </c>
      <c r="T312" s="8">
        <f>IF((0=1),(T32*T32),"")</f>
      </c>
      <c r="U312" s="8">
        <f>IF((0=1),(U32*U32),"")</f>
      </c>
      <c r="V312" s="8">
        <f>IF((0=1),(V32*V32),"")</f>
      </c>
      <c r="W312" s="8">
        <f>IF((0=1),(W32*W32),"")</f>
      </c>
      <c r="X312" s="8">
        <f>IF((0=1),(X32*X32),"")</f>
      </c>
      <c r="Y312" s="8">
        <f>IF((0=1),(Y32*Y32),"")</f>
      </c>
      <c r="Z312" s="8">
        <f>IF((0=1),(Z32*Z32),"")</f>
      </c>
      <c r="AA312" s="8">
        <f>IF((0=1),(AA32*AA32),"")</f>
      </c>
      <c r="AB312" s="8">
        <f>IF((0=1),(AB32*AB32),"")</f>
      </c>
      <c r="AC312" s="8">
        <f>IF((0=1),(AC32*AC32),"")</f>
      </c>
      <c r="AD312" s="8">
        <f>IF((0=1),(AD32*AD32),"")</f>
      </c>
      <c r="AE312" s="8">
        <f>IF((0=1),(AE32*AE32),"")</f>
      </c>
      <c r="AF312" s="8">
        <f>IF((0=1),(AF32*AF32),"")</f>
      </c>
      <c r="AG312" s="8">
        <f>IF((0=1),(AG32*AG32),"")</f>
      </c>
      <c r="AH312" s="8">
        <f>IF((0=1),(AH32*AH32),"")</f>
      </c>
      <c r="AI312" s="8">
        <f>IF((0=1),(AI32*AI32),"")</f>
      </c>
      <c r="AJ312" s="8">
        <f>IF((0=1),(AJ32*AJ32),"")</f>
      </c>
      <c r="AK312" s="8">
        <f>IF((0=1),(AK32*AK32),"")</f>
      </c>
      <c r="AL312" s="8">
        <f>IF((0=1),(AL32*AL32),"")</f>
      </c>
      <c r="AM312" s="8">
        <f>IF((0=1),(AM32*AM32),"")</f>
      </c>
      <c r="AN312" s="8">
        <f>IF((0=1),(AN32*AN32),"")</f>
      </c>
      <c r="AO312" s="8">
        <f>IF((0=1),(AO32*AO32),"")</f>
      </c>
      <c r="AP312" s="8">
        <f>IF((0=1),(AP32*AP32),"")</f>
      </c>
      <c r="AQ312" s="8">
        <f>IF((0=1),(AQ32*AQ32),"")</f>
      </c>
      <c r="AR312" s="8">
        <f>IF((0=1),(AR32*AR32),"")</f>
      </c>
      <c r="AS312" s="8">
        <f>IF((0=1),(AS32*AS32),"")</f>
      </c>
      <c r="AT312" s="8">
        <f>IF((0=1),(AT32*AT32),"")</f>
      </c>
      <c r="AU312" s="8">
        <f>IF((0=1),(AU32*AU32),"")</f>
      </c>
      <c r="AV312" s="8">
        <f>IF((0=1),(AV32*AV32),"")</f>
      </c>
      <c r="AW312" s="8">
        <f>IF((0=1),(AW32*AW32),"")</f>
      </c>
      <c r="AX312" s="8">
        <f>IF((0=1),(AX32*AX32),"")</f>
      </c>
      <c r="AY312" s="8">
        <f>IF((0=1),(AY32*AY32),"")</f>
      </c>
      <c r="AZ312" s="8">
        <f>IF((0=1),(AZ32*AZ32),"")</f>
      </c>
      <c r="BA312" s="8">
        <f>IF((0=1),(BA32*BA32),"")</f>
      </c>
      <c r="BB312" s="8">
        <f>IF((0=1),(BB32*BB32),"")</f>
      </c>
      <c r="BC312" s="8">
        <f>IF((0=1),(BC32*BC32),"")</f>
      </c>
      <c r="BD312" s="8">
        <f>IF((0=1),(BD32*BD32),"")</f>
      </c>
      <c r="BE312" s="8">
        <f>IF((0=1),(BE32*BE32),"")</f>
      </c>
      <c r="BF312" s="8">
        <f>IF((0=1),(BF32*BF32),"")</f>
      </c>
      <c r="BG312" s="8">
        <f>IF((0=1),(BG32*BG32),"")</f>
      </c>
      <c r="BH312" s="8">
        <f>IF((0=1),(BH32*BH32),"")</f>
      </c>
      <c r="BI312" s="8">
        <f>IF((0=1),(BI32*BI32),"")</f>
      </c>
      <c r="BJ312" s="8">
        <f>IF((0=1),(BJ32*BJ32),"")</f>
      </c>
      <c r="BK312" s="8">
        <f>IF((0=1),(BK32*BK32),"")</f>
      </c>
      <c r="BL312" s="8">
        <f>IF((0=1),(BL32*BL32),"")</f>
      </c>
      <c r="BM312" s="8">
        <f>IF((0=1),(BM32*BM32),"")</f>
      </c>
      <c r="BN312" s="8">
        <f>IF((0=1),(BN32*BN32),"")</f>
      </c>
      <c r="BO312" s="8">
        <f>IF((0=1),(BO32*BO32),"")</f>
      </c>
      <c r="BP312" s="8">
        <f>IF((0=1),(BP32*BP32),"")</f>
      </c>
      <c r="BQ312" s="8">
        <f>IF((0=1),(BQ32*BQ32),"")</f>
      </c>
      <c r="BR312" s="8">
        <f>IF((0=1),(BR32*BR32),"")</f>
      </c>
      <c r="BS312" s="8">
        <f>IF((0=1),(BS32*BS32),"")</f>
      </c>
      <c r="BT312" s="8">
        <f>IF((0=1),(BT32*BT32),"")</f>
      </c>
      <c r="BU312" s="8">
        <f>IF((0=1),(BU32*BU32),"")</f>
      </c>
      <c r="BV312" s="8">
        <f>IF((0=1),(BV32*BV32),"")</f>
      </c>
      <c r="BW312" s="8">
        <f>IF((0=1),(BW32*BW32),"")</f>
      </c>
      <c r="BX312" s="8">
        <f>IF((0=1),(BX32*BX32),"")</f>
      </c>
      <c r="BY312" s="8">
        <f>IF((0=1),(BY32*BY32),"")</f>
      </c>
      <c r="BZ312" s="8">
        <f>IF((0=1),(BZ32*BZ32),"")</f>
      </c>
      <c r="CA312" s="8">
        <f>IF((0=1),(CA32*CA32),"")</f>
      </c>
      <c r="CB312" s="8">
        <f>IF((0=1),(CB32*CB32),"")</f>
      </c>
      <c r="CC312" s="8">
        <f>IF((0=1),(CC32*CC32),"")</f>
      </c>
      <c r="CD312" s="8">
        <f>IF((0=1),(CD32*CD32),"")</f>
      </c>
      <c r="CE312" s="8">
        <f>IF((0=1),(CE32*CE32),"")</f>
      </c>
      <c r="CF312" s="8">
        <f>IF((0=1),(CF32*CF32),"")</f>
      </c>
      <c r="CG312" s="8">
        <f>IF((0=1),(CG32*CG32),"")</f>
      </c>
      <c r="CH312" s="8">
        <f>IF((0=1),(CH32*CH32),"")</f>
      </c>
      <c r="CI312" s="8">
        <f>IF((0=1),(CI32*CI32),"")</f>
      </c>
      <c r="CJ312" s="8">
        <f>IF((0=1),(CJ32*CJ32),"")</f>
      </c>
      <c r="CK312" s="8">
        <f>IF((0=1),(CK32*CK32),"")</f>
      </c>
      <c r="CL312" s="8">
        <f>IF((0=1),(CL32*CL32),"")</f>
      </c>
      <c r="CM312" s="8">
        <f>IF((0=1),(CM32*CM32),"")</f>
      </c>
      <c r="CN312" s="8">
        <f>IF((0=1),(CN32*CN32),"")</f>
      </c>
      <c r="CO312" s="8">
        <f>IF((0=1),(CO32*CO32),"")</f>
      </c>
      <c r="CP312" s="8">
        <f>IF((0=1),(CP32*CP32),"")</f>
      </c>
      <c r="CQ312" s="8">
        <f>IF((0=1),(CQ32*CQ32),"")</f>
      </c>
      <c r="CR312" s="8">
        <f>IF((0=1),(CR32*CR32),"")</f>
      </c>
      <c r="CS312" s="8">
        <f>IF((0=1),(CS32*CS32),"")</f>
      </c>
      <c r="CT312" s="8">
        <f>IF((0=1),(CT32*CT32),"")</f>
      </c>
      <c r="CU312" s="8">
        <f>IF((0=1),(CU32*CU32),"")</f>
      </c>
      <c r="CV312" s="8">
        <f>IF((0=1),(CV32*CV32),"")</f>
      </c>
      <c r="CW312" s="8">
        <f>IF((0=1),(CW32*CW32),"")</f>
      </c>
      <c r="CX312" s="8">
        <f>IF((0=1),(CX32*CX32),"")</f>
      </c>
    </row>
    <row r="313">
      <c r="A313" s="0" t="inlineStr">
        <is>
          <t xml:space="preserve">Squared excess</t>
        </is>
      </c>
      <c r="B313" s="0" t="inlineStr">
        <is>
          <t xml:space="preserve">Random 17</t>
        </is>
      </c>
      <c r="C313" s="8">
        <f>IF((1=1),(C33*C33),"")</f>
        <v>8.8804</v>
      </c>
      <c r="D313" s="8">
        <f>IF((0=1),(D33*D33),"")</f>
      </c>
      <c r="E313" s="8">
        <f>IF((0=1),(E33*E33),"")</f>
      </c>
      <c r="F313" s="8">
        <f>IF((0=1),(F33*F33),"")</f>
      </c>
      <c r="G313" s="8">
        <f>IF((0=1),(G33*G33),"")</f>
      </c>
      <c r="H313" s="8">
        <f>IF((0=1),(H33*H33),"")</f>
      </c>
      <c r="I313" s="8">
        <f>IF((0=1),(I33*I33),"")</f>
      </c>
      <c r="J313" s="8">
        <f>IF((0=1),(J33*J33),"")</f>
      </c>
      <c r="K313" s="8">
        <f>IF((0=1),(K33*K33),"")</f>
      </c>
      <c r="L313" s="8">
        <f>IF((0=1),(L33*L33),"")</f>
      </c>
      <c r="M313" s="8">
        <f>IF((0=1),(M33*M33),"")</f>
      </c>
      <c r="N313" s="8">
        <f>IF((0=1),(N33*N33),"")</f>
      </c>
      <c r="O313" s="8">
        <f>IF((0=1),(O33*O33),"")</f>
      </c>
      <c r="P313" s="8">
        <f>IF((0=1),(P33*P33),"")</f>
      </c>
      <c r="Q313" s="8">
        <f>IF((0=1),(Q33*Q33),"")</f>
      </c>
      <c r="R313" s="8">
        <f>IF((0=1),(R33*R33),"")</f>
      </c>
      <c r="S313" s="8">
        <f>IF((0=1),(S33*S33),"")</f>
      </c>
      <c r="T313" s="8">
        <f>IF((0=1),(T33*T33),"")</f>
      </c>
      <c r="U313" s="8">
        <f>IF((0=1),(U33*U33),"")</f>
      </c>
      <c r="V313" s="8">
        <f>IF((0=1),(V33*V33),"")</f>
      </c>
      <c r="W313" s="8">
        <f>IF((0=1),(W33*W33),"")</f>
      </c>
      <c r="X313" s="8">
        <f>IF((0=1),(X33*X33),"")</f>
      </c>
      <c r="Y313" s="8">
        <f>IF((0=1),(Y33*Y33),"")</f>
      </c>
      <c r="Z313" s="8">
        <f>IF((0=1),(Z33*Z33),"")</f>
      </c>
      <c r="AA313" s="8">
        <f>IF((0=1),(AA33*AA33),"")</f>
      </c>
      <c r="AB313" s="8">
        <f>IF((0=1),(AB33*AB33),"")</f>
      </c>
      <c r="AC313" s="8">
        <f>IF((0=1),(AC33*AC33),"")</f>
      </c>
      <c r="AD313" s="8">
        <f>IF((0=1),(AD33*AD33),"")</f>
      </c>
      <c r="AE313" s="8">
        <f>IF((0=1),(AE33*AE33),"")</f>
      </c>
      <c r="AF313" s="8">
        <f>IF((0=1),(AF33*AF33),"")</f>
      </c>
      <c r="AG313" s="8">
        <f>IF((0=1),(AG33*AG33),"")</f>
      </c>
      <c r="AH313" s="8">
        <f>IF((0=1),(AH33*AH33),"")</f>
      </c>
      <c r="AI313" s="8">
        <f>IF((0=1),(AI33*AI33),"")</f>
      </c>
      <c r="AJ313" s="8">
        <f>IF((0=1),(AJ33*AJ33),"")</f>
      </c>
      <c r="AK313" s="8">
        <f>IF((0=1),(AK33*AK33),"")</f>
      </c>
      <c r="AL313" s="8">
        <f>IF((0=1),(AL33*AL33),"")</f>
      </c>
      <c r="AM313" s="8">
        <f>IF((0=1),(AM33*AM33),"")</f>
      </c>
      <c r="AN313" s="8">
        <f>IF((0=1),(AN33*AN33),"")</f>
      </c>
      <c r="AO313" s="8">
        <f>IF((0=1),(AO33*AO33),"")</f>
      </c>
      <c r="AP313" s="8">
        <f>IF((0=1),(AP33*AP33),"")</f>
      </c>
      <c r="AQ313" s="8">
        <f>IF((0=1),(AQ33*AQ33),"")</f>
      </c>
      <c r="AR313" s="8">
        <f>IF((0=1),(AR33*AR33),"")</f>
      </c>
      <c r="AS313" s="8">
        <f>IF((0=1),(AS33*AS33),"")</f>
      </c>
      <c r="AT313" s="8">
        <f>IF((0=1),(AT33*AT33),"")</f>
      </c>
      <c r="AU313" s="8">
        <f>IF((0=1),(AU33*AU33),"")</f>
      </c>
      <c r="AV313" s="8">
        <f>IF((0=1),(AV33*AV33),"")</f>
      </c>
      <c r="AW313" s="8">
        <f>IF((0=1),(AW33*AW33),"")</f>
      </c>
      <c r="AX313" s="8">
        <f>IF((0=1),(AX33*AX33),"")</f>
      </c>
      <c r="AY313" s="8">
        <f>IF((0=1),(AY33*AY33),"")</f>
      </c>
      <c r="AZ313" s="8">
        <f>IF((0=1),(AZ33*AZ33),"")</f>
      </c>
      <c r="BA313" s="8">
        <f>IF((0=1),(BA33*BA33),"")</f>
      </c>
      <c r="BB313" s="8">
        <f>IF((0=1),(BB33*BB33),"")</f>
      </c>
      <c r="BC313" s="8">
        <f>IF((0=1),(BC33*BC33),"")</f>
      </c>
      <c r="BD313" s="8">
        <f>IF((0=1),(BD33*BD33),"")</f>
      </c>
      <c r="BE313" s="8">
        <f>IF((0=1),(BE33*BE33),"")</f>
      </c>
      <c r="BF313" s="8">
        <f>IF((0=1),(BF33*BF33),"")</f>
      </c>
      <c r="BG313" s="8">
        <f>IF((0=1),(BG33*BG33),"")</f>
      </c>
      <c r="BH313" s="8">
        <f>IF((0=1),(BH33*BH33),"")</f>
      </c>
      <c r="BI313" s="8">
        <f>IF((0=1),(BI33*BI33),"")</f>
      </c>
      <c r="BJ313" s="8">
        <f>IF((0=1),(BJ33*BJ33),"")</f>
      </c>
      <c r="BK313" s="8">
        <f>IF((0=1),(BK33*BK33),"")</f>
      </c>
      <c r="BL313" s="8">
        <f>IF((0=1),(BL33*BL33),"")</f>
      </c>
      <c r="BM313" s="8">
        <f>IF((0=1),(BM33*BM33),"")</f>
      </c>
      <c r="BN313" s="8">
        <f>IF((0=1),(BN33*BN33),"")</f>
      </c>
      <c r="BO313" s="8">
        <f>IF((0=1),(BO33*BO33),"")</f>
      </c>
      <c r="BP313" s="8">
        <f>IF((0=1),(BP33*BP33),"")</f>
      </c>
      <c r="BQ313" s="8">
        <f>IF((0=1),(BQ33*BQ33),"")</f>
      </c>
      <c r="BR313" s="8">
        <f>IF((0=1),(BR33*BR33),"")</f>
      </c>
      <c r="BS313" s="8">
        <f>IF((0=1),(BS33*BS33),"")</f>
      </c>
      <c r="BT313" s="8">
        <f>IF((0=1),(BT33*BT33),"")</f>
      </c>
      <c r="BU313" s="8">
        <f>IF((0=1),(BU33*BU33),"")</f>
      </c>
      <c r="BV313" s="8">
        <f>IF((0=1),(BV33*BV33),"")</f>
      </c>
      <c r="BW313" s="8">
        <f>IF((0=1),(BW33*BW33),"")</f>
      </c>
      <c r="BX313" s="8">
        <f>IF((0=1),(BX33*BX33),"")</f>
      </c>
      <c r="BY313" s="8">
        <f>IF((0=1),(BY33*BY33),"")</f>
      </c>
      <c r="BZ313" s="8">
        <f>IF((0=1),(BZ33*BZ33),"")</f>
      </c>
      <c r="CA313" s="8">
        <f>IF((0=1),(CA33*CA33),"")</f>
      </c>
      <c r="CB313" s="8">
        <f>IF((0=1),(CB33*CB33),"")</f>
      </c>
      <c r="CC313" s="8">
        <f>IF((0=1),(CC33*CC33),"")</f>
      </c>
      <c r="CD313" s="8">
        <f>IF((0=1),(CD33*CD33),"")</f>
      </c>
      <c r="CE313" s="8">
        <f>IF((0=1),(CE33*CE33),"")</f>
      </c>
      <c r="CF313" s="8">
        <f>IF((0=1),(CF33*CF33),"")</f>
      </c>
      <c r="CG313" s="8">
        <f>IF((0=1),(CG33*CG33),"")</f>
      </c>
      <c r="CH313" s="8">
        <f>IF((0=1),(CH33*CH33),"")</f>
      </c>
      <c r="CI313" s="8">
        <f>IF((0=1),(CI33*CI33),"")</f>
      </c>
      <c r="CJ313" s="8">
        <f>IF((0=1),(CJ33*CJ33),"")</f>
      </c>
      <c r="CK313" s="8">
        <f>IF((0=1),(CK33*CK33),"")</f>
      </c>
      <c r="CL313" s="8">
        <f>IF((0=1),(CL33*CL33),"")</f>
      </c>
      <c r="CM313" s="8">
        <f>IF((0=1),(CM33*CM33),"")</f>
      </c>
      <c r="CN313" s="8">
        <f>IF((0=1),(CN33*CN33),"")</f>
      </c>
      <c r="CO313" s="8">
        <f>IF((0=1),(CO33*CO33),"")</f>
      </c>
      <c r="CP313" s="8">
        <f>IF((0=1),(CP33*CP33),"")</f>
      </c>
      <c r="CQ313" s="8">
        <f>IF((0=1),(CQ33*CQ33),"")</f>
      </c>
      <c r="CR313" s="8">
        <f>IF((0=1),(CR33*CR33),"")</f>
      </c>
      <c r="CS313" s="8">
        <f>IF((0=1),(CS33*CS33),"")</f>
      </c>
      <c r="CT313" s="8">
        <f>IF((0=1),(CT33*CT33),"")</f>
      </c>
      <c r="CU313" s="8">
        <f>IF((0=1),(CU33*CU33),"")</f>
      </c>
      <c r="CV313" s="8">
        <f>IF((0=1),(CV33*CV33),"")</f>
      </c>
      <c r="CW313" s="8">
        <f>IF((0=1),(CW33*CW33),"")</f>
      </c>
      <c r="CX313" s="8">
        <f>IF((0=1),(CX33*CX33),"")</f>
      </c>
    </row>
    <row r="314">
      <c r="A314" s="0" t="inlineStr">
        <is>
          <t xml:space="preserve">Squared excess</t>
        </is>
      </c>
      <c r="B314" s="0" t="inlineStr">
        <is>
          <t xml:space="preserve">Random 18</t>
        </is>
      </c>
      <c r="C314" s="8">
        <f>IF((1=1),(C34*C34),"")</f>
        <v>117.2889</v>
      </c>
      <c r="D314" s="8">
        <f>IF((0=1),(D34*D34),"")</f>
      </c>
      <c r="E314" s="8">
        <f>IF((0=1),(E34*E34),"")</f>
      </c>
      <c r="F314" s="8">
        <f>IF((0=1),(F34*F34),"")</f>
      </c>
      <c r="G314" s="8">
        <f>IF((0=1),(G34*G34),"")</f>
      </c>
      <c r="H314" s="8">
        <f>IF((0=1),(H34*H34),"")</f>
      </c>
      <c r="I314" s="8">
        <f>IF((0=1),(I34*I34),"")</f>
      </c>
      <c r="J314" s="8">
        <f>IF((0=1),(J34*J34),"")</f>
      </c>
      <c r="K314" s="8">
        <f>IF((0=1),(K34*K34),"")</f>
      </c>
      <c r="L314" s="8">
        <f>IF((0=1),(L34*L34),"")</f>
      </c>
      <c r="M314" s="8">
        <f>IF((0=1),(M34*M34),"")</f>
      </c>
      <c r="N314" s="8">
        <f>IF((0=1),(N34*N34),"")</f>
      </c>
      <c r="O314" s="8">
        <f>IF((0=1),(O34*O34),"")</f>
      </c>
      <c r="P314" s="8">
        <f>IF((0=1),(P34*P34),"")</f>
      </c>
      <c r="Q314" s="8">
        <f>IF((0=1),(Q34*Q34),"")</f>
      </c>
      <c r="R314" s="8">
        <f>IF((0=1),(R34*R34),"")</f>
      </c>
      <c r="S314" s="8">
        <f>IF((0=1),(S34*S34),"")</f>
      </c>
      <c r="T314" s="8">
        <f>IF((0=1),(T34*T34),"")</f>
      </c>
      <c r="U314" s="8">
        <f>IF((0=1),(U34*U34),"")</f>
      </c>
      <c r="V314" s="8">
        <f>IF((0=1),(V34*V34),"")</f>
      </c>
      <c r="W314" s="8">
        <f>IF((0=1),(W34*W34),"")</f>
      </c>
      <c r="X314" s="8">
        <f>IF((0=1),(X34*X34),"")</f>
      </c>
      <c r="Y314" s="8">
        <f>IF((0=1),(Y34*Y34),"")</f>
      </c>
      <c r="Z314" s="8">
        <f>IF((0=1),(Z34*Z34),"")</f>
      </c>
      <c r="AA314" s="8">
        <f>IF((0=1),(AA34*AA34),"")</f>
      </c>
      <c r="AB314" s="8">
        <f>IF((0=1),(AB34*AB34),"")</f>
      </c>
      <c r="AC314" s="8">
        <f>IF((0=1),(AC34*AC34),"")</f>
      </c>
      <c r="AD314" s="8">
        <f>IF((0=1),(AD34*AD34),"")</f>
      </c>
      <c r="AE314" s="8">
        <f>IF((0=1),(AE34*AE34),"")</f>
      </c>
      <c r="AF314" s="8">
        <f>IF((0=1),(AF34*AF34),"")</f>
      </c>
      <c r="AG314" s="8">
        <f>IF((0=1),(AG34*AG34),"")</f>
      </c>
      <c r="AH314" s="8">
        <f>IF((0=1),(AH34*AH34),"")</f>
      </c>
      <c r="AI314" s="8">
        <f>IF((0=1),(AI34*AI34),"")</f>
      </c>
      <c r="AJ314" s="8">
        <f>IF((0=1),(AJ34*AJ34),"")</f>
      </c>
      <c r="AK314" s="8">
        <f>IF((0=1),(AK34*AK34),"")</f>
      </c>
      <c r="AL314" s="8">
        <f>IF((0=1),(AL34*AL34),"")</f>
      </c>
      <c r="AM314" s="8">
        <f>IF((0=1),(AM34*AM34),"")</f>
      </c>
      <c r="AN314" s="8">
        <f>IF((0=1),(AN34*AN34),"")</f>
      </c>
      <c r="AO314" s="8">
        <f>IF((0=1),(AO34*AO34),"")</f>
      </c>
      <c r="AP314" s="8">
        <f>IF((0=1),(AP34*AP34),"")</f>
      </c>
      <c r="AQ314" s="8">
        <f>IF((0=1),(AQ34*AQ34),"")</f>
      </c>
      <c r="AR314" s="8">
        <f>IF((0=1),(AR34*AR34),"")</f>
      </c>
      <c r="AS314" s="8">
        <f>IF((0=1),(AS34*AS34),"")</f>
      </c>
      <c r="AT314" s="8">
        <f>IF((0=1),(AT34*AT34),"")</f>
      </c>
      <c r="AU314" s="8">
        <f>IF((0=1),(AU34*AU34),"")</f>
      </c>
      <c r="AV314" s="8">
        <f>IF((0=1),(AV34*AV34),"")</f>
      </c>
      <c r="AW314" s="8">
        <f>IF((0=1),(AW34*AW34),"")</f>
      </c>
      <c r="AX314" s="8">
        <f>IF((0=1),(AX34*AX34),"")</f>
      </c>
      <c r="AY314" s="8">
        <f>IF((0=1),(AY34*AY34),"")</f>
      </c>
      <c r="AZ314" s="8">
        <f>IF((0=1),(AZ34*AZ34),"")</f>
      </c>
      <c r="BA314" s="8">
        <f>IF((0=1),(BA34*BA34),"")</f>
      </c>
      <c r="BB314" s="8">
        <f>IF((0=1),(BB34*BB34),"")</f>
      </c>
      <c r="BC314" s="8">
        <f>IF((0=1),(BC34*BC34),"")</f>
      </c>
      <c r="BD314" s="8">
        <f>IF((0=1),(BD34*BD34),"")</f>
      </c>
      <c r="BE314" s="8">
        <f>IF((0=1),(BE34*BE34),"")</f>
      </c>
      <c r="BF314" s="8">
        <f>IF((0=1),(BF34*BF34),"")</f>
      </c>
      <c r="BG314" s="8">
        <f>IF((0=1),(BG34*BG34),"")</f>
      </c>
      <c r="BH314" s="8">
        <f>IF((0=1),(BH34*BH34),"")</f>
      </c>
      <c r="BI314" s="8">
        <f>IF((0=1),(BI34*BI34),"")</f>
      </c>
      <c r="BJ314" s="8">
        <f>IF((0=1),(BJ34*BJ34),"")</f>
      </c>
      <c r="BK314" s="8">
        <f>IF((0=1),(BK34*BK34),"")</f>
      </c>
      <c r="BL314" s="8">
        <f>IF((0=1),(BL34*BL34),"")</f>
      </c>
      <c r="BM314" s="8">
        <f>IF((0=1),(BM34*BM34),"")</f>
      </c>
      <c r="BN314" s="8">
        <f>IF((0=1),(BN34*BN34),"")</f>
      </c>
      <c r="BO314" s="8">
        <f>IF((0=1),(BO34*BO34),"")</f>
      </c>
      <c r="BP314" s="8">
        <f>IF((0=1),(BP34*BP34),"")</f>
      </c>
      <c r="BQ314" s="8">
        <f>IF((0=1),(BQ34*BQ34),"")</f>
      </c>
      <c r="BR314" s="8">
        <f>IF((0=1),(BR34*BR34),"")</f>
      </c>
      <c r="BS314" s="8">
        <f>IF((0=1),(BS34*BS34),"")</f>
      </c>
      <c r="BT314" s="8">
        <f>IF((0=1),(BT34*BT34),"")</f>
      </c>
      <c r="BU314" s="8">
        <f>IF((0=1),(BU34*BU34),"")</f>
      </c>
      <c r="BV314" s="8">
        <f>IF((0=1),(BV34*BV34),"")</f>
      </c>
      <c r="BW314" s="8">
        <f>IF((0=1),(BW34*BW34),"")</f>
      </c>
      <c r="BX314" s="8">
        <f>IF((0=1),(BX34*BX34),"")</f>
      </c>
      <c r="BY314" s="8">
        <f>IF((0=1),(BY34*BY34),"")</f>
      </c>
      <c r="BZ314" s="8">
        <f>IF((0=1),(BZ34*BZ34),"")</f>
      </c>
      <c r="CA314" s="8">
        <f>IF((0=1),(CA34*CA34),"")</f>
      </c>
      <c r="CB314" s="8">
        <f>IF((0=1),(CB34*CB34),"")</f>
      </c>
      <c r="CC314" s="8">
        <f>IF((0=1),(CC34*CC34),"")</f>
      </c>
      <c r="CD314" s="8">
        <f>IF((0=1),(CD34*CD34),"")</f>
      </c>
      <c r="CE314" s="8">
        <f>IF((0=1),(CE34*CE34),"")</f>
      </c>
      <c r="CF314" s="8">
        <f>IF((0=1),(CF34*CF34),"")</f>
      </c>
      <c r="CG314" s="8">
        <f>IF((0=1),(CG34*CG34),"")</f>
      </c>
      <c r="CH314" s="8">
        <f>IF((0=1),(CH34*CH34),"")</f>
      </c>
      <c r="CI314" s="8">
        <f>IF((0=1),(CI34*CI34),"")</f>
      </c>
      <c r="CJ314" s="8">
        <f>IF((0=1),(CJ34*CJ34),"")</f>
      </c>
      <c r="CK314" s="8">
        <f>IF((0=1),(CK34*CK34),"")</f>
      </c>
      <c r="CL314" s="8">
        <f>IF((0=1),(CL34*CL34),"")</f>
      </c>
      <c r="CM314" s="8">
        <f>IF((0=1),(CM34*CM34),"")</f>
      </c>
      <c r="CN314" s="8">
        <f>IF((0=1),(CN34*CN34),"")</f>
      </c>
      <c r="CO314" s="8">
        <f>IF((0=1),(CO34*CO34),"")</f>
      </c>
      <c r="CP314" s="8">
        <f>IF((0=1),(CP34*CP34),"")</f>
      </c>
      <c r="CQ314" s="8">
        <f>IF((0=1),(CQ34*CQ34),"")</f>
      </c>
      <c r="CR314" s="8">
        <f>IF((0=1),(CR34*CR34),"")</f>
      </c>
      <c r="CS314" s="8">
        <f>IF((0=1),(CS34*CS34),"")</f>
      </c>
      <c r="CT314" s="8">
        <f>IF((0=1),(CT34*CT34),"")</f>
      </c>
      <c r="CU314" s="8">
        <f>IF((0=1),(CU34*CU34),"")</f>
      </c>
      <c r="CV314" s="8">
        <f>IF((0=1),(CV34*CV34),"")</f>
      </c>
      <c r="CW314" s="8">
        <f>IF((0=1),(CW34*CW34),"")</f>
      </c>
      <c r="CX314" s="8">
        <f>IF((0=1),(CX34*CX34),"")</f>
      </c>
    </row>
    <row r="315">
      <c r="A315" s="0" t="inlineStr">
        <is>
          <t xml:space="preserve">Squared excess</t>
        </is>
      </c>
      <c r="B315" s="0" t="inlineStr">
        <is>
          <t xml:space="preserve">Random 19</t>
        </is>
      </c>
      <c r="C315" s="8">
        <f>IF((1=1),(C35*C35),"")</f>
        <v>30.913599999999995</v>
      </c>
      <c r="D315" s="8">
        <f>IF((0=1),(D35*D35),"")</f>
      </c>
      <c r="E315" s="8">
        <f>IF((0=1),(E35*E35),"")</f>
      </c>
      <c r="F315" s="8">
        <f>IF((0=1),(F35*F35),"")</f>
      </c>
      <c r="G315" s="8">
        <f>IF((0=1),(G35*G35),"")</f>
      </c>
      <c r="H315" s="8">
        <f>IF((0=1),(H35*H35),"")</f>
      </c>
      <c r="I315" s="8">
        <f>IF((0=1),(I35*I35),"")</f>
      </c>
      <c r="J315" s="8">
        <f>IF((0=1),(J35*J35),"")</f>
      </c>
      <c r="K315" s="8">
        <f>IF((0=1),(K35*K35),"")</f>
      </c>
      <c r="L315" s="8">
        <f>IF((0=1),(L35*L35),"")</f>
      </c>
      <c r="M315" s="8">
        <f>IF((0=1),(M35*M35),"")</f>
      </c>
      <c r="N315" s="8">
        <f>IF((0=1),(N35*N35),"")</f>
      </c>
      <c r="O315" s="8">
        <f>IF((0=1),(O35*O35),"")</f>
      </c>
      <c r="P315" s="8">
        <f>IF((0=1),(P35*P35),"")</f>
      </c>
      <c r="Q315" s="8">
        <f>IF((0=1),(Q35*Q35),"")</f>
      </c>
      <c r="R315" s="8">
        <f>IF((0=1),(R35*R35),"")</f>
      </c>
      <c r="S315" s="8">
        <f>IF((0=1),(S35*S35),"")</f>
      </c>
      <c r="T315" s="8">
        <f>IF((0=1),(T35*T35),"")</f>
      </c>
      <c r="U315" s="8">
        <f>IF((0=1),(U35*U35),"")</f>
      </c>
      <c r="V315" s="8">
        <f>IF((0=1),(V35*V35),"")</f>
      </c>
      <c r="W315" s="8">
        <f>IF((0=1),(W35*W35),"")</f>
      </c>
      <c r="X315" s="8">
        <f>IF((0=1),(X35*X35),"")</f>
      </c>
      <c r="Y315" s="8">
        <f>IF((0=1),(Y35*Y35),"")</f>
      </c>
      <c r="Z315" s="8">
        <f>IF((0=1),(Z35*Z35),"")</f>
      </c>
      <c r="AA315" s="8">
        <f>IF((0=1),(AA35*AA35),"")</f>
      </c>
      <c r="AB315" s="8">
        <f>IF((0=1),(AB35*AB35),"")</f>
      </c>
      <c r="AC315" s="8">
        <f>IF((0=1),(AC35*AC35),"")</f>
      </c>
      <c r="AD315" s="8">
        <f>IF((0=1),(AD35*AD35),"")</f>
      </c>
      <c r="AE315" s="8">
        <f>IF((0=1),(AE35*AE35),"")</f>
      </c>
      <c r="AF315" s="8">
        <f>IF((0=1),(AF35*AF35),"")</f>
      </c>
      <c r="AG315" s="8">
        <f>IF((0=1),(AG35*AG35),"")</f>
      </c>
      <c r="AH315" s="8">
        <f>IF((0=1),(AH35*AH35),"")</f>
      </c>
      <c r="AI315" s="8">
        <f>IF((0=1),(AI35*AI35),"")</f>
      </c>
      <c r="AJ315" s="8">
        <f>IF((0=1),(AJ35*AJ35),"")</f>
      </c>
      <c r="AK315" s="8">
        <f>IF((0=1),(AK35*AK35),"")</f>
      </c>
      <c r="AL315" s="8">
        <f>IF((0=1),(AL35*AL35),"")</f>
      </c>
      <c r="AM315" s="8">
        <f>IF((0=1),(AM35*AM35),"")</f>
      </c>
      <c r="AN315" s="8">
        <f>IF((0=1),(AN35*AN35),"")</f>
      </c>
      <c r="AO315" s="8">
        <f>IF((0=1),(AO35*AO35),"")</f>
      </c>
      <c r="AP315" s="8">
        <f>IF((0=1),(AP35*AP35),"")</f>
      </c>
      <c r="AQ315" s="8">
        <f>IF((0=1),(AQ35*AQ35),"")</f>
      </c>
      <c r="AR315" s="8">
        <f>IF((0=1),(AR35*AR35),"")</f>
      </c>
      <c r="AS315" s="8">
        <f>IF((0=1),(AS35*AS35),"")</f>
      </c>
      <c r="AT315" s="8">
        <f>IF((0=1),(AT35*AT35),"")</f>
      </c>
      <c r="AU315" s="8">
        <f>IF((0=1),(AU35*AU35),"")</f>
      </c>
      <c r="AV315" s="8">
        <f>IF((0=1),(AV35*AV35),"")</f>
      </c>
      <c r="AW315" s="8">
        <f>IF((0=1),(AW35*AW35),"")</f>
      </c>
      <c r="AX315" s="8">
        <f>IF((0=1),(AX35*AX35),"")</f>
      </c>
      <c r="AY315" s="8">
        <f>IF((0=1),(AY35*AY35),"")</f>
      </c>
      <c r="AZ315" s="8">
        <f>IF((0=1),(AZ35*AZ35),"")</f>
      </c>
      <c r="BA315" s="8">
        <f>IF((0=1),(BA35*BA35),"")</f>
      </c>
      <c r="BB315" s="8">
        <f>IF((0=1),(BB35*BB35),"")</f>
      </c>
      <c r="BC315" s="8">
        <f>IF((0=1),(BC35*BC35),"")</f>
      </c>
      <c r="BD315" s="8">
        <f>IF((0=1),(BD35*BD35),"")</f>
      </c>
      <c r="BE315" s="8">
        <f>IF((0=1),(BE35*BE35),"")</f>
      </c>
      <c r="BF315" s="8">
        <f>IF((0=1),(BF35*BF35),"")</f>
      </c>
      <c r="BG315" s="8">
        <f>IF((0=1),(BG35*BG35),"")</f>
      </c>
      <c r="BH315" s="8">
        <f>IF((0=1),(BH35*BH35),"")</f>
      </c>
      <c r="BI315" s="8">
        <f>IF((0=1),(BI35*BI35),"")</f>
      </c>
      <c r="BJ315" s="8">
        <f>IF((0=1),(BJ35*BJ35),"")</f>
      </c>
      <c r="BK315" s="8">
        <f>IF((0=1),(BK35*BK35),"")</f>
      </c>
      <c r="BL315" s="8">
        <f>IF((0=1),(BL35*BL35),"")</f>
      </c>
      <c r="BM315" s="8">
        <f>IF((0=1),(BM35*BM35),"")</f>
      </c>
      <c r="BN315" s="8">
        <f>IF((0=1),(BN35*BN35),"")</f>
      </c>
      <c r="BO315" s="8">
        <f>IF((0=1),(BO35*BO35),"")</f>
      </c>
      <c r="BP315" s="8">
        <f>IF((0=1),(BP35*BP35),"")</f>
      </c>
      <c r="BQ315" s="8">
        <f>IF((0=1),(BQ35*BQ35),"")</f>
      </c>
      <c r="BR315" s="8">
        <f>IF((0=1),(BR35*BR35),"")</f>
      </c>
      <c r="BS315" s="8">
        <f>IF((0=1),(BS35*BS35),"")</f>
      </c>
      <c r="BT315" s="8">
        <f>IF((0=1),(BT35*BT35),"")</f>
      </c>
      <c r="BU315" s="8">
        <f>IF((0=1),(BU35*BU35),"")</f>
      </c>
      <c r="BV315" s="8">
        <f>IF((0=1),(BV35*BV35),"")</f>
      </c>
      <c r="BW315" s="8">
        <f>IF((0=1),(BW35*BW35),"")</f>
      </c>
      <c r="BX315" s="8">
        <f>IF((0=1),(BX35*BX35),"")</f>
      </c>
      <c r="BY315" s="8">
        <f>IF((0=1),(BY35*BY35),"")</f>
      </c>
      <c r="BZ315" s="8">
        <f>IF((0=1),(BZ35*BZ35),"")</f>
      </c>
      <c r="CA315" s="8">
        <f>IF((0=1),(CA35*CA35),"")</f>
      </c>
      <c r="CB315" s="8">
        <f>IF((0=1),(CB35*CB35),"")</f>
      </c>
      <c r="CC315" s="8">
        <f>IF((0=1),(CC35*CC35),"")</f>
      </c>
      <c r="CD315" s="8">
        <f>IF((0=1),(CD35*CD35),"")</f>
      </c>
      <c r="CE315" s="8">
        <f>IF((0=1),(CE35*CE35),"")</f>
      </c>
      <c r="CF315" s="8">
        <f>IF((0=1),(CF35*CF35),"")</f>
      </c>
      <c r="CG315" s="8">
        <f>IF((0=1),(CG35*CG35),"")</f>
      </c>
      <c r="CH315" s="8">
        <f>IF((0=1),(CH35*CH35),"")</f>
      </c>
      <c r="CI315" s="8">
        <f>IF((0=1),(CI35*CI35),"")</f>
      </c>
      <c r="CJ315" s="8">
        <f>IF((0=1),(CJ35*CJ35),"")</f>
      </c>
      <c r="CK315" s="8">
        <f>IF((0=1),(CK35*CK35),"")</f>
      </c>
      <c r="CL315" s="8">
        <f>IF((0=1),(CL35*CL35),"")</f>
      </c>
      <c r="CM315" s="8">
        <f>IF((0=1),(CM35*CM35),"")</f>
      </c>
      <c r="CN315" s="8">
        <f>IF((0=1),(CN35*CN35),"")</f>
      </c>
      <c r="CO315" s="8">
        <f>IF((0=1),(CO35*CO35),"")</f>
      </c>
      <c r="CP315" s="8">
        <f>IF((0=1),(CP35*CP35),"")</f>
      </c>
      <c r="CQ315" s="8">
        <f>IF((0=1),(CQ35*CQ35),"")</f>
      </c>
      <c r="CR315" s="8">
        <f>IF((0=1),(CR35*CR35),"")</f>
      </c>
      <c r="CS315" s="8">
        <f>IF((0=1),(CS35*CS35),"")</f>
      </c>
      <c r="CT315" s="8">
        <f>IF((0=1),(CT35*CT35),"")</f>
      </c>
      <c r="CU315" s="8">
        <f>IF((0=1),(CU35*CU35),"")</f>
      </c>
      <c r="CV315" s="8">
        <f>IF((0=1),(CV35*CV35),"")</f>
      </c>
      <c r="CW315" s="8">
        <f>IF((0=1),(CW35*CW35),"")</f>
      </c>
      <c r="CX315" s="8">
        <f>IF((0=1),(CX35*CX35),"")</f>
      </c>
    </row>
    <row r="316">
      <c r="A316" s="0" t="inlineStr">
        <is>
          <t xml:space="preserve">Squared excess</t>
        </is>
      </c>
      <c r="B316" s="0" t="inlineStr">
        <is>
          <t xml:space="preserve">Random 20</t>
        </is>
      </c>
      <c r="C316" s="8">
        <f>IF((1=1),(C36*C36),"")</f>
        <v>25.130169</v>
      </c>
      <c r="D316" s="8">
        <f>IF((0=1),(D36*D36),"")</f>
      </c>
      <c r="E316" s="8">
        <f>IF((0=1),(E36*E36),"")</f>
      </c>
      <c r="F316" s="8">
        <f>IF((0=1),(F36*F36),"")</f>
      </c>
      <c r="G316" s="8">
        <f>IF((0=1),(G36*G36),"")</f>
      </c>
      <c r="H316" s="8">
        <f>IF((0=1),(H36*H36),"")</f>
      </c>
      <c r="I316" s="8">
        <f>IF((0=1),(I36*I36),"")</f>
      </c>
      <c r="J316" s="8">
        <f>IF((0=1),(J36*J36),"")</f>
      </c>
      <c r="K316" s="8">
        <f>IF((0=1),(K36*K36),"")</f>
      </c>
      <c r="L316" s="8">
        <f>IF((0=1),(L36*L36),"")</f>
      </c>
      <c r="M316" s="8">
        <f>IF((0=1),(M36*M36),"")</f>
      </c>
      <c r="N316" s="8">
        <f>IF((0=1),(N36*N36),"")</f>
      </c>
      <c r="O316" s="8">
        <f>IF((0=1),(O36*O36),"")</f>
      </c>
      <c r="P316" s="8">
        <f>IF((0=1),(P36*P36),"")</f>
      </c>
      <c r="Q316" s="8">
        <f>IF((0=1),(Q36*Q36),"")</f>
      </c>
      <c r="R316" s="8">
        <f>IF((0=1),(R36*R36),"")</f>
      </c>
      <c r="S316" s="8">
        <f>IF((0=1),(S36*S36),"")</f>
      </c>
      <c r="T316" s="8">
        <f>IF((0=1),(T36*T36),"")</f>
      </c>
      <c r="U316" s="8">
        <f>IF((0=1),(U36*U36),"")</f>
      </c>
      <c r="V316" s="8">
        <f>IF((0=1),(V36*V36),"")</f>
      </c>
      <c r="W316" s="8">
        <f>IF((0=1),(W36*W36),"")</f>
      </c>
      <c r="X316" s="8">
        <f>IF((0=1),(X36*X36),"")</f>
      </c>
      <c r="Y316" s="8">
        <f>IF((0=1),(Y36*Y36),"")</f>
      </c>
      <c r="Z316" s="8">
        <f>IF((0=1),(Z36*Z36),"")</f>
      </c>
      <c r="AA316" s="8">
        <f>IF((0=1),(AA36*AA36),"")</f>
      </c>
      <c r="AB316" s="8">
        <f>IF((0=1),(AB36*AB36),"")</f>
      </c>
      <c r="AC316" s="8">
        <f>IF((0=1),(AC36*AC36),"")</f>
      </c>
      <c r="AD316" s="8">
        <f>IF((0=1),(AD36*AD36),"")</f>
      </c>
      <c r="AE316" s="8">
        <f>IF((0=1),(AE36*AE36),"")</f>
      </c>
      <c r="AF316" s="8">
        <f>IF((0=1),(AF36*AF36),"")</f>
      </c>
      <c r="AG316" s="8">
        <f>IF((0=1),(AG36*AG36),"")</f>
      </c>
      <c r="AH316" s="8">
        <f>IF((0=1),(AH36*AH36),"")</f>
      </c>
      <c r="AI316" s="8">
        <f>IF((0=1),(AI36*AI36),"")</f>
      </c>
      <c r="AJ316" s="8">
        <f>IF((0=1),(AJ36*AJ36),"")</f>
      </c>
      <c r="AK316" s="8">
        <f>IF((0=1),(AK36*AK36),"")</f>
      </c>
      <c r="AL316" s="8">
        <f>IF((0=1),(AL36*AL36),"")</f>
      </c>
      <c r="AM316" s="8">
        <f>IF((0=1),(AM36*AM36),"")</f>
      </c>
      <c r="AN316" s="8">
        <f>IF((0=1),(AN36*AN36),"")</f>
      </c>
      <c r="AO316" s="8">
        <f>IF((0=1),(AO36*AO36),"")</f>
      </c>
      <c r="AP316" s="8">
        <f>IF((0=1),(AP36*AP36),"")</f>
      </c>
      <c r="AQ316" s="8">
        <f>IF((0=1),(AQ36*AQ36),"")</f>
      </c>
      <c r="AR316" s="8">
        <f>IF((0=1),(AR36*AR36),"")</f>
      </c>
      <c r="AS316" s="8">
        <f>IF((0=1),(AS36*AS36),"")</f>
      </c>
      <c r="AT316" s="8">
        <f>IF((0=1),(AT36*AT36),"")</f>
      </c>
      <c r="AU316" s="8">
        <f>IF((0=1),(AU36*AU36),"")</f>
      </c>
      <c r="AV316" s="8">
        <f>IF((0=1),(AV36*AV36),"")</f>
      </c>
      <c r="AW316" s="8">
        <f>IF((0=1),(AW36*AW36),"")</f>
      </c>
      <c r="AX316" s="8">
        <f>IF((0=1),(AX36*AX36),"")</f>
      </c>
      <c r="AY316" s="8">
        <f>IF((0=1),(AY36*AY36),"")</f>
      </c>
      <c r="AZ316" s="8">
        <f>IF((0=1),(AZ36*AZ36),"")</f>
      </c>
      <c r="BA316" s="8">
        <f>IF((0=1),(BA36*BA36),"")</f>
      </c>
      <c r="BB316" s="8">
        <f>IF((0=1),(BB36*BB36),"")</f>
      </c>
      <c r="BC316" s="8">
        <f>IF((0=1),(BC36*BC36),"")</f>
      </c>
      <c r="BD316" s="8">
        <f>IF((0=1),(BD36*BD36),"")</f>
      </c>
      <c r="BE316" s="8">
        <f>IF((0=1),(BE36*BE36),"")</f>
      </c>
      <c r="BF316" s="8">
        <f>IF((0=1),(BF36*BF36),"")</f>
      </c>
      <c r="BG316" s="8">
        <f>IF((0=1),(BG36*BG36),"")</f>
      </c>
      <c r="BH316" s="8">
        <f>IF((0=1),(BH36*BH36),"")</f>
      </c>
      <c r="BI316" s="8">
        <f>IF((0=1),(BI36*BI36),"")</f>
      </c>
      <c r="BJ316" s="8">
        <f>IF((0=1),(BJ36*BJ36),"")</f>
      </c>
      <c r="BK316" s="8">
        <f>IF((0=1),(BK36*BK36),"")</f>
      </c>
      <c r="BL316" s="8">
        <f>IF((0=1),(BL36*BL36),"")</f>
      </c>
      <c r="BM316" s="8">
        <f>IF((0=1),(BM36*BM36),"")</f>
      </c>
      <c r="BN316" s="8">
        <f>IF((0=1),(BN36*BN36),"")</f>
      </c>
      <c r="BO316" s="8">
        <f>IF((0=1),(BO36*BO36),"")</f>
      </c>
      <c r="BP316" s="8">
        <f>IF((0=1),(BP36*BP36),"")</f>
      </c>
      <c r="BQ316" s="8">
        <f>IF((0=1),(BQ36*BQ36),"")</f>
      </c>
      <c r="BR316" s="8">
        <f>IF((0=1),(BR36*BR36),"")</f>
      </c>
      <c r="BS316" s="8">
        <f>IF((0=1),(BS36*BS36),"")</f>
      </c>
      <c r="BT316" s="8">
        <f>IF((0=1),(BT36*BT36),"")</f>
      </c>
      <c r="BU316" s="8">
        <f>IF((0=1),(BU36*BU36),"")</f>
      </c>
      <c r="BV316" s="8">
        <f>IF((0=1),(BV36*BV36),"")</f>
      </c>
      <c r="BW316" s="8">
        <f>IF((0=1),(BW36*BW36),"")</f>
      </c>
      <c r="BX316" s="8">
        <f>IF((0=1),(BX36*BX36),"")</f>
      </c>
      <c r="BY316" s="8">
        <f>IF((0=1),(BY36*BY36),"")</f>
      </c>
      <c r="BZ316" s="8">
        <f>IF((0=1),(BZ36*BZ36),"")</f>
      </c>
      <c r="CA316" s="8">
        <f>IF((0=1),(CA36*CA36),"")</f>
      </c>
      <c r="CB316" s="8">
        <f>IF((0=1),(CB36*CB36),"")</f>
      </c>
      <c r="CC316" s="8">
        <f>IF((0=1),(CC36*CC36),"")</f>
      </c>
      <c r="CD316" s="8">
        <f>IF((0=1),(CD36*CD36),"")</f>
      </c>
      <c r="CE316" s="8">
        <f>IF((0=1),(CE36*CE36),"")</f>
      </c>
      <c r="CF316" s="8">
        <f>IF((0=1),(CF36*CF36),"")</f>
      </c>
      <c r="CG316" s="8">
        <f>IF((0=1),(CG36*CG36),"")</f>
      </c>
      <c r="CH316" s="8">
        <f>IF((0=1),(CH36*CH36),"")</f>
      </c>
      <c r="CI316" s="8">
        <f>IF((0=1),(CI36*CI36),"")</f>
      </c>
      <c r="CJ316" s="8">
        <f>IF((0=1),(CJ36*CJ36),"")</f>
      </c>
      <c r="CK316" s="8">
        <f>IF((0=1),(CK36*CK36),"")</f>
      </c>
      <c r="CL316" s="8">
        <f>IF((0=1),(CL36*CL36),"")</f>
      </c>
      <c r="CM316" s="8">
        <f>IF((0=1),(CM36*CM36),"")</f>
      </c>
      <c r="CN316" s="8">
        <f>IF((0=1),(CN36*CN36),"")</f>
      </c>
      <c r="CO316" s="8">
        <f>IF((0=1),(CO36*CO36),"")</f>
      </c>
      <c r="CP316" s="8">
        <f>IF((0=1),(CP36*CP36),"")</f>
      </c>
      <c r="CQ316" s="8">
        <f>IF((0=1),(CQ36*CQ36),"")</f>
      </c>
      <c r="CR316" s="8">
        <f>IF((0=1),(CR36*CR36),"")</f>
      </c>
      <c r="CS316" s="8">
        <f>IF((0=1),(CS36*CS36),"")</f>
      </c>
      <c r="CT316" s="8">
        <f>IF((0=1),(CT36*CT36),"")</f>
      </c>
      <c r="CU316" s="8">
        <f>IF((0=1),(CU36*CU36),"")</f>
      </c>
      <c r="CV316" s="8">
        <f>IF((0=1),(CV36*CV36),"")</f>
      </c>
      <c r="CW316" s="8">
        <f>IF((0=1),(CW36*CW36),"")</f>
      </c>
      <c r="CX316" s="8">
        <f>IF((0=1),(CX36*CX36),"")</f>
      </c>
    </row>
    <row r="317">
      <c r="A317" s="0" t="inlineStr">
        <is>
          <t xml:space="preserve">Running mean of squares</t>
        </is>
      </c>
      <c r="B317" s="0" t="inlineStr">
        <is>
          <t xml:space="preserve">worst 100 by yesterday's close-to-close return</t>
        </is>
      </c>
      <c r="C317" s="8">
        <f>IF((1=1),(SUM(C282)/C212),"")</f>
        <v>186.431716</v>
      </c>
      <c r="D317" s="8">
        <f>IF((0=1),(SUM(C282:D282)/D212),"")</f>
      </c>
      <c r="E317" s="8">
        <f>IF((0=1),(SUM(C282:E282)/E212),"")</f>
      </c>
      <c r="F317" s="8">
        <f>IF((0=1),(SUM(C282:F282)/F212),"")</f>
      </c>
      <c r="G317" s="8">
        <f>IF((0=1),(SUM(C282:G282)/G212),"")</f>
      </c>
      <c r="H317" s="8">
        <f>IF((0=1),(SUM(C282:H282)/H212),"")</f>
      </c>
      <c r="I317" s="8">
        <f>IF((0=1),(SUM(C282:I282)/I212),"")</f>
      </c>
      <c r="J317" s="8">
        <f>IF((0=1),(SUM(C282:J282)/J212),"")</f>
      </c>
      <c r="K317" s="8">
        <f>IF((0=1),(SUM(C282:K282)/K212),"")</f>
      </c>
      <c r="L317" s="8">
        <f>IF((0=1),(SUM(C282:L282)/L212),"")</f>
      </c>
      <c r="M317" s="8">
        <f>IF((0=1),(SUM(C282:M282)/M212),"")</f>
      </c>
      <c r="N317" s="8">
        <f>IF((0=1),(SUM(C282:N282)/N212),"")</f>
      </c>
      <c r="O317" s="8">
        <f>IF((0=1),(SUM(C282:O282)/O212),"")</f>
      </c>
      <c r="P317" s="8">
        <f>IF((0=1),(SUM(C282:P282)/P212),"")</f>
      </c>
      <c r="Q317" s="8">
        <f>IF((0=1),(SUM(C282:Q282)/Q212),"")</f>
      </c>
      <c r="R317" s="8">
        <f>IF((0=1),(SUM(C282:R282)/R212),"")</f>
      </c>
      <c r="S317" s="8">
        <f>IF((0=1),(SUM(C282:S282)/S212),"")</f>
      </c>
      <c r="T317" s="8">
        <f>IF((0=1),(SUM(C282:T282)/T212),"")</f>
      </c>
      <c r="U317" s="8">
        <f>IF((0=1),(SUM(C282:U282)/U212),"")</f>
      </c>
      <c r="V317" s="8">
        <f>IF((0=1),(SUM(C282:V282)/V212),"")</f>
      </c>
      <c r="W317" s="8">
        <f>IF((0=1),(SUM(C282:W282)/W212),"")</f>
      </c>
      <c r="X317" s="8">
        <f>IF((0=1),(SUM(C282:X282)/X212),"")</f>
      </c>
      <c r="Y317" s="8">
        <f>IF((0=1),(SUM(C282:Y282)/Y212),"")</f>
      </c>
      <c r="Z317" s="8">
        <f>IF((0=1),(SUM(C282:Z282)/Z212),"")</f>
      </c>
      <c r="AA317" s="8">
        <f>IF((0=1),(SUM(C282:AA282)/AA212),"")</f>
      </c>
      <c r="AB317" s="8">
        <f>IF((0=1),(SUM(C282:AB282)/AB212),"")</f>
      </c>
      <c r="AC317" s="8">
        <f>IF((0=1),(SUM(C282:AC282)/AC212),"")</f>
      </c>
      <c r="AD317" s="8">
        <f>IF((0=1),(SUM(C282:AD282)/AD212),"")</f>
      </c>
      <c r="AE317" s="8">
        <f>IF((0=1),(SUM(C282:AE282)/AE212),"")</f>
      </c>
      <c r="AF317" s="8">
        <f>IF((0=1),(SUM(C282:AF282)/AF212),"")</f>
      </c>
      <c r="AG317" s="8">
        <f>IF((0=1),(SUM(C282:AG282)/AG212),"")</f>
      </c>
      <c r="AH317" s="8">
        <f>IF((0=1),(SUM(C282:AH282)/AH212),"")</f>
      </c>
      <c r="AI317" s="8">
        <f>IF((0=1),(SUM(C282:AI282)/AI212),"")</f>
      </c>
      <c r="AJ317" s="8">
        <f>IF((0=1),(SUM(C282:AJ282)/AJ212),"")</f>
      </c>
      <c r="AK317" s="8">
        <f>IF((0=1),(SUM(C282:AK282)/AK212),"")</f>
      </c>
      <c r="AL317" s="8">
        <f>IF((0=1),(SUM(C282:AL282)/AL212),"")</f>
      </c>
      <c r="AM317" s="8">
        <f>IF((0=1),(SUM(C282:AM282)/AM212),"")</f>
      </c>
      <c r="AN317" s="8">
        <f>IF((0=1),(SUM(C282:AN282)/AN212),"")</f>
      </c>
      <c r="AO317" s="8">
        <f>IF((0=1),(SUM(C282:AO282)/AO212),"")</f>
      </c>
      <c r="AP317" s="8">
        <f>IF((0=1),(SUM(C282:AP282)/AP212),"")</f>
      </c>
      <c r="AQ317" s="8">
        <f>IF((0=1),(SUM(C282:AQ282)/AQ212),"")</f>
      </c>
      <c r="AR317" s="8">
        <f>IF((0=1),(SUM(C282:AR282)/AR212),"")</f>
      </c>
      <c r="AS317" s="8">
        <f>IF((0=1),(SUM(C282:AS282)/AS212),"")</f>
      </c>
      <c r="AT317" s="8">
        <f>IF((0=1),(SUM(C282:AT282)/AT212),"")</f>
      </c>
      <c r="AU317" s="8">
        <f>IF((0=1),(SUM(C282:AU282)/AU212),"")</f>
      </c>
      <c r="AV317" s="8">
        <f>IF((0=1),(SUM(C282:AV282)/AV212),"")</f>
      </c>
      <c r="AW317" s="8">
        <f>IF((0=1),(SUM(C282:AW282)/AW212),"")</f>
      </c>
      <c r="AX317" s="8">
        <f>IF((0=1),(SUM(C282:AX282)/AX212),"")</f>
      </c>
      <c r="AY317" s="8">
        <f>IF((0=1),(SUM(C282:AY282)/AY212),"")</f>
      </c>
      <c r="AZ317" s="8">
        <f>IF((0=1),(SUM(C282:AZ282)/AZ212),"")</f>
      </c>
      <c r="BA317" s="8">
        <f>IF((0=1),(SUM(C282:BA282)/BA212),"")</f>
      </c>
      <c r="BB317" s="8">
        <f>IF((0=1),(SUM(C282:BB282)/BB212),"")</f>
      </c>
      <c r="BC317" s="8">
        <f>IF((0=1),(SUM(C282:BC282)/BC212),"")</f>
      </c>
      <c r="BD317" s="8">
        <f>IF((0=1),(SUM(C282:BD282)/BD212),"")</f>
      </c>
      <c r="BE317" s="8">
        <f>IF((0=1),(SUM(C282:BE282)/BE212),"")</f>
      </c>
      <c r="BF317" s="8">
        <f>IF((0=1),(SUM(C282:BF282)/BF212),"")</f>
      </c>
      <c r="BG317" s="8">
        <f>IF((0=1),(SUM(C282:BG282)/BG212),"")</f>
      </c>
      <c r="BH317" s="8">
        <f>IF((0=1),(SUM(C282:BH282)/BH212),"")</f>
      </c>
      <c r="BI317" s="8">
        <f>IF((0=1),(SUM(C282:BI282)/BI212),"")</f>
      </c>
      <c r="BJ317" s="8">
        <f>IF((0=1),(SUM(C282:BJ282)/BJ212),"")</f>
      </c>
      <c r="BK317" s="8">
        <f>IF((0=1),(SUM(C282:BK282)/BK212),"")</f>
      </c>
      <c r="BL317" s="8">
        <f>IF((0=1),(SUM(C282:BL282)/BL212),"")</f>
      </c>
      <c r="BM317" s="8">
        <f>IF((0=1),(SUM(C282:BM282)/BM212),"")</f>
      </c>
      <c r="BN317" s="8">
        <f>IF((0=1),(SUM(C282:BN282)/BN212),"")</f>
      </c>
      <c r="BO317" s="8">
        <f>IF((0=1),(SUM(C282:BO282)/BO212),"")</f>
      </c>
      <c r="BP317" s="8">
        <f>IF((0=1),(SUM(C282:BP282)/BP212),"")</f>
      </c>
      <c r="BQ317" s="8">
        <f>IF((0=1),(SUM(C282:BQ282)/BQ212),"")</f>
      </c>
      <c r="BR317" s="8">
        <f>IF((0=1),(SUM(C282:BR282)/BR212),"")</f>
      </c>
      <c r="BS317" s="8">
        <f>IF((0=1),(SUM(C282:BS282)/BS212),"")</f>
      </c>
      <c r="BT317" s="8">
        <f>IF((0=1),(SUM(C282:BT282)/BT212),"")</f>
      </c>
      <c r="BU317" s="8">
        <f>IF((0=1),(SUM(C282:BU282)/BU212),"")</f>
      </c>
      <c r="BV317" s="8">
        <f>IF((0=1),(SUM(C282:BV282)/BV212),"")</f>
      </c>
      <c r="BW317" s="8">
        <f>IF((0=1),(SUM(C282:BW282)/BW212),"")</f>
      </c>
      <c r="BX317" s="8">
        <f>IF((0=1),(SUM(C282:BX282)/BX212),"")</f>
      </c>
      <c r="BY317" s="8">
        <f>IF((0=1),(SUM(C282:BY282)/BY212),"")</f>
      </c>
      <c r="BZ317" s="8">
        <f>IF((0=1),(SUM(C282:BZ282)/BZ212),"")</f>
      </c>
      <c r="CA317" s="8">
        <f>IF((0=1),(SUM(C282:CA282)/CA212),"")</f>
      </c>
      <c r="CB317" s="8">
        <f>IF((0=1),(SUM(C282:CB282)/CB212),"")</f>
      </c>
      <c r="CC317" s="8">
        <f>IF((0=1),(SUM(C282:CC282)/CC212),"")</f>
      </c>
      <c r="CD317" s="8">
        <f>IF((0=1),(SUM(C282:CD282)/CD212),"")</f>
      </c>
      <c r="CE317" s="8">
        <f>IF((0=1),(SUM(C282:CE282)/CE212),"")</f>
      </c>
      <c r="CF317" s="8">
        <f>IF((0=1),(SUM(C282:CF282)/CF212),"")</f>
      </c>
      <c r="CG317" s="8">
        <f>IF((0=1),(SUM(C282:CG282)/CG212),"")</f>
      </c>
      <c r="CH317" s="8">
        <f>IF((0=1),(SUM(C282:CH282)/CH212),"")</f>
      </c>
      <c r="CI317" s="8">
        <f>IF((0=1),(SUM(C282:CI282)/CI212),"")</f>
      </c>
      <c r="CJ317" s="8">
        <f>IF((0=1),(SUM(C282:CJ282)/CJ212),"")</f>
      </c>
      <c r="CK317" s="8">
        <f>IF((0=1),(SUM(C282:CK282)/CK212),"")</f>
      </c>
      <c r="CL317" s="8">
        <f>IF((0=1),(SUM(C282:CL282)/CL212),"")</f>
      </c>
      <c r="CM317" s="8">
        <f>IF((0=1),(SUM(C282:CM282)/CM212),"")</f>
      </c>
      <c r="CN317" s="8">
        <f>IF((0=1),(SUM(C282:CN282)/CN212),"")</f>
      </c>
      <c r="CO317" s="8">
        <f>IF((0=1),(SUM(C282:CO282)/CO212),"")</f>
      </c>
      <c r="CP317" s="8">
        <f>IF((0=1),(SUM(C282:CP282)/CP212),"")</f>
      </c>
      <c r="CQ317" s="8">
        <f>IF((0=1),(SUM(C282:CQ282)/CQ212),"")</f>
      </c>
      <c r="CR317" s="8">
        <f>IF((0=1),(SUM(C282:CR282)/CR212),"")</f>
      </c>
      <c r="CS317" s="8">
        <f>IF((0=1),(SUM(C282:CS282)/CS212),"")</f>
      </c>
      <c r="CT317" s="8">
        <f>IF((0=1),(SUM(C282:CT282)/CT212),"")</f>
      </c>
      <c r="CU317" s="8">
        <f>IF((0=1),(SUM(C282:CU282)/CU212),"")</f>
      </c>
      <c r="CV317" s="8">
        <f>IF((0=1),(SUM(C282:CV282)/CV212),"")</f>
      </c>
      <c r="CW317" s="8">
        <f>IF((0=1),(SUM(C282:CW282)/CW212),"")</f>
      </c>
      <c r="CX317" s="8">
        <f>IF((0=1),(SUM(C282:CX282)/CX212),"")</f>
      </c>
    </row>
    <row r="318">
      <c r="A318" s="0" t="inlineStr">
        <is>
          <t xml:space="preserve">Running mean of squares</t>
        </is>
      </c>
      <c r="B318" s="0" t="inlineStr">
        <is>
          <t xml:space="preserve">lowest 100 by 60-day volatility</t>
        </is>
      </c>
      <c r="C318" s="8">
        <f>IF((1=1),(SUM(C283)/C213),"")</f>
        <v>159.971904</v>
      </c>
      <c r="D318" s="8">
        <f>IF((0=1),(SUM(C283:D283)/D213),"")</f>
      </c>
      <c r="E318" s="8">
        <f>IF((0=1),(SUM(C283:E283)/E213),"")</f>
      </c>
      <c r="F318" s="8">
        <f>IF((0=1),(SUM(C283:F283)/F213),"")</f>
      </c>
      <c r="G318" s="8">
        <f>IF((0=1),(SUM(C283:G283)/G213),"")</f>
      </c>
      <c r="H318" s="8">
        <f>IF((0=1),(SUM(C283:H283)/H213),"")</f>
      </c>
      <c r="I318" s="8">
        <f>IF((0=1),(SUM(C283:I283)/I213),"")</f>
      </c>
      <c r="J318" s="8">
        <f>IF((0=1),(SUM(C283:J283)/J213),"")</f>
      </c>
      <c r="K318" s="8">
        <f>IF((0=1),(SUM(C283:K283)/K213),"")</f>
      </c>
      <c r="L318" s="8">
        <f>IF((0=1),(SUM(C283:L283)/L213),"")</f>
      </c>
      <c r="M318" s="8">
        <f>IF((0=1),(SUM(C283:M283)/M213),"")</f>
      </c>
      <c r="N318" s="8">
        <f>IF((0=1),(SUM(C283:N283)/N213),"")</f>
      </c>
      <c r="O318" s="8">
        <f>IF((0=1),(SUM(C283:O283)/O213),"")</f>
      </c>
      <c r="P318" s="8">
        <f>IF((0=1),(SUM(C283:P283)/P213),"")</f>
      </c>
      <c r="Q318" s="8">
        <f>IF((0=1),(SUM(C283:Q283)/Q213),"")</f>
      </c>
      <c r="R318" s="8">
        <f>IF((0=1),(SUM(C283:R283)/R213),"")</f>
      </c>
      <c r="S318" s="8">
        <f>IF((0=1),(SUM(C283:S283)/S213),"")</f>
      </c>
      <c r="T318" s="8">
        <f>IF((0=1),(SUM(C283:T283)/T213),"")</f>
      </c>
      <c r="U318" s="8">
        <f>IF((0=1),(SUM(C283:U283)/U213),"")</f>
      </c>
      <c r="V318" s="8">
        <f>IF((0=1),(SUM(C283:V283)/V213),"")</f>
      </c>
      <c r="W318" s="8">
        <f>IF((0=1),(SUM(C283:W283)/W213),"")</f>
      </c>
      <c r="X318" s="8">
        <f>IF((0=1),(SUM(C283:X283)/X213),"")</f>
      </c>
      <c r="Y318" s="8">
        <f>IF((0=1),(SUM(C283:Y283)/Y213),"")</f>
      </c>
      <c r="Z318" s="8">
        <f>IF((0=1),(SUM(C283:Z283)/Z213),"")</f>
      </c>
      <c r="AA318" s="8">
        <f>IF((0=1),(SUM(C283:AA283)/AA213),"")</f>
      </c>
      <c r="AB318" s="8">
        <f>IF((0=1),(SUM(C283:AB283)/AB213),"")</f>
      </c>
      <c r="AC318" s="8">
        <f>IF((0=1),(SUM(C283:AC283)/AC213),"")</f>
      </c>
      <c r="AD318" s="8">
        <f>IF((0=1),(SUM(C283:AD283)/AD213),"")</f>
      </c>
      <c r="AE318" s="8">
        <f>IF((0=1),(SUM(C283:AE283)/AE213),"")</f>
      </c>
      <c r="AF318" s="8">
        <f>IF((0=1),(SUM(C283:AF283)/AF213),"")</f>
      </c>
      <c r="AG318" s="8">
        <f>IF((0=1),(SUM(C283:AG283)/AG213),"")</f>
      </c>
      <c r="AH318" s="8">
        <f>IF((0=1),(SUM(C283:AH283)/AH213),"")</f>
      </c>
      <c r="AI318" s="8">
        <f>IF((0=1),(SUM(C283:AI283)/AI213),"")</f>
      </c>
      <c r="AJ318" s="8">
        <f>IF((0=1),(SUM(C283:AJ283)/AJ213),"")</f>
      </c>
      <c r="AK318" s="8">
        <f>IF((0=1),(SUM(C283:AK283)/AK213),"")</f>
      </c>
      <c r="AL318" s="8">
        <f>IF((0=1),(SUM(C283:AL283)/AL213),"")</f>
      </c>
      <c r="AM318" s="8">
        <f>IF((0=1),(SUM(C283:AM283)/AM213),"")</f>
      </c>
      <c r="AN318" s="8">
        <f>IF((0=1),(SUM(C283:AN283)/AN213),"")</f>
      </c>
      <c r="AO318" s="8">
        <f>IF((0=1),(SUM(C283:AO283)/AO213),"")</f>
      </c>
      <c r="AP318" s="8">
        <f>IF((0=1),(SUM(C283:AP283)/AP213),"")</f>
      </c>
      <c r="AQ318" s="8">
        <f>IF((0=1),(SUM(C283:AQ283)/AQ213),"")</f>
      </c>
      <c r="AR318" s="8">
        <f>IF((0=1),(SUM(C283:AR283)/AR213),"")</f>
      </c>
      <c r="AS318" s="8">
        <f>IF((0=1),(SUM(C283:AS283)/AS213),"")</f>
      </c>
      <c r="AT318" s="8">
        <f>IF((0=1),(SUM(C283:AT283)/AT213),"")</f>
      </c>
      <c r="AU318" s="8">
        <f>IF((0=1),(SUM(C283:AU283)/AU213),"")</f>
      </c>
      <c r="AV318" s="8">
        <f>IF((0=1),(SUM(C283:AV283)/AV213),"")</f>
      </c>
      <c r="AW318" s="8">
        <f>IF((0=1),(SUM(C283:AW283)/AW213),"")</f>
      </c>
      <c r="AX318" s="8">
        <f>IF((0=1),(SUM(C283:AX283)/AX213),"")</f>
      </c>
      <c r="AY318" s="8">
        <f>IF((0=1),(SUM(C283:AY283)/AY213),"")</f>
      </c>
      <c r="AZ318" s="8">
        <f>IF((0=1),(SUM(C283:AZ283)/AZ213),"")</f>
      </c>
      <c r="BA318" s="8">
        <f>IF((0=1),(SUM(C283:BA283)/BA213),"")</f>
      </c>
      <c r="BB318" s="8">
        <f>IF((0=1),(SUM(C283:BB283)/BB213),"")</f>
      </c>
      <c r="BC318" s="8">
        <f>IF((0=1),(SUM(C283:BC283)/BC213),"")</f>
      </c>
      <c r="BD318" s="8">
        <f>IF((0=1),(SUM(C283:BD283)/BD213),"")</f>
      </c>
      <c r="BE318" s="8">
        <f>IF((0=1),(SUM(C283:BE283)/BE213),"")</f>
      </c>
      <c r="BF318" s="8">
        <f>IF((0=1),(SUM(C283:BF283)/BF213),"")</f>
      </c>
      <c r="BG318" s="8">
        <f>IF((0=1),(SUM(C283:BG283)/BG213),"")</f>
      </c>
      <c r="BH318" s="8">
        <f>IF((0=1),(SUM(C283:BH283)/BH213),"")</f>
      </c>
      <c r="BI318" s="8">
        <f>IF((0=1),(SUM(C283:BI283)/BI213),"")</f>
      </c>
      <c r="BJ318" s="8">
        <f>IF((0=1),(SUM(C283:BJ283)/BJ213),"")</f>
      </c>
      <c r="BK318" s="8">
        <f>IF((0=1),(SUM(C283:BK283)/BK213),"")</f>
      </c>
      <c r="BL318" s="8">
        <f>IF((0=1),(SUM(C283:BL283)/BL213),"")</f>
      </c>
      <c r="BM318" s="8">
        <f>IF((0=1),(SUM(C283:BM283)/BM213),"")</f>
      </c>
      <c r="BN318" s="8">
        <f>IF((0=1),(SUM(C283:BN283)/BN213),"")</f>
      </c>
      <c r="BO318" s="8">
        <f>IF((0=1),(SUM(C283:BO283)/BO213),"")</f>
      </c>
      <c r="BP318" s="8">
        <f>IF((0=1),(SUM(C283:BP283)/BP213),"")</f>
      </c>
      <c r="BQ318" s="8">
        <f>IF((0=1),(SUM(C283:BQ283)/BQ213),"")</f>
      </c>
      <c r="BR318" s="8">
        <f>IF((0=1),(SUM(C283:BR283)/BR213),"")</f>
      </c>
      <c r="BS318" s="8">
        <f>IF((0=1),(SUM(C283:BS283)/BS213),"")</f>
      </c>
      <c r="BT318" s="8">
        <f>IF((0=1),(SUM(C283:BT283)/BT213),"")</f>
      </c>
      <c r="BU318" s="8">
        <f>IF((0=1),(SUM(C283:BU283)/BU213),"")</f>
      </c>
      <c r="BV318" s="8">
        <f>IF((0=1),(SUM(C283:BV283)/BV213),"")</f>
      </c>
      <c r="BW318" s="8">
        <f>IF((0=1),(SUM(C283:BW283)/BW213),"")</f>
      </c>
      <c r="BX318" s="8">
        <f>IF((0=1),(SUM(C283:BX283)/BX213),"")</f>
      </c>
      <c r="BY318" s="8">
        <f>IF((0=1),(SUM(C283:BY283)/BY213),"")</f>
      </c>
      <c r="BZ318" s="8">
        <f>IF((0=1),(SUM(C283:BZ283)/BZ213),"")</f>
      </c>
      <c r="CA318" s="8">
        <f>IF((0=1),(SUM(C283:CA283)/CA213),"")</f>
      </c>
      <c r="CB318" s="8">
        <f>IF((0=1),(SUM(C283:CB283)/CB213),"")</f>
      </c>
      <c r="CC318" s="8">
        <f>IF((0=1),(SUM(C283:CC283)/CC213),"")</f>
      </c>
      <c r="CD318" s="8">
        <f>IF((0=1),(SUM(C283:CD283)/CD213),"")</f>
      </c>
      <c r="CE318" s="8">
        <f>IF((0=1),(SUM(C283:CE283)/CE213),"")</f>
      </c>
      <c r="CF318" s="8">
        <f>IF((0=1),(SUM(C283:CF283)/CF213),"")</f>
      </c>
      <c r="CG318" s="8">
        <f>IF((0=1),(SUM(C283:CG283)/CG213),"")</f>
      </c>
      <c r="CH318" s="8">
        <f>IF((0=1),(SUM(C283:CH283)/CH213),"")</f>
      </c>
      <c r="CI318" s="8">
        <f>IF((0=1),(SUM(C283:CI283)/CI213),"")</f>
      </c>
      <c r="CJ318" s="8">
        <f>IF((0=1),(SUM(C283:CJ283)/CJ213),"")</f>
      </c>
      <c r="CK318" s="8">
        <f>IF((0=1),(SUM(C283:CK283)/CK213),"")</f>
      </c>
      <c r="CL318" s="8">
        <f>IF((0=1),(SUM(C283:CL283)/CL213),"")</f>
      </c>
      <c r="CM318" s="8">
        <f>IF((0=1),(SUM(C283:CM283)/CM213),"")</f>
      </c>
      <c r="CN318" s="8">
        <f>IF((0=1),(SUM(C283:CN283)/CN213),"")</f>
      </c>
      <c r="CO318" s="8">
        <f>IF((0=1),(SUM(C283:CO283)/CO213),"")</f>
      </c>
      <c r="CP318" s="8">
        <f>IF((0=1),(SUM(C283:CP283)/CP213),"")</f>
      </c>
      <c r="CQ318" s="8">
        <f>IF((0=1),(SUM(C283:CQ283)/CQ213),"")</f>
      </c>
      <c r="CR318" s="8">
        <f>IF((0=1),(SUM(C283:CR283)/CR213),"")</f>
      </c>
      <c r="CS318" s="8">
        <f>IF((0=1),(SUM(C283:CS283)/CS213),"")</f>
      </c>
      <c r="CT318" s="8">
        <f>IF((0=1),(SUM(C283:CT283)/CT213),"")</f>
      </c>
      <c r="CU318" s="8">
        <f>IF((0=1),(SUM(C283:CU283)/CU213),"")</f>
      </c>
      <c r="CV318" s="8">
        <f>IF((0=1),(SUM(C283:CV283)/CV213),"")</f>
      </c>
      <c r="CW318" s="8">
        <f>IF((0=1),(SUM(C283:CW283)/CW213),"")</f>
      </c>
      <c r="CX318" s="8">
        <f>IF((0=1),(SUM(C283:CX283)/CX213),"")</f>
      </c>
    </row>
    <row r="319">
      <c r="A319" s="0" t="inlineStr">
        <is>
          <t xml:space="preserve">Running mean of squares</t>
        </is>
      </c>
      <c r="B319" s="0" t="inlineStr">
        <is>
          <t xml:space="preserve">largest 100 by market cap</t>
        </is>
      </c>
      <c r="C319" s="8">
        <f>IF((1=1),(SUM(C284)/C214),"")</f>
        <v>22.572001000000004</v>
      </c>
      <c r="D319" s="8">
        <f>IF((0=1),(SUM(C284:D284)/D214),"")</f>
      </c>
      <c r="E319" s="8">
        <f>IF((0=1),(SUM(C284:E284)/E214),"")</f>
      </c>
      <c r="F319" s="8">
        <f>IF((0=1),(SUM(C284:F284)/F214),"")</f>
      </c>
      <c r="G319" s="8">
        <f>IF((0=1),(SUM(C284:G284)/G214),"")</f>
      </c>
      <c r="H319" s="8">
        <f>IF((0=1),(SUM(C284:H284)/H214),"")</f>
      </c>
      <c r="I319" s="8">
        <f>IF((0=1),(SUM(C284:I284)/I214),"")</f>
      </c>
      <c r="J319" s="8">
        <f>IF((0=1),(SUM(C284:J284)/J214),"")</f>
      </c>
      <c r="K319" s="8">
        <f>IF((0=1),(SUM(C284:K284)/K214),"")</f>
      </c>
      <c r="L319" s="8">
        <f>IF((0=1),(SUM(C284:L284)/L214),"")</f>
      </c>
      <c r="M319" s="8">
        <f>IF((0=1),(SUM(C284:M284)/M214),"")</f>
      </c>
      <c r="N319" s="8">
        <f>IF((0=1),(SUM(C284:N284)/N214),"")</f>
      </c>
      <c r="O319" s="8">
        <f>IF((0=1),(SUM(C284:O284)/O214),"")</f>
      </c>
      <c r="P319" s="8">
        <f>IF((0=1),(SUM(C284:P284)/P214),"")</f>
      </c>
      <c r="Q319" s="8">
        <f>IF((0=1),(SUM(C284:Q284)/Q214),"")</f>
      </c>
      <c r="R319" s="8">
        <f>IF((0=1),(SUM(C284:R284)/R214),"")</f>
      </c>
      <c r="S319" s="8">
        <f>IF((0=1),(SUM(C284:S284)/S214),"")</f>
      </c>
      <c r="T319" s="8">
        <f>IF((0=1),(SUM(C284:T284)/T214),"")</f>
      </c>
      <c r="U319" s="8">
        <f>IF((0=1),(SUM(C284:U284)/U214),"")</f>
      </c>
      <c r="V319" s="8">
        <f>IF((0=1),(SUM(C284:V284)/V214),"")</f>
      </c>
      <c r="W319" s="8">
        <f>IF((0=1),(SUM(C284:W284)/W214),"")</f>
      </c>
      <c r="X319" s="8">
        <f>IF((0=1),(SUM(C284:X284)/X214),"")</f>
      </c>
      <c r="Y319" s="8">
        <f>IF((0=1),(SUM(C284:Y284)/Y214),"")</f>
      </c>
      <c r="Z319" s="8">
        <f>IF((0=1),(SUM(C284:Z284)/Z214),"")</f>
      </c>
      <c r="AA319" s="8">
        <f>IF((0=1),(SUM(C284:AA284)/AA214),"")</f>
      </c>
      <c r="AB319" s="8">
        <f>IF((0=1),(SUM(C284:AB284)/AB214),"")</f>
      </c>
      <c r="AC319" s="8">
        <f>IF((0=1),(SUM(C284:AC284)/AC214),"")</f>
      </c>
      <c r="AD319" s="8">
        <f>IF((0=1),(SUM(C284:AD284)/AD214),"")</f>
      </c>
      <c r="AE319" s="8">
        <f>IF((0=1),(SUM(C284:AE284)/AE214),"")</f>
      </c>
      <c r="AF319" s="8">
        <f>IF((0=1),(SUM(C284:AF284)/AF214),"")</f>
      </c>
      <c r="AG319" s="8">
        <f>IF((0=1),(SUM(C284:AG284)/AG214),"")</f>
      </c>
      <c r="AH319" s="8">
        <f>IF((0=1),(SUM(C284:AH284)/AH214),"")</f>
      </c>
      <c r="AI319" s="8">
        <f>IF((0=1),(SUM(C284:AI284)/AI214),"")</f>
      </c>
      <c r="AJ319" s="8">
        <f>IF((0=1),(SUM(C284:AJ284)/AJ214),"")</f>
      </c>
      <c r="AK319" s="8">
        <f>IF((0=1),(SUM(C284:AK284)/AK214),"")</f>
      </c>
      <c r="AL319" s="8">
        <f>IF((0=1),(SUM(C284:AL284)/AL214),"")</f>
      </c>
      <c r="AM319" s="8">
        <f>IF((0=1),(SUM(C284:AM284)/AM214),"")</f>
      </c>
      <c r="AN319" s="8">
        <f>IF((0=1),(SUM(C284:AN284)/AN214),"")</f>
      </c>
      <c r="AO319" s="8">
        <f>IF((0=1),(SUM(C284:AO284)/AO214),"")</f>
      </c>
      <c r="AP319" s="8">
        <f>IF((0=1),(SUM(C284:AP284)/AP214),"")</f>
      </c>
      <c r="AQ319" s="8">
        <f>IF((0=1),(SUM(C284:AQ284)/AQ214),"")</f>
      </c>
      <c r="AR319" s="8">
        <f>IF((0=1),(SUM(C284:AR284)/AR214),"")</f>
      </c>
      <c r="AS319" s="8">
        <f>IF((0=1),(SUM(C284:AS284)/AS214),"")</f>
      </c>
      <c r="AT319" s="8">
        <f>IF((0=1),(SUM(C284:AT284)/AT214),"")</f>
      </c>
      <c r="AU319" s="8">
        <f>IF((0=1),(SUM(C284:AU284)/AU214),"")</f>
      </c>
      <c r="AV319" s="8">
        <f>IF((0=1),(SUM(C284:AV284)/AV214),"")</f>
      </c>
      <c r="AW319" s="8">
        <f>IF((0=1),(SUM(C284:AW284)/AW214),"")</f>
      </c>
      <c r="AX319" s="8">
        <f>IF((0=1),(SUM(C284:AX284)/AX214),"")</f>
      </c>
      <c r="AY319" s="8">
        <f>IF((0=1),(SUM(C284:AY284)/AY214),"")</f>
      </c>
      <c r="AZ319" s="8">
        <f>IF((0=1),(SUM(C284:AZ284)/AZ214),"")</f>
      </c>
      <c r="BA319" s="8">
        <f>IF((0=1),(SUM(C284:BA284)/BA214),"")</f>
      </c>
      <c r="BB319" s="8">
        <f>IF((0=1),(SUM(C284:BB284)/BB214),"")</f>
      </c>
      <c r="BC319" s="8">
        <f>IF((0=1),(SUM(C284:BC284)/BC214),"")</f>
      </c>
      <c r="BD319" s="8">
        <f>IF((0=1),(SUM(C284:BD284)/BD214),"")</f>
      </c>
      <c r="BE319" s="8">
        <f>IF((0=1),(SUM(C284:BE284)/BE214),"")</f>
      </c>
      <c r="BF319" s="8">
        <f>IF((0=1),(SUM(C284:BF284)/BF214),"")</f>
      </c>
      <c r="BG319" s="8">
        <f>IF((0=1),(SUM(C284:BG284)/BG214),"")</f>
      </c>
      <c r="BH319" s="8">
        <f>IF((0=1),(SUM(C284:BH284)/BH214),"")</f>
      </c>
      <c r="BI319" s="8">
        <f>IF((0=1),(SUM(C284:BI284)/BI214),"")</f>
      </c>
      <c r="BJ319" s="8">
        <f>IF((0=1),(SUM(C284:BJ284)/BJ214),"")</f>
      </c>
      <c r="BK319" s="8">
        <f>IF((0=1),(SUM(C284:BK284)/BK214),"")</f>
      </c>
      <c r="BL319" s="8">
        <f>IF((0=1),(SUM(C284:BL284)/BL214),"")</f>
      </c>
      <c r="BM319" s="8">
        <f>IF((0=1),(SUM(C284:BM284)/BM214),"")</f>
      </c>
      <c r="BN319" s="8">
        <f>IF((0=1),(SUM(C284:BN284)/BN214),"")</f>
      </c>
      <c r="BO319" s="8">
        <f>IF((0=1),(SUM(C284:BO284)/BO214),"")</f>
      </c>
      <c r="BP319" s="8">
        <f>IF((0=1),(SUM(C284:BP284)/BP214),"")</f>
      </c>
      <c r="BQ319" s="8">
        <f>IF((0=1),(SUM(C284:BQ284)/BQ214),"")</f>
      </c>
      <c r="BR319" s="8">
        <f>IF((0=1),(SUM(C284:BR284)/BR214),"")</f>
      </c>
      <c r="BS319" s="8">
        <f>IF((0=1),(SUM(C284:BS284)/BS214),"")</f>
      </c>
      <c r="BT319" s="8">
        <f>IF((0=1),(SUM(C284:BT284)/BT214),"")</f>
      </c>
      <c r="BU319" s="8">
        <f>IF((0=1),(SUM(C284:BU284)/BU214),"")</f>
      </c>
      <c r="BV319" s="8">
        <f>IF((0=1),(SUM(C284:BV284)/BV214),"")</f>
      </c>
      <c r="BW319" s="8">
        <f>IF((0=1),(SUM(C284:BW284)/BW214),"")</f>
      </c>
      <c r="BX319" s="8">
        <f>IF((0=1),(SUM(C284:BX284)/BX214),"")</f>
      </c>
      <c r="BY319" s="8">
        <f>IF((0=1),(SUM(C284:BY284)/BY214),"")</f>
      </c>
      <c r="BZ319" s="8">
        <f>IF((0=1),(SUM(C284:BZ284)/BZ214),"")</f>
      </c>
      <c r="CA319" s="8">
        <f>IF((0=1),(SUM(C284:CA284)/CA214),"")</f>
      </c>
      <c r="CB319" s="8">
        <f>IF((0=1),(SUM(C284:CB284)/CB214),"")</f>
      </c>
      <c r="CC319" s="8">
        <f>IF((0=1),(SUM(C284:CC284)/CC214),"")</f>
      </c>
      <c r="CD319" s="8">
        <f>IF((0=1),(SUM(C284:CD284)/CD214),"")</f>
      </c>
      <c r="CE319" s="8">
        <f>IF((0=1),(SUM(C284:CE284)/CE214),"")</f>
      </c>
      <c r="CF319" s="8">
        <f>IF((0=1),(SUM(C284:CF284)/CF214),"")</f>
      </c>
      <c r="CG319" s="8">
        <f>IF((0=1),(SUM(C284:CG284)/CG214),"")</f>
      </c>
      <c r="CH319" s="8">
        <f>IF((0=1),(SUM(C284:CH284)/CH214),"")</f>
      </c>
      <c r="CI319" s="8">
        <f>IF((0=1),(SUM(C284:CI284)/CI214),"")</f>
      </c>
      <c r="CJ319" s="8">
        <f>IF((0=1),(SUM(C284:CJ284)/CJ214),"")</f>
      </c>
      <c r="CK319" s="8">
        <f>IF((0=1),(SUM(C284:CK284)/CK214),"")</f>
      </c>
      <c r="CL319" s="8">
        <f>IF((0=1),(SUM(C284:CL284)/CL214),"")</f>
      </c>
      <c r="CM319" s="8">
        <f>IF((0=1),(SUM(C284:CM284)/CM214),"")</f>
      </c>
      <c r="CN319" s="8">
        <f>IF((0=1),(SUM(C284:CN284)/CN214),"")</f>
      </c>
      <c r="CO319" s="8">
        <f>IF((0=1),(SUM(C284:CO284)/CO214),"")</f>
      </c>
      <c r="CP319" s="8">
        <f>IF((0=1),(SUM(C284:CP284)/CP214),"")</f>
      </c>
      <c r="CQ319" s="8">
        <f>IF((0=1),(SUM(C284:CQ284)/CQ214),"")</f>
      </c>
      <c r="CR319" s="8">
        <f>IF((0=1),(SUM(C284:CR284)/CR214),"")</f>
      </c>
      <c r="CS319" s="8">
        <f>IF((0=1),(SUM(C284:CS284)/CS214),"")</f>
      </c>
      <c r="CT319" s="8">
        <f>IF((0=1),(SUM(C284:CT284)/CT214),"")</f>
      </c>
      <c r="CU319" s="8">
        <f>IF((0=1),(SUM(C284:CU284)/CU214),"")</f>
      </c>
      <c r="CV319" s="8">
        <f>IF((0=1),(SUM(C284:CV284)/CV214),"")</f>
      </c>
      <c r="CW319" s="8">
        <f>IF((0=1),(SUM(C284:CW284)/CW214),"")</f>
      </c>
      <c r="CX319" s="8">
        <f>IF((0=1),(SUM(C284:CX284)/CX214),"")</f>
      </c>
    </row>
    <row r="320">
      <c r="A320" s="0" t="inlineStr">
        <is>
          <t xml:space="preserve">Running mean of squares</t>
        </is>
      </c>
      <c r="B320" s="0" t="inlineStr">
        <is>
          <t xml:space="preserve">top 100 by 12-1 month return</t>
        </is>
      </c>
      <c r="C320" s="8">
        <f>IF((1=1),(SUM(C285)/C215),"")</f>
        <v>553.755024</v>
      </c>
      <c r="D320" s="8">
        <f>IF((0=1),(SUM(C285:D285)/D215),"")</f>
      </c>
      <c r="E320" s="8">
        <f>IF((0=1),(SUM(C285:E285)/E215),"")</f>
      </c>
      <c r="F320" s="8">
        <f>IF((0=1),(SUM(C285:F285)/F215),"")</f>
      </c>
      <c r="G320" s="8">
        <f>IF((0=1),(SUM(C285:G285)/G215),"")</f>
      </c>
      <c r="H320" s="8">
        <f>IF((0=1),(SUM(C285:H285)/H215),"")</f>
      </c>
      <c r="I320" s="8">
        <f>IF((0=1),(SUM(C285:I285)/I215),"")</f>
      </c>
      <c r="J320" s="8">
        <f>IF((0=1),(SUM(C285:J285)/J215),"")</f>
      </c>
      <c r="K320" s="8">
        <f>IF((0=1),(SUM(C285:K285)/K215),"")</f>
      </c>
      <c r="L320" s="8">
        <f>IF((0=1),(SUM(C285:L285)/L215),"")</f>
      </c>
      <c r="M320" s="8">
        <f>IF((0=1),(SUM(C285:M285)/M215),"")</f>
      </c>
      <c r="N320" s="8">
        <f>IF((0=1),(SUM(C285:N285)/N215),"")</f>
      </c>
      <c r="O320" s="8">
        <f>IF((0=1),(SUM(C285:O285)/O215),"")</f>
      </c>
      <c r="P320" s="8">
        <f>IF((0=1),(SUM(C285:P285)/P215),"")</f>
      </c>
      <c r="Q320" s="8">
        <f>IF((0=1),(SUM(C285:Q285)/Q215),"")</f>
      </c>
      <c r="R320" s="8">
        <f>IF((0=1),(SUM(C285:R285)/R215),"")</f>
      </c>
      <c r="S320" s="8">
        <f>IF((0=1),(SUM(C285:S285)/S215),"")</f>
      </c>
      <c r="T320" s="8">
        <f>IF((0=1),(SUM(C285:T285)/T215),"")</f>
      </c>
      <c r="U320" s="8">
        <f>IF((0=1),(SUM(C285:U285)/U215),"")</f>
      </c>
      <c r="V320" s="8">
        <f>IF((0=1),(SUM(C285:V285)/V215),"")</f>
      </c>
      <c r="W320" s="8">
        <f>IF((0=1),(SUM(C285:W285)/W215),"")</f>
      </c>
      <c r="X320" s="8">
        <f>IF((0=1),(SUM(C285:X285)/X215),"")</f>
      </c>
      <c r="Y320" s="8">
        <f>IF((0=1),(SUM(C285:Y285)/Y215),"")</f>
      </c>
      <c r="Z320" s="8">
        <f>IF((0=1),(SUM(C285:Z285)/Z215),"")</f>
      </c>
      <c r="AA320" s="8">
        <f>IF((0=1),(SUM(C285:AA285)/AA215),"")</f>
      </c>
      <c r="AB320" s="8">
        <f>IF((0=1),(SUM(C285:AB285)/AB215),"")</f>
      </c>
      <c r="AC320" s="8">
        <f>IF((0=1),(SUM(C285:AC285)/AC215),"")</f>
      </c>
      <c r="AD320" s="8">
        <f>IF((0=1),(SUM(C285:AD285)/AD215),"")</f>
      </c>
      <c r="AE320" s="8">
        <f>IF((0=1),(SUM(C285:AE285)/AE215),"")</f>
      </c>
      <c r="AF320" s="8">
        <f>IF((0=1),(SUM(C285:AF285)/AF215),"")</f>
      </c>
      <c r="AG320" s="8">
        <f>IF((0=1),(SUM(C285:AG285)/AG215),"")</f>
      </c>
      <c r="AH320" s="8">
        <f>IF((0=1),(SUM(C285:AH285)/AH215),"")</f>
      </c>
      <c r="AI320" s="8">
        <f>IF((0=1),(SUM(C285:AI285)/AI215),"")</f>
      </c>
      <c r="AJ320" s="8">
        <f>IF((0=1),(SUM(C285:AJ285)/AJ215),"")</f>
      </c>
      <c r="AK320" s="8">
        <f>IF((0=1),(SUM(C285:AK285)/AK215),"")</f>
      </c>
      <c r="AL320" s="8">
        <f>IF((0=1),(SUM(C285:AL285)/AL215),"")</f>
      </c>
      <c r="AM320" s="8">
        <f>IF((0=1),(SUM(C285:AM285)/AM215),"")</f>
      </c>
      <c r="AN320" s="8">
        <f>IF((0=1),(SUM(C285:AN285)/AN215),"")</f>
      </c>
      <c r="AO320" s="8">
        <f>IF((0=1),(SUM(C285:AO285)/AO215),"")</f>
      </c>
      <c r="AP320" s="8">
        <f>IF((0=1),(SUM(C285:AP285)/AP215),"")</f>
      </c>
      <c r="AQ320" s="8">
        <f>IF((0=1),(SUM(C285:AQ285)/AQ215),"")</f>
      </c>
      <c r="AR320" s="8">
        <f>IF((0=1),(SUM(C285:AR285)/AR215),"")</f>
      </c>
      <c r="AS320" s="8">
        <f>IF((0=1),(SUM(C285:AS285)/AS215),"")</f>
      </c>
      <c r="AT320" s="8">
        <f>IF((0=1),(SUM(C285:AT285)/AT215),"")</f>
      </c>
      <c r="AU320" s="8">
        <f>IF((0=1),(SUM(C285:AU285)/AU215),"")</f>
      </c>
      <c r="AV320" s="8">
        <f>IF((0=1),(SUM(C285:AV285)/AV215),"")</f>
      </c>
      <c r="AW320" s="8">
        <f>IF((0=1),(SUM(C285:AW285)/AW215),"")</f>
      </c>
      <c r="AX320" s="8">
        <f>IF((0=1),(SUM(C285:AX285)/AX215),"")</f>
      </c>
      <c r="AY320" s="8">
        <f>IF((0=1),(SUM(C285:AY285)/AY215),"")</f>
      </c>
      <c r="AZ320" s="8">
        <f>IF((0=1),(SUM(C285:AZ285)/AZ215),"")</f>
      </c>
      <c r="BA320" s="8">
        <f>IF((0=1),(SUM(C285:BA285)/BA215),"")</f>
      </c>
      <c r="BB320" s="8">
        <f>IF((0=1),(SUM(C285:BB285)/BB215),"")</f>
      </c>
      <c r="BC320" s="8">
        <f>IF((0=1),(SUM(C285:BC285)/BC215),"")</f>
      </c>
      <c r="BD320" s="8">
        <f>IF((0=1),(SUM(C285:BD285)/BD215),"")</f>
      </c>
      <c r="BE320" s="8">
        <f>IF((0=1),(SUM(C285:BE285)/BE215),"")</f>
      </c>
      <c r="BF320" s="8">
        <f>IF((0=1),(SUM(C285:BF285)/BF215),"")</f>
      </c>
      <c r="BG320" s="8">
        <f>IF((0=1),(SUM(C285:BG285)/BG215),"")</f>
      </c>
      <c r="BH320" s="8">
        <f>IF((0=1),(SUM(C285:BH285)/BH215),"")</f>
      </c>
      <c r="BI320" s="8">
        <f>IF((0=1),(SUM(C285:BI285)/BI215),"")</f>
      </c>
      <c r="BJ320" s="8">
        <f>IF((0=1),(SUM(C285:BJ285)/BJ215),"")</f>
      </c>
      <c r="BK320" s="8">
        <f>IF((0=1),(SUM(C285:BK285)/BK215),"")</f>
      </c>
      <c r="BL320" s="8">
        <f>IF((0=1),(SUM(C285:BL285)/BL215),"")</f>
      </c>
      <c r="BM320" s="8">
        <f>IF((0=1),(SUM(C285:BM285)/BM215),"")</f>
      </c>
      <c r="BN320" s="8">
        <f>IF((0=1),(SUM(C285:BN285)/BN215),"")</f>
      </c>
      <c r="BO320" s="8">
        <f>IF((0=1),(SUM(C285:BO285)/BO215),"")</f>
      </c>
      <c r="BP320" s="8">
        <f>IF((0=1),(SUM(C285:BP285)/BP215),"")</f>
      </c>
      <c r="BQ320" s="8">
        <f>IF((0=1),(SUM(C285:BQ285)/BQ215),"")</f>
      </c>
      <c r="BR320" s="8">
        <f>IF((0=1),(SUM(C285:BR285)/BR215),"")</f>
      </c>
      <c r="BS320" s="8">
        <f>IF((0=1),(SUM(C285:BS285)/BS215),"")</f>
      </c>
      <c r="BT320" s="8">
        <f>IF((0=1),(SUM(C285:BT285)/BT215),"")</f>
      </c>
      <c r="BU320" s="8">
        <f>IF((0=1),(SUM(C285:BU285)/BU215),"")</f>
      </c>
      <c r="BV320" s="8">
        <f>IF((0=1),(SUM(C285:BV285)/BV215),"")</f>
      </c>
      <c r="BW320" s="8">
        <f>IF((0=1),(SUM(C285:BW285)/BW215),"")</f>
      </c>
      <c r="BX320" s="8">
        <f>IF((0=1),(SUM(C285:BX285)/BX215),"")</f>
      </c>
      <c r="BY320" s="8">
        <f>IF((0=1),(SUM(C285:BY285)/BY215),"")</f>
      </c>
      <c r="BZ320" s="8">
        <f>IF((0=1),(SUM(C285:BZ285)/BZ215),"")</f>
      </c>
      <c r="CA320" s="8">
        <f>IF((0=1),(SUM(C285:CA285)/CA215),"")</f>
      </c>
      <c r="CB320" s="8">
        <f>IF((0=1),(SUM(C285:CB285)/CB215),"")</f>
      </c>
      <c r="CC320" s="8">
        <f>IF((0=1),(SUM(C285:CC285)/CC215),"")</f>
      </c>
      <c r="CD320" s="8">
        <f>IF((0=1),(SUM(C285:CD285)/CD215),"")</f>
      </c>
      <c r="CE320" s="8">
        <f>IF((0=1),(SUM(C285:CE285)/CE215),"")</f>
      </c>
      <c r="CF320" s="8">
        <f>IF((0=1),(SUM(C285:CF285)/CF215),"")</f>
      </c>
      <c r="CG320" s="8">
        <f>IF((0=1),(SUM(C285:CG285)/CG215),"")</f>
      </c>
      <c r="CH320" s="8">
        <f>IF((0=1),(SUM(C285:CH285)/CH215),"")</f>
      </c>
      <c r="CI320" s="8">
        <f>IF((0=1),(SUM(C285:CI285)/CI215),"")</f>
      </c>
      <c r="CJ320" s="8">
        <f>IF((0=1),(SUM(C285:CJ285)/CJ215),"")</f>
      </c>
      <c r="CK320" s="8">
        <f>IF((0=1),(SUM(C285:CK285)/CK215),"")</f>
      </c>
      <c r="CL320" s="8">
        <f>IF((0=1),(SUM(C285:CL285)/CL215),"")</f>
      </c>
      <c r="CM320" s="8">
        <f>IF((0=1),(SUM(C285:CM285)/CM215),"")</f>
      </c>
      <c r="CN320" s="8">
        <f>IF((0=1),(SUM(C285:CN285)/CN215),"")</f>
      </c>
      <c r="CO320" s="8">
        <f>IF((0=1),(SUM(C285:CO285)/CO215),"")</f>
      </c>
      <c r="CP320" s="8">
        <f>IF((0=1),(SUM(C285:CP285)/CP215),"")</f>
      </c>
      <c r="CQ320" s="8">
        <f>IF((0=1),(SUM(C285:CQ285)/CQ215),"")</f>
      </c>
      <c r="CR320" s="8">
        <f>IF((0=1),(SUM(C285:CR285)/CR215),"")</f>
      </c>
      <c r="CS320" s="8">
        <f>IF((0=1),(SUM(C285:CS285)/CS215),"")</f>
      </c>
      <c r="CT320" s="8">
        <f>IF((0=1),(SUM(C285:CT285)/CT215),"")</f>
      </c>
      <c r="CU320" s="8">
        <f>IF((0=1),(SUM(C285:CU285)/CU215),"")</f>
      </c>
      <c r="CV320" s="8">
        <f>IF((0=1),(SUM(C285:CV285)/CV215),"")</f>
      </c>
      <c r="CW320" s="8">
        <f>IF((0=1),(SUM(C285:CW285)/CW215),"")</f>
      </c>
      <c r="CX320" s="8">
        <f>IF((0=1),(SUM(C285:CX285)/CX215),"")</f>
      </c>
    </row>
    <row r="321">
      <c r="A321" s="0" t="inlineStr">
        <is>
          <t xml:space="preserve">Running mean of squares</t>
        </is>
      </c>
      <c r="B321" s="0" t="inlineStr">
        <is>
          <t xml:space="preserve">best 100 by yesterday's close-to-close return</t>
        </is>
      </c>
      <c r="C321" s="8">
        <f>IF((1=1),(SUM(C286)/C216),"")</f>
        <v>209.17836899999998</v>
      </c>
      <c r="D321" s="8">
        <f>IF((0=1),(SUM(C286:D286)/D216),"")</f>
      </c>
      <c r="E321" s="8">
        <f>IF((0=1),(SUM(C286:E286)/E216),"")</f>
      </c>
      <c r="F321" s="8">
        <f>IF((0=1),(SUM(C286:F286)/F216),"")</f>
      </c>
      <c r="G321" s="8">
        <f>IF((0=1),(SUM(C286:G286)/G216),"")</f>
      </c>
      <c r="H321" s="8">
        <f>IF((0=1),(SUM(C286:H286)/H216),"")</f>
      </c>
      <c r="I321" s="8">
        <f>IF((0=1),(SUM(C286:I286)/I216),"")</f>
      </c>
      <c r="J321" s="8">
        <f>IF((0=1),(SUM(C286:J286)/J216),"")</f>
      </c>
      <c r="K321" s="8">
        <f>IF((0=1),(SUM(C286:K286)/K216),"")</f>
      </c>
      <c r="L321" s="8">
        <f>IF((0=1),(SUM(C286:L286)/L216),"")</f>
      </c>
      <c r="M321" s="8">
        <f>IF((0=1),(SUM(C286:M286)/M216),"")</f>
      </c>
      <c r="N321" s="8">
        <f>IF((0=1),(SUM(C286:N286)/N216),"")</f>
      </c>
      <c r="O321" s="8">
        <f>IF((0=1),(SUM(C286:O286)/O216),"")</f>
      </c>
      <c r="P321" s="8">
        <f>IF((0=1),(SUM(C286:P286)/P216),"")</f>
      </c>
      <c r="Q321" s="8">
        <f>IF((0=1),(SUM(C286:Q286)/Q216),"")</f>
      </c>
      <c r="R321" s="8">
        <f>IF((0=1),(SUM(C286:R286)/R216),"")</f>
      </c>
      <c r="S321" s="8">
        <f>IF((0=1),(SUM(C286:S286)/S216),"")</f>
      </c>
      <c r="T321" s="8">
        <f>IF((0=1),(SUM(C286:T286)/T216),"")</f>
      </c>
      <c r="U321" s="8">
        <f>IF((0=1),(SUM(C286:U286)/U216),"")</f>
      </c>
      <c r="V321" s="8">
        <f>IF((0=1),(SUM(C286:V286)/V216),"")</f>
      </c>
      <c r="W321" s="8">
        <f>IF((0=1),(SUM(C286:W286)/W216),"")</f>
      </c>
      <c r="X321" s="8">
        <f>IF((0=1),(SUM(C286:X286)/X216),"")</f>
      </c>
      <c r="Y321" s="8">
        <f>IF((0=1),(SUM(C286:Y286)/Y216),"")</f>
      </c>
      <c r="Z321" s="8">
        <f>IF((0=1),(SUM(C286:Z286)/Z216),"")</f>
      </c>
      <c r="AA321" s="8">
        <f>IF((0=1),(SUM(C286:AA286)/AA216),"")</f>
      </c>
      <c r="AB321" s="8">
        <f>IF((0=1),(SUM(C286:AB286)/AB216),"")</f>
      </c>
      <c r="AC321" s="8">
        <f>IF((0=1),(SUM(C286:AC286)/AC216),"")</f>
      </c>
      <c r="AD321" s="8">
        <f>IF((0=1),(SUM(C286:AD286)/AD216),"")</f>
      </c>
      <c r="AE321" s="8">
        <f>IF((0=1),(SUM(C286:AE286)/AE216),"")</f>
      </c>
      <c r="AF321" s="8">
        <f>IF((0=1),(SUM(C286:AF286)/AF216),"")</f>
      </c>
      <c r="AG321" s="8">
        <f>IF((0=1),(SUM(C286:AG286)/AG216),"")</f>
      </c>
      <c r="AH321" s="8">
        <f>IF((0=1),(SUM(C286:AH286)/AH216),"")</f>
      </c>
      <c r="AI321" s="8">
        <f>IF((0=1),(SUM(C286:AI286)/AI216),"")</f>
      </c>
      <c r="AJ321" s="8">
        <f>IF((0=1),(SUM(C286:AJ286)/AJ216),"")</f>
      </c>
      <c r="AK321" s="8">
        <f>IF((0=1),(SUM(C286:AK286)/AK216),"")</f>
      </c>
      <c r="AL321" s="8">
        <f>IF((0=1),(SUM(C286:AL286)/AL216),"")</f>
      </c>
      <c r="AM321" s="8">
        <f>IF((0=1),(SUM(C286:AM286)/AM216),"")</f>
      </c>
      <c r="AN321" s="8">
        <f>IF((0=1),(SUM(C286:AN286)/AN216),"")</f>
      </c>
      <c r="AO321" s="8">
        <f>IF((0=1),(SUM(C286:AO286)/AO216),"")</f>
      </c>
      <c r="AP321" s="8">
        <f>IF((0=1),(SUM(C286:AP286)/AP216),"")</f>
      </c>
      <c r="AQ321" s="8">
        <f>IF((0=1),(SUM(C286:AQ286)/AQ216),"")</f>
      </c>
      <c r="AR321" s="8">
        <f>IF((0=1),(SUM(C286:AR286)/AR216),"")</f>
      </c>
      <c r="AS321" s="8">
        <f>IF((0=1),(SUM(C286:AS286)/AS216),"")</f>
      </c>
      <c r="AT321" s="8">
        <f>IF((0=1),(SUM(C286:AT286)/AT216),"")</f>
      </c>
      <c r="AU321" s="8">
        <f>IF((0=1),(SUM(C286:AU286)/AU216),"")</f>
      </c>
      <c r="AV321" s="8">
        <f>IF((0=1),(SUM(C286:AV286)/AV216),"")</f>
      </c>
      <c r="AW321" s="8">
        <f>IF((0=1),(SUM(C286:AW286)/AW216),"")</f>
      </c>
      <c r="AX321" s="8">
        <f>IF((0=1),(SUM(C286:AX286)/AX216),"")</f>
      </c>
      <c r="AY321" s="8">
        <f>IF((0=1),(SUM(C286:AY286)/AY216),"")</f>
      </c>
      <c r="AZ321" s="8">
        <f>IF((0=1),(SUM(C286:AZ286)/AZ216),"")</f>
      </c>
      <c r="BA321" s="8">
        <f>IF((0=1),(SUM(C286:BA286)/BA216),"")</f>
      </c>
      <c r="BB321" s="8">
        <f>IF((0=1),(SUM(C286:BB286)/BB216),"")</f>
      </c>
      <c r="BC321" s="8">
        <f>IF((0=1),(SUM(C286:BC286)/BC216),"")</f>
      </c>
      <c r="BD321" s="8">
        <f>IF((0=1),(SUM(C286:BD286)/BD216),"")</f>
      </c>
      <c r="BE321" s="8">
        <f>IF((0=1),(SUM(C286:BE286)/BE216),"")</f>
      </c>
      <c r="BF321" s="8">
        <f>IF((0=1),(SUM(C286:BF286)/BF216),"")</f>
      </c>
      <c r="BG321" s="8">
        <f>IF((0=1),(SUM(C286:BG286)/BG216),"")</f>
      </c>
      <c r="BH321" s="8">
        <f>IF((0=1),(SUM(C286:BH286)/BH216),"")</f>
      </c>
      <c r="BI321" s="8">
        <f>IF((0=1),(SUM(C286:BI286)/BI216),"")</f>
      </c>
      <c r="BJ321" s="8">
        <f>IF((0=1),(SUM(C286:BJ286)/BJ216),"")</f>
      </c>
      <c r="BK321" s="8">
        <f>IF((0=1),(SUM(C286:BK286)/BK216),"")</f>
      </c>
      <c r="BL321" s="8">
        <f>IF((0=1),(SUM(C286:BL286)/BL216),"")</f>
      </c>
      <c r="BM321" s="8">
        <f>IF((0=1),(SUM(C286:BM286)/BM216),"")</f>
      </c>
      <c r="BN321" s="8">
        <f>IF((0=1),(SUM(C286:BN286)/BN216),"")</f>
      </c>
      <c r="BO321" s="8">
        <f>IF((0=1),(SUM(C286:BO286)/BO216),"")</f>
      </c>
      <c r="BP321" s="8">
        <f>IF((0=1),(SUM(C286:BP286)/BP216),"")</f>
      </c>
      <c r="BQ321" s="8">
        <f>IF((0=1),(SUM(C286:BQ286)/BQ216),"")</f>
      </c>
      <c r="BR321" s="8">
        <f>IF((0=1),(SUM(C286:BR286)/BR216),"")</f>
      </c>
      <c r="BS321" s="8">
        <f>IF((0=1),(SUM(C286:BS286)/BS216),"")</f>
      </c>
      <c r="BT321" s="8">
        <f>IF((0=1),(SUM(C286:BT286)/BT216),"")</f>
      </c>
      <c r="BU321" s="8">
        <f>IF((0=1),(SUM(C286:BU286)/BU216),"")</f>
      </c>
      <c r="BV321" s="8">
        <f>IF((0=1),(SUM(C286:BV286)/BV216),"")</f>
      </c>
      <c r="BW321" s="8">
        <f>IF((0=1),(SUM(C286:BW286)/BW216),"")</f>
      </c>
      <c r="BX321" s="8">
        <f>IF((0=1),(SUM(C286:BX286)/BX216),"")</f>
      </c>
      <c r="BY321" s="8">
        <f>IF((0=1),(SUM(C286:BY286)/BY216),"")</f>
      </c>
      <c r="BZ321" s="8">
        <f>IF((0=1),(SUM(C286:BZ286)/BZ216),"")</f>
      </c>
      <c r="CA321" s="8">
        <f>IF((0=1),(SUM(C286:CA286)/CA216),"")</f>
      </c>
      <c r="CB321" s="8">
        <f>IF((0=1),(SUM(C286:CB286)/CB216),"")</f>
      </c>
      <c r="CC321" s="8">
        <f>IF((0=1),(SUM(C286:CC286)/CC216),"")</f>
      </c>
      <c r="CD321" s="8">
        <f>IF((0=1),(SUM(C286:CD286)/CD216),"")</f>
      </c>
      <c r="CE321" s="8">
        <f>IF((0=1),(SUM(C286:CE286)/CE216),"")</f>
      </c>
      <c r="CF321" s="8">
        <f>IF((0=1),(SUM(C286:CF286)/CF216),"")</f>
      </c>
      <c r="CG321" s="8">
        <f>IF((0=1),(SUM(C286:CG286)/CG216),"")</f>
      </c>
      <c r="CH321" s="8">
        <f>IF((0=1),(SUM(C286:CH286)/CH216),"")</f>
      </c>
      <c r="CI321" s="8">
        <f>IF((0=1),(SUM(C286:CI286)/CI216),"")</f>
      </c>
      <c r="CJ321" s="8">
        <f>IF((0=1),(SUM(C286:CJ286)/CJ216),"")</f>
      </c>
      <c r="CK321" s="8">
        <f>IF((0=1),(SUM(C286:CK286)/CK216),"")</f>
      </c>
      <c r="CL321" s="8">
        <f>IF((0=1),(SUM(C286:CL286)/CL216),"")</f>
      </c>
      <c r="CM321" s="8">
        <f>IF((0=1),(SUM(C286:CM286)/CM216),"")</f>
      </c>
      <c r="CN321" s="8">
        <f>IF((0=1),(SUM(C286:CN286)/CN216),"")</f>
      </c>
      <c r="CO321" s="8">
        <f>IF((0=1),(SUM(C286:CO286)/CO216),"")</f>
      </c>
      <c r="CP321" s="8">
        <f>IF((0=1),(SUM(C286:CP286)/CP216),"")</f>
      </c>
      <c r="CQ321" s="8">
        <f>IF((0=1),(SUM(C286:CQ286)/CQ216),"")</f>
      </c>
      <c r="CR321" s="8">
        <f>IF((0=1),(SUM(C286:CR286)/CR216),"")</f>
      </c>
      <c r="CS321" s="8">
        <f>IF((0=1),(SUM(C286:CS286)/CS216),"")</f>
      </c>
      <c r="CT321" s="8">
        <f>IF((0=1),(SUM(C286:CT286)/CT216),"")</f>
      </c>
      <c r="CU321" s="8">
        <f>IF((0=1),(SUM(C286:CU286)/CU216),"")</f>
      </c>
      <c r="CV321" s="8">
        <f>IF((0=1),(SUM(C286:CV286)/CV216),"")</f>
      </c>
      <c r="CW321" s="8">
        <f>IF((0=1),(SUM(C286:CW286)/CW216),"")</f>
      </c>
      <c r="CX321" s="8">
        <f>IF((0=1),(SUM(C286:CX286)/CX216),"")</f>
      </c>
    </row>
    <row r="322">
      <c r="A322" s="0" t="inlineStr">
        <is>
          <t xml:space="preserve">Running mean of squares</t>
        </is>
      </c>
      <c r="B322" s="0" t="inlineStr">
        <is>
          <t xml:space="preserve">Retail Attention Overnight</t>
        </is>
      </c>
      <c r="C322" s="8">
        <f>IF((1=1),(SUM(C287)/C217),"")</f>
        <v>382.5935999999999</v>
      </c>
      <c r="D322" s="8">
        <f>IF((0=1),(SUM(C287:D287)/D217),"")</f>
      </c>
      <c r="E322" s="8">
        <f>IF((0=1),(SUM(C287:E287)/E217),"")</f>
      </c>
      <c r="F322" s="8">
        <f>IF((0=1),(SUM(C287:F287)/F217),"")</f>
      </c>
      <c r="G322" s="8">
        <f>IF((0=1),(SUM(C287:G287)/G217),"")</f>
      </c>
      <c r="H322" s="8">
        <f>IF((0=1),(SUM(C287:H287)/H217),"")</f>
      </c>
      <c r="I322" s="8">
        <f>IF((0=1),(SUM(C287:I287)/I217),"")</f>
      </c>
      <c r="J322" s="8">
        <f>IF((0=1),(SUM(C287:J287)/J217),"")</f>
      </c>
      <c r="K322" s="8">
        <f>IF((0=1),(SUM(C287:K287)/K217),"")</f>
      </c>
      <c r="L322" s="8">
        <f>IF((0=1),(SUM(C287:L287)/L217),"")</f>
      </c>
      <c r="M322" s="8">
        <f>IF((0=1),(SUM(C287:M287)/M217),"")</f>
      </c>
      <c r="N322" s="8">
        <f>IF((0=1),(SUM(C287:N287)/N217),"")</f>
      </c>
      <c r="O322" s="8">
        <f>IF((0=1),(SUM(C287:O287)/O217),"")</f>
      </c>
      <c r="P322" s="8">
        <f>IF((0=1),(SUM(C287:P287)/P217),"")</f>
      </c>
      <c r="Q322" s="8">
        <f>IF((0=1),(SUM(C287:Q287)/Q217),"")</f>
      </c>
      <c r="R322" s="8">
        <f>IF((0=1),(SUM(C287:R287)/R217),"")</f>
      </c>
      <c r="S322" s="8">
        <f>IF((0=1),(SUM(C287:S287)/S217),"")</f>
      </c>
      <c r="T322" s="8">
        <f>IF((0=1),(SUM(C287:T287)/T217),"")</f>
      </c>
      <c r="U322" s="8">
        <f>IF((0=1),(SUM(C287:U287)/U217),"")</f>
      </c>
      <c r="V322" s="8">
        <f>IF((0=1),(SUM(C287:V287)/V217),"")</f>
      </c>
      <c r="W322" s="8">
        <f>IF((0=1),(SUM(C287:W287)/W217),"")</f>
      </c>
      <c r="X322" s="8">
        <f>IF((0=1),(SUM(C287:X287)/X217),"")</f>
      </c>
      <c r="Y322" s="8">
        <f>IF((0=1),(SUM(C287:Y287)/Y217),"")</f>
      </c>
      <c r="Z322" s="8">
        <f>IF((0=1),(SUM(C287:Z287)/Z217),"")</f>
      </c>
      <c r="AA322" s="8">
        <f>IF((0=1),(SUM(C287:AA287)/AA217),"")</f>
      </c>
      <c r="AB322" s="8">
        <f>IF((0=1),(SUM(C287:AB287)/AB217),"")</f>
      </c>
      <c r="AC322" s="8">
        <f>IF((0=1),(SUM(C287:AC287)/AC217),"")</f>
      </c>
      <c r="AD322" s="8">
        <f>IF((0=1),(SUM(C287:AD287)/AD217),"")</f>
      </c>
      <c r="AE322" s="8">
        <f>IF((0=1),(SUM(C287:AE287)/AE217),"")</f>
      </c>
      <c r="AF322" s="8">
        <f>IF((0=1),(SUM(C287:AF287)/AF217),"")</f>
      </c>
      <c r="AG322" s="8">
        <f>IF((0=1),(SUM(C287:AG287)/AG217),"")</f>
      </c>
      <c r="AH322" s="8">
        <f>IF((0=1),(SUM(C287:AH287)/AH217),"")</f>
      </c>
      <c r="AI322" s="8">
        <f>IF((0=1),(SUM(C287:AI287)/AI217),"")</f>
      </c>
      <c r="AJ322" s="8">
        <f>IF((0=1),(SUM(C287:AJ287)/AJ217),"")</f>
      </c>
      <c r="AK322" s="8">
        <f>IF((0=1),(SUM(C287:AK287)/AK217),"")</f>
      </c>
      <c r="AL322" s="8">
        <f>IF((0=1),(SUM(C287:AL287)/AL217),"")</f>
      </c>
      <c r="AM322" s="8">
        <f>IF((0=1),(SUM(C287:AM287)/AM217),"")</f>
      </c>
      <c r="AN322" s="8">
        <f>IF((0=1),(SUM(C287:AN287)/AN217),"")</f>
      </c>
      <c r="AO322" s="8">
        <f>IF((0=1),(SUM(C287:AO287)/AO217),"")</f>
      </c>
      <c r="AP322" s="8">
        <f>IF((0=1),(SUM(C287:AP287)/AP217),"")</f>
      </c>
      <c r="AQ322" s="8">
        <f>IF((0=1),(SUM(C287:AQ287)/AQ217),"")</f>
      </c>
      <c r="AR322" s="8">
        <f>IF((0=1),(SUM(C287:AR287)/AR217),"")</f>
      </c>
      <c r="AS322" s="8">
        <f>IF((0=1),(SUM(C287:AS287)/AS217),"")</f>
      </c>
      <c r="AT322" s="8">
        <f>IF((0=1),(SUM(C287:AT287)/AT217),"")</f>
      </c>
      <c r="AU322" s="8">
        <f>IF((0=1),(SUM(C287:AU287)/AU217),"")</f>
      </c>
      <c r="AV322" s="8">
        <f>IF((0=1),(SUM(C287:AV287)/AV217),"")</f>
      </c>
      <c r="AW322" s="8">
        <f>IF((0=1),(SUM(C287:AW287)/AW217),"")</f>
      </c>
      <c r="AX322" s="8">
        <f>IF((0=1),(SUM(C287:AX287)/AX217),"")</f>
      </c>
      <c r="AY322" s="8">
        <f>IF((0=1),(SUM(C287:AY287)/AY217),"")</f>
      </c>
      <c r="AZ322" s="8">
        <f>IF((0=1),(SUM(C287:AZ287)/AZ217),"")</f>
      </c>
      <c r="BA322" s="8">
        <f>IF((0=1),(SUM(C287:BA287)/BA217),"")</f>
      </c>
      <c r="BB322" s="8">
        <f>IF((0=1),(SUM(C287:BB287)/BB217),"")</f>
      </c>
      <c r="BC322" s="8">
        <f>IF((0=1),(SUM(C287:BC287)/BC217),"")</f>
      </c>
      <c r="BD322" s="8">
        <f>IF((0=1),(SUM(C287:BD287)/BD217),"")</f>
      </c>
      <c r="BE322" s="8">
        <f>IF((0=1),(SUM(C287:BE287)/BE217),"")</f>
      </c>
      <c r="BF322" s="8">
        <f>IF((0=1),(SUM(C287:BF287)/BF217),"")</f>
      </c>
      <c r="BG322" s="8">
        <f>IF((0=1),(SUM(C287:BG287)/BG217),"")</f>
      </c>
      <c r="BH322" s="8">
        <f>IF((0=1),(SUM(C287:BH287)/BH217),"")</f>
      </c>
      <c r="BI322" s="8">
        <f>IF((0=1),(SUM(C287:BI287)/BI217),"")</f>
      </c>
      <c r="BJ322" s="8">
        <f>IF((0=1),(SUM(C287:BJ287)/BJ217),"")</f>
      </c>
      <c r="BK322" s="8">
        <f>IF((0=1),(SUM(C287:BK287)/BK217),"")</f>
      </c>
      <c r="BL322" s="8">
        <f>IF((0=1),(SUM(C287:BL287)/BL217),"")</f>
      </c>
      <c r="BM322" s="8">
        <f>IF((0=1),(SUM(C287:BM287)/BM217),"")</f>
      </c>
      <c r="BN322" s="8">
        <f>IF((0=1),(SUM(C287:BN287)/BN217),"")</f>
      </c>
      <c r="BO322" s="8">
        <f>IF((0=1),(SUM(C287:BO287)/BO217),"")</f>
      </c>
      <c r="BP322" s="8">
        <f>IF((0=1),(SUM(C287:BP287)/BP217),"")</f>
      </c>
      <c r="BQ322" s="8">
        <f>IF((0=1),(SUM(C287:BQ287)/BQ217),"")</f>
      </c>
      <c r="BR322" s="8">
        <f>IF((0=1),(SUM(C287:BR287)/BR217),"")</f>
      </c>
      <c r="BS322" s="8">
        <f>IF((0=1),(SUM(C287:BS287)/BS217),"")</f>
      </c>
      <c r="BT322" s="8">
        <f>IF((0=1),(SUM(C287:BT287)/BT217),"")</f>
      </c>
      <c r="BU322" s="8">
        <f>IF((0=1),(SUM(C287:BU287)/BU217),"")</f>
      </c>
      <c r="BV322" s="8">
        <f>IF((0=1),(SUM(C287:BV287)/BV217),"")</f>
      </c>
      <c r="BW322" s="8">
        <f>IF((0=1),(SUM(C287:BW287)/BW217),"")</f>
      </c>
      <c r="BX322" s="8">
        <f>IF((0=1),(SUM(C287:BX287)/BX217),"")</f>
      </c>
      <c r="BY322" s="8">
        <f>IF((0=1),(SUM(C287:BY287)/BY217),"")</f>
      </c>
      <c r="BZ322" s="8">
        <f>IF((0=1),(SUM(C287:BZ287)/BZ217),"")</f>
      </c>
      <c r="CA322" s="8">
        <f>IF((0=1),(SUM(C287:CA287)/CA217),"")</f>
      </c>
      <c r="CB322" s="8">
        <f>IF((0=1),(SUM(C287:CB287)/CB217),"")</f>
      </c>
      <c r="CC322" s="8">
        <f>IF((0=1),(SUM(C287:CC287)/CC217),"")</f>
      </c>
      <c r="CD322" s="8">
        <f>IF((0=1),(SUM(C287:CD287)/CD217),"")</f>
      </c>
      <c r="CE322" s="8">
        <f>IF((0=1),(SUM(C287:CE287)/CE217),"")</f>
      </c>
      <c r="CF322" s="8">
        <f>IF((0=1),(SUM(C287:CF287)/CF217),"")</f>
      </c>
      <c r="CG322" s="8">
        <f>IF((0=1),(SUM(C287:CG287)/CG217),"")</f>
      </c>
      <c r="CH322" s="8">
        <f>IF((0=1),(SUM(C287:CH287)/CH217),"")</f>
      </c>
      <c r="CI322" s="8">
        <f>IF((0=1),(SUM(C287:CI287)/CI217),"")</f>
      </c>
      <c r="CJ322" s="8">
        <f>IF((0=1),(SUM(C287:CJ287)/CJ217),"")</f>
      </c>
      <c r="CK322" s="8">
        <f>IF((0=1),(SUM(C287:CK287)/CK217),"")</f>
      </c>
      <c r="CL322" s="8">
        <f>IF((0=1),(SUM(C287:CL287)/CL217),"")</f>
      </c>
      <c r="CM322" s="8">
        <f>IF((0=1),(SUM(C287:CM287)/CM217),"")</f>
      </c>
      <c r="CN322" s="8">
        <f>IF((0=1),(SUM(C287:CN287)/CN217),"")</f>
      </c>
      <c r="CO322" s="8">
        <f>IF((0=1),(SUM(C287:CO287)/CO217),"")</f>
      </c>
      <c r="CP322" s="8">
        <f>IF((0=1),(SUM(C287:CP287)/CP217),"")</f>
      </c>
      <c r="CQ322" s="8">
        <f>IF((0=1),(SUM(C287:CQ287)/CQ217),"")</f>
      </c>
      <c r="CR322" s="8">
        <f>IF((0=1),(SUM(C287:CR287)/CR217),"")</f>
      </c>
      <c r="CS322" s="8">
        <f>IF((0=1),(SUM(C287:CS287)/CS217),"")</f>
      </c>
      <c r="CT322" s="8">
        <f>IF((0=1),(SUM(C287:CT287)/CT217),"")</f>
      </c>
      <c r="CU322" s="8">
        <f>IF((0=1),(SUM(C287:CU287)/CU217),"")</f>
      </c>
      <c r="CV322" s="8">
        <f>IF((0=1),(SUM(C287:CV287)/CV217),"")</f>
      </c>
      <c r="CW322" s="8">
        <f>IF((0=1),(SUM(C287:CW287)/CW217),"")</f>
      </c>
      <c r="CX322" s="8">
        <f>IF((0=1),(SUM(C287:CX287)/CX217),"")</f>
      </c>
    </row>
    <row r="323">
      <c r="A323" s="0" t="inlineStr">
        <is>
          <t xml:space="preserve">Running mean of squares</t>
        </is>
      </c>
      <c r="B323" s="0" t="inlineStr">
        <is>
          <t xml:space="preserve">Post-Earnings Drift, Overnight Leg</t>
        </is>
      </c>
      <c r="C323" s="8">
        <f>IF((1=1),(SUM(C288)/C218),"")</f>
        <v>136.983616</v>
      </c>
      <c r="D323" s="8">
        <f>IF((0=1),(SUM(C288:D288)/D218),"")</f>
      </c>
      <c r="E323" s="8">
        <f>IF((0=1),(SUM(C288:E288)/E218),"")</f>
      </c>
      <c r="F323" s="8">
        <f>IF((0=1),(SUM(C288:F288)/F218),"")</f>
      </c>
      <c r="G323" s="8">
        <f>IF((0=1),(SUM(C288:G288)/G218),"")</f>
      </c>
      <c r="H323" s="8">
        <f>IF((0=1),(SUM(C288:H288)/H218),"")</f>
      </c>
      <c r="I323" s="8">
        <f>IF((0=1),(SUM(C288:I288)/I218),"")</f>
      </c>
      <c r="J323" s="8">
        <f>IF((0=1),(SUM(C288:J288)/J218),"")</f>
      </c>
      <c r="K323" s="8">
        <f>IF((0=1),(SUM(C288:K288)/K218),"")</f>
      </c>
      <c r="L323" s="8">
        <f>IF((0=1),(SUM(C288:L288)/L218),"")</f>
      </c>
      <c r="M323" s="8">
        <f>IF((0=1),(SUM(C288:M288)/M218),"")</f>
      </c>
      <c r="N323" s="8">
        <f>IF((0=1),(SUM(C288:N288)/N218),"")</f>
      </c>
      <c r="O323" s="8">
        <f>IF((0=1),(SUM(C288:O288)/O218),"")</f>
      </c>
      <c r="P323" s="8">
        <f>IF((0=1),(SUM(C288:P288)/P218),"")</f>
      </c>
      <c r="Q323" s="8">
        <f>IF((0=1),(SUM(C288:Q288)/Q218),"")</f>
      </c>
      <c r="R323" s="8">
        <f>IF((0=1),(SUM(C288:R288)/R218),"")</f>
      </c>
      <c r="S323" s="8">
        <f>IF((0=1),(SUM(C288:S288)/S218),"")</f>
      </c>
      <c r="T323" s="8">
        <f>IF((0=1),(SUM(C288:T288)/T218),"")</f>
      </c>
      <c r="U323" s="8">
        <f>IF((0=1),(SUM(C288:U288)/U218),"")</f>
      </c>
      <c r="V323" s="8">
        <f>IF((0=1),(SUM(C288:V288)/V218),"")</f>
      </c>
      <c r="W323" s="8">
        <f>IF((0=1),(SUM(C288:W288)/W218),"")</f>
      </c>
      <c r="X323" s="8">
        <f>IF((0=1),(SUM(C288:X288)/X218),"")</f>
      </c>
      <c r="Y323" s="8">
        <f>IF((0=1),(SUM(C288:Y288)/Y218),"")</f>
      </c>
      <c r="Z323" s="8">
        <f>IF((0=1),(SUM(C288:Z288)/Z218),"")</f>
      </c>
      <c r="AA323" s="8">
        <f>IF((0=1),(SUM(C288:AA288)/AA218),"")</f>
      </c>
      <c r="AB323" s="8">
        <f>IF((0=1),(SUM(C288:AB288)/AB218),"")</f>
      </c>
      <c r="AC323" s="8">
        <f>IF((0=1),(SUM(C288:AC288)/AC218),"")</f>
      </c>
      <c r="AD323" s="8">
        <f>IF((0=1),(SUM(C288:AD288)/AD218),"")</f>
      </c>
      <c r="AE323" s="8">
        <f>IF((0=1),(SUM(C288:AE288)/AE218),"")</f>
      </c>
      <c r="AF323" s="8">
        <f>IF((0=1),(SUM(C288:AF288)/AF218),"")</f>
      </c>
      <c r="AG323" s="8">
        <f>IF((0=1),(SUM(C288:AG288)/AG218),"")</f>
      </c>
      <c r="AH323" s="8">
        <f>IF((0=1),(SUM(C288:AH288)/AH218),"")</f>
      </c>
      <c r="AI323" s="8">
        <f>IF((0=1),(SUM(C288:AI288)/AI218),"")</f>
      </c>
      <c r="AJ323" s="8">
        <f>IF((0=1),(SUM(C288:AJ288)/AJ218),"")</f>
      </c>
      <c r="AK323" s="8">
        <f>IF((0=1),(SUM(C288:AK288)/AK218),"")</f>
      </c>
      <c r="AL323" s="8">
        <f>IF((0=1),(SUM(C288:AL288)/AL218),"")</f>
      </c>
      <c r="AM323" s="8">
        <f>IF((0=1),(SUM(C288:AM288)/AM218),"")</f>
      </c>
      <c r="AN323" s="8">
        <f>IF((0=1),(SUM(C288:AN288)/AN218),"")</f>
      </c>
      <c r="AO323" s="8">
        <f>IF((0=1),(SUM(C288:AO288)/AO218),"")</f>
      </c>
      <c r="AP323" s="8">
        <f>IF((0=1),(SUM(C288:AP288)/AP218),"")</f>
      </c>
      <c r="AQ323" s="8">
        <f>IF((0=1),(SUM(C288:AQ288)/AQ218),"")</f>
      </c>
      <c r="AR323" s="8">
        <f>IF((0=1),(SUM(C288:AR288)/AR218),"")</f>
      </c>
      <c r="AS323" s="8">
        <f>IF((0=1),(SUM(C288:AS288)/AS218),"")</f>
      </c>
      <c r="AT323" s="8">
        <f>IF((0=1),(SUM(C288:AT288)/AT218),"")</f>
      </c>
      <c r="AU323" s="8">
        <f>IF((0=1),(SUM(C288:AU288)/AU218),"")</f>
      </c>
      <c r="AV323" s="8">
        <f>IF((0=1),(SUM(C288:AV288)/AV218),"")</f>
      </c>
      <c r="AW323" s="8">
        <f>IF((0=1),(SUM(C288:AW288)/AW218),"")</f>
      </c>
      <c r="AX323" s="8">
        <f>IF((0=1),(SUM(C288:AX288)/AX218),"")</f>
      </c>
      <c r="AY323" s="8">
        <f>IF((0=1),(SUM(C288:AY288)/AY218),"")</f>
      </c>
      <c r="AZ323" s="8">
        <f>IF((0=1),(SUM(C288:AZ288)/AZ218),"")</f>
      </c>
      <c r="BA323" s="8">
        <f>IF((0=1),(SUM(C288:BA288)/BA218),"")</f>
      </c>
      <c r="BB323" s="8">
        <f>IF((0=1),(SUM(C288:BB288)/BB218),"")</f>
      </c>
      <c r="BC323" s="8">
        <f>IF((0=1),(SUM(C288:BC288)/BC218),"")</f>
      </c>
      <c r="BD323" s="8">
        <f>IF((0=1),(SUM(C288:BD288)/BD218),"")</f>
      </c>
      <c r="BE323" s="8">
        <f>IF((0=1),(SUM(C288:BE288)/BE218),"")</f>
      </c>
      <c r="BF323" s="8">
        <f>IF((0=1),(SUM(C288:BF288)/BF218),"")</f>
      </c>
      <c r="BG323" s="8">
        <f>IF((0=1),(SUM(C288:BG288)/BG218),"")</f>
      </c>
      <c r="BH323" s="8">
        <f>IF((0=1),(SUM(C288:BH288)/BH218),"")</f>
      </c>
      <c r="BI323" s="8">
        <f>IF((0=1),(SUM(C288:BI288)/BI218),"")</f>
      </c>
      <c r="BJ323" s="8">
        <f>IF((0=1),(SUM(C288:BJ288)/BJ218),"")</f>
      </c>
      <c r="BK323" s="8">
        <f>IF((0=1),(SUM(C288:BK288)/BK218),"")</f>
      </c>
      <c r="BL323" s="8">
        <f>IF((0=1),(SUM(C288:BL288)/BL218),"")</f>
      </c>
      <c r="BM323" s="8">
        <f>IF((0=1),(SUM(C288:BM288)/BM218),"")</f>
      </c>
      <c r="BN323" s="8">
        <f>IF((0=1),(SUM(C288:BN288)/BN218),"")</f>
      </c>
      <c r="BO323" s="8">
        <f>IF((0=1),(SUM(C288:BO288)/BO218),"")</f>
      </c>
      <c r="BP323" s="8">
        <f>IF((0=1),(SUM(C288:BP288)/BP218),"")</f>
      </c>
      <c r="BQ323" s="8">
        <f>IF((0=1),(SUM(C288:BQ288)/BQ218),"")</f>
      </c>
      <c r="BR323" s="8">
        <f>IF((0=1),(SUM(C288:BR288)/BR218),"")</f>
      </c>
      <c r="BS323" s="8">
        <f>IF((0=1),(SUM(C288:BS288)/BS218),"")</f>
      </c>
      <c r="BT323" s="8">
        <f>IF((0=1),(SUM(C288:BT288)/BT218),"")</f>
      </c>
      <c r="BU323" s="8">
        <f>IF((0=1),(SUM(C288:BU288)/BU218),"")</f>
      </c>
      <c r="BV323" s="8">
        <f>IF((0=1),(SUM(C288:BV288)/BV218),"")</f>
      </c>
      <c r="BW323" s="8">
        <f>IF((0=1),(SUM(C288:BW288)/BW218),"")</f>
      </c>
      <c r="BX323" s="8">
        <f>IF((0=1),(SUM(C288:BX288)/BX218),"")</f>
      </c>
      <c r="BY323" s="8">
        <f>IF((0=1),(SUM(C288:BY288)/BY218),"")</f>
      </c>
      <c r="BZ323" s="8">
        <f>IF((0=1),(SUM(C288:BZ288)/BZ218),"")</f>
      </c>
      <c r="CA323" s="8">
        <f>IF((0=1),(SUM(C288:CA288)/CA218),"")</f>
      </c>
      <c r="CB323" s="8">
        <f>IF((0=1),(SUM(C288:CB288)/CB218),"")</f>
      </c>
      <c r="CC323" s="8">
        <f>IF((0=1),(SUM(C288:CC288)/CC218),"")</f>
      </c>
      <c r="CD323" s="8">
        <f>IF((0=1),(SUM(C288:CD288)/CD218),"")</f>
      </c>
      <c r="CE323" s="8">
        <f>IF((0=1),(SUM(C288:CE288)/CE218),"")</f>
      </c>
      <c r="CF323" s="8">
        <f>IF((0=1),(SUM(C288:CF288)/CF218),"")</f>
      </c>
      <c r="CG323" s="8">
        <f>IF((0=1),(SUM(C288:CG288)/CG218),"")</f>
      </c>
      <c r="CH323" s="8">
        <f>IF((0=1),(SUM(C288:CH288)/CH218),"")</f>
      </c>
      <c r="CI323" s="8">
        <f>IF((0=1),(SUM(C288:CI288)/CI218),"")</f>
      </c>
      <c r="CJ323" s="8">
        <f>IF((0=1),(SUM(C288:CJ288)/CJ218),"")</f>
      </c>
      <c r="CK323" s="8">
        <f>IF((0=1),(SUM(C288:CK288)/CK218),"")</f>
      </c>
      <c r="CL323" s="8">
        <f>IF((0=1),(SUM(C288:CL288)/CL218),"")</f>
      </c>
      <c r="CM323" s="8">
        <f>IF((0=1),(SUM(C288:CM288)/CM218),"")</f>
      </c>
      <c r="CN323" s="8">
        <f>IF((0=1),(SUM(C288:CN288)/CN218),"")</f>
      </c>
      <c r="CO323" s="8">
        <f>IF((0=1),(SUM(C288:CO288)/CO218),"")</f>
      </c>
      <c r="CP323" s="8">
        <f>IF((0=1),(SUM(C288:CP288)/CP218),"")</f>
      </c>
      <c r="CQ323" s="8">
        <f>IF((0=1),(SUM(C288:CQ288)/CQ218),"")</f>
      </c>
      <c r="CR323" s="8">
        <f>IF((0=1),(SUM(C288:CR288)/CR218),"")</f>
      </c>
      <c r="CS323" s="8">
        <f>IF((0=1),(SUM(C288:CS288)/CS218),"")</f>
      </c>
      <c r="CT323" s="8">
        <f>IF((0=1),(SUM(C288:CT288)/CT218),"")</f>
      </c>
      <c r="CU323" s="8">
        <f>IF((0=1),(SUM(C288:CU288)/CU218),"")</f>
      </c>
      <c r="CV323" s="8">
        <f>IF((0=1),(SUM(C288:CV288)/CV218),"")</f>
      </c>
      <c r="CW323" s="8">
        <f>IF((0=1),(SUM(C288:CW288)/CW218),"")</f>
      </c>
      <c r="CX323" s="8">
        <f>IF((0=1),(SUM(C288:CX288)/CX218),"")</f>
      </c>
    </row>
    <row r="324">
      <c r="A324" s="0" t="inlineStr">
        <is>
          <t xml:space="preserve">Running mean of squares</t>
        </is>
      </c>
      <c r="B324" s="0" t="inlineStr">
        <is>
          <t xml:space="preserve">Intraday-to-Overnight Reversal</t>
        </is>
      </c>
      <c r="C324" s="8">
        <f>IF((1=1),(SUM(C289)/C219),"")</f>
        <v>16.793604</v>
      </c>
      <c r="D324" s="8">
        <f>IF((0=1),(SUM(C289:D289)/D219),"")</f>
      </c>
      <c r="E324" s="8">
        <f>IF((0=1),(SUM(C289:E289)/E219),"")</f>
      </c>
      <c r="F324" s="8">
        <f>IF((0=1),(SUM(C289:F289)/F219),"")</f>
      </c>
      <c r="G324" s="8">
        <f>IF((0=1),(SUM(C289:G289)/G219),"")</f>
      </c>
      <c r="H324" s="8">
        <f>IF((0=1),(SUM(C289:H289)/H219),"")</f>
      </c>
      <c r="I324" s="8">
        <f>IF((0=1),(SUM(C289:I289)/I219),"")</f>
      </c>
      <c r="J324" s="8">
        <f>IF((0=1),(SUM(C289:J289)/J219),"")</f>
      </c>
      <c r="K324" s="8">
        <f>IF((0=1),(SUM(C289:K289)/K219),"")</f>
      </c>
      <c r="L324" s="8">
        <f>IF((0=1),(SUM(C289:L289)/L219),"")</f>
      </c>
      <c r="M324" s="8">
        <f>IF((0=1),(SUM(C289:M289)/M219),"")</f>
      </c>
      <c r="N324" s="8">
        <f>IF((0=1),(SUM(C289:N289)/N219),"")</f>
      </c>
      <c r="O324" s="8">
        <f>IF((0=1),(SUM(C289:O289)/O219),"")</f>
      </c>
      <c r="P324" s="8">
        <f>IF((0=1),(SUM(C289:P289)/P219),"")</f>
      </c>
      <c r="Q324" s="8">
        <f>IF((0=1),(SUM(C289:Q289)/Q219),"")</f>
      </c>
      <c r="R324" s="8">
        <f>IF((0=1),(SUM(C289:R289)/R219),"")</f>
      </c>
      <c r="S324" s="8">
        <f>IF((0=1),(SUM(C289:S289)/S219),"")</f>
      </c>
      <c r="T324" s="8">
        <f>IF((0=1),(SUM(C289:T289)/T219),"")</f>
      </c>
      <c r="U324" s="8">
        <f>IF((0=1),(SUM(C289:U289)/U219),"")</f>
      </c>
      <c r="V324" s="8">
        <f>IF((0=1),(SUM(C289:V289)/V219),"")</f>
      </c>
      <c r="W324" s="8">
        <f>IF((0=1),(SUM(C289:W289)/W219),"")</f>
      </c>
      <c r="X324" s="8">
        <f>IF((0=1),(SUM(C289:X289)/X219),"")</f>
      </c>
      <c r="Y324" s="8">
        <f>IF((0=1),(SUM(C289:Y289)/Y219),"")</f>
      </c>
      <c r="Z324" s="8">
        <f>IF((0=1),(SUM(C289:Z289)/Z219),"")</f>
      </c>
      <c r="AA324" s="8">
        <f>IF((0=1),(SUM(C289:AA289)/AA219),"")</f>
      </c>
      <c r="AB324" s="8">
        <f>IF((0=1),(SUM(C289:AB289)/AB219),"")</f>
      </c>
      <c r="AC324" s="8">
        <f>IF((0=1),(SUM(C289:AC289)/AC219),"")</f>
      </c>
      <c r="AD324" s="8">
        <f>IF((0=1),(SUM(C289:AD289)/AD219),"")</f>
      </c>
      <c r="AE324" s="8">
        <f>IF((0=1),(SUM(C289:AE289)/AE219),"")</f>
      </c>
      <c r="AF324" s="8">
        <f>IF((0=1),(SUM(C289:AF289)/AF219),"")</f>
      </c>
      <c r="AG324" s="8">
        <f>IF((0=1),(SUM(C289:AG289)/AG219),"")</f>
      </c>
      <c r="AH324" s="8">
        <f>IF((0=1),(SUM(C289:AH289)/AH219),"")</f>
      </c>
      <c r="AI324" s="8">
        <f>IF((0=1),(SUM(C289:AI289)/AI219),"")</f>
      </c>
      <c r="AJ324" s="8">
        <f>IF((0=1),(SUM(C289:AJ289)/AJ219),"")</f>
      </c>
      <c r="AK324" s="8">
        <f>IF((0=1),(SUM(C289:AK289)/AK219),"")</f>
      </c>
      <c r="AL324" s="8">
        <f>IF((0=1),(SUM(C289:AL289)/AL219),"")</f>
      </c>
      <c r="AM324" s="8">
        <f>IF((0=1),(SUM(C289:AM289)/AM219),"")</f>
      </c>
      <c r="AN324" s="8">
        <f>IF((0=1),(SUM(C289:AN289)/AN219),"")</f>
      </c>
      <c r="AO324" s="8">
        <f>IF((0=1),(SUM(C289:AO289)/AO219),"")</f>
      </c>
      <c r="AP324" s="8">
        <f>IF((0=1),(SUM(C289:AP289)/AP219),"")</f>
      </c>
      <c r="AQ324" s="8">
        <f>IF((0=1),(SUM(C289:AQ289)/AQ219),"")</f>
      </c>
      <c r="AR324" s="8">
        <f>IF((0=1),(SUM(C289:AR289)/AR219),"")</f>
      </c>
      <c r="AS324" s="8">
        <f>IF((0=1),(SUM(C289:AS289)/AS219),"")</f>
      </c>
      <c r="AT324" s="8">
        <f>IF((0=1),(SUM(C289:AT289)/AT219),"")</f>
      </c>
      <c r="AU324" s="8">
        <f>IF((0=1),(SUM(C289:AU289)/AU219),"")</f>
      </c>
      <c r="AV324" s="8">
        <f>IF((0=1),(SUM(C289:AV289)/AV219),"")</f>
      </c>
      <c r="AW324" s="8">
        <f>IF((0=1),(SUM(C289:AW289)/AW219),"")</f>
      </c>
      <c r="AX324" s="8">
        <f>IF((0=1),(SUM(C289:AX289)/AX219),"")</f>
      </c>
      <c r="AY324" s="8">
        <f>IF((0=1),(SUM(C289:AY289)/AY219),"")</f>
      </c>
      <c r="AZ324" s="8">
        <f>IF((0=1),(SUM(C289:AZ289)/AZ219),"")</f>
      </c>
      <c r="BA324" s="8">
        <f>IF((0=1),(SUM(C289:BA289)/BA219),"")</f>
      </c>
      <c r="BB324" s="8">
        <f>IF((0=1),(SUM(C289:BB289)/BB219),"")</f>
      </c>
      <c r="BC324" s="8">
        <f>IF((0=1),(SUM(C289:BC289)/BC219),"")</f>
      </c>
      <c r="BD324" s="8">
        <f>IF((0=1),(SUM(C289:BD289)/BD219),"")</f>
      </c>
      <c r="BE324" s="8">
        <f>IF((0=1),(SUM(C289:BE289)/BE219),"")</f>
      </c>
      <c r="BF324" s="8">
        <f>IF((0=1),(SUM(C289:BF289)/BF219),"")</f>
      </c>
      <c r="BG324" s="8">
        <f>IF((0=1),(SUM(C289:BG289)/BG219),"")</f>
      </c>
      <c r="BH324" s="8">
        <f>IF((0=1),(SUM(C289:BH289)/BH219),"")</f>
      </c>
      <c r="BI324" s="8">
        <f>IF((0=1),(SUM(C289:BI289)/BI219),"")</f>
      </c>
      <c r="BJ324" s="8">
        <f>IF((0=1),(SUM(C289:BJ289)/BJ219),"")</f>
      </c>
      <c r="BK324" s="8">
        <f>IF((0=1),(SUM(C289:BK289)/BK219),"")</f>
      </c>
      <c r="BL324" s="8">
        <f>IF((0=1),(SUM(C289:BL289)/BL219),"")</f>
      </c>
      <c r="BM324" s="8">
        <f>IF((0=1),(SUM(C289:BM289)/BM219),"")</f>
      </c>
      <c r="BN324" s="8">
        <f>IF((0=1),(SUM(C289:BN289)/BN219),"")</f>
      </c>
      <c r="BO324" s="8">
        <f>IF((0=1),(SUM(C289:BO289)/BO219),"")</f>
      </c>
      <c r="BP324" s="8">
        <f>IF((0=1),(SUM(C289:BP289)/BP219),"")</f>
      </c>
      <c r="BQ324" s="8">
        <f>IF((0=1),(SUM(C289:BQ289)/BQ219),"")</f>
      </c>
      <c r="BR324" s="8">
        <f>IF((0=1),(SUM(C289:BR289)/BR219),"")</f>
      </c>
      <c r="BS324" s="8">
        <f>IF((0=1),(SUM(C289:BS289)/BS219),"")</f>
      </c>
      <c r="BT324" s="8">
        <f>IF((0=1),(SUM(C289:BT289)/BT219),"")</f>
      </c>
      <c r="BU324" s="8">
        <f>IF((0=1),(SUM(C289:BU289)/BU219),"")</f>
      </c>
      <c r="BV324" s="8">
        <f>IF((0=1),(SUM(C289:BV289)/BV219),"")</f>
      </c>
      <c r="BW324" s="8">
        <f>IF((0=1),(SUM(C289:BW289)/BW219),"")</f>
      </c>
      <c r="BX324" s="8">
        <f>IF((0=1),(SUM(C289:BX289)/BX219),"")</f>
      </c>
      <c r="BY324" s="8">
        <f>IF((0=1),(SUM(C289:BY289)/BY219),"")</f>
      </c>
      <c r="BZ324" s="8">
        <f>IF((0=1),(SUM(C289:BZ289)/BZ219),"")</f>
      </c>
      <c r="CA324" s="8">
        <f>IF((0=1),(SUM(C289:CA289)/CA219),"")</f>
      </c>
      <c r="CB324" s="8">
        <f>IF((0=1),(SUM(C289:CB289)/CB219),"")</f>
      </c>
      <c r="CC324" s="8">
        <f>IF((0=1),(SUM(C289:CC289)/CC219),"")</f>
      </c>
      <c r="CD324" s="8">
        <f>IF((0=1),(SUM(C289:CD289)/CD219),"")</f>
      </c>
      <c r="CE324" s="8">
        <f>IF((0=1),(SUM(C289:CE289)/CE219),"")</f>
      </c>
      <c r="CF324" s="8">
        <f>IF((0=1),(SUM(C289:CF289)/CF219),"")</f>
      </c>
      <c r="CG324" s="8">
        <f>IF((0=1),(SUM(C289:CG289)/CG219),"")</f>
      </c>
      <c r="CH324" s="8">
        <f>IF((0=1),(SUM(C289:CH289)/CH219),"")</f>
      </c>
      <c r="CI324" s="8">
        <f>IF((0=1),(SUM(C289:CI289)/CI219),"")</f>
      </c>
      <c r="CJ324" s="8">
        <f>IF((0=1),(SUM(C289:CJ289)/CJ219),"")</f>
      </c>
      <c r="CK324" s="8">
        <f>IF((0=1),(SUM(C289:CK289)/CK219),"")</f>
      </c>
      <c r="CL324" s="8">
        <f>IF((0=1),(SUM(C289:CL289)/CL219),"")</f>
      </c>
      <c r="CM324" s="8">
        <f>IF((0=1),(SUM(C289:CM289)/CM219),"")</f>
      </c>
      <c r="CN324" s="8">
        <f>IF((0=1),(SUM(C289:CN289)/CN219),"")</f>
      </c>
      <c r="CO324" s="8">
        <f>IF((0=1),(SUM(C289:CO289)/CO219),"")</f>
      </c>
      <c r="CP324" s="8">
        <f>IF((0=1),(SUM(C289:CP289)/CP219),"")</f>
      </c>
      <c r="CQ324" s="8">
        <f>IF((0=1),(SUM(C289:CQ289)/CQ219),"")</f>
      </c>
      <c r="CR324" s="8">
        <f>IF((0=1),(SUM(C289:CR289)/CR219),"")</f>
      </c>
      <c r="CS324" s="8">
        <f>IF((0=1),(SUM(C289:CS289)/CS219),"")</f>
      </c>
      <c r="CT324" s="8">
        <f>IF((0=1),(SUM(C289:CT289)/CT219),"")</f>
      </c>
      <c r="CU324" s="8">
        <f>IF((0=1),(SUM(C289:CU289)/CU219),"")</f>
      </c>
      <c r="CV324" s="8">
        <f>IF((0=1),(SUM(C289:CV289)/CV219),"")</f>
      </c>
      <c r="CW324" s="8">
        <f>IF((0=1),(SUM(C289:CW289)/CW219),"")</f>
      </c>
      <c r="CX324" s="8">
        <f>IF((0=1),(SUM(C289:CX289)/CX219),"")</f>
      </c>
    </row>
    <row r="325">
      <c r="A325" s="0" t="inlineStr">
        <is>
          <t xml:space="preserve">Running mean of squares</t>
        </is>
      </c>
      <c r="B325" s="0" t="inlineStr">
        <is>
          <t xml:space="preserve">Analyst Revision Momentum</t>
        </is>
      </c>
      <c r="C325" s="8">
        <f>IF((1=1),(SUM(C290)/C220),"")</f>
        <v>8.791224999999999</v>
      </c>
      <c r="D325" s="8">
        <f>IF((0=1),(SUM(C290:D290)/D220),"")</f>
      </c>
      <c r="E325" s="8">
        <f>IF((0=1),(SUM(C290:E290)/E220),"")</f>
      </c>
      <c r="F325" s="8">
        <f>IF((0=1),(SUM(C290:F290)/F220),"")</f>
      </c>
      <c r="G325" s="8">
        <f>IF((0=1),(SUM(C290:G290)/G220),"")</f>
      </c>
      <c r="H325" s="8">
        <f>IF((0=1),(SUM(C290:H290)/H220),"")</f>
      </c>
      <c r="I325" s="8">
        <f>IF((0=1),(SUM(C290:I290)/I220),"")</f>
      </c>
      <c r="J325" s="8">
        <f>IF((0=1),(SUM(C290:J290)/J220),"")</f>
      </c>
      <c r="K325" s="8">
        <f>IF((0=1),(SUM(C290:K290)/K220),"")</f>
      </c>
      <c r="L325" s="8">
        <f>IF((0=1),(SUM(C290:L290)/L220),"")</f>
      </c>
      <c r="M325" s="8">
        <f>IF((0=1),(SUM(C290:M290)/M220),"")</f>
      </c>
      <c r="N325" s="8">
        <f>IF((0=1),(SUM(C290:N290)/N220),"")</f>
      </c>
      <c r="O325" s="8">
        <f>IF((0=1),(SUM(C290:O290)/O220),"")</f>
      </c>
      <c r="P325" s="8">
        <f>IF((0=1),(SUM(C290:P290)/P220),"")</f>
      </c>
      <c r="Q325" s="8">
        <f>IF((0=1),(SUM(C290:Q290)/Q220),"")</f>
      </c>
      <c r="R325" s="8">
        <f>IF((0=1),(SUM(C290:R290)/R220),"")</f>
      </c>
      <c r="S325" s="8">
        <f>IF((0=1),(SUM(C290:S290)/S220),"")</f>
      </c>
      <c r="T325" s="8">
        <f>IF((0=1),(SUM(C290:T290)/T220),"")</f>
      </c>
      <c r="U325" s="8">
        <f>IF((0=1),(SUM(C290:U290)/U220),"")</f>
      </c>
      <c r="V325" s="8">
        <f>IF((0=1),(SUM(C290:V290)/V220),"")</f>
      </c>
      <c r="W325" s="8">
        <f>IF((0=1),(SUM(C290:W290)/W220),"")</f>
      </c>
      <c r="X325" s="8">
        <f>IF((0=1),(SUM(C290:X290)/X220),"")</f>
      </c>
      <c r="Y325" s="8">
        <f>IF((0=1),(SUM(C290:Y290)/Y220),"")</f>
      </c>
      <c r="Z325" s="8">
        <f>IF((0=1),(SUM(C290:Z290)/Z220),"")</f>
      </c>
      <c r="AA325" s="8">
        <f>IF((0=1),(SUM(C290:AA290)/AA220),"")</f>
      </c>
      <c r="AB325" s="8">
        <f>IF((0=1),(SUM(C290:AB290)/AB220),"")</f>
      </c>
      <c r="AC325" s="8">
        <f>IF((0=1),(SUM(C290:AC290)/AC220),"")</f>
      </c>
      <c r="AD325" s="8">
        <f>IF((0=1),(SUM(C290:AD290)/AD220),"")</f>
      </c>
      <c r="AE325" s="8">
        <f>IF((0=1),(SUM(C290:AE290)/AE220),"")</f>
      </c>
      <c r="AF325" s="8">
        <f>IF((0=1),(SUM(C290:AF290)/AF220),"")</f>
      </c>
      <c r="AG325" s="8">
        <f>IF((0=1),(SUM(C290:AG290)/AG220),"")</f>
      </c>
      <c r="AH325" s="8">
        <f>IF((0=1),(SUM(C290:AH290)/AH220),"")</f>
      </c>
      <c r="AI325" s="8">
        <f>IF((0=1),(SUM(C290:AI290)/AI220),"")</f>
      </c>
      <c r="AJ325" s="8">
        <f>IF((0=1),(SUM(C290:AJ290)/AJ220),"")</f>
      </c>
      <c r="AK325" s="8">
        <f>IF((0=1),(SUM(C290:AK290)/AK220),"")</f>
      </c>
      <c r="AL325" s="8">
        <f>IF((0=1),(SUM(C290:AL290)/AL220),"")</f>
      </c>
      <c r="AM325" s="8">
        <f>IF((0=1),(SUM(C290:AM290)/AM220),"")</f>
      </c>
      <c r="AN325" s="8">
        <f>IF((0=1),(SUM(C290:AN290)/AN220),"")</f>
      </c>
      <c r="AO325" s="8">
        <f>IF((0=1),(SUM(C290:AO290)/AO220),"")</f>
      </c>
      <c r="AP325" s="8">
        <f>IF((0=1),(SUM(C290:AP290)/AP220),"")</f>
      </c>
      <c r="AQ325" s="8">
        <f>IF((0=1),(SUM(C290:AQ290)/AQ220),"")</f>
      </c>
      <c r="AR325" s="8">
        <f>IF((0=1),(SUM(C290:AR290)/AR220),"")</f>
      </c>
      <c r="AS325" s="8">
        <f>IF((0=1),(SUM(C290:AS290)/AS220),"")</f>
      </c>
      <c r="AT325" s="8">
        <f>IF((0=1),(SUM(C290:AT290)/AT220),"")</f>
      </c>
      <c r="AU325" s="8">
        <f>IF((0=1),(SUM(C290:AU290)/AU220),"")</f>
      </c>
      <c r="AV325" s="8">
        <f>IF((0=1),(SUM(C290:AV290)/AV220),"")</f>
      </c>
      <c r="AW325" s="8">
        <f>IF((0=1),(SUM(C290:AW290)/AW220),"")</f>
      </c>
      <c r="AX325" s="8">
        <f>IF((0=1),(SUM(C290:AX290)/AX220),"")</f>
      </c>
      <c r="AY325" s="8">
        <f>IF((0=1),(SUM(C290:AY290)/AY220),"")</f>
      </c>
      <c r="AZ325" s="8">
        <f>IF((0=1),(SUM(C290:AZ290)/AZ220),"")</f>
      </c>
      <c r="BA325" s="8">
        <f>IF((0=1),(SUM(C290:BA290)/BA220),"")</f>
      </c>
      <c r="BB325" s="8">
        <f>IF((0=1),(SUM(C290:BB290)/BB220),"")</f>
      </c>
      <c r="BC325" s="8">
        <f>IF((0=1),(SUM(C290:BC290)/BC220),"")</f>
      </c>
      <c r="BD325" s="8">
        <f>IF((0=1),(SUM(C290:BD290)/BD220),"")</f>
      </c>
      <c r="BE325" s="8">
        <f>IF((0=1),(SUM(C290:BE290)/BE220),"")</f>
      </c>
      <c r="BF325" s="8">
        <f>IF((0=1),(SUM(C290:BF290)/BF220),"")</f>
      </c>
      <c r="BG325" s="8">
        <f>IF((0=1),(SUM(C290:BG290)/BG220),"")</f>
      </c>
      <c r="BH325" s="8">
        <f>IF((0=1),(SUM(C290:BH290)/BH220),"")</f>
      </c>
      <c r="BI325" s="8">
        <f>IF((0=1),(SUM(C290:BI290)/BI220),"")</f>
      </c>
      <c r="BJ325" s="8">
        <f>IF((0=1),(SUM(C290:BJ290)/BJ220),"")</f>
      </c>
      <c r="BK325" s="8">
        <f>IF((0=1),(SUM(C290:BK290)/BK220),"")</f>
      </c>
      <c r="BL325" s="8">
        <f>IF((0=1),(SUM(C290:BL290)/BL220),"")</f>
      </c>
      <c r="BM325" s="8">
        <f>IF((0=1),(SUM(C290:BM290)/BM220),"")</f>
      </c>
      <c r="BN325" s="8">
        <f>IF((0=1),(SUM(C290:BN290)/BN220),"")</f>
      </c>
      <c r="BO325" s="8">
        <f>IF((0=1),(SUM(C290:BO290)/BO220),"")</f>
      </c>
      <c r="BP325" s="8">
        <f>IF((0=1),(SUM(C290:BP290)/BP220),"")</f>
      </c>
      <c r="BQ325" s="8">
        <f>IF((0=1),(SUM(C290:BQ290)/BQ220),"")</f>
      </c>
      <c r="BR325" s="8">
        <f>IF((0=1),(SUM(C290:BR290)/BR220),"")</f>
      </c>
      <c r="BS325" s="8">
        <f>IF((0=1),(SUM(C290:BS290)/BS220),"")</f>
      </c>
      <c r="BT325" s="8">
        <f>IF((0=1),(SUM(C290:BT290)/BT220),"")</f>
      </c>
      <c r="BU325" s="8">
        <f>IF((0=1),(SUM(C290:BU290)/BU220),"")</f>
      </c>
      <c r="BV325" s="8">
        <f>IF((0=1),(SUM(C290:BV290)/BV220),"")</f>
      </c>
      <c r="BW325" s="8">
        <f>IF((0=1),(SUM(C290:BW290)/BW220),"")</f>
      </c>
      <c r="BX325" s="8">
        <f>IF((0=1),(SUM(C290:BX290)/BX220),"")</f>
      </c>
      <c r="BY325" s="8">
        <f>IF((0=1),(SUM(C290:BY290)/BY220),"")</f>
      </c>
      <c r="BZ325" s="8">
        <f>IF((0=1),(SUM(C290:BZ290)/BZ220),"")</f>
      </c>
      <c r="CA325" s="8">
        <f>IF((0=1),(SUM(C290:CA290)/CA220),"")</f>
      </c>
      <c r="CB325" s="8">
        <f>IF((0=1),(SUM(C290:CB290)/CB220),"")</f>
      </c>
      <c r="CC325" s="8">
        <f>IF((0=1),(SUM(C290:CC290)/CC220),"")</f>
      </c>
      <c r="CD325" s="8">
        <f>IF((0=1),(SUM(C290:CD290)/CD220),"")</f>
      </c>
      <c r="CE325" s="8">
        <f>IF((0=1),(SUM(C290:CE290)/CE220),"")</f>
      </c>
      <c r="CF325" s="8">
        <f>IF((0=1),(SUM(C290:CF290)/CF220),"")</f>
      </c>
      <c r="CG325" s="8">
        <f>IF((0=1),(SUM(C290:CG290)/CG220),"")</f>
      </c>
      <c r="CH325" s="8">
        <f>IF((0=1),(SUM(C290:CH290)/CH220),"")</f>
      </c>
      <c r="CI325" s="8">
        <f>IF((0=1),(SUM(C290:CI290)/CI220),"")</f>
      </c>
      <c r="CJ325" s="8">
        <f>IF((0=1),(SUM(C290:CJ290)/CJ220),"")</f>
      </c>
      <c r="CK325" s="8">
        <f>IF((0=1),(SUM(C290:CK290)/CK220),"")</f>
      </c>
      <c r="CL325" s="8">
        <f>IF((0=1),(SUM(C290:CL290)/CL220),"")</f>
      </c>
      <c r="CM325" s="8">
        <f>IF((0=1),(SUM(C290:CM290)/CM220),"")</f>
      </c>
      <c r="CN325" s="8">
        <f>IF((0=1),(SUM(C290:CN290)/CN220),"")</f>
      </c>
      <c r="CO325" s="8">
        <f>IF((0=1),(SUM(C290:CO290)/CO220),"")</f>
      </c>
      <c r="CP325" s="8">
        <f>IF((0=1),(SUM(C290:CP290)/CP220),"")</f>
      </c>
      <c r="CQ325" s="8">
        <f>IF((0=1),(SUM(C290:CQ290)/CQ220),"")</f>
      </c>
      <c r="CR325" s="8">
        <f>IF((0=1),(SUM(C290:CR290)/CR220),"")</f>
      </c>
      <c r="CS325" s="8">
        <f>IF((0=1),(SUM(C290:CS290)/CS220),"")</f>
      </c>
      <c r="CT325" s="8">
        <f>IF((0=1),(SUM(C290:CT290)/CT220),"")</f>
      </c>
      <c r="CU325" s="8">
        <f>IF((0=1),(SUM(C290:CU290)/CU220),"")</f>
      </c>
      <c r="CV325" s="8">
        <f>IF((0=1),(SUM(C290:CV290)/CV220),"")</f>
      </c>
      <c r="CW325" s="8">
        <f>IF((0=1),(SUM(C290:CW290)/CW220),"")</f>
      </c>
      <c r="CX325" s="8">
        <f>IF((0=1),(SUM(C290:CX290)/CX220),"")</f>
      </c>
    </row>
    <row r="326">
      <c r="A326" s="0" t="inlineStr">
        <is>
          <t xml:space="preserve">Running mean of squares</t>
        </is>
      </c>
      <c r="B326" s="0" t="inlineStr">
        <is>
          <t xml:space="preserve">Clustered Insider Buying</t>
        </is>
      </c>
      <c r="C326" s="8">
        <f>IF((1=1),(SUM(C291)/C221),"")</f>
        <v>4.592448999999999</v>
      </c>
      <c r="D326" s="8">
        <f>IF((0=1),(SUM(C291:D291)/D221),"")</f>
      </c>
      <c r="E326" s="8">
        <f>IF((0=1),(SUM(C291:E291)/E221),"")</f>
      </c>
      <c r="F326" s="8">
        <f>IF((0=1),(SUM(C291:F291)/F221),"")</f>
      </c>
      <c r="G326" s="8">
        <f>IF((0=1),(SUM(C291:G291)/G221),"")</f>
      </c>
      <c r="H326" s="8">
        <f>IF((0=1),(SUM(C291:H291)/H221),"")</f>
      </c>
      <c r="I326" s="8">
        <f>IF((0=1),(SUM(C291:I291)/I221),"")</f>
      </c>
      <c r="J326" s="8">
        <f>IF((0=1),(SUM(C291:J291)/J221),"")</f>
      </c>
      <c r="K326" s="8">
        <f>IF((0=1),(SUM(C291:K291)/K221),"")</f>
      </c>
      <c r="L326" s="8">
        <f>IF((0=1),(SUM(C291:L291)/L221),"")</f>
      </c>
      <c r="M326" s="8">
        <f>IF((0=1),(SUM(C291:M291)/M221),"")</f>
      </c>
      <c r="N326" s="8">
        <f>IF((0=1),(SUM(C291:N291)/N221),"")</f>
      </c>
      <c r="O326" s="8">
        <f>IF((0=1),(SUM(C291:O291)/O221),"")</f>
      </c>
      <c r="P326" s="8">
        <f>IF((0=1),(SUM(C291:P291)/P221),"")</f>
      </c>
      <c r="Q326" s="8">
        <f>IF((0=1),(SUM(C291:Q291)/Q221),"")</f>
      </c>
      <c r="R326" s="8">
        <f>IF((0=1),(SUM(C291:R291)/R221),"")</f>
      </c>
      <c r="S326" s="8">
        <f>IF((0=1),(SUM(C291:S291)/S221),"")</f>
      </c>
      <c r="T326" s="8">
        <f>IF((0=1),(SUM(C291:T291)/T221),"")</f>
      </c>
      <c r="U326" s="8">
        <f>IF((0=1),(SUM(C291:U291)/U221),"")</f>
      </c>
      <c r="V326" s="8">
        <f>IF((0=1),(SUM(C291:V291)/V221),"")</f>
      </c>
      <c r="W326" s="8">
        <f>IF((0=1),(SUM(C291:W291)/W221),"")</f>
      </c>
      <c r="X326" s="8">
        <f>IF((0=1),(SUM(C291:X291)/X221),"")</f>
      </c>
      <c r="Y326" s="8">
        <f>IF((0=1),(SUM(C291:Y291)/Y221),"")</f>
      </c>
      <c r="Z326" s="8">
        <f>IF((0=1),(SUM(C291:Z291)/Z221),"")</f>
      </c>
      <c r="AA326" s="8">
        <f>IF((0=1),(SUM(C291:AA291)/AA221),"")</f>
      </c>
      <c r="AB326" s="8">
        <f>IF((0=1),(SUM(C291:AB291)/AB221),"")</f>
      </c>
      <c r="AC326" s="8">
        <f>IF((0=1),(SUM(C291:AC291)/AC221),"")</f>
      </c>
      <c r="AD326" s="8">
        <f>IF((0=1),(SUM(C291:AD291)/AD221),"")</f>
      </c>
      <c r="AE326" s="8">
        <f>IF((0=1),(SUM(C291:AE291)/AE221),"")</f>
      </c>
      <c r="AF326" s="8">
        <f>IF((0=1),(SUM(C291:AF291)/AF221),"")</f>
      </c>
      <c r="AG326" s="8">
        <f>IF((0=1),(SUM(C291:AG291)/AG221),"")</f>
      </c>
      <c r="AH326" s="8">
        <f>IF((0=1),(SUM(C291:AH291)/AH221),"")</f>
      </c>
      <c r="AI326" s="8">
        <f>IF((0=1),(SUM(C291:AI291)/AI221),"")</f>
      </c>
      <c r="AJ326" s="8">
        <f>IF((0=1),(SUM(C291:AJ291)/AJ221),"")</f>
      </c>
      <c r="AK326" s="8">
        <f>IF((0=1),(SUM(C291:AK291)/AK221),"")</f>
      </c>
      <c r="AL326" s="8">
        <f>IF((0=1),(SUM(C291:AL291)/AL221),"")</f>
      </c>
      <c r="AM326" s="8">
        <f>IF((0=1),(SUM(C291:AM291)/AM221),"")</f>
      </c>
      <c r="AN326" s="8">
        <f>IF((0=1),(SUM(C291:AN291)/AN221),"")</f>
      </c>
      <c r="AO326" s="8">
        <f>IF((0=1),(SUM(C291:AO291)/AO221),"")</f>
      </c>
      <c r="AP326" s="8">
        <f>IF((0=1),(SUM(C291:AP291)/AP221),"")</f>
      </c>
      <c r="AQ326" s="8">
        <f>IF((0=1),(SUM(C291:AQ291)/AQ221),"")</f>
      </c>
      <c r="AR326" s="8">
        <f>IF((0=1),(SUM(C291:AR291)/AR221),"")</f>
      </c>
      <c r="AS326" s="8">
        <f>IF((0=1),(SUM(C291:AS291)/AS221),"")</f>
      </c>
      <c r="AT326" s="8">
        <f>IF((0=1),(SUM(C291:AT291)/AT221),"")</f>
      </c>
      <c r="AU326" s="8">
        <f>IF((0=1),(SUM(C291:AU291)/AU221),"")</f>
      </c>
      <c r="AV326" s="8">
        <f>IF((0=1),(SUM(C291:AV291)/AV221),"")</f>
      </c>
      <c r="AW326" s="8">
        <f>IF((0=1),(SUM(C291:AW291)/AW221),"")</f>
      </c>
      <c r="AX326" s="8">
        <f>IF((0=1),(SUM(C291:AX291)/AX221),"")</f>
      </c>
      <c r="AY326" s="8">
        <f>IF((0=1),(SUM(C291:AY291)/AY221),"")</f>
      </c>
      <c r="AZ326" s="8">
        <f>IF((0=1),(SUM(C291:AZ291)/AZ221),"")</f>
      </c>
      <c r="BA326" s="8">
        <f>IF((0=1),(SUM(C291:BA291)/BA221),"")</f>
      </c>
      <c r="BB326" s="8">
        <f>IF((0=1),(SUM(C291:BB291)/BB221),"")</f>
      </c>
      <c r="BC326" s="8">
        <f>IF((0=1),(SUM(C291:BC291)/BC221),"")</f>
      </c>
      <c r="BD326" s="8">
        <f>IF((0=1),(SUM(C291:BD291)/BD221),"")</f>
      </c>
      <c r="BE326" s="8">
        <f>IF((0=1),(SUM(C291:BE291)/BE221),"")</f>
      </c>
      <c r="BF326" s="8">
        <f>IF((0=1),(SUM(C291:BF291)/BF221),"")</f>
      </c>
      <c r="BG326" s="8">
        <f>IF((0=1),(SUM(C291:BG291)/BG221),"")</f>
      </c>
      <c r="BH326" s="8">
        <f>IF((0=1),(SUM(C291:BH291)/BH221),"")</f>
      </c>
      <c r="BI326" s="8">
        <f>IF((0=1),(SUM(C291:BI291)/BI221),"")</f>
      </c>
      <c r="BJ326" s="8">
        <f>IF((0=1),(SUM(C291:BJ291)/BJ221),"")</f>
      </c>
      <c r="BK326" s="8">
        <f>IF((0=1),(SUM(C291:BK291)/BK221),"")</f>
      </c>
      <c r="BL326" s="8">
        <f>IF((0=1),(SUM(C291:BL291)/BL221),"")</f>
      </c>
      <c r="BM326" s="8">
        <f>IF((0=1),(SUM(C291:BM291)/BM221),"")</f>
      </c>
      <c r="BN326" s="8">
        <f>IF((0=1),(SUM(C291:BN291)/BN221),"")</f>
      </c>
      <c r="BO326" s="8">
        <f>IF((0=1),(SUM(C291:BO291)/BO221),"")</f>
      </c>
      <c r="BP326" s="8">
        <f>IF((0=1),(SUM(C291:BP291)/BP221),"")</f>
      </c>
      <c r="BQ326" s="8">
        <f>IF((0=1),(SUM(C291:BQ291)/BQ221),"")</f>
      </c>
      <c r="BR326" s="8">
        <f>IF((0=1),(SUM(C291:BR291)/BR221),"")</f>
      </c>
      <c r="BS326" s="8">
        <f>IF((0=1),(SUM(C291:BS291)/BS221),"")</f>
      </c>
      <c r="BT326" s="8">
        <f>IF((0=1),(SUM(C291:BT291)/BT221),"")</f>
      </c>
      <c r="BU326" s="8">
        <f>IF((0=1),(SUM(C291:BU291)/BU221),"")</f>
      </c>
      <c r="BV326" s="8">
        <f>IF((0=1),(SUM(C291:BV291)/BV221),"")</f>
      </c>
      <c r="BW326" s="8">
        <f>IF((0=1),(SUM(C291:BW291)/BW221),"")</f>
      </c>
      <c r="BX326" s="8">
        <f>IF((0=1),(SUM(C291:BX291)/BX221),"")</f>
      </c>
      <c r="BY326" s="8">
        <f>IF((0=1),(SUM(C291:BY291)/BY221),"")</f>
      </c>
      <c r="BZ326" s="8">
        <f>IF((0=1),(SUM(C291:BZ291)/BZ221),"")</f>
      </c>
      <c r="CA326" s="8">
        <f>IF((0=1),(SUM(C291:CA291)/CA221),"")</f>
      </c>
      <c r="CB326" s="8">
        <f>IF((0=1),(SUM(C291:CB291)/CB221),"")</f>
      </c>
      <c r="CC326" s="8">
        <f>IF((0=1),(SUM(C291:CC291)/CC221),"")</f>
      </c>
      <c r="CD326" s="8">
        <f>IF((0=1),(SUM(C291:CD291)/CD221),"")</f>
      </c>
      <c r="CE326" s="8">
        <f>IF((0=1),(SUM(C291:CE291)/CE221),"")</f>
      </c>
      <c r="CF326" s="8">
        <f>IF((0=1),(SUM(C291:CF291)/CF221),"")</f>
      </c>
      <c r="CG326" s="8">
        <f>IF((0=1),(SUM(C291:CG291)/CG221),"")</f>
      </c>
      <c r="CH326" s="8">
        <f>IF((0=1),(SUM(C291:CH291)/CH221),"")</f>
      </c>
      <c r="CI326" s="8">
        <f>IF((0=1),(SUM(C291:CI291)/CI221),"")</f>
      </c>
      <c r="CJ326" s="8">
        <f>IF((0=1),(SUM(C291:CJ291)/CJ221),"")</f>
      </c>
      <c r="CK326" s="8">
        <f>IF((0=1),(SUM(C291:CK291)/CK221),"")</f>
      </c>
      <c r="CL326" s="8">
        <f>IF((0=1),(SUM(C291:CL291)/CL221),"")</f>
      </c>
      <c r="CM326" s="8">
        <f>IF((0=1),(SUM(C291:CM291)/CM221),"")</f>
      </c>
      <c r="CN326" s="8">
        <f>IF((0=1),(SUM(C291:CN291)/CN221),"")</f>
      </c>
      <c r="CO326" s="8">
        <f>IF((0=1),(SUM(C291:CO291)/CO221),"")</f>
      </c>
      <c r="CP326" s="8">
        <f>IF((0=1),(SUM(C291:CP291)/CP221),"")</f>
      </c>
      <c r="CQ326" s="8">
        <f>IF((0=1),(SUM(C291:CQ291)/CQ221),"")</f>
      </c>
      <c r="CR326" s="8">
        <f>IF((0=1),(SUM(C291:CR291)/CR221),"")</f>
      </c>
      <c r="CS326" s="8">
        <f>IF((0=1),(SUM(C291:CS291)/CS221),"")</f>
      </c>
      <c r="CT326" s="8">
        <f>IF((0=1),(SUM(C291:CT291)/CT221),"")</f>
      </c>
      <c r="CU326" s="8">
        <f>IF((0=1),(SUM(C291:CU291)/CU221),"")</f>
      </c>
      <c r="CV326" s="8">
        <f>IF((0=1),(SUM(C291:CV291)/CV221),"")</f>
      </c>
      <c r="CW326" s="8">
        <f>IF((0=1),(SUM(C291:CW291)/CW221),"")</f>
      </c>
      <c r="CX326" s="8">
        <f>IF((0=1),(SUM(C291:CX291)/CX221),"")</f>
      </c>
    </row>
    <row r="327">
      <c r="A327" s="0" t="inlineStr">
        <is>
          <t xml:space="preserve">Running mean of squares</t>
        </is>
      </c>
      <c r="B327" s="0" t="inlineStr">
        <is>
          <t xml:space="preserve">Same-Month Seasonality</t>
        </is>
      </c>
      <c r="C327" s="8">
        <f>IF((1=1),(SUM(C292)/C222),"")</f>
        <v>465.43747600000006</v>
      </c>
      <c r="D327" s="8">
        <f>IF((0=1),(SUM(C292:D292)/D222),"")</f>
      </c>
      <c r="E327" s="8">
        <f>IF((0=1),(SUM(C292:E292)/E222),"")</f>
      </c>
      <c r="F327" s="8">
        <f>IF((0=1),(SUM(C292:F292)/F222),"")</f>
      </c>
      <c r="G327" s="8">
        <f>IF((0=1),(SUM(C292:G292)/G222),"")</f>
      </c>
      <c r="H327" s="8">
        <f>IF((0=1),(SUM(C292:H292)/H222),"")</f>
      </c>
      <c r="I327" s="8">
        <f>IF((0=1),(SUM(C292:I292)/I222),"")</f>
      </c>
      <c r="J327" s="8">
        <f>IF((0=1),(SUM(C292:J292)/J222),"")</f>
      </c>
      <c r="K327" s="8">
        <f>IF((0=1),(SUM(C292:K292)/K222),"")</f>
      </c>
      <c r="L327" s="8">
        <f>IF((0=1),(SUM(C292:L292)/L222),"")</f>
      </c>
      <c r="M327" s="8">
        <f>IF((0=1),(SUM(C292:M292)/M222),"")</f>
      </c>
      <c r="N327" s="8">
        <f>IF((0=1),(SUM(C292:N292)/N222),"")</f>
      </c>
      <c r="O327" s="8">
        <f>IF((0=1),(SUM(C292:O292)/O222),"")</f>
      </c>
      <c r="P327" s="8">
        <f>IF((0=1),(SUM(C292:P292)/P222),"")</f>
      </c>
      <c r="Q327" s="8">
        <f>IF((0=1),(SUM(C292:Q292)/Q222),"")</f>
      </c>
      <c r="R327" s="8">
        <f>IF((0=1),(SUM(C292:R292)/R222),"")</f>
      </c>
      <c r="S327" s="8">
        <f>IF((0=1),(SUM(C292:S292)/S222),"")</f>
      </c>
      <c r="T327" s="8">
        <f>IF((0=1),(SUM(C292:T292)/T222),"")</f>
      </c>
      <c r="U327" s="8">
        <f>IF((0=1),(SUM(C292:U292)/U222),"")</f>
      </c>
      <c r="V327" s="8">
        <f>IF((0=1),(SUM(C292:V292)/V222),"")</f>
      </c>
      <c r="W327" s="8">
        <f>IF((0=1),(SUM(C292:W292)/W222),"")</f>
      </c>
      <c r="X327" s="8">
        <f>IF((0=1),(SUM(C292:X292)/X222),"")</f>
      </c>
      <c r="Y327" s="8">
        <f>IF((0=1),(SUM(C292:Y292)/Y222),"")</f>
      </c>
      <c r="Z327" s="8">
        <f>IF((0=1),(SUM(C292:Z292)/Z222),"")</f>
      </c>
      <c r="AA327" s="8">
        <f>IF((0=1),(SUM(C292:AA292)/AA222),"")</f>
      </c>
      <c r="AB327" s="8">
        <f>IF((0=1),(SUM(C292:AB292)/AB222),"")</f>
      </c>
      <c r="AC327" s="8">
        <f>IF((0=1),(SUM(C292:AC292)/AC222),"")</f>
      </c>
      <c r="AD327" s="8">
        <f>IF((0=1),(SUM(C292:AD292)/AD222),"")</f>
      </c>
      <c r="AE327" s="8">
        <f>IF((0=1),(SUM(C292:AE292)/AE222),"")</f>
      </c>
      <c r="AF327" s="8">
        <f>IF((0=1),(SUM(C292:AF292)/AF222),"")</f>
      </c>
      <c r="AG327" s="8">
        <f>IF((0=1),(SUM(C292:AG292)/AG222),"")</f>
      </c>
      <c r="AH327" s="8">
        <f>IF((0=1),(SUM(C292:AH292)/AH222),"")</f>
      </c>
      <c r="AI327" s="8">
        <f>IF((0=1),(SUM(C292:AI292)/AI222),"")</f>
      </c>
      <c r="AJ327" s="8">
        <f>IF((0=1),(SUM(C292:AJ292)/AJ222),"")</f>
      </c>
      <c r="AK327" s="8">
        <f>IF((0=1),(SUM(C292:AK292)/AK222),"")</f>
      </c>
      <c r="AL327" s="8">
        <f>IF((0=1),(SUM(C292:AL292)/AL222),"")</f>
      </c>
      <c r="AM327" s="8">
        <f>IF((0=1),(SUM(C292:AM292)/AM222),"")</f>
      </c>
      <c r="AN327" s="8">
        <f>IF((0=1),(SUM(C292:AN292)/AN222),"")</f>
      </c>
      <c r="AO327" s="8">
        <f>IF((0=1),(SUM(C292:AO292)/AO222),"")</f>
      </c>
      <c r="AP327" s="8">
        <f>IF((0=1),(SUM(C292:AP292)/AP222),"")</f>
      </c>
      <c r="AQ327" s="8">
        <f>IF((0=1),(SUM(C292:AQ292)/AQ222),"")</f>
      </c>
      <c r="AR327" s="8">
        <f>IF((0=1),(SUM(C292:AR292)/AR222),"")</f>
      </c>
      <c r="AS327" s="8">
        <f>IF((0=1),(SUM(C292:AS292)/AS222),"")</f>
      </c>
      <c r="AT327" s="8">
        <f>IF((0=1),(SUM(C292:AT292)/AT222),"")</f>
      </c>
      <c r="AU327" s="8">
        <f>IF((0=1),(SUM(C292:AU292)/AU222),"")</f>
      </c>
      <c r="AV327" s="8">
        <f>IF((0=1),(SUM(C292:AV292)/AV222),"")</f>
      </c>
      <c r="AW327" s="8">
        <f>IF((0=1),(SUM(C292:AW292)/AW222),"")</f>
      </c>
      <c r="AX327" s="8">
        <f>IF((0=1),(SUM(C292:AX292)/AX222),"")</f>
      </c>
      <c r="AY327" s="8">
        <f>IF((0=1),(SUM(C292:AY292)/AY222),"")</f>
      </c>
      <c r="AZ327" s="8">
        <f>IF((0=1),(SUM(C292:AZ292)/AZ222),"")</f>
      </c>
      <c r="BA327" s="8">
        <f>IF((0=1),(SUM(C292:BA292)/BA222),"")</f>
      </c>
      <c r="BB327" s="8">
        <f>IF((0=1),(SUM(C292:BB292)/BB222),"")</f>
      </c>
      <c r="BC327" s="8">
        <f>IF((0=1),(SUM(C292:BC292)/BC222),"")</f>
      </c>
      <c r="BD327" s="8">
        <f>IF((0=1),(SUM(C292:BD292)/BD222),"")</f>
      </c>
      <c r="BE327" s="8">
        <f>IF((0=1),(SUM(C292:BE292)/BE222),"")</f>
      </c>
      <c r="BF327" s="8">
        <f>IF((0=1),(SUM(C292:BF292)/BF222),"")</f>
      </c>
      <c r="BG327" s="8">
        <f>IF((0=1),(SUM(C292:BG292)/BG222),"")</f>
      </c>
      <c r="BH327" s="8">
        <f>IF((0=1),(SUM(C292:BH292)/BH222),"")</f>
      </c>
      <c r="BI327" s="8">
        <f>IF((0=1),(SUM(C292:BI292)/BI222),"")</f>
      </c>
      <c r="BJ327" s="8">
        <f>IF((0=1),(SUM(C292:BJ292)/BJ222),"")</f>
      </c>
      <c r="BK327" s="8">
        <f>IF((0=1),(SUM(C292:BK292)/BK222),"")</f>
      </c>
      <c r="BL327" s="8">
        <f>IF((0=1),(SUM(C292:BL292)/BL222),"")</f>
      </c>
      <c r="BM327" s="8">
        <f>IF((0=1),(SUM(C292:BM292)/BM222),"")</f>
      </c>
      <c r="BN327" s="8">
        <f>IF((0=1),(SUM(C292:BN292)/BN222),"")</f>
      </c>
      <c r="BO327" s="8">
        <f>IF((0=1),(SUM(C292:BO292)/BO222),"")</f>
      </c>
      <c r="BP327" s="8">
        <f>IF((0=1),(SUM(C292:BP292)/BP222),"")</f>
      </c>
      <c r="BQ327" s="8">
        <f>IF((0=1),(SUM(C292:BQ292)/BQ222),"")</f>
      </c>
      <c r="BR327" s="8">
        <f>IF((0=1),(SUM(C292:BR292)/BR222),"")</f>
      </c>
      <c r="BS327" s="8">
        <f>IF((0=1),(SUM(C292:BS292)/BS222),"")</f>
      </c>
      <c r="BT327" s="8">
        <f>IF((0=1),(SUM(C292:BT292)/BT222),"")</f>
      </c>
      <c r="BU327" s="8">
        <f>IF((0=1),(SUM(C292:BU292)/BU222),"")</f>
      </c>
      <c r="BV327" s="8">
        <f>IF((0=1),(SUM(C292:BV292)/BV222),"")</f>
      </c>
      <c r="BW327" s="8">
        <f>IF((0=1),(SUM(C292:BW292)/BW222),"")</f>
      </c>
      <c r="BX327" s="8">
        <f>IF((0=1),(SUM(C292:BX292)/BX222),"")</f>
      </c>
      <c r="BY327" s="8">
        <f>IF((0=1),(SUM(C292:BY292)/BY222),"")</f>
      </c>
      <c r="BZ327" s="8">
        <f>IF((0=1),(SUM(C292:BZ292)/BZ222),"")</f>
      </c>
      <c r="CA327" s="8">
        <f>IF((0=1),(SUM(C292:CA292)/CA222),"")</f>
      </c>
      <c r="CB327" s="8">
        <f>IF((0=1),(SUM(C292:CB292)/CB222),"")</f>
      </c>
      <c r="CC327" s="8">
        <f>IF((0=1),(SUM(C292:CC292)/CC222),"")</f>
      </c>
      <c r="CD327" s="8">
        <f>IF((0=1),(SUM(C292:CD292)/CD222),"")</f>
      </c>
      <c r="CE327" s="8">
        <f>IF((0=1),(SUM(C292:CE292)/CE222),"")</f>
      </c>
      <c r="CF327" s="8">
        <f>IF((0=1),(SUM(C292:CF292)/CF222),"")</f>
      </c>
      <c r="CG327" s="8">
        <f>IF((0=1),(SUM(C292:CG292)/CG222),"")</f>
      </c>
      <c r="CH327" s="8">
        <f>IF((0=1),(SUM(C292:CH292)/CH222),"")</f>
      </c>
      <c r="CI327" s="8">
        <f>IF((0=1),(SUM(C292:CI292)/CI222),"")</f>
      </c>
      <c r="CJ327" s="8">
        <f>IF((0=1),(SUM(C292:CJ292)/CJ222),"")</f>
      </c>
      <c r="CK327" s="8">
        <f>IF((0=1),(SUM(C292:CK292)/CK222),"")</f>
      </c>
      <c r="CL327" s="8">
        <f>IF((0=1),(SUM(C292:CL292)/CL222),"")</f>
      </c>
      <c r="CM327" s="8">
        <f>IF((0=1),(SUM(C292:CM292)/CM222),"")</f>
      </c>
      <c r="CN327" s="8">
        <f>IF((0=1),(SUM(C292:CN292)/CN222),"")</f>
      </c>
      <c r="CO327" s="8">
        <f>IF((0=1),(SUM(C292:CO292)/CO222),"")</f>
      </c>
      <c r="CP327" s="8">
        <f>IF((0=1),(SUM(C292:CP292)/CP222),"")</f>
      </c>
      <c r="CQ327" s="8">
        <f>IF((0=1),(SUM(C292:CQ292)/CQ222),"")</f>
      </c>
      <c r="CR327" s="8">
        <f>IF((0=1),(SUM(C292:CR292)/CR222),"")</f>
      </c>
      <c r="CS327" s="8">
        <f>IF((0=1),(SUM(C292:CS292)/CS222),"")</f>
      </c>
      <c r="CT327" s="8">
        <f>IF((0=1),(SUM(C292:CT292)/CT222),"")</f>
      </c>
      <c r="CU327" s="8">
        <f>IF((0=1),(SUM(C292:CU292)/CU222),"")</f>
      </c>
      <c r="CV327" s="8">
        <f>IF((0=1),(SUM(C292:CV292)/CV222),"")</f>
      </c>
      <c r="CW327" s="8">
        <f>IF((0=1),(SUM(C292:CW292)/CW222),"")</f>
      </c>
      <c r="CX327" s="8">
        <f>IF((0=1),(SUM(C292:CX292)/CX222),"")</f>
      </c>
    </row>
    <row r="328">
      <c r="A328" s="0" t="inlineStr">
        <is>
          <t xml:space="preserve">Running mean of squares</t>
        </is>
      </c>
      <c r="B328" s="0" t="inlineStr">
        <is>
          <t xml:space="preserve">Quality at a Reasonable Price</t>
        </is>
      </c>
      <c r="C328" s="8">
        <f>IF((1=1),(SUM(C293)/C223),"")</f>
        <v>0.007395999999999999</v>
      </c>
      <c r="D328" s="8">
        <f>IF((0=1),(SUM(C293:D293)/D223),"")</f>
      </c>
      <c r="E328" s="8">
        <f>IF((0=1),(SUM(C293:E293)/E223),"")</f>
      </c>
      <c r="F328" s="8">
        <f>IF((0=1),(SUM(C293:F293)/F223),"")</f>
      </c>
      <c r="G328" s="8">
        <f>IF((0=1),(SUM(C293:G293)/G223),"")</f>
      </c>
      <c r="H328" s="8">
        <f>IF((0=1),(SUM(C293:H293)/H223),"")</f>
      </c>
      <c r="I328" s="8">
        <f>IF((0=1),(SUM(C293:I293)/I223),"")</f>
      </c>
      <c r="J328" s="8">
        <f>IF((0=1),(SUM(C293:J293)/J223),"")</f>
      </c>
      <c r="K328" s="8">
        <f>IF((0=1),(SUM(C293:K293)/K223),"")</f>
      </c>
      <c r="L328" s="8">
        <f>IF((0=1),(SUM(C293:L293)/L223),"")</f>
      </c>
      <c r="M328" s="8">
        <f>IF((0=1),(SUM(C293:M293)/M223),"")</f>
      </c>
      <c r="N328" s="8">
        <f>IF((0=1),(SUM(C293:N293)/N223),"")</f>
      </c>
      <c r="O328" s="8">
        <f>IF((0=1),(SUM(C293:O293)/O223),"")</f>
      </c>
      <c r="P328" s="8">
        <f>IF((0=1),(SUM(C293:P293)/P223),"")</f>
      </c>
      <c r="Q328" s="8">
        <f>IF((0=1),(SUM(C293:Q293)/Q223),"")</f>
      </c>
      <c r="R328" s="8">
        <f>IF((0=1),(SUM(C293:R293)/R223),"")</f>
      </c>
      <c r="S328" s="8">
        <f>IF((0=1),(SUM(C293:S293)/S223),"")</f>
      </c>
      <c r="T328" s="8">
        <f>IF((0=1),(SUM(C293:T293)/T223),"")</f>
      </c>
      <c r="U328" s="8">
        <f>IF((0=1),(SUM(C293:U293)/U223),"")</f>
      </c>
      <c r="V328" s="8">
        <f>IF((0=1),(SUM(C293:V293)/V223),"")</f>
      </c>
      <c r="W328" s="8">
        <f>IF((0=1),(SUM(C293:W293)/W223),"")</f>
      </c>
      <c r="X328" s="8">
        <f>IF((0=1),(SUM(C293:X293)/X223),"")</f>
      </c>
      <c r="Y328" s="8">
        <f>IF((0=1),(SUM(C293:Y293)/Y223),"")</f>
      </c>
      <c r="Z328" s="8">
        <f>IF((0=1),(SUM(C293:Z293)/Z223),"")</f>
      </c>
      <c r="AA328" s="8">
        <f>IF((0=1),(SUM(C293:AA293)/AA223),"")</f>
      </c>
      <c r="AB328" s="8">
        <f>IF((0=1),(SUM(C293:AB293)/AB223),"")</f>
      </c>
      <c r="AC328" s="8">
        <f>IF((0=1),(SUM(C293:AC293)/AC223),"")</f>
      </c>
      <c r="AD328" s="8">
        <f>IF((0=1),(SUM(C293:AD293)/AD223),"")</f>
      </c>
      <c r="AE328" s="8">
        <f>IF((0=1),(SUM(C293:AE293)/AE223),"")</f>
      </c>
      <c r="AF328" s="8">
        <f>IF((0=1),(SUM(C293:AF293)/AF223),"")</f>
      </c>
      <c r="AG328" s="8">
        <f>IF((0=1),(SUM(C293:AG293)/AG223),"")</f>
      </c>
      <c r="AH328" s="8">
        <f>IF((0=1),(SUM(C293:AH293)/AH223),"")</f>
      </c>
      <c r="AI328" s="8">
        <f>IF((0=1),(SUM(C293:AI293)/AI223),"")</f>
      </c>
      <c r="AJ328" s="8">
        <f>IF((0=1),(SUM(C293:AJ293)/AJ223),"")</f>
      </c>
      <c r="AK328" s="8">
        <f>IF((0=1),(SUM(C293:AK293)/AK223),"")</f>
      </c>
      <c r="AL328" s="8">
        <f>IF((0=1),(SUM(C293:AL293)/AL223),"")</f>
      </c>
      <c r="AM328" s="8">
        <f>IF((0=1),(SUM(C293:AM293)/AM223),"")</f>
      </c>
      <c r="AN328" s="8">
        <f>IF((0=1),(SUM(C293:AN293)/AN223),"")</f>
      </c>
      <c r="AO328" s="8">
        <f>IF((0=1),(SUM(C293:AO293)/AO223),"")</f>
      </c>
      <c r="AP328" s="8">
        <f>IF((0=1),(SUM(C293:AP293)/AP223),"")</f>
      </c>
      <c r="AQ328" s="8">
        <f>IF((0=1),(SUM(C293:AQ293)/AQ223),"")</f>
      </c>
      <c r="AR328" s="8">
        <f>IF((0=1),(SUM(C293:AR293)/AR223),"")</f>
      </c>
      <c r="AS328" s="8">
        <f>IF((0=1),(SUM(C293:AS293)/AS223),"")</f>
      </c>
      <c r="AT328" s="8">
        <f>IF((0=1),(SUM(C293:AT293)/AT223),"")</f>
      </c>
      <c r="AU328" s="8">
        <f>IF((0=1),(SUM(C293:AU293)/AU223),"")</f>
      </c>
      <c r="AV328" s="8">
        <f>IF((0=1),(SUM(C293:AV293)/AV223),"")</f>
      </c>
      <c r="AW328" s="8">
        <f>IF((0=1),(SUM(C293:AW293)/AW223),"")</f>
      </c>
      <c r="AX328" s="8">
        <f>IF((0=1),(SUM(C293:AX293)/AX223),"")</f>
      </c>
      <c r="AY328" s="8">
        <f>IF((0=1),(SUM(C293:AY293)/AY223),"")</f>
      </c>
      <c r="AZ328" s="8">
        <f>IF((0=1),(SUM(C293:AZ293)/AZ223),"")</f>
      </c>
      <c r="BA328" s="8">
        <f>IF((0=1),(SUM(C293:BA293)/BA223),"")</f>
      </c>
      <c r="BB328" s="8">
        <f>IF((0=1),(SUM(C293:BB293)/BB223),"")</f>
      </c>
      <c r="BC328" s="8">
        <f>IF((0=1),(SUM(C293:BC293)/BC223),"")</f>
      </c>
      <c r="BD328" s="8">
        <f>IF((0=1),(SUM(C293:BD293)/BD223),"")</f>
      </c>
      <c r="BE328" s="8">
        <f>IF((0=1),(SUM(C293:BE293)/BE223),"")</f>
      </c>
      <c r="BF328" s="8">
        <f>IF((0=1),(SUM(C293:BF293)/BF223),"")</f>
      </c>
      <c r="BG328" s="8">
        <f>IF((0=1),(SUM(C293:BG293)/BG223),"")</f>
      </c>
      <c r="BH328" s="8">
        <f>IF((0=1),(SUM(C293:BH293)/BH223),"")</f>
      </c>
      <c r="BI328" s="8">
        <f>IF((0=1),(SUM(C293:BI293)/BI223),"")</f>
      </c>
      <c r="BJ328" s="8">
        <f>IF((0=1),(SUM(C293:BJ293)/BJ223),"")</f>
      </c>
      <c r="BK328" s="8">
        <f>IF((0=1),(SUM(C293:BK293)/BK223),"")</f>
      </c>
      <c r="BL328" s="8">
        <f>IF((0=1),(SUM(C293:BL293)/BL223),"")</f>
      </c>
      <c r="BM328" s="8">
        <f>IF((0=1),(SUM(C293:BM293)/BM223),"")</f>
      </c>
      <c r="BN328" s="8">
        <f>IF((0=1),(SUM(C293:BN293)/BN223),"")</f>
      </c>
      <c r="BO328" s="8">
        <f>IF((0=1),(SUM(C293:BO293)/BO223),"")</f>
      </c>
      <c r="BP328" s="8">
        <f>IF((0=1),(SUM(C293:BP293)/BP223),"")</f>
      </c>
      <c r="BQ328" s="8">
        <f>IF((0=1),(SUM(C293:BQ293)/BQ223),"")</f>
      </c>
      <c r="BR328" s="8">
        <f>IF((0=1),(SUM(C293:BR293)/BR223),"")</f>
      </c>
      <c r="BS328" s="8">
        <f>IF((0=1),(SUM(C293:BS293)/BS223),"")</f>
      </c>
      <c r="BT328" s="8">
        <f>IF((0=1),(SUM(C293:BT293)/BT223),"")</f>
      </c>
      <c r="BU328" s="8">
        <f>IF((0=1),(SUM(C293:BU293)/BU223),"")</f>
      </c>
      <c r="BV328" s="8">
        <f>IF((0=1),(SUM(C293:BV293)/BV223),"")</f>
      </c>
      <c r="BW328" s="8">
        <f>IF((0=1),(SUM(C293:BW293)/BW223),"")</f>
      </c>
      <c r="BX328" s="8">
        <f>IF((0=1),(SUM(C293:BX293)/BX223),"")</f>
      </c>
      <c r="BY328" s="8">
        <f>IF((0=1),(SUM(C293:BY293)/BY223),"")</f>
      </c>
      <c r="BZ328" s="8">
        <f>IF((0=1),(SUM(C293:BZ293)/BZ223),"")</f>
      </c>
      <c r="CA328" s="8">
        <f>IF((0=1),(SUM(C293:CA293)/CA223),"")</f>
      </c>
      <c r="CB328" s="8">
        <f>IF((0=1),(SUM(C293:CB293)/CB223),"")</f>
      </c>
      <c r="CC328" s="8">
        <f>IF((0=1),(SUM(C293:CC293)/CC223),"")</f>
      </c>
      <c r="CD328" s="8">
        <f>IF((0=1),(SUM(C293:CD293)/CD223),"")</f>
      </c>
      <c r="CE328" s="8">
        <f>IF((0=1),(SUM(C293:CE293)/CE223),"")</f>
      </c>
      <c r="CF328" s="8">
        <f>IF((0=1),(SUM(C293:CF293)/CF223),"")</f>
      </c>
      <c r="CG328" s="8">
        <f>IF((0=1),(SUM(C293:CG293)/CG223),"")</f>
      </c>
      <c r="CH328" s="8">
        <f>IF((0=1),(SUM(C293:CH293)/CH223),"")</f>
      </c>
      <c r="CI328" s="8">
        <f>IF((0=1),(SUM(C293:CI293)/CI223),"")</f>
      </c>
      <c r="CJ328" s="8">
        <f>IF((0=1),(SUM(C293:CJ293)/CJ223),"")</f>
      </c>
      <c r="CK328" s="8">
        <f>IF((0=1),(SUM(C293:CK293)/CK223),"")</f>
      </c>
      <c r="CL328" s="8">
        <f>IF((0=1),(SUM(C293:CL293)/CL223),"")</f>
      </c>
      <c r="CM328" s="8">
        <f>IF((0=1),(SUM(C293:CM293)/CM223),"")</f>
      </c>
      <c r="CN328" s="8">
        <f>IF((0=1),(SUM(C293:CN293)/CN223),"")</f>
      </c>
      <c r="CO328" s="8">
        <f>IF((0=1),(SUM(C293:CO293)/CO223),"")</f>
      </c>
      <c r="CP328" s="8">
        <f>IF((0=1),(SUM(C293:CP293)/CP223),"")</f>
      </c>
      <c r="CQ328" s="8">
        <f>IF((0=1),(SUM(C293:CQ293)/CQ223),"")</f>
      </c>
      <c r="CR328" s="8">
        <f>IF((0=1),(SUM(C293:CR293)/CR223),"")</f>
      </c>
      <c r="CS328" s="8">
        <f>IF((0=1),(SUM(C293:CS293)/CS223),"")</f>
      </c>
      <c r="CT328" s="8">
        <f>IF((0=1),(SUM(C293:CT293)/CT223),"")</f>
      </c>
      <c r="CU328" s="8">
        <f>IF((0=1),(SUM(C293:CU293)/CU223),"")</f>
      </c>
      <c r="CV328" s="8">
        <f>IF((0=1),(SUM(C293:CV293)/CV223),"")</f>
      </c>
      <c r="CW328" s="8">
        <f>IF((0=1),(SUM(C293:CW293)/CW223),"")</f>
      </c>
      <c r="CX328" s="8">
        <f>IF((0=1),(SUM(C293:CX293)/CX223),"")</f>
      </c>
    </row>
    <row r="329">
      <c r="A329" s="0" t="inlineStr">
        <is>
          <t xml:space="preserve">Running mean of squares</t>
        </is>
      </c>
      <c r="B329" s="0" t="inlineStr">
        <is>
          <t xml:space="preserve">Residual Momentum</t>
        </is>
      </c>
      <c r="C329" s="8">
        <f>IF((1=1),(SUM(C294)/C224),"")</f>
        <v>194.212096</v>
      </c>
      <c r="D329" s="8">
        <f>IF((0=1),(SUM(C294:D294)/D224),"")</f>
      </c>
      <c r="E329" s="8">
        <f>IF((0=1),(SUM(C294:E294)/E224),"")</f>
      </c>
      <c r="F329" s="8">
        <f>IF((0=1),(SUM(C294:F294)/F224),"")</f>
      </c>
      <c r="G329" s="8">
        <f>IF((0=1),(SUM(C294:G294)/G224),"")</f>
      </c>
      <c r="H329" s="8">
        <f>IF((0=1),(SUM(C294:H294)/H224),"")</f>
      </c>
      <c r="I329" s="8">
        <f>IF((0=1),(SUM(C294:I294)/I224),"")</f>
      </c>
      <c r="J329" s="8">
        <f>IF((0=1),(SUM(C294:J294)/J224),"")</f>
      </c>
      <c r="K329" s="8">
        <f>IF((0=1),(SUM(C294:K294)/K224),"")</f>
      </c>
      <c r="L329" s="8">
        <f>IF((0=1),(SUM(C294:L294)/L224),"")</f>
      </c>
      <c r="M329" s="8">
        <f>IF((0=1),(SUM(C294:M294)/M224),"")</f>
      </c>
      <c r="N329" s="8">
        <f>IF((0=1),(SUM(C294:N294)/N224),"")</f>
      </c>
      <c r="O329" s="8">
        <f>IF((0=1),(SUM(C294:O294)/O224),"")</f>
      </c>
      <c r="P329" s="8">
        <f>IF((0=1),(SUM(C294:P294)/P224),"")</f>
      </c>
      <c r="Q329" s="8">
        <f>IF((0=1),(SUM(C294:Q294)/Q224),"")</f>
      </c>
      <c r="R329" s="8">
        <f>IF((0=1),(SUM(C294:R294)/R224),"")</f>
      </c>
      <c r="S329" s="8">
        <f>IF((0=1),(SUM(C294:S294)/S224),"")</f>
      </c>
      <c r="T329" s="8">
        <f>IF((0=1),(SUM(C294:T294)/T224),"")</f>
      </c>
      <c r="U329" s="8">
        <f>IF((0=1),(SUM(C294:U294)/U224),"")</f>
      </c>
      <c r="V329" s="8">
        <f>IF((0=1),(SUM(C294:V294)/V224),"")</f>
      </c>
      <c r="W329" s="8">
        <f>IF((0=1),(SUM(C294:W294)/W224),"")</f>
      </c>
      <c r="X329" s="8">
        <f>IF((0=1),(SUM(C294:X294)/X224),"")</f>
      </c>
      <c r="Y329" s="8">
        <f>IF((0=1),(SUM(C294:Y294)/Y224),"")</f>
      </c>
      <c r="Z329" s="8">
        <f>IF((0=1),(SUM(C294:Z294)/Z224),"")</f>
      </c>
      <c r="AA329" s="8">
        <f>IF((0=1),(SUM(C294:AA294)/AA224),"")</f>
      </c>
      <c r="AB329" s="8">
        <f>IF((0=1),(SUM(C294:AB294)/AB224),"")</f>
      </c>
      <c r="AC329" s="8">
        <f>IF((0=1),(SUM(C294:AC294)/AC224),"")</f>
      </c>
      <c r="AD329" s="8">
        <f>IF((0=1),(SUM(C294:AD294)/AD224),"")</f>
      </c>
      <c r="AE329" s="8">
        <f>IF((0=1),(SUM(C294:AE294)/AE224),"")</f>
      </c>
      <c r="AF329" s="8">
        <f>IF((0=1),(SUM(C294:AF294)/AF224),"")</f>
      </c>
      <c r="AG329" s="8">
        <f>IF((0=1),(SUM(C294:AG294)/AG224),"")</f>
      </c>
      <c r="AH329" s="8">
        <f>IF((0=1),(SUM(C294:AH294)/AH224),"")</f>
      </c>
      <c r="AI329" s="8">
        <f>IF((0=1),(SUM(C294:AI294)/AI224),"")</f>
      </c>
      <c r="AJ329" s="8">
        <f>IF((0=1),(SUM(C294:AJ294)/AJ224),"")</f>
      </c>
      <c r="AK329" s="8">
        <f>IF((0=1),(SUM(C294:AK294)/AK224),"")</f>
      </c>
      <c r="AL329" s="8">
        <f>IF((0=1),(SUM(C294:AL294)/AL224),"")</f>
      </c>
      <c r="AM329" s="8">
        <f>IF((0=1),(SUM(C294:AM294)/AM224),"")</f>
      </c>
      <c r="AN329" s="8">
        <f>IF((0=1),(SUM(C294:AN294)/AN224),"")</f>
      </c>
      <c r="AO329" s="8">
        <f>IF((0=1),(SUM(C294:AO294)/AO224),"")</f>
      </c>
      <c r="AP329" s="8">
        <f>IF((0=1),(SUM(C294:AP294)/AP224),"")</f>
      </c>
      <c r="AQ329" s="8">
        <f>IF((0=1),(SUM(C294:AQ294)/AQ224),"")</f>
      </c>
      <c r="AR329" s="8">
        <f>IF((0=1),(SUM(C294:AR294)/AR224),"")</f>
      </c>
      <c r="AS329" s="8">
        <f>IF((0=1),(SUM(C294:AS294)/AS224),"")</f>
      </c>
      <c r="AT329" s="8">
        <f>IF((0=1),(SUM(C294:AT294)/AT224),"")</f>
      </c>
      <c r="AU329" s="8">
        <f>IF((0=1),(SUM(C294:AU294)/AU224),"")</f>
      </c>
      <c r="AV329" s="8">
        <f>IF((0=1),(SUM(C294:AV294)/AV224),"")</f>
      </c>
      <c r="AW329" s="8">
        <f>IF((0=1),(SUM(C294:AW294)/AW224),"")</f>
      </c>
      <c r="AX329" s="8">
        <f>IF((0=1),(SUM(C294:AX294)/AX224),"")</f>
      </c>
      <c r="AY329" s="8">
        <f>IF((0=1),(SUM(C294:AY294)/AY224),"")</f>
      </c>
      <c r="AZ329" s="8">
        <f>IF((0=1),(SUM(C294:AZ294)/AZ224),"")</f>
      </c>
      <c r="BA329" s="8">
        <f>IF((0=1),(SUM(C294:BA294)/BA224),"")</f>
      </c>
      <c r="BB329" s="8">
        <f>IF((0=1),(SUM(C294:BB294)/BB224),"")</f>
      </c>
      <c r="BC329" s="8">
        <f>IF((0=1),(SUM(C294:BC294)/BC224),"")</f>
      </c>
      <c r="BD329" s="8">
        <f>IF((0=1),(SUM(C294:BD294)/BD224),"")</f>
      </c>
      <c r="BE329" s="8">
        <f>IF((0=1),(SUM(C294:BE294)/BE224),"")</f>
      </c>
      <c r="BF329" s="8">
        <f>IF((0=1),(SUM(C294:BF294)/BF224),"")</f>
      </c>
      <c r="BG329" s="8">
        <f>IF((0=1),(SUM(C294:BG294)/BG224),"")</f>
      </c>
      <c r="BH329" s="8">
        <f>IF((0=1),(SUM(C294:BH294)/BH224),"")</f>
      </c>
      <c r="BI329" s="8">
        <f>IF((0=1),(SUM(C294:BI294)/BI224),"")</f>
      </c>
      <c r="BJ329" s="8">
        <f>IF((0=1),(SUM(C294:BJ294)/BJ224),"")</f>
      </c>
      <c r="BK329" s="8">
        <f>IF((0=1),(SUM(C294:BK294)/BK224),"")</f>
      </c>
      <c r="BL329" s="8">
        <f>IF((0=1),(SUM(C294:BL294)/BL224),"")</f>
      </c>
      <c r="BM329" s="8">
        <f>IF((0=1),(SUM(C294:BM294)/BM224),"")</f>
      </c>
      <c r="BN329" s="8">
        <f>IF((0=1),(SUM(C294:BN294)/BN224),"")</f>
      </c>
      <c r="BO329" s="8">
        <f>IF((0=1),(SUM(C294:BO294)/BO224),"")</f>
      </c>
      <c r="BP329" s="8">
        <f>IF((0=1),(SUM(C294:BP294)/BP224),"")</f>
      </c>
      <c r="BQ329" s="8">
        <f>IF((0=1),(SUM(C294:BQ294)/BQ224),"")</f>
      </c>
      <c r="BR329" s="8">
        <f>IF((0=1),(SUM(C294:BR294)/BR224),"")</f>
      </c>
      <c r="BS329" s="8">
        <f>IF((0=1),(SUM(C294:BS294)/BS224),"")</f>
      </c>
      <c r="BT329" s="8">
        <f>IF((0=1),(SUM(C294:BT294)/BT224),"")</f>
      </c>
      <c r="BU329" s="8">
        <f>IF((0=1),(SUM(C294:BU294)/BU224),"")</f>
      </c>
      <c r="BV329" s="8">
        <f>IF((0=1),(SUM(C294:BV294)/BV224),"")</f>
      </c>
      <c r="BW329" s="8">
        <f>IF((0=1),(SUM(C294:BW294)/BW224),"")</f>
      </c>
      <c r="BX329" s="8">
        <f>IF((0=1),(SUM(C294:BX294)/BX224),"")</f>
      </c>
      <c r="BY329" s="8">
        <f>IF((0=1),(SUM(C294:BY294)/BY224),"")</f>
      </c>
      <c r="BZ329" s="8">
        <f>IF((0=1),(SUM(C294:BZ294)/BZ224),"")</f>
      </c>
      <c r="CA329" s="8">
        <f>IF((0=1),(SUM(C294:CA294)/CA224),"")</f>
      </c>
      <c r="CB329" s="8">
        <f>IF((0=1),(SUM(C294:CB294)/CB224),"")</f>
      </c>
      <c r="CC329" s="8">
        <f>IF((0=1),(SUM(C294:CC294)/CC224),"")</f>
      </c>
      <c r="CD329" s="8">
        <f>IF((0=1),(SUM(C294:CD294)/CD224),"")</f>
      </c>
      <c r="CE329" s="8">
        <f>IF((0=1),(SUM(C294:CE294)/CE224),"")</f>
      </c>
      <c r="CF329" s="8">
        <f>IF((0=1),(SUM(C294:CF294)/CF224),"")</f>
      </c>
      <c r="CG329" s="8">
        <f>IF((0=1),(SUM(C294:CG294)/CG224),"")</f>
      </c>
      <c r="CH329" s="8">
        <f>IF((0=1),(SUM(C294:CH294)/CH224),"")</f>
      </c>
      <c r="CI329" s="8">
        <f>IF((0=1),(SUM(C294:CI294)/CI224),"")</f>
      </c>
      <c r="CJ329" s="8">
        <f>IF((0=1),(SUM(C294:CJ294)/CJ224),"")</f>
      </c>
      <c r="CK329" s="8">
        <f>IF((0=1),(SUM(C294:CK294)/CK224),"")</f>
      </c>
      <c r="CL329" s="8">
        <f>IF((0=1),(SUM(C294:CL294)/CL224),"")</f>
      </c>
      <c r="CM329" s="8">
        <f>IF((0=1),(SUM(C294:CM294)/CM224),"")</f>
      </c>
      <c r="CN329" s="8">
        <f>IF((0=1),(SUM(C294:CN294)/CN224),"")</f>
      </c>
      <c r="CO329" s="8">
        <f>IF((0=1),(SUM(C294:CO294)/CO224),"")</f>
      </c>
      <c r="CP329" s="8">
        <f>IF((0=1),(SUM(C294:CP294)/CP224),"")</f>
      </c>
      <c r="CQ329" s="8">
        <f>IF((0=1),(SUM(C294:CQ294)/CQ224),"")</f>
      </c>
      <c r="CR329" s="8">
        <f>IF((0=1),(SUM(C294:CR294)/CR224),"")</f>
      </c>
      <c r="CS329" s="8">
        <f>IF((0=1),(SUM(C294:CS294)/CS224),"")</f>
      </c>
      <c r="CT329" s="8">
        <f>IF((0=1),(SUM(C294:CT294)/CT224),"")</f>
      </c>
      <c r="CU329" s="8">
        <f>IF((0=1),(SUM(C294:CU294)/CU224),"")</f>
      </c>
      <c r="CV329" s="8">
        <f>IF((0=1),(SUM(C294:CV294)/CV224),"")</f>
      </c>
      <c r="CW329" s="8">
        <f>IF((0=1),(SUM(C294:CW294)/CW224),"")</f>
      </c>
      <c r="CX329" s="8">
        <f>IF((0=1),(SUM(C294:CX294)/CX224),"")</f>
      </c>
    </row>
    <row r="330">
      <c r="A330" s="0" t="inlineStr">
        <is>
          <t xml:space="preserve">Running mean of squares</t>
        </is>
      </c>
      <c r="B330" s="0" t="inlineStr">
        <is>
          <t xml:space="preserve">Overnight Return Persistence</t>
        </is>
      </c>
      <c r="C330" s="8">
        <f>IF((1=1),(SUM(C295)/C225),"")</f>
        <v>66.78158400000001</v>
      </c>
      <c r="D330" s="8">
        <f>IF((0=1),(SUM(C295:D295)/D225),"")</f>
      </c>
      <c r="E330" s="8">
        <f>IF((0=1),(SUM(C295:E295)/E225),"")</f>
      </c>
      <c r="F330" s="8">
        <f>IF((0=1),(SUM(C295:F295)/F225),"")</f>
      </c>
      <c r="G330" s="8">
        <f>IF((0=1),(SUM(C295:G295)/G225),"")</f>
      </c>
      <c r="H330" s="8">
        <f>IF((0=1),(SUM(C295:H295)/H225),"")</f>
      </c>
      <c r="I330" s="8">
        <f>IF((0=1),(SUM(C295:I295)/I225),"")</f>
      </c>
      <c r="J330" s="8">
        <f>IF((0=1),(SUM(C295:J295)/J225),"")</f>
      </c>
      <c r="K330" s="8">
        <f>IF((0=1),(SUM(C295:K295)/K225),"")</f>
      </c>
      <c r="L330" s="8">
        <f>IF((0=1),(SUM(C295:L295)/L225),"")</f>
      </c>
      <c r="M330" s="8">
        <f>IF((0=1),(SUM(C295:M295)/M225),"")</f>
      </c>
      <c r="N330" s="8">
        <f>IF((0=1),(SUM(C295:N295)/N225),"")</f>
      </c>
      <c r="O330" s="8">
        <f>IF((0=1),(SUM(C295:O295)/O225),"")</f>
      </c>
      <c r="P330" s="8">
        <f>IF((0=1),(SUM(C295:P295)/P225),"")</f>
      </c>
      <c r="Q330" s="8">
        <f>IF((0=1),(SUM(C295:Q295)/Q225),"")</f>
      </c>
      <c r="R330" s="8">
        <f>IF((0=1),(SUM(C295:R295)/R225),"")</f>
      </c>
      <c r="S330" s="8">
        <f>IF((0=1),(SUM(C295:S295)/S225),"")</f>
      </c>
      <c r="T330" s="8">
        <f>IF((0=1),(SUM(C295:T295)/T225),"")</f>
      </c>
      <c r="U330" s="8">
        <f>IF((0=1),(SUM(C295:U295)/U225),"")</f>
      </c>
      <c r="V330" s="8">
        <f>IF((0=1),(SUM(C295:V295)/V225),"")</f>
      </c>
      <c r="W330" s="8">
        <f>IF((0=1),(SUM(C295:W295)/W225),"")</f>
      </c>
      <c r="X330" s="8">
        <f>IF((0=1),(SUM(C295:X295)/X225),"")</f>
      </c>
      <c r="Y330" s="8">
        <f>IF((0=1),(SUM(C295:Y295)/Y225),"")</f>
      </c>
      <c r="Z330" s="8">
        <f>IF((0=1),(SUM(C295:Z295)/Z225),"")</f>
      </c>
      <c r="AA330" s="8">
        <f>IF((0=1),(SUM(C295:AA295)/AA225),"")</f>
      </c>
      <c r="AB330" s="8">
        <f>IF((0=1),(SUM(C295:AB295)/AB225),"")</f>
      </c>
      <c r="AC330" s="8">
        <f>IF((0=1),(SUM(C295:AC295)/AC225),"")</f>
      </c>
      <c r="AD330" s="8">
        <f>IF((0=1),(SUM(C295:AD295)/AD225),"")</f>
      </c>
      <c r="AE330" s="8">
        <f>IF((0=1),(SUM(C295:AE295)/AE225),"")</f>
      </c>
      <c r="AF330" s="8">
        <f>IF((0=1),(SUM(C295:AF295)/AF225),"")</f>
      </c>
      <c r="AG330" s="8">
        <f>IF((0=1),(SUM(C295:AG295)/AG225),"")</f>
      </c>
      <c r="AH330" s="8">
        <f>IF((0=1),(SUM(C295:AH295)/AH225),"")</f>
      </c>
      <c r="AI330" s="8">
        <f>IF((0=1),(SUM(C295:AI295)/AI225),"")</f>
      </c>
      <c r="AJ330" s="8">
        <f>IF((0=1),(SUM(C295:AJ295)/AJ225),"")</f>
      </c>
      <c r="AK330" s="8">
        <f>IF((0=1),(SUM(C295:AK295)/AK225),"")</f>
      </c>
      <c r="AL330" s="8">
        <f>IF((0=1),(SUM(C295:AL295)/AL225),"")</f>
      </c>
      <c r="AM330" s="8">
        <f>IF((0=1),(SUM(C295:AM295)/AM225),"")</f>
      </c>
      <c r="AN330" s="8">
        <f>IF((0=1),(SUM(C295:AN295)/AN225),"")</f>
      </c>
      <c r="AO330" s="8">
        <f>IF((0=1),(SUM(C295:AO295)/AO225),"")</f>
      </c>
      <c r="AP330" s="8">
        <f>IF((0=1),(SUM(C295:AP295)/AP225),"")</f>
      </c>
      <c r="AQ330" s="8">
        <f>IF((0=1),(SUM(C295:AQ295)/AQ225),"")</f>
      </c>
      <c r="AR330" s="8">
        <f>IF((0=1),(SUM(C295:AR295)/AR225),"")</f>
      </c>
      <c r="AS330" s="8">
        <f>IF((0=1),(SUM(C295:AS295)/AS225),"")</f>
      </c>
      <c r="AT330" s="8">
        <f>IF((0=1),(SUM(C295:AT295)/AT225),"")</f>
      </c>
      <c r="AU330" s="8">
        <f>IF((0=1),(SUM(C295:AU295)/AU225),"")</f>
      </c>
      <c r="AV330" s="8">
        <f>IF((0=1),(SUM(C295:AV295)/AV225),"")</f>
      </c>
      <c r="AW330" s="8">
        <f>IF((0=1),(SUM(C295:AW295)/AW225),"")</f>
      </c>
      <c r="AX330" s="8">
        <f>IF((0=1),(SUM(C295:AX295)/AX225),"")</f>
      </c>
      <c r="AY330" s="8">
        <f>IF((0=1),(SUM(C295:AY295)/AY225),"")</f>
      </c>
      <c r="AZ330" s="8">
        <f>IF((0=1),(SUM(C295:AZ295)/AZ225),"")</f>
      </c>
      <c r="BA330" s="8">
        <f>IF((0=1),(SUM(C295:BA295)/BA225),"")</f>
      </c>
      <c r="BB330" s="8">
        <f>IF((0=1),(SUM(C295:BB295)/BB225),"")</f>
      </c>
      <c r="BC330" s="8">
        <f>IF((0=1),(SUM(C295:BC295)/BC225),"")</f>
      </c>
      <c r="BD330" s="8">
        <f>IF((0=1),(SUM(C295:BD295)/BD225),"")</f>
      </c>
      <c r="BE330" s="8">
        <f>IF((0=1),(SUM(C295:BE295)/BE225),"")</f>
      </c>
      <c r="BF330" s="8">
        <f>IF((0=1),(SUM(C295:BF295)/BF225),"")</f>
      </c>
      <c r="BG330" s="8">
        <f>IF((0=1),(SUM(C295:BG295)/BG225),"")</f>
      </c>
      <c r="BH330" s="8">
        <f>IF((0=1),(SUM(C295:BH295)/BH225),"")</f>
      </c>
      <c r="BI330" s="8">
        <f>IF((0=1),(SUM(C295:BI295)/BI225),"")</f>
      </c>
      <c r="BJ330" s="8">
        <f>IF((0=1),(SUM(C295:BJ295)/BJ225),"")</f>
      </c>
      <c r="BK330" s="8">
        <f>IF((0=1),(SUM(C295:BK295)/BK225),"")</f>
      </c>
      <c r="BL330" s="8">
        <f>IF((0=1),(SUM(C295:BL295)/BL225),"")</f>
      </c>
      <c r="BM330" s="8">
        <f>IF((0=1),(SUM(C295:BM295)/BM225),"")</f>
      </c>
      <c r="BN330" s="8">
        <f>IF((0=1),(SUM(C295:BN295)/BN225),"")</f>
      </c>
      <c r="BO330" s="8">
        <f>IF((0=1),(SUM(C295:BO295)/BO225),"")</f>
      </c>
      <c r="BP330" s="8">
        <f>IF((0=1),(SUM(C295:BP295)/BP225),"")</f>
      </c>
      <c r="BQ330" s="8">
        <f>IF((0=1),(SUM(C295:BQ295)/BQ225),"")</f>
      </c>
      <c r="BR330" s="8">
        <f>IF((0=1),(SUM(C295:BR295)/BR225),"")</f>
      </c>
      <c r="BS330" s="8">
        <f>IF((0=1),(SUM(C295:BS295)/BS225),"")</f>
      </c>
      <c r="BT330" s="8">
        <f>IF((0=1),(SUM(C295:BT295)/BT225),"")</f>
      </c>
      <c r="BU330" s="8">
        <f>IF((0=1),(SUM(C295:BU295)/BU225),"")</f>
      </c>
      <c r="BV330" s="8">
        <f>IF((0=1),(SUM(C295:BV295)/BV225),"")</f>
      </c>
      <c r="BW330" s="8">
        <f>IF((0=1),(SUM(C295:BW295)/BW225),"")</f>
      </c>
      <c r="BX330" s="8">
        <f>IF((0=1),(SUM(C295:BX295)/BX225),"")</f>
      </c>
      <c r="BY330" s="8">
        <f>IF((0=1),(SUM(C295:BY295)/BY225),"")</f>
      </c>
      <c r="BZ330" s="8">
        <f>IF((0=1),(SUM(C295:BZ295)/BZ225),"")</f>
      </c>
      <c r="CA330" s="8">
        <f>IF((0=1),(SUM(C295:CA295)/CA225),"")</f>
      </c>
      <c r="CB330" s="8">
        <f>IF((0=1),(SUM(C295:CB295)/CB225),"")</f>
      </c>
      <c r="CC330" s="8">
        <f>IF((0=1),(SUM(C295:CC295)/CC225),"")</f>
      </c>
      <c r="CD330" s="8">
        <f>IF((0=1),(SUM(C295:CD295)/CD225),"")</f>
      </c>
      <c r="CE330" s="8">
        <f>IF((0=1),(SUM(C295:CE295)/CE225),"")</f>
      </c>
      <c r="CF330" s="8">
        <f>IF((0=1),(SUM(C295:CF295)/CF225),"")</f>
      </c>
      <c r="CG330" s="8">
        <f>IF((0=1),(SUM(C295:CG295)/CG225),"")</f>
      </c>
      <c r="CH330" s="8">
        <f>IF((0=1),(SUM(C295:CH295)/CH225),"")</f>
      </c>
      <c r="CI330" s="8">
        <f>IF((0=1),(SUM(C295:CI295)/CI225),"")</f>
      </c>
      <c r="CJ330" s="8">
        <f>IF((0=1),(SUM(C295:CJ295)/CJ225),"")</f>
      </c>
      <c r="CK330" s="8">
        <f>IF((0=1),(SUM(C295:CK295)/CK225),"")</f>
      </c>
      <c r="CL330" s="8">
        <f>IF((0=1),(SUM(C295:CL295)/CL225),"")</f>
      </c>
      <c r="CM330" s="8">
        <f>IF((0=1),(SUM(C295:CM295)/CM225),"")</f>
      </c>
      <c r="CN330" s="8">
        <f>IF((0=1),(SUM(C295:CN295)/CN225),"")</f>
      </c>
      <c r="CO330" s="8">
        <f>IF((0=1),(SUM(C295:CO295)/CO225),"")</f>
      </c>
      <c r="CP330" s="8">
        <f>IF((0=1),(SUM(C295:CP295)/CP225),"")</f>
      </c>
      <c r="CQ330" s="8">
        <f>IF((0=1),(SUM(C295:CQ295)/CQ225),"")</f>
      </c>
      <c r="CR330" s="8">
        <f>IF((0=1),(SUM(C295:CR295)/CR225),"")</f>
      </c>
      <c r="CS330" s="8">
        <f>IF((0=1),(SUM(C295:CS295)/CS225),"")</f>
      </c>
      <c r="CT330" s="8">
        <f>IF((0=1),(SUM(C295:CT295)/CT225),"")</f>
      </c>
      <c r="CU330" s="8">
        <f>IF((0=1),(SUM(C295:CU295)/CU225),"")</f>
      </c>
      <c r="CV330" s="8">
        <f>IF((0=1),(SUM(C295:CV295)/CV225),"")</f>
      </c>
      <c r="CW330" s="8">
        <f>IF((0=1),(SUM(C295:CW295)/CW225),"")</f>
      </c>
      <c r="CX330" s="8">
        <f>IF((0=1),(SUM(C295:CX295)/CX225),"")</f>
      </c>
    </row>
    <row r="331">
      <c r="A331" s="0" t="inlineStr">
        <is>
          <t xml:space="preserve">Running mean of squares</t>
        </is>
      </c>
      <c r="B331" s="0" t="inlineStr">
        <is>
          <t xml:space="preserve">52-Week-High Anchoring</t>
        </is>
      </c>
      <c r="C331" s="8">
        <f>IF((1=1),(SUM(C296)/C226),"")</f>
        <v>294.60289600000004</v>
      </c>
      <c r="D331" s="8">
        <f>IF((0=1),(SUM(C296:D296)/D226),"")</f>
      </c>
      <c r="E331" s="8">
        <f>IF((0=1),(SUM(C296:E296)/E226),"")</f>
      </c>
      <c r="F331" s="8">
        <f>IF((0=1),(SUM(C296:F296)/F226),"")</f>
      </c>
      <c r="G331" s="8">
        <f>IF((0=1),(SUM(C296:G296)/G226),"")</f>
      </c>
      <c r="H331" s="8">
        <f>IF((0=1),(SUM(C296:H296)/H226),"")</f>
      </c>
      <c r="I331" s="8">
        <f>IF((0=1),(SUM(C296:I296)/I226),"")</f>
      </c>
      <c r="J331" s="8">
        <f>IF((0=1),(SUM(C296:J296)/J226),"")</f>
      </c>
      <c r="K331" s="8">
        <f>IF((0=1),(SUM(C296:K296)/K226),"")</f>
      </c>
      <c r="L331" s="8">
        <f>IF((0=1),(SUM(C296:L296)/L226),"")</f>
      </c>
      <c r="M331" s="8">
        <f>IF((0=1),(SUM(C296:M296)/M226),"")</f>
      </c>
      <c r="N331" s="8">
        <f>IF((0=1),(SUM(C296:N296)/N226),"")</f>
      </c>
      <c r="O331" s="8">
        <f>IF((0=1),(SUM(C296:O296)/O226),"")</f>
      </c>
      <c r="P331" s="8">
        <f>IF((0=1),(SUM(C296:P296)/P226),"")</f>
      </c>
      <c r="Q331" s="8">
        <f>IF((0=1),(SUM(C296:Q296)/Q226),"")</f>
      </c>
      <c r="R331" s="8">
        <f>IF((0=1),(SUM(C296:R296)/R226),"")</f>
      </c>
      <c r="S331" s="8">
        <f>IF((0=1),(SUM(C296:S296)/S226),"")</f>
      </c>
      <c r="T331" s="8">
        <f>IF((0=1),(SUM(C296:T296)/T226),"")</f>
      </c>
      <c r="U331" s="8">
        <f>IF((0=1),(SUM(C296:U296)/U226),"")</f>
      </c>
      <c r="V331" s="8">
        <f>IF((0=1),(SUM(C296:V296)/V226),"")</f>
      </c>
      <c r="W331" s="8">
        <f>IF((0=1),(SUM(C296:W296)/W226),"")</f>
      </c>
      <c r="X331" s="8">
        <f>IF((0=1),(SUM(C296:X296)/X226),"")</f>
      </c>
      <c r="Y331" s="8">
        <f>IF((0=1),(SUM(C296:Y296)/Y226),"")</f>
      </c>
      <c r="Z331" s="8">
        <f>IF((0=1),(SUM(C296:Z296)/Z226),"")</f>
      </c>
      <c r="AA331" s="8">
        <f>IF((0=1),(SUM(C296:AA296)/AA226),"")</f>
      </c>
      <c r="AB331" s="8">
        <f>IF((0=1),(SUM(C296:AB296)/AB226),"")</f>
      </c>
      <c r="AC331" s="8">
        <f>IF((0=1),(SUM(C296:AC296)/AC226),"")</f>
      </c>
      <c r="AD331" s="8">
        <f>IF((0=1),(SUM(C296:AD296)/AD226),"")</f>
      </c>
      <c r="AE331" s="8">
        <f>IF((0=1),(SUM(C296:AE296)/AE226),"")</f>
      </c>
      <c r="AF331" s="8">
        <f>IF((0=1),(SUM(C296:AF296)/AF226),"")</f>
      </c>
      <c r="AG331" s="8">
        <f>IF((0=1),(SUM(C296:AG296)/AG226),"")</f>
      </c>
      <c r="AH331" s="8">
        <f>IF((0=1),(SUM(C296:AH296)/AH226),"")</f>
      </c>
      <c r="AI331" s="8">
        <f>IF((0=1),(SUM(C296:AI296)/AI226),"")</f>
      </c>
      <c r="AJ331" s="8">
        <f>IF((0=1),(SUM(C296:AJ296)/AJ226),"")</f>
      </c>
      <c r="AK331" s="8">
        <f>IF((0=1),(SUM(C296:AK296)/AK226),"")</f>
      </c>
      <c r="AL331" s="8">
        <f>IF((0=1),(SUM(C296:AL296)/AL226),"")</f>
      </c>
      <c r="AM331" s="8">
        <f>IF((0=1),(SUM(C296:AM296)/AM226),"")</f>
      </c>
      <c r="AN331" s="8">
        <f>IF((0=1),(SUM(C296:AN296)/AN226),"")</f>
      </c>
      <c r="AO331" s="8">
        <f>IF((0=1),(SUM(C296:AO296)/AO226),"")</f>
      </c>
      <c r="AP331" s="8">
        <f>IF((0=1),(SUM(C296:AP296)/AP226),"")</f>
      </c>
      <c r="AQ331" s="8">
        <f>IF((0=1),(SUM(C296:AQ296)/AQ226),"")</f>
      </c>
      <c r="AR331" s="8">
        <f>IF((0=1),(SUM(C296:AR296)/AR226),"")</f>
      </c>
      <c r="AS331" s="8">
        <f>IF((0=1),(SUM(C296:AS296)/AS226),"")</f>
      </c>
      <c r="AT331" s="8">
        <f>IF((0=1),(SUM(C296:AT296)/AT226),"")</f>
      </c>
      <c r="AU331" s="8">
        <f>IF((0=1),(SUM(C296:AU296)/AU226),"")</f>
      </c>
      <c r="AV331" s="8">
        <f>IF((0=1),(SUM(C296:AV296)/AV226),"")</f>
      </c>
      <c r="AW331" s="8">
        <f>IF((0=1),(SUM(C296:AW296)/AW226),"")</f>
      </c>
      <c r="AX331" s="8">
        <f>IF((0=1),(SUM(C296:AX296)/AX226),"")</f>
      </c>
      <c r="AY331" s="8">
        <f>IF((0=1),(SUM(C296:AY296)/AY226),"")</f>
      </c>
      <c r="AZ331" s="8">
        <f>IF((0=1),(SUM(C296:AZ296)/AZ226),"")</f>
      </c>
      <c r="BA331" s="8">
        <f>IF((0=1),(SUM(C296:BA296)/BA226),"")</f>
      </c>
      <c r="BB331" s="8">
        <f>IF((0=1),(SUM(C296:BB296)/BB226),"")</f>
      </c>
      <c r="BC331" s="8">
        <f>IF((0=1),(SUM(C296:BC296)/BC226),"")</f>
      </c>
      <c r="BD331" s="8">
        <f>IF((0=1),(SUM(C296:BD296)/BD226),"")</f>
      </c>
      <c r="BE331" s="8">
        <f>IF((0=1),(SUM(C296:BE296)/BE226),"")</f>
      </c>
      <c r="BF331" s="8">
        <f>IF((0=1),(SUM(C296:BF296)/BF226),"")</f>
      </c>
      <c r="BG331" s="8">
        <f>IF((0=1),(SUM(C296:BG296)/BG226),"")</f>
      </c>
      <c r="BH331" s="8">
        <f>IF((0=1),(SUM(C296:BH296)/BH226),"")</f>
      </c>
      <c r="BI331" s="8">
        <f>IF((0=1),(SUM(C296:BI296)/BI226),"")</f>
      </c>
      <c r="BJ331" s="8">
        <f>IF((0=1),(SUM(C296:BJ296)/BJ226),"")</f>
      </c>
      <c r="BK331" s="8">
        <f>IF((0=1),(SUM(C296:BK296)/BK226),"")</f>
      </c>
      <c r="BL331" s="8">
        <f>IF((0=1),(SUM(C296:BL296)/BL226),"")</f>
      </c>
      <c r="BM331" s="8">
        <f>IF((0=1),(SUM(C296:BM296)/BM226),"")</f>
      </c>
      <c r="BN331" s="8">
        <f>IF((0=1),(SUM(C296:BN296)/BN226),"")</f>
      </c>
      <c r="BO331" s="8">
        <f>IF((0=1),(SUM(C296:BO296)/BO226),"")</f>
      </c>
      <c r="BP331" s="8">
        <f>IF((0=1),(SUM(C296:BP296)/BP226),"")</f>
      </c>
      <c r="BQ331" s="8">
        <f>IF((0=1),(SUM(C296:BQ296)/BQ226),"")</f>
      </c>
      <c r="BR331" s="8">
        <f>IF((0=1),(SUM(C296:BR296)/BR226),"")</f>
      </c>
      <c r="BS331" s="8">
        <f>IF((0=1),(SUM(C296:BS296)/BS226),"")</f>
      </c>
      <c r="BT331" s="8">
        <f>IF((0=1),(SUM(C296:BT296)/BT226),"")</f>
      </c>
      <c r="BU331" s="8">
        <f>IF((0=1),(SUM(C296:BU296)/BU226),"")</f>
      </c>
      <c r="BV331" s="8">
        <f>IF((0=1),(SUM(C296:BV296)/BV226),"")</f>
      </c>
      <c r="BW331" s="8">
        <f>IF((0=1),(SUM(C296:BW296)/BW226),"")</f>
      </c>
      <c r="BX331" s="8">
        <f>IF((0=1),(SUM(C296:BX296)/BX226),"")</f>
      </c>
      <c r="BY331" s="8">
        <f>IF((0=1),(SUM(C296:BY296)/BY226),"")</f>
      </c>
      <c r="BZ331" s="8">
        <f>IF((0=1),(SUM(C296:BZ296)/BZ226),"")</f>
      </c>
      <c r="CA331" s="8">
        <f>IF((0=1),(SUM(C296:CA296)/CA226),"")</f>
      </c>
      <c r="CB331" s="8">
        <f>IF((0=1),(SUM(C296:CB296)/CB226),"")</f>
      </c>
      <c r="CC331" s="8">
        <f>IF((0=1),(SUM(C296:CC296)/CC226),"")</f>
      </c>
      <c r="CD331" s="8">
        <f>IF((0=1),(SUM(C296:CD296)/CD226),"")</f>
      </c>
      <c r="CE331" s="8">
        <f>IF((0=1),(SUM(C296:CE296)/CE226),"")</f>
      </c>
      <c r="CF331" s="8">
        <f>IF((0=1),(SUM(C296:CF296)/CF226),"")</f>
      </c>
      <c r="CG331" s="8">
        <f>IF((0=1),(SUM(C296:CG296)/CG226),"")</f>
      </c>
      <c r="CH331" s="8">
        <f>IF((0=1),(SUM(C296:CH296)/CH226),"")</f>
      </c>
      <c r="CI331" s="8">
        <f>IF((0=1),(SUM(C296:CI296)/CI226),"")</f>
      </c>
      <c r="CJ331" s="8">
        <f>IF((0=1),(SUM(C296:CJ296)/CJ226),"")</f>
      </c>
      <c r="CK331" s="8">
        <f>IF((0=1),(SUM(C296:CK296)/CK226),"")</f>
      </c>
      <c r="CL331" s="8">
        <f>IF((0=1),(SUM(C296:CL296)/CL226),"")</f>
      </c>
      <c r="CM331" s="8">
        <f>IF((0=1),(SUM(C296:CM296)/CM226),"")</f>
      </c>
      <c r="CN331" s="8">
        <f>IF((0=1),(SUM(C296:CN296)/CN226),"")</f>
      </c>
      <c r="CO331" s="8">
        <f>IF((0=1),(SUM(C296:CO296)/CO226),"")</f>
      </c>
      <c r="CP331" s="8">
        <f>IF((0=1),(SUM(C296:CP296)/CP226),"")</f>
      </c>
      <c r="CQ331" s="8">
        <f>IF((0=1),(SUM(C296:CQ296)/CQ226),"")</f>
      </c>
      <c r="CR331" s="8">
        <f>IF((0=1),(SUM(C296:CR296)/CR226),"")</f>
      </c>
      <c r="CS331" s="8">
        <f>IF((0=1),(SUM(C296:CS296)/CS226),"")</f>
      </c>
      <c r="CT331" s="8">
        <f>IF((0=1),(SUM(C296:CT296)/CT226),"")</f>
      </c>
      <c r="CU331" s="8">
        <f>IF((0=1),(SUM(C296:CU296)/CU226),"")</f>
      </c>
      <c r="CV331" s="8">
        <f>IF((0=1),(SUM(C296:CV296)/CV226),"")</f>
      </c>
      <c r="CW331" s="8">
        <f>IF((0=1),(SUM(C296:CW296)/CW226),"")</f>
      </c>
      <c r="CX331" s="8">
        <f>IF((0=1),(SUM(C296:CX296)/CX226),"")</f>
      </c>
    </row>
    <row r="332">
      <c r="A332" s="0" t="inlineStr">
        <is>
          <t xml:space="preserve">Running mean of squares</t>
        </is>
      </c>
      <c r="B332" s="0" t="inlineStr">
        <is>
          <t xml:space="preserve">Random 1</t>
        </is>
      </c>
      <c r="C332" s="8">
        <f>IF((1=1),(SUM(C297)/C227),"")</f>
        <v>16.785409000000005</v>
      </c>
      <c r="D332" s="8">
        <f>IF((0=1),(SUM(C297:D297)/D227),"")</f>
      </c>
      <c r="E332" s="8">
        <f>IF((0=1),(SUM(C297:E297)/E227),"")</f>
      </c>
      <c r="F332" s="8">
        <f>IF((0=1),(SUM(C297:F297)/F227),"")</f>
      </c>
      <c r="G332" s="8">
        <f>IF((0=1),(SUM(C297:G297)/G227),"")</f>
      </c>
      <c r="H332" s="8">
        <f>IF((0=1),(SUM(C297:H297)/H227),"")</f>
      </c>
      <c r="I332" s="8">
        <f>IF((0=1),(SUM(C297:I297)/I227),"")</f>
      </c>
      <c r="J332" s="8">
        <f>IF((0=1),(SUM(C297:J297)/J227),"")</f>
      </c>
      <c r="K332" s="8">
        <f>IF((0=1),(SUM(C297:K297)/K227),"")</f>
      </c>
      <c r="L332" s="8">
        <f>IF((0=1),(SUM(C297:L297)/L227),"")</f>
      </c>
      <c r="M332" s="8">
        <f>IF((0=1),(SUM(C297:M297)/M227),"")</f>
      </c>
      <c r="N332" s="8">
        <f>IF((0=1),(SUM(C297:N297)/N227),"")</f>
      </c>
      <c r="O332" s="8">
        <f>IF((0=1),(SUM(C297:O297)/O227),"")</f>
      </c>
      <c r="P332" s="8">
        <f>IF((0=1),(SUM(C297:P297)/P227),"")</f>
      </c>
      <c r="Q332" s="8">
        <f>IF((0=1),(SUM(C297:Q297)/Q227),"")</f>
      </c>
      <c r="R332" s="8">
        <f>IF((0=1),(SUM(C297:R297)/R227),"")</f>
      </c>
      <c r="S332" s="8">
        <f>IF((0=1),(SUM(C297:S297)/S227),"")</f>
      </c>
      <c r="T332" s="8">
        <f>IF((0=1),(SUM(C297:T297)/T227),"")</f>
      </c>
      <c r="U332" s="8">
        <f>IF((0=1),(SUM(C297:U297)/U227),"")</f>
      </c>
      <c r="V332" s="8">
        <f>IF((0=1),(SUM(C297:V297)/V227),"")</f>
      </c>
      <c r="W332" s="8">
        <f>IF((0=1),(SUM(C297:W297)/W227),"")</f>
      </c>
      <c r="X332" s="8">
        <f>IF((0=1),(SUM(C297:X297)/X227),"")</f>
      </c>
      <c r="Y332" s="8">
        <f>IF((0=1),(SUM(C297:Y297)/Y227),"")</f>
      </c>
      <c r="Z332" s="8">
        <f>IF((0=1),(SUM(C297:Z297)/Z227),"")</f>
      </c>
      <c r="AA332" s="8">
        <f>IF((0=1),(SUM(C297:AA297)/AA227),"")</f>
      </c>
      <c r="AB332" s="8">
        <f>IF((0=1),(SUM(C297:AB297)/AB227),"")</f>
      </c>
      <c r="AC332" s="8">
        <f>IF((0=1),(SUM(C297:AC297)/AC227),"")</f>
      </c>
      <c r="AD332" s="8">
        <f>IF((0=1),(SUM(C297:AD297)/AD227),"")</f>
      </c>
      <c r="AE332" s="8">
        <f>IF((0=1),(SUM(C297:AE297)/AE227),"")</f>
      </c>
      <c r="AF332" s="8">
        <f>IF((0=1),(SUM(C297:AF297)/AF227),"")</f>
      </c>
      <c r="AG332" s="8">
        <f>IF((0=1),(SUM(C297:AG297)/AG227),"")</f>
      </c>
      <c r="AH332" s="8">
        <f>IF((0=1),(SUM(C297:AH297)/AH227),"")</f>
      </c>
      <c r="AI332" s="8">
        <f>IF((0=1),(SUM(C297:AI297)/AI227),"")</f>
      </c>
      <c r="AJ332" s="8">
        <f>IF((0=1),(SUM(C297:AJ297)/AJ227),"")</f>
      </c>
      <c r="AK332" s="8">
        <f>IF((0=1),(SUM(C297:AK297)/AK227),"")</f>
      </c>
      <c r="AL332" s="8">
        <f>IF((0=1),(SUM(C297:AL297)/AL227),"")</f>
      </c>
      <c r="AM332" s="8">
        <f>IF((0=1),(SUM(C297:AM297)/AM227),"")</f>
      </c>
      <c r="AN332" s="8">
        <f>IF((0=1),(SUM(C297:AN297)/AN227),"")</f>
      </c>
      <c r="AO332" s="8">
        <f>IF((0=1),(SUM(C297:AO297)/AO227),"")</f>
      </c>
      <c r="AP332" s="8">
        <f>IF((0=1),(SUM(C297:AP297)/AP227),"")</f>
      </c>
      <c r="AQ332" s="8">
        <f>IF((0=1),(SUM(C297:AQ297)/AQ227),"")</f>
      </c>
      <c r="AR332" s="8">
        <f>IF((0=1),(SUM(C297:AR297)/AR227),"")</f>
      </c>
      <c r="AS332" s="8">
        <f>IF((0=1),(SUM(C297:AS297)/AS227),"")</f>
      </c>
      <c r="AT332" s="8">
        <f>IF((0=1),(SUM(C297:AT297)/AT227),"")</f>
      </c>
      <c r="AU332" s="8">
        <f>IF((0=1),(SUM(C297:AU297)/AU227),"")</f>
      </c>
      <c r="AV332" s="8">
        <f>IF((0=1),(SUM(C297:AV297)/AV227),"")</f>
      </c>
      <c r="AW332" s="8">
        <f>IF((0=1),(SUM(C297:AW297)/AW227),"")</f>
      </c>
      <c r="AX332" s="8">
        <f>IF((0=1),(SUM(C297:AX297)/AX227),"")</f>
      </c>
      <c r="AY332" s="8">
        <f>IF((0=1),(SUM(C297:AY297)/AY227),"")</f>
      </c>
      <c r="AZ332" s="8">
        <f>IF((0=1),(SUM(C297:AZ297)/AZ227),"")</f>
      </c>
      <c r="BA332" s="8">
        <f>IF((0=1),(SUM(C297:BA297)/BA227),"")</f>
      </c>
      <c r="BB332" s="8">
        <f>IF((0=1),(SUM(C297:BB297)/BB227),"")</f>
      </c>
      <c r="BC332" s="8">
        <f>IF((0=1),(SUM(C297:BC297)/BC227),"")</f>
      </c>
      <c r="BD332" s="8">
        <f>IF((0=1),(SUM(C297:BD297)/BD227),"")</f>
      </c>
      <c r="BE332" s="8">
        <f>IF((0=1),(SUM(C297:BE297)/BE227),"")</f>
      </c>
      <c r="BF332" s="8">
        <f>IF((0=1),(SUM(C297:BF297)/BF227),"")</f>
      </c>
      <c r="BG332" s="8">
        <f>IF((0=1),(SUM(C297:BG297)/BG227),"")</f>
      </c>
      <c r="BH332" s="8">
        <f>IF((0=1),(SUM(C297:BH297)/BH227),"")</f>
      </c>
      <c r="BI332" s="8">
        <f>IF((0=1),(SUM(C297:BI297)/BI227),"")</f>
      </c>
      <c r="BJ332" s="8">
        <f>IF((0=1),(SUM(C297:BJ297)/BJ227),"")</f>
      </c>
      <c r="BK332" s="8">
        <f>IF((0=1),(SUM(C297:BK297)/BK227),"")</f>
      </c>
      <c r="BL332" s="8">
        <f>IF((0=1),(SUM(C297:BL297)/BL227),"")</f>
      </c>
      <c r="BM332" s="8">
        <f>IF((0=1),(SUM(C297:BM297)/BM227),"")</f>
      </c>
      <c r="BN332" s="8">
        <f>IF((0=1),(SUM(C297:BN297)/BN227),"")</f>
      </c>
      <c r="BO332" s="8">
        <f>IF((0=1),(SUM(C297:BO297)/BO227),"")</f>
      </c>
      <c r="BP332" s="8">
        <f>IF((0=1),(SUM(C297:BP297)/BP227),"")</f>
      </c>
      <c r="BQ332" s="8">
        <f>IF((0=1),(SUM(C297:BQ297)/BQ227),"")</f>
      </c>
      <c r="BR332" s="8">
        <f>IF((0=1),(SUM(C297:BR297)/BR227),"")</f>
      </c>
      <c r="BS332" s="8">
        <f>IF((0=1),(SUM(C297:BS297)/BS227),"")</f>
      </c>
      <c r="BT332" s="8">
        <f>IF((0=1),(SUM(C297:BT297)/BT227),"")</f>
      </c>
      <c r="BU332" s="8">
        <f>IF((0=1),(SUM(C297:BU297)/BU227),"")</f>
      </c>
      <c r="BV332" s="8">
        <f>IF((0=1),(SUM(C297:BV297)/BV227),"")</f>
      </c>
      <c r="BW332" s="8">
        <f>IF((0=1),(SUM(C297:BW297)/BW227),"")</f>
      </c>
      <c r="BX332" s="8">
        <f>IF((0=1),(SUM(C297:BX297)/BX227),"")</f>
      </c>
      <c r="BY332" s="8">
        <f>IF((0=1),(SUM(C297:BY297)/BY227),"")</f>
      </c>
      <c r="BZ332" s="8">
        <f>IF((0=1),(SUM(C297:BZ297)/BZ227),"")</f>
      </c>
      <c r="CA332" s="8">
        <f>IF((0=1),(SUM(C297:CA297)/CA227),"")</f>
      </c>
      <c r="CB332" s="8">
        <f>IF((0=1),(SUM(C297:CB297)/CB227),"")</f>
      </c>
      <c r="CC332" s="8">
        <f>IF((0=1),(SUM(C297:CC297)/CC227),"")</f>
      </c>
      <c r="CD332" s="8">
        <f>IF((0=1),(SUM(C297:CD297)/CD227),"")</f>
      </c>
      <c r="CE332" s="8">
        <f>IF((0=1),(SUM(C297:CE297)/CE227),"")</f>
      </c>
      <c r="CF332" s="8">
        <f>IF((0=1),(SUM(C297:CF297)/CF227),"")</f>
      </c>
      <c r="CG332" s="8">
        <f>IF((0=1),(SUM(C297:CG297)/CG227),"")</f>
      </c>
      <c r="CH332" s="8">
        <f>IF((0=1),(SUM(C297:CH297)/CH227),"")</f>
      </c>
      <c r="CI332" s="8">
        <f>IF((0=1),(SUM(C297:CI297)/CI227),"")</f>
      </c>
      <c r="CJ332" s="8">
        <f>IF((0=1),(SUM(C297:CJ297)/CJ227),"")</f>
      </c>
      <c r="CK332" s="8">
        <f>IF((0=1),(SUM(C297:CK297)/CK227),"")</f>
      </c>
      <c r="CL332" s="8">
        <f>IF((0=1),(SUM(C297:CL297)/CL227),"")</f>
      </c>
      <c r="CM332" s="8">
        <f>IF((0=1),(SUM(C297:CM297)/CM227),"")</f>
      </c>
      <c r="CN332" s="8">
        <f>IF((0=1),(SUM(C297:CN297)/CN227),"")</f>
      </c>
      <c r="CO332" s="8">
        <f>IF((0=1),(SUM(C297:CO297)/CO227),"")</f>
      </c>
      <c r="CP332" s="8">
        <f>IF((0=1),(SUM(C297:CP297)/CP227),"")</f>
      </c>
      <c r="CQ332" s="8">
        <f>IF((0=1),(SUM(C297:CQ297)/CQ227),"")</f>
      </c>
      <c r="CR332" s="8">
        <f>IF((0=1),(SUM(C297:CR297)/CR227),"")</f>
      </c>
      <c r="CS332" s="8">
        <f>IF((0=1),(SUM(C297:CS297)/CS227),"")</f>
      </c>
      <c r="CT332" s="8">
        <f>IF((0=1),(SUM(C297:CT297)/CT227),"")</f>
      </c>
      <c r="CU332" s="8">
        <f>IF((0=1),(SUM(C297:CU297)/CU227),"")</f>
      </c>
      <c r="CV332" s="8">
        <f>IF((0=1),(SUM(C297:CV297)/CV227),"")</f>
      </c>
      <c r="CW332" s="8">
        <f>IF((0=1),(SUM(C297:CW297)/CW227),"")</f>
      </c>
      <c r="CX332" s="8">
        <f>IF((0=1),(SUM(C297:CX297)/CX227),"")</f>
      </c>
    </row>
    <row r="333">
      <c r="A333" s="0" t="inlineStr">
        <is>
          <t xml:space="preserve">Running mean of squares</t>
        </is>
      </c>
      <c r="B333" s="0" t="inlineStr">
        <is>
          <t xml:space="preserve">Random 2</t>
        </is>
      </c>
      <c r="C333" s="8">
        <f>IF((1=1),(SUM(C298)/C228),"")</f>
        <v>0.49420899999999995</v>
      </c>
      <c r="D333" s="8">
        <f>IF((0=1),(SUM(C298:D298)/D228),"")</f>
      </c>
      <c r="E333" s="8">
        <f>IF((0=1),(SUM(C298:E298)/E228),"")</f>
      </c>
      <c r="F333" s="8">
        <f>IF((0=1),(SUM(C298:F298)/F228),"")</f>
      </c>
      <c r="G333" s="8">
        <f>IF((0=1),(SUM(C298:G298)/G228),"")</f>
      </c>
      <c r="H333" s="8">
        <f>IF((0=1),(SUM(C298:H298)/H228),"")</f>
      </c>
      <c r="I333" s="8">
        <f>IF((0=1),(SUM(C298:I298)/I228),"")</f>
      </c>
      <c r="J333" s="8">
        <f>IF((0=1),(SUM(C298:J298)/J228),"")</f>
      </c>
      <c r="K333" s="8">
        <f>IF((0=1),(SUM(C298:K298)/K228),"")</f>
      </c>
      <c r="L333" s="8">
        <f>IF((0=1),(SUM(C298:L298)/L228),"")</f>
      </c>
      <c r="M333" s="8">
        <f>IF((0=1),(SUM(C298:M298)/M228),"")</f>
      </c>
      <c r="N333" s="8">
        <f>IF((0=1),(SUM(C298:N298)/N228),"")</f>
      </c>
      <c r="O333" s="8">
        <f>IF((0=1),(SUM(C298:O298)/O228),"")</f>
      </c>
      <c r="P333" s="8">
        <f>IF((0=1),(SUM(C298:P298)/P228),"")</f>
      </c>
      <c r="Q333" s="8">
        <f>IF((0=1),(SUM(C298:Q298)/Q228),"")</f>
      </c>
      <c r="R333" s="8">
        <f>IF((0=1),(SUM(C298:R298)/R228),"")</f>
      </c>
      <c r="S333" s="8">
        <f>IF((0=1),(SUM(C298:S298)/S228),"")</f>
      </c>
      <c r="T333" s="8">
        <f>IF((0=1),(SUM(C298:T298)/T228),"")</f>
      </c>
      <c r="U333" s="8">
        <f>IF((0=1),(SUM(C298:U298)/U228),"")</f>
      </c>
      <c r="V333" s="8">
        <f>IF((0=1),(SUM(C298:V298)/V228),"")</f>
      </c>
      <c r="W333" s="8">
        <f>IF((0=1),(SUM(C298:W298)/W228),"")</f>
      </c>
      <c r="X333" s="8">
        <f>IF((0=1),(SUM(C298:X298)/X228),"")</f>
      </c>
      <c r="Y333" s="8">
        <f>IF((0=1),(SUM(C298:Y298)/Y228),"")</f>
      </c>
      <c r="Z333" s="8">
        <f>IF((0=1),(SUM(C298:Z298)/Z228),"")</f>
      </c>
      <c r="AA333" s="8">
        <f>IF((0=1),(SUM(C298:AA298)/AA228),"")</f>
      </c>
      <c r="AB333" s="8">
        <f>IF((0=1),(SUM(C298:AB298)/AB228),"")</f>
      </c>
      <c r="AC333" s="8">
        <f>IF((0=1),(SUM(C298:AC298)/AC228),"")</f>
      </c>
      <c r="AD333" s="8">
        <f>IF((0=1),(SUM(C298:AD298)/AD228),"")</f>
      </c>
      <c r="AE333" s="8">
        <f>IF((0=1),(SUM(C298:AE298)/AE228),"")</f>
      </c>
      <c r="AF333" s="8">
        <f>IF((0=1),(SUM(C298:AF298)/AF228),"")</f>
      </c>
      <c r="AG333" s="8">
        <f>IF((0=1),(SUM(C298:AG298)/AG228),"")</f>
      </c>
      <c r="AH333" s="8">
        <f>IF((0=1),(SUM(C298:AH298)/AH228),"")</f>
      </c>
      <c r="AI333" s="8">
        <f>IF((0=1),(SUM(C298:AI298)/AI228),"")</f>
      </c>
      <c r="AJ333" s="8">
        <f>IF((0=1),(SUM(C298:AJ298)/AJ228),"")</f>
      </c>
      <c r="AK333" s="8">
        <f>IF((0=1),(SUM(C298:AK298)/AK228),"")</f>
      </c>
      <c r="AL333" s="8">
        <f>IF((0=1),(SUM(C298:AL298)/AL228),"")</f>
      </c>
      <c r="AM333" s="8">
        <f>IF((0=1),(SUM(C298:AM298)/AM228),"")</f>
      </c>
      <c r="AN333" s="8">
        <f>IF((0=1),(SUM(C298:AN298)/AN228),"")</f>
      </c>
      <c r="AO333" s="8">
        <f>IF((0=1),(SUM(C298:AO298)/AO228),"")</f>
      </c>
      <c r="AP333" s="8">
        <f>IF((0=1),(SUM(C298:AP298)/AP228),"")</f>
      </c>
      <c r="AQ333" s="8">
        <f>IF((0=1),(SUM(C298:AQ298)/AQ228),"")</f>
      </c>
      <c r="AR333" s="8">
        <f>IF((0=1),(SUM(C298:AR298)/AR228),"")</f>
      </c>
      <c r="AS333" s="8">
        <f>IF((0=1),(SUM(C298:AS298)/AS228),"")</f>
      </c>
      <c r="AT333" s="8">
        <f>IF((0=1),(SUM(C298:AT298)/AT228),"")</f>
      </c>
      <c r="AU333" s="8">
        <f>IF((0=1),(SUM(C298:AU298)/AU228),"")</f>
      </c>
      <c r="AV333" s="8">
        <f>IF((0=1),(SUM(C298:AV298)/AV228),"")</f>
      </c>
      <c r="AW333" s="8">
        <f>IF((0=1),(SUM(C298:AW298)/AW228),"")</f>
      </c>
      <c r="AX333" s="8">
        <f>IF((0=1),(SUM(C298:AX298)/AX228),"")</f>
      </c>
      <c r="AY333" s="8">
        <f>IF((0=1),(SUM(C298:AY298)/AY228),"")</f>
      </c>
      <c r="AZ333" s="8">
        <f>IF((0=1),(SUM(C298:AZ298)/AZ228),"")</f>
      </c>
      <c r="BA333" s="8">
        <f>IF((0=1),(SUM(C298:BA298)/BA228),"")</f>
      </c>
      <c r="BB333" s="8">
        <f>IF((0=1),(SUM(C298:BB298)/BB228),"")</f>
      </c>
      <c r="BC333" s="8">
        <f>IF((0=1),(SUM(C298:BC298)/BC228),"")</f>
      </c>
      <c r="BD333" s="8">
        <f>IF((0=1),(SUM(C298:BD298)/BD228),"")</f>
      </c>
      <c r="BE333" s="8">
        <f>IF((0=1),(SUM(C298:BE298)/BE228),"")</f>
      </c>
      <c r="BF333" s="8">
        <f>IF((0=1),(SUM(C298:BF298)/BF228),"")</f>
      </c>
      <c r="BG333" s="8">
        <f>IF((0=1),(SUM(C298:BG298)/BG228),"")</f>
      </c>
      <c r="BH333" s="8">
        <f>IF((0=1),(SUM(C298:BH298)/BH228),"")</f>
      </c>
      <c r="BI333" s="8">
        <f>IF((0=1),(SUM(C298:BI298)/BI228),"")</f>
      </c>
      <c r="BJ333" s="8">
        <f>IF((0=1),(SUM(C298:BJ298)/BJ228),"")</f>
      </c>
      <c r="BK333" s="8">
        <f>IF((0=1),(SUM(C298:BK298)/BK228),"")</f>
      </c>
      <c r="BL333" s="8">
        <f>IF((0=1),(SUM(C298:BL298)/BL228),"")</f>
      </c>
      <c r="BM333" s="8">
        <f>IF((0=1),(SUM(C298:BM298)/BM228),"")</f>
      </c>
      <c r="BN333" s="8">
        <f>IF((0=1),(SUM(C298:BN298)/BN228),"")</f>
      </c>
      <c r="BO333" s="8">
        <f>IF((0=1),(SUM(C298:BO298)/BO228),"")</f>
      </c>
      <c r="BP333" s="8">
        <f>IF((0=1),(SUM(C298:BP298)/BP228),"")</f>
      </c>
      <c r="BQ333" s="8">
        <f>IF((0=1),(SUM(C298:BQ298)/BQ228),"")</f>
      </c>
      <c r="BR333" s="8">
        <f>IF((0=1),(SUM(C298:BR298)/BR228),"")</f>
      </c>
      <c r="BS333" s="8">
        <f>IF((0=1),(SUM(C298:BS298)/BS228),"")</f>
      </c>
      <c r="BT333" s="8">
        <f>IF((0=1),(SUM(C298:BT298)/BT228),"")</f>
      </c>
      <c r="BU333" s="8">
        <f>IF((0=1),(SUM(C298:BU298)/BU228),"")</f>
      </c>
      <c r="BV333" s="8">
        <f>IF((0=1),(SUM(C298:BV298)/BV228),"")</f>
      </c>
      <c r="BW333" s="8">
        <f>IF((0=1),(SUM(C298:BW298)/BW228),"")</f>
      </c>
      <c r="BX333" s="8">
        <f>IF((0=1),(SUM(C298:BX298)/BX228),"")</f>
      </c>
      <c r="BY333" s="8">
        <f>IF((0=1),(SUM(C298:BY298)/BY228),"")</f>
      </c>
      <c r="BZ333" s="8">
        <f>IF((0=1),(SUM(C298:BZ298)/BZ228),"")</f>
      </c>
      <c r="CA333" s="8">
        <f>IF((0=1),(SUM(C298:CA298)/CA228),"")</f>
      </c>
      <c r="CB333" s="8">
        <f>IF((0=1),(SUM(C298:CB298)/CB228),"")</f>
      </c>
      <c r="CC333" s="8">
        <f>IF((0=1),(SUM(C298:CC298)/CC228),"")</f>
      </c>
      <c r="CD333" s="8">
        <f>IF((0=1),(SUM(C298:CD298)/CD228),"")</f>
      </c>
      <c r="CE333" s="8">
        <f>IF((0=1),(SUM(C298:CE298)/CE228),"")</f>
      </c>
      <c r="CF333" s="8">
        <f>IF((0=1),(SUM(C298:CF298)/CF228),"")</f>
      </c>
      <c r="CG333" s="8">
        <f>IF((0=1),(SUM(C298:CG298)/CG228),"")</f>
      </c>
      <c r="CH333" s="8">
        <f>IF((0=1),(SUM(C298:CH298)/CH228),"")</f>
      </c>
      <c r="CI333" s="8">
        <f>IF((0=1),(SUM(C298:CI298)/CI228),"")</f>
      </c>
      <c r="CJ333" s="8">
        <f>IF((0=1),(SUM(C298:CJ298)/CJ228),"")</f>
      </c>
      <c r="CK333" s="8">
        <f>IF((0=1),(SUM(C298:CK298)/CK228),"")</f>
      </c>
      <c r="CL333" s="8">
        <f>IF((0=1),(SUM(C298:CL298)/CL228),"")</f>
      </c>
      <c r="CM333" s="8">
        <f>IF((0=1),(SUM(C298:CM298)/CM228),"")</f>
      </c>
      <c r="CN333" s="8">
        <f>IF((0=1),(SUM(C298:CN298)/CN228),"")</f>
      </c>
      <c r="CO333" s="8">
        <f>IF((0=1),(SUM(C298:CO298)/CO228),"")</f>
      </c>
      <c r="CP333" s="8">
        <f>IF((0=1),(SUM(C298:CP298)/CP228),"")</f>
      </c>
      <c r="CQ333" s="8">
        <f>IF((0=1),(SUM(C298:CQ298)/CQ228),"")</f>
      </c>
      <c r="CR333" s="8">
        <f>IF((0=1),(SUM(C298:CR298)/CR228),"")</f>
      </c>
      <c r="CS333" s="8">
        <f>IF((0=1),(SUM(C298:CS298)/CS228),"")</f>
      </c>
      <c r="CT333" s="8">
        <f>IF((0=1),(SUM(C298:CT298)/CT228),"")</f>
      </c>
      <c r="CU333" s="8">
        <f>IF((0=1),(SUM(C298:CU298)/CU228),"")</f>
      </c>
      <c r="CV333" s="8">
        <f>IF((0=1),(SUM(C298:CV298)/CV228),"")</f>
      </c>
      <c r="CW333" s="8">
        <f>IF((0=1),(SUM(C298:CW298)/CW228),"")</f>
      </c>
      <c r="CX333" s="8">
        <f>IF((0=1),(SUM(C298:CX298)/CX228),"")</f>
      </c>
    </row>
    <row r="334">
      <c r="A334" s="0" t="inlineStr">
        <is>
          <t xml:space="preserve">Running mean of squares</t>
        </is>
      </c>
      <c r="B334" s="0" t="inlineStr">
        <is>
          <t xml:space="preserve">Random 3</t>
        </is>
      </c>
      <c r="C334" s="8">
        <f>IF((1=1),(SUM(C299)/C229),"")</f>
        <v>21.3444</v>
      </c>
      <c r="D334" s="8">
        <f>IF((0=1),(SUM(C299:D299)/D229),"")</f>
      </c>
      <c r="E334" s="8">
        <f>IF((0=1),(SUM(C299:E299)/E229),"")</f>
      </c>
      <c r="F334" s="8">
        <f>IF((0=1),(SUM(C299:F299)/F229),"")</f>
      </c>
      <c r="G334" s="8">
        <f>IF((0=1),(SUM(C299:G299)/G229),"")</f>
      </c>
      <c r="H334" s="8">
        <f>IF((0=1),(SUM(C299:H299)/H229),"")</f>
      </c>
      <c r="I334" s="8">
        <f>IF((0=1),(SUM(C299:I299)/I229),"")</f>
      </c>
      <c r="J334" s="8">
        <f>IF((0=1),(SUM(C299:J299)/J229),"")</f>
      </c>
      <c r="K334" s="8">
        <f>IF((0=1),(SUM(C299:K299)/K229),"")</f>
      </c>
      <c r="L334" s="8">
        <f>IF((0=1),(SUM(C299:L299)/L229),"")</f>
      </c>
      <c r="M334" s="8">
        <f>IF((0=1),(SUM(C299:M299)/M229),"")</f>
      </c>
      <c r="N334" s="8">
        <f>IF((0=1),(SUM(C299:N299)/N229),"")</f>
      </c>
      <c r="O334" s="8">
        <f>IF((0=1),(SUM(C299:O299)/O229),"")</f>
      </c>
      <c r="P334" s="8">
        <f>IF((0=1),(SUM(C299:P299)/P229),"")</f>
      </c>
      <c r="Q334" s="8">
        <f>IF((0=1),(SUM(C299:Q299)/Q229),"")</f>
      </c>
      <c r="R334" s="8">
        <f>IF((0=1),(SUM(C299:R299)/R229),"")</f>
      </c>
      <c r="S334" s="8">
        <f>IF((0=1),(SUM(C299:S299)/S229),"")</f>
      </c>
      <c r="T334" s="8">
        <f>IF((0=1),(SUM(C299:T299)/T229),"")</f>
      </c>
      <c r="U334" s="8">
        <f>IF((0=1),(SUM(C299:U299)/U229),"")</f>
      </c>
      <c r="V334" s="8">
        <f>IF((0=1),(SUM(C299:V299)/V229),"")</f>
      </c>
      <c r="W334" s="8">
        <f>IF((0=1),(SUM(C299:W299)/W229),"")</f>
      </c>
      <c r="X334" s="8">
        <f>IF((0=1),(SUM(C299:X299)/X229),"")</f>
      </c>
      <c r="Y334" s="8">
        <f>IF((0=1),(SUM(C299:Y299)/Y229),"")</f>
      </c>
      <c r="Z334" s="8">
        <f>IF((0=1),(SUM(C299:Z299)/Z229),"")</f>
      </c>
      <c r="AA334" s="8">
        <f>IF((0=1),(SUM(C299:AA299)/AA229),"")</f>
      </c>
      <c r="AB334" s="8">
        <f>IF((0=1),(SUM(C299:AB299)/AB229),"")</f>
      </c>
      <c r="AC334" s="8">
        <f>IF((0=1),(SUM(C299:AC299)/AC229),"")</f>
      </c>
      <c r="AD334" s="8">
        <f>IF((0=1),(SUM(C299:AD299)/AD229),"")</f>
      </c>
      <c r="AE334" s="8">
        <f>IF((0=1),(SUM(C299:AE299)/AE229),"")</f>
      </c>
      <c r="AF334" s="8">
        <f>IF((0=1),(SUM(C299:AF299)/AF229),"")</f>
      </c>
      <c r="AG334" s="8">
        <f>IF((0=1),(SUM(C299:AG299)/AG229),"")</f>
      </c>
      <c r="AH334" s="8">
        <f>IF((0=1),(SUM(C299:AH299)/AH229),"")</f>
      </c>
      <c r="AI334" s="8">
        <f>IF((0=1),(SUM(C299:AI299)/AI229),"")</f>
      </c>
      <c r="AJ334" s="8">
        <f>IF((0=1),(SUM(C299:AJ299)/AJ229),"")</f>
      </c>
      <c r="AK334" s="8">
        <f>IF((0=1),(SUM(C299:AK299)/AK229),"")</f>
      </c>
      <c r="AL334" s="8">
        <f>IF((0=1),(SUM(C299:AL299)/AL229),"")</f>
      </c>
      <c r="AM334" s="8">
        <f>IF((0=1),(SUM(C299:AM299)/AM229),"")</f>
      </c>
      <c r="AN334" s="8">
        <f>IF((0=1),(SUM(C299:AN299)/AN229),"")</f>
      </c>
      <c r="AO334" s="8">
        <f>IF((0=1),(SUM(C299:AO299)/AO229),"")</f>
      </c>
      <c r="AP334" s="8">
        <f>IF((0=1),(SUM(C299:AP299)/AP229),"")</f>
      </c>
      <c r="AQ334" s="8">
        <f>IF((0=1),(SUM(C299:AQ299)/AQ229),"")</f>
      </c>
      <c r="AR334" s="8">
        <f>IF((0=1),(SUM(C299:AR299)/AR229),"")</f>
      </c>
      <c r="AS334" s="8">
        <f>IF((0=1),(SUM(C299:AS299)/AS229),"")</f>
      </c>
      <c r="AT334" s="8">
        <f>IF((0=1),(SUM(C299:AT299)/AT229),"")</f>
      </c>
      <c r="AU334" s="8">
        <f>IF((0=1),(SUM(C299:AU299)/AU229),"")</f>
      </c>
      <c r="AV334" s="8">
        <f>IF((0=1),(SUM(C299:AV299)/AV229),"")</f>
      </c>
      <c r="AW334" s="8">
        <f>IF((0=1),(SUM(C299:AW299)/AW229),"")</f>
      </c>
      <c r="AX334" s="8">
        <f>IF((0=1),(SUM(C299:AX299)/AX229),"")</f>
      </c>
      <c r="AY334" s="8">
        <f>IF((0=1),(SUM(C299:AY299)/AY229),"")</f>
      </c>
      <c r="AZ334" s="8">
        <f>IF((0=1),(SUM(C299:AZ299)/AZ229),"")</f>
      </c>
      <c r="BA334" s="8">
        <f>IF((0=1),(SUM(C299:BA299)/BA229),"")</f>
      </c>
      <c r="BB334" s="8">
        <f>IF((0=1),(SUM(C299:BB299)/BB229),"")</f>
      </c>
      <c r="BC334" s="8">
        <f>IF((0=1),(SUM(C299:BC299)/BC229),"")</f>
      </c>
      <c r="BD334" s="8">
        <f>IF((0=1),(SUM(C299:BD299)/BD229),"")</f>
      </c>
      <c r="BE334" s="8">
        <f>IF((0=1),(SUM(C299:BE299)/BE229),"")</f>
      </c>
      <c r="BF334" s="8">
        <f>IF((0=1),(SUM(C299:BF299)/BF229),"")</f>
      </c>
      <c r="BG334" s="8">
        <f>IF((0=1),(SUM(C299:BG299)/BG229),"")</f>
      </c>
      <c r="BH334" s="8">
        <f>IF((0=1),(SUM(C299:BH299)/BH229),"")</f>
      </c>
      <c r="BI334" s="8">
        <f>IF((0=1),(SUM(C299:BI299)/BI229),"")</f>
      </c>
      <c r="BJ334" s="8">
        <f>IF((0=1),(SUM(C299:BJ299)/BJ229),"")</f>
      </c>
      <c r="BK334" s="8">
        <f>IF((0=1),(SUM(C299:BK299)/BK229),"")</f>
      </c>
      <c r="BL334" s="8">
        <f>IF((0=1),(SUM(C299:BL299)/BL229),"")</f>
      </c>
      <c r="BM334" s="8">
        <f>IF((0=1),(SUM(C299:BM299)/BM229),"")</f>
      </c>
      <c r="BN334" s="8">
        <f>IF((0=1),(SUM(C299:BN299)/BN229),"")</f>
      </c>
      <c r="BO334" s="8">
        <f>IF((0=1),(SUM(C299:BO299)/BO229),"")</f>
      </c>
      <c r="BP334" s="8">
        <f>IF((0=1),(SUM(C299:BP299)/BP229),"")</f>
      </c>
      <c r="BQ334" s="8">
        <f>IF((0=1),(SUM(C299:BQ299)/BQ229),"")</f>
      </c>
      <c r="BR334" s="8">
        <f>IF((0=1),(SUM(C299:BR299)/BR229),"")</f>
      </c>
      <c r="BS334" s="8">
        <f>IF((0=1),(SUM(C299:BS299)/BS229),"")</f>
      </c>
      <c r="BT334" s="8">
        <f>IF((0=1),(SUM(C299:BT299)/BT229),"")</f>
      </c>
      <c r="BU334" s="8">
        <f>IF((0=1),(SUM(C299:BU299)/BU229),"")</f>
      </c>
      <c r="BV334" s="8">
        <f>IF((0=1),(SUM(C299:BV299)/BV229),"")</f>
      </c>
      <c r="BW334" s="8">
        <f>IF((0=1),(SUM(C299:BW299)/BW229),"")</f>
      </c>
      <c r="BX334" s="8">
        <f>IF((0=1),(SUM(C299:BX299)/BX229),"")</f>
      </c>
      <c r="BY334" s="8">
        <f>IF((0=1),(SUM(C299:BY299)/BY229),"")</f>
      </c>
      <c r="BZ334" s="8">
        <f>IF((0=1),(SUM(C299:BZ299)/BZ229),"")</f>
      </c>
      <c r="CA334" s="8">
        <f>IF((0=1),(SUM(C299:CA299)/CA229),"")</f>
      </c>
      <c r="CB334" s="8">
        <f>IF((0=1),(SUM(C299:CB299)/CB229),"")</f>
      </c>
      <c r="CC334" s="8">
        <f>IF((0=1),(SUM(C299:CC299)/CC229),"")</f>
      </c>
      <c r="CD334" s="8">
        <f>IF((0=1),(SUM(C299:CD299)/CD229),"")</f>
      </c>
      <c r="CE334" s="8">
        <f>IF((0=1),(SUM(C299:CE299)/CE229),"")</f>
      </c>
      <c r="CF334" s="8">
        <f>IF((0=1),(SUM(C299:CF299)/CF229),"")</f>
      </c>
      <c r="CG334" s="8">
        <f>IF((0=1),(SUM(C299:CG299)/CG229),"")</f>
      </c>
      <c r="CH334" s="8">
        <f>IF((0=1),(SUM(C299:CH299)/CH229),"")</f>
      </c>
      <c r="CI334" s="8">
        <f>IF((0=1),(SUM(C299:CI299)/CI229),"")</f>
      </c>
      <c r="CJ334" s="8">
        <f>IF((0=1),(SUM(C299:CJ299)/CJ229),"")</f>
      </c>
      <c r="CK334" s="8">
        <f>IF((0=1),(SUM(C299:CK299)/CK229),"")</f>
      </c>
      <c r="CL334" s="8">
        <f>IF((0=1),(SUM(C299:CL299)/CL229),"")</f>
      </c>
      <c r="CM334" s="8">
        <f>IF((0=1),(SUM(C299:CM299)/CM229),"")</f>
      </c>
      <c r="CN334" s="8">
        <f>IF((0=1),(SUM(C299:CN299)/CN229),"")</f>
      </c>
      <c r="CO334" s="8">
        <f>IF((0=1),(SUM(C299:CO299)/CO229),"")</f>
      </c>
      <c r="CP334" s="8">
        <f>IF((0=1),(SUM(C299:CP299)/CP229),"")</f>
      </c>
      <c r="CQ334" s="8">
        <f>IF((0=1),(SUM(C299:CQ299)/CQ229),"")</f>
      </c>
      <c r="CR334" s="8">
        <f>IF((0=1),(SUM(C299:CR299)/CR229),"")</f>
      </c>
      <c r="CS334" s="8">
        <f>IF((0=1),(SUM(C299:CS299)/CS229),"")</f>
      </c>
      <c r="CT334" s="8">
        <f>IF((0=1),(SUM(C299:CT299)/CT229),"")</f>
      </c>
      <c r="CU334" s="8">
        <f>IF((0=1),(SUM(C299:CU299)/CU229),"")</f>
      </c>
      <c r="CV334" s="8">
        <f>IF((0=1),(SUM(C299:CV299)/CV229),"")</f>
      </c>
      <c r="CW334" s="8">
        <f>IF((0=1),(SUM(C299:CW299)/CW229),"")</f>
      </c>
      <c r="CX334" s="8">
        <f>IF((0=1),(SUM(C299:CX299)/CX229),"")</f>
      </c>
    </row>
    <row r="335">
      <c r="A335" s="0" t="inlineStr">
        <is>
          <t xml:space="preserve">Running mean of squares</t>
        </is>
      </c>
      <c r="B335" s="0" t="inlineStr">
        <is>
          <t xml:space="preserve">Random 4</t>
        </is>
      </c>
      <c r="C335" s="8">
        <f>IF((1=1),(SUM(C300)/C230),"")</f>
        <v>3.0800249999999996</v>
      </c>
      <c r="D335" s="8">
        <f>IF((0=1),(SUM(C300:D300)/D230),"")</f>
      </c>
      <c r="E335" s="8">
        <f>IF((0=1),(SUM(C300:E300)/E230),"")</f>
      </c>
      <c r="F335" s="8">
        <f>IF((0=1),(SUM(C300:F300)/F230),"")</f>
      </c>
      <c r="G335" s="8">
        <f>IF((0=1),(SUM(C300:G300)/G230),"")</f>
      </c>
      <c r="H335" s="8">
        <f>IF((0=1),(SUM(C300:H300)/H230),"")</f>
      </c>
      <c r="I335" s="8">
        <f>IF((0=1),(SUM(C300:I300)/I230),"")</f>
      </c>
      <c r="J335" s="8">
        <f>IF((0=1),(SUM(C300:J300)/J230),"")</f>
      </c>
      <c r="K335" s="8">
        <f>IF((0=1),(SUM(C300:K300)/K230),"")</f>
      </c>
      <c r="L335" s="8">
        <f>IF((0=1),(SUM(C300:L300)/L230),"")</f>
      </c>
      <c r="M335" s="8">
        <f>IF((0=1),(SUM(C300:M300)/M230),"")</f>
      </c>
      <c r="N335" s="8">
        <f>IF((0=1),(SUM(C300:N300)/N230),"")</f>
      </c>
      <c r="O335" s="8">
        <f>IF((0=1),(SUM(C300:O300)/O230),"")</f>
      </c>
      <c r="P335" s="8">
        <f>IF((0=1),(SUM(C300:P300)/P230),"")</f>
      </c>
      <c r="Q335" s="8">
        <f>IF((0=1),(SUM(C300:Q300)/Q230),"")</f>
      </c>
      <c r="R335" s="8">
        <f>IF((0=1),(SUM(C300:R300)/R230),"")</f>
      </c>
      <c r="S335" s="8">
        <f>IF((0=1),(SUM(C300:S300)/S230),"")</f>
      </c>
      <c r="T335" s="8">
        <f>IF((0=1),(SUM(C300:T300)/T230),"")</f>
      </c>
      <c r="U335" s="8">
        <f>IF((0=1),(SUM(C300:U300)/U230),"")</f>
      </c>
      <c r="V335" s="8">
        <f>IF((0=1),(SUM(C300:V300)/V230),"")</f>
      </c>
      <c r="W335" s="8">
        <f>IF((0=1),(SUM(C300:W300)/W230),"")</f>
      </c>
      <c r="X335" s="8">
        <f>IF((0=1),(SUM(C300:X300)/X230),"")</f>
      </c>
      <c r="Y335" s="8">
        <f>IF((0=1),(SUM(C300:Y300)/Y230),"")</f>
      </c>
      <c r="Z335" s="8">
        <f>IF((0=1),(SUM(C300:Z300)/Z230),"")</f>
      </c>
      <c r="AA335" s="8">
        <f>IF((0=1),(SUM(C300:AA300)/AA230),"")</f>
      </c>
      <c r="AB335" s="8">
        <f>IF((0=1),(SUM(C300:AB300)/AB230),"")</f>
      </c>
      <c r="AC335" s="8">
        <f>IF((0=1),(SUM(C300:AC300)/AC230),"")</f>
      </c>
      <c r="AD335" s="8">
        <f>IF((0=1),(SUM(C300:AD300)/AD230),"")</f>
      </c>
      <c r="AE335" s="8">
        <f>IF((0=1),(SUM(C300:AE300)/AE230),"")</f>
      </c>
      <c r="AF335" s="8">
        <f>IF((0=1),(SUM(C300:AF300)/AF230),"")</f>
      </c>
      <c r="AG335" s="8">
        <f>IF((0=1),(SUM(C300:AG300)/AG230),"")</f>
      </c>
      <c r="AH335" s="8">
        <f>IF((0=1),(SUM(C300:AH300)/AH230),"")</f>
      </c>
      <c r="AI335" s="8">
        <f>IF((0=1),(SUM(C300:AI300)/AI230),"")</f>
      </c>
      <c r="AJ335" s="8">
        <f>IF((0=1),(SUM(C300:AJ300)/AJ230),"")</f>
      </c>
      <c r="AK335" s="8">
        <f>IF((0=1),(SUM(C300:AK300)/AK230),"")</f>
      </c>
      <c r="AL335" s="8">
        <f>IF((0=1),(SUM(C300:AL300)/AL230),"")</f>
      </c>
      <c r="AM335" s="8">
        <f>IF((0=1),(SUM(C300:AM300)/AM230),"")</f>
      </c>
      <c r="AN335" s="8">
        <f>IF((0=1),(SUM(C300:AN300)/AN230),"")</f>
      </c>
      <c r="AO335" s="8">
        <f>IF((0=1),(SUM(C300:AO300)/AO230),"")</f>
      </c>
      <c r="AP335" s="8">
        <f>IF((0=1),(SUM(C300:AP300)/AP230),"")</f>
      </c>
      <c r="AQ335" s="8">
        <f>IF((0=1),(SUM(C300:AQ300)/AQ230),"")</f>
      </c>
      <c r="AR335" s="8">
        <f>IF((0=1),(SUM(C300:AR300)/AR230),"")</f>
      </c>
      <c r="AS335" s="8">
        <f>IF((0=1),(SUM(C300:AS300)/AS230),"")</f>
      </c>
      <c r="AT335" s="8">
        <f>IF((0=1),(SUM(C300:AT300)/AT230),"")</f>
      </c>
      <c r="AU335" s="8">
        <f>IF((0=1),(SUM(C300:AU300)/AU230),"")</f>
      </c>
      <c r="AV335" s="8">
        <f>IF((0=1),(SUM(C300:AV300)/AV230),"")</f>
      </c>
      <c r="AW335" s="8">
        <f>IF((0=1),(SUM(C300:AW300)/AW230),"")</f>
      </c>
      <c r="AX335" s="8">
        <f>IF((0=1),(SUM(C300:AX300)/AX230),"")</f>
      </c>
      <c r="AY335" s="8">
        <f>IF((0=1),(SUM(C300:AY300)/AY230),"")</f>
      </c>
      <c r="AZ335" s="8">
        <f>IF((0=1),(SUM(C300:AZ300)/AZ230),"")</f>
      </c>
      <c r="BA335" s="8">
        <f>IF((0=1),(SUM(C300:BA300)/BA230),"")</f>
      </c>
      <c r="BB335" s="8">
        <f>IF((0=1),(SUM(C300:BB300)/BB230),"")</f>
      </c>
      <c r="BC335" s="8">
        <f>IF((0=1),(SUM(C300:BC300)/BC230),"")</f>
      </c>
      <c r="BD335" s="8">
        <f>IF((0=1),(SUM(C300:BD300)/BD230),"")</f>
      </c>
      <c r="BE335" s="8">
        <f>IF((0=1),(SUM(C300:BE300)/BE230),"")</f>
      </c>
      <c r="BF335" s="8">
        <f>IF((0=1),(SUM(C300:BF300)/BF230),"")</f>
      </c>
      <c r="BG335" s="8">
        <f>IF((0=1),(SUM(C300:BG300)/BG230),"")</f>
      </c>
      <c r="BH335" s="8">
        <f>IF((0=1),(SUM(C300:BH300)/BH230),"")</f>
      </c>
      <c r="BI335" s="8">
        <f>IF((0=1),(SUM(C300:BI300)/BI230),"")</f>
      </c>
      <c r="BJ335" s="8">
        <f>IF((0=1),(SUM(C300:BJ300)/BJ230),"")</f>
      </c>
      <c r="BK335" s="8">
        <f>IF((0=1),(SUM(C300:BK300)/BK230),"")</f>
      </c>
      <c r="BL335" s="8">
        <f>IF((0=1),(SUM(C300:BL300)/BL230),"")</f>
      </c>
      <c r="BM335" s="8">
        <f>IF((0=1),(SUM(C300:BM300)/BM230),"")</f>
      </c>
      <c r="BN335" s="8">
        <f>IF((0=1),(SUM(C300:BN300)/BN230),"")</f>
      </c>
      <c r="BO335" s="8">
        <f>IF((0=1),(SUM(C300:BO300)/BO230),"")</f>
      </c>
      <c r="BP335" s="8">
        <f>IF((0=1),(SUM(C300:BP300)/BP230),"")</f>
      </c>
      <c r="BQ335" s="8">
        <f>IF((0=1),(SUM(C300:BQ300)/BQ230),"")</f>
      </c>
      <c r="BR335" s="8">
        <f>IF((0=1),(SUM(C300:BR300)/BR230),"")</f>
      </c>
      <c r="BS335" s="8">
        <f>IF((0=1),(SUM(C300:BS300)/BS230),"")</f>
      </c>
      <c r="BT335" s="8">
        <f>IF((0=1),(SUM(C300:BT300)/BT230),"")</f>
      </c>
      <c r="BU335" s="8">
        <f>IF((0=1),(SUM(C300:BU300)/BU230),"")</f>
      </c>
      <c r="BV335" s="8">
        <f>IF((0=1),(SUM(C300:BV300)/BV230),"")</f>
      </c>
      <c r="BW335" s="8">
        <f>IF((0=1),(SUM(C300:BW300)/BW230),"")</f>
      </c>
      <c r="BX335" s="8">
        <f>IF((0=1),(SUM(C300:BX300)/BX230),"")</f>
      </c>
      <c r="BY335" s="8">
        <f>IF((0=1),(SUM(C300:BY300)/BY230),"")</f>
      </c>
      <c r="BZ335" s="8">
        <f>IF((0=1),(SUM(C300:BZ300)/BZ230),"")</f>
      </c>
      <c r="CA335" s="8">
        <f>IF((0=1),(SUM(C300:CA300)/CA230),"")</f>
      </c>
      <c r="CB335" s="8">
        <f>IF((0=1),(SUM(C300:CB300)/CB230),"")</f>
      </c>
      <c r="CC335" s="8">
        <f>IF((0=1),(SUM(C300:CC300)/CC230),"")</f>
      </c>
      <c r="CD335" s="8">
        <f>IF((0=1),(SUM(C300:CD300)/CD230),"")</f>
      </c>
      <c r="CE335" s="8">
        <f>IF((0=1),(SUM(C300:CE300)/CE230),"")</f>
      </c>
      <c r="CF335" s="8">
        <f>IF((0=1),(SUM(C300:CF300)/CF230),"")</f>
      </c>
      <c r="CG335" s="8">
        <f>IF((0=1),(SUM(C300:CG300)/CG230),"")</f>
      </c>
      <c r="CH335" s="8">
        <f>IF((0=1),(SUM(C300:CH300)/CH230),"")</f>
      </c>
      <c r="CI335" s="8">
        <f>IF((0=1),(SUM(C300:CI300)/CI230),"")</f>
      </c>
      <c r="CJ335" s="8">
        <f>IF((0=1),(SUM(C300:CJ300)/CJ230),"")</f>
      </c>
      <c r="CK335" s="8">
        <f>IF((0=1),(SUM(C300:CK300)/CK230),"")</f>
      </c>
      <c r="CL335" s="8">
        <f>IF((0=1),(SUM(C300:CL300)/CL230),"")</f>
      </c>
      <c r="CM335" s="8">
        <f>IF((0=1),(SUM(C300:CM300)/CM230),"")</f>
      </c>
      <c r="CN335" s="8">
        <f>IF((0=1),(SUM(C300:CN300)/CN230),"")</f>
      </c>
      <c r="CO335" s="8">
        <f>IF((0=1),(SUM(C300:CO300)/CO230),"")</f>
      </c>
      <c r="CP335" s="8">
        <f>IF((0=1),(SUM(C300:CP300)/CP230),"")</f>
      </c>
      <c r="CQ335" s="8">
        <f>IF((0=1),(SUM(C300:CQ300)/CQ230),"")</f>
      </c>
      <c r="CR335" s="8">
        <f>IF((0=1),(SUM(C300:CR300)/CR230),"")</f>
      </c>
      <c r="CS335" s="8">
        <f>IF((0=1),(SUM(C300:CS300)/CS230),"")</f>
      </c>
      <c r="CT335" s="8">
        <f>IF((0=1),(SUM(C300:CT300)/CT230),"")</f>
      </c>
      <c r="CU335" s="8">
        <f>IF((0=1),(SUM(C300:CU300)/CU230),"")</f>
      </c>
      <c r="CV335" s="8">
        <f>IF((0=1),(SUM(C300:CV300)/CV230),"")</f>
      </c>
      <c r="CW335" s="8">
        <f>IF((0=1),(SUM(C300:CW300)/CW230),"")</f>
      </c>
      <c r="CX335" s="8">
        <f>IF((0=1),(SUM(C300:CX300)/CX230),"")</f>
      </c>
    </row>
    <row r="336">
      <c r="A336" s="0" t="inlineStr">
        <is>
          <t xml:space="preserve">Running mean of squares</t>
        </is>
      </c>
      <c r="B336" s="0" t="inlineStr">
        <is>
          <t xml:space="preserve">Random 5</t>
        </is>
      </c>
      <c r="C336" s="8">
        <f>IF((1=1),(SUM(C301)/C231),"")</f>
        <v>71.99522499999999</v>
      </c>
      <c r="D336" s="8">
        <f>IF((0=1),(SUM(C301:D301)/D231),"")</f>
      </c>
      <c r="E336" s="8">
        <f>IF((0=1),(SUM(C301:E301)/E231),"")</f>
      </c>
      <c r="F336" s="8">
        <f>IF((0=1),(SUM(C301:F301)/F231),"")</f>
      </c>
      <c r="G336" s="8">
        <f>IF((0=1),(SUM(C301:G301)/G231),"")</f>
      </c>
      <c r="H336" s="8">
        <f>IF((0=1),(SUM(C301:H301)/H231),"")</f>
      </c>
      <c r="I336" s="8">
        <f>IF((0=1),(SUM(C301:I301)/I231),"")</f>
      </c>
      <c r="J336" s="8">
        <f>IF((0=1),(SUM(C301:J301)/J231),"")</f>
      </c>
      <c r="K336" s="8">
        <f>IF((0=1),(SUM(C301:K301)/K231),"")</f>
      </c>
      <c r="L336" s="8">
        <f>IF((0=1),(SUM(C301:L301)/L231),"")</f>
      </c>
      <c r="M336" s="8">
        <f>IF((0=1),(SUM(C301:M301)/M231),"")</f>
      </c>
      <c r="N336" s="8">
        <f>IF((0=1),(SUM(C301:N301)/N231),"")</f>
      </c>
      <c r="O336" s="8">
        <f>IF((0=1),(SUM(C301:O301)/O231),"")</f>
      </c>
      <c r="P336" s="8">
        <f>IF((0=1),(SUM(C301:P301)/P231),"")</f>
      </c>
      <c r="Q336" s="8">
        <f>IF((0=1),(SUM(C301:Q301)/Q231),"")</f>
      </c>
      <c r="R336" s="8">
        <f>IF((0=1),(SUM(C301:R301)/R231),"")</f>
      </c>
      <c r="S336" s="8">
        <f>IF((0=1),(SUM(C301:S301)/S231),"")</f>
      </c>
      <c r="T336" s="8">
        <f>IF((0=1),(SUM(C301:T301)/T231),"")</f>
      </c>
      <c r="U336" s="8">
        <f>IF((0=1),(SUM(C301:U301)/U231),"")</f>
      </c>
      <c r="V336" s="8">
        <f>IF((0=1),(SUM(C301:V301)/V231),"")</f>
      </c>
      <c r="W336" s="8">
        <f>IF((0=1),(SUM(C301:W301)/W231),"")</f>
      </c>
      <c r="X336" s="8">
        <f>IF((0=1),(SUM(C301:X301)/X231),"")</f>
      </c>
      <c r="Y336" s="8">
        <f>IF((0=1),(SUM(C301:Y301)/Y231),"")</f>
      </c>
      <c r="Z336" s="8">
        <f>IF((0=1),(SUM(C301:Z301)/Z231),"")</f>
      </c>
      <c r="AA336" s="8">
        <f>IF((0=1),(SUM(C301:AA301)/AA231),"")</f>
      </c>
      <c r="AB336" s="8">
        <f>IF((0=1),(SUM(C301:AB301)/AB231),"")</f>
      </c>
      <c r="AC336" s="8">
        <f>IF((0=1),(SUM(C301:AC301)/AC231),"")</f>
      </c>
      <c r="AD336" s="8">
        <f>IF((0=1),(SUM(C301:AD301)/AD231),"")</f>
      </c>
      <c r="AE336" s="8">
        <f>IF((0=1),(SUM(C301:AE301)/AE231),"")</f>
      </c>
      <c r="AF336" s="8">
        <f>IF((0=1),(SUM(C301:AF301)/AF231),"")</f>
      </c>
      <c r="AG336" s="8">
        <f>IF((0=1),(SUM(C301:AG301)/AG231),"")</f>
      </c>
      <c r="AH336" s="8">
        <f>IF((0=1),(SUM(C301:AH301)/AH231),"")</f>
      </c>
      <c r="AI336" s="8">
        <f>IF((0=1),(SUM(C301:AI301)/AI231),"")</f>
      </c>
      <c r="AJ336" s="8">
        <f>IF((0=1),(SUM(C301:AJ301)/AJ231),"")</f>
      </c>
      <c r="AK336" s="8">
        <f>IF((0=1),(SUM(C301:AK301)/AK231),"")</f>
      </c>
      <c r="AL336" s="8">
        <f>IF((0=1),(SUM(C301:AL301)/AL231),"")</f>
      </c>
      <c r="AM336" s="8">
        <f>IF((0=1),(SUM(C301:AM301)/AM231),"")</f>
      </c>
      <c r="AN336" s="8">
        <f>IF((0=1),(SUM(C301:AN301)/AN231),"")</f>
      </c>
      <c r="AO336" s="8">
        <f>IF((0=1),(SUM(C301:AO301)/AO231),"")</f>
      </c>
      <c r="AP336" s="8">
        <f>IF((0=1),(SUM(C301:AP301)/AP231),"")</f>
      </c>
      <c r="AQ336" s="8">
        <f>IF((0=1),(SUM(C301:AQ301)/AQ231),"")</f>
      </c>
      <c r="AR336" s="8">
        <f>IF((0=1),(SUM(C301:AR301)/AR231),"")</f>
      </c>
      <c r="AS336" s="8">
        <f>IF((0=1),(SUM(C301:AS301)/AS231),"")</f>
      </c>
      <c r="AT336" s="8">
        <f>IF((0=1),(SUM(C301:AT301)/AT231),"")</f>
      </c>
      <c r="AU336" s="8">
        <f>IF((0=1),(SUM(C301:AU301)/AU231),"")</f>
      </c>
      <c r="AV336" s="8">
        <f>IF((0=1),(SUM(C301:AV301)/AV231),"")</f>
      </c>
      <c r="AW336" s="8">
        <f>IF((0=1),(SUM(C301:AW301)/AW231),"")</f>
      </c>
      <c r="AX336" s="8">
        <f>IF((0=1),(SUM(C301:AX301)/AX231),"")</f>
      </c>
      <c r="AY336" s="8">
        <f>IF((0=1),(SUM(C301:AY301)/AY231),"")</f>
      </c>
      <c r="AZ336" s="8">
        <f>IF((0=1),(SUM(C301:AZ301)/AZ231),"")</f>
      </c>
      <c r="BA336" s="8">
        <f>IF((0=1),(SUM(C301:BA301)/BA231),"")</f>
      </c>
      <c r="BB336" s="8">
        <f>IF((0=1),(SUM(C301:BB301)/BB231),"")</f>
      </c>
      <c r="BC336" s="8">
        <f>IF((0=1),(SUM(C301:BC301)/BC231),"")</f>
      </c>
      <c r="BD336" s="8">
        <f>IF((0=1),(SUM(C301:BD301)/BD231),"")</f>
      </c>
      <c r="BE336" s="8">
        <f>IF((0=1),(SUM(C301:BE301)/BE231),"")</f>
      </c>
      <c r="BF336" s="8">
        <f>IF((0=1),(SUM(C301:BF301)/BF231),"")</f>
      </c>
      <c r="BG336" s="8">
        <f>IF((0=1),(SUM(C301:BG301)/BG231),"")</f>
      </c>
      <c r="BH336" s="8">
        <f>IF((0=1),(SUM(C301:BH301)/BH231),"")</f>
      </c>
      <c r="BI336" s="8">
        <f>IF((0=1),(SUM(C301:BI301)/BI231),"")</f>
      </c>
      <c r="BJ336" s="8">
        <f>IF((0=1),(SUM(C301:BJ301)/BJ231),"")</f>
      </c>
      <c r="BK336" s="8">
        <f>IF((0=1),(SUM(C301:BK301)/BK231),"")</f>
      </c>
      <c r="BL336" s="8">
        <f>IF((0=1),(SUM(C301:BL301)/BL231),"")</f>
      </c>
      <c r="BM336" s="8">
        <f>IF((0=1),(SUM(C301:BM301)/BM231),"")</f>
      </c>
      <c r="BN336" s="8">
        <f>IF((0=1),(SUM(C301:BN301)/BN231),"")</f>
      </c>
      <c r="BO336" s="8">
        <f>IF((0=1),(SUM(C301:BO301)/BO231),"")</f>
      </c>
      <c r="BP336" s="8">
        <f>IF((0=1),(SUM(C301:BP301)/BP231),"")</f>
      </c>
      <c r="BQ336" s="8">
        <f>IF((0=1),(SUM(C301:BQ301)/BQ231),"")</f>
      </c>
      <c r="BR336" s="8">
        <f>IF((0=1),(SUM(C301:BR301)/BR231),"")</f>
      </c>
      <c r="BS336" s="8">
        <f>IF((0=1),(SUM(C301:BS301)/BS231),"")</f>
      </c>
      <c r="BT336" s="8">
        <f>IF((0=1),(SUM(C301:BT301)/BT231),"")</f>
      </c>
      <c r="BU336" s="8">
        <f>IF((0=1),(SUM(C301:BU301)/BU231),"")</f>
      </c>
      <c r="BV336" s="8">
        <f>IF((0=1),(SUM(C301:BV301)/BV231),"")</f>
      </c>
      <c r="BW336" s="8">
        <f>IF((0=1),(SUM(C301:BW301)/BW231),"")</f>
      </c>
      <c r="BX336" s="8">
        <f>IF((0=1),(SUM(C301:BX301)/BX231),"")</f>
      </c>
      <c r="BY336" s="8">
        <f>IF((0=1),(SUM(C301:BY301)/BY231),"")</f>
      </c>
      <c r="BZ336" s="8">
        <f>IF((0=1),(SUM(C301:BZ301)/BZ231),"")</f>
      </c>
      <c r="CA336" s="8">
        <f>IF((0=1),(SUM(C301:CA301)/CA231),"")</f>
      </c>
      <c r="CB336" s="8">
        <f>IF((0=1),(SUM(C301:CB301)/CB231),"")</f>
      </c>
      <c r="CC336" s="8">
        <f>IF((0=1),(SUM(C301:CC301)/CC231),"")</f>
      </c>
      <c r="CD336" s="8">
        <f>IF((0=1),(SUM(C301:CD301)/CD231),"")</f>
      </c>
      <c r="CE336" s="8">
        <f>IF((0=1),(SUM(C301:CE301)/CE231),"")</f>
      </c>
      <c r="CF336" s="8">
        <f>IF((0=1),(SUM(C301:CF301)/CF231),"")</f>
      </c>
      <c r="CG336" s="8">
        <f>IF((0=1),(SUM(C301:CG301)/CG231),"")</f>
      </c>
      <c r="CH336" s="8">
        <f>IF((0=1),(SUM(C301:CH301)/CH231),"")</f>
      </c>
      <c r="CI336" s="8">
        <f>IF((0=1),(SUM(C301:CI301)/CI231),"")</f>
      </c>
      <c r="CJ336" s="8">
        <f>IF((0=1),(SUM(C301:CJ301)/CJ231),"")</f>
      </c>
      <c r="CK336" s="8">
        <f>IF((0=1),(SUM(C301:CK301)/CK231),"")</f>
      </c>
      <c r="CL336" s="8">
        <f>IF((0=1),(SUM(C301:CL301)/CL231),"")</f>
      </c>
      <c r="CM336" s="8">
        <f>IF((0=1),(SUM(C301:CM301)/CM231),"")</f>
      </c>
      <c r="CN336" s="8">
        <f>IF((0=1),(SUM(C301:CN301)/CN231),"")</f>
      </c>
      <c r="CO336" s="8">
        <f>IF((0=1),(SUM(C301:CO301)/CO231),"")</f>
      </c>
      <c r="CP336" s="8">
        <f>IF((0=1),(SUM(C301:CP301)/CP231),"")</f>
      </c>
      <c r="CQ336" s="8">
        <f>IF((0=1),(SUM(C301:CQ301)/CQ231),"")</f>
      </c>
      <c r="CR336" s="8">
        <f>IF((0=1),(SUM(C301:CR301)/CR231),"")</f>
      </c>
      <c r="CS336" s="8">
        <f>IF((0=1),(SUM(C301:CS301)/CS231),"")</f>
      </c>
      <c r="CT336" s="8">
        <f>IF((0=1),(SUM(C301:CT301)/CT231),"")</f>
      </c>
      <c r="CU336" s="8">
        <f>IF((0=1),(SUM(C301:CU301)/CU231),"")</f>
      </c>
      <c r="CV336" s="8">
        <f>IF((0=1),(SUM(C301:CV301)/CV231),"")</f>
      </c>
      <c r="CW336" s="8">
        <f>IF((0=1),(SUM(C301:CW301)/CW231),"")</f>
      </c>
      <c r="CX336" s="8">
        <f>IF((0=1),(SUM(C301:CX301)/CX231),"")</f>
      </c>
    </row>
    <row r="337">
      <c r="A337" s="0" t="inlineStr">
        <is>
          <t xml:space="preserve">Running mean of squares</t>
        </is>
      </c>
      <c r="B337" s="0" t="inlineStr">
        <is>
          <t xml:space="preserve">Random 6</t>
        </is>
      </c>
      <c r="C337" s="8">
        <f>IF((1=1),(SUM(C302)/C232),"")</f>
        <v>9.024016</v>
      </c>
      <c r="D337" s="8">
        <f>IF((0=1),(SUM(C302:D302)/D232),"")</f>
      </c>
      <c r="E337" s="8">
        <f>IF((0=1),(SUM(C302:E302)/E232),"")</f>
      </c>
      <c r="F337" s="8">
        <f>IF((0=1),(SUM(C302:F302)/F232),"")</f>
      </c>
      <c r="G337" s="8">
        <f>IF((0=1),(SUM(C302:G302)/G232),"")</f>
      </c>
      <c r="H337" s="8">
        <f>IF((0=1),(SUM(C302:H302)/H232),"")</f>
      </c>
      <c r="I337" s="8">
        <f>IF((0=1),(SUM(C302:I302)/I232),"")</f>
      </c>
      <c r="J337" s="8">
        <f>IF((0=1),(SUM(C302:J302)/J232),"")</f>
      </c>
      <c r="K337" s="8">
        <f>IF((0=1),(SUM(C302:K302)/K232),"")</f>
      </c>
      <c r="L337" s="8">
        <f>IF((0=1),(SUM(C302:L302)/L232),"")</f>
      </c>
      <c r="M337" s="8">
        <f>IF((0=1),(SUM(C302:M302)/M232),"")</f>
      </c>
      <c r="N337" s="8">
        <f>IF((0=1),(SUM(C302:N302)/N232),"")</f>
      </c>
      <c r="O337" s="8">
        <f>IF((0=1),(SUM(C302:O302)/O232),"")</f>
      </c>
      <c r="P337" s="8">
        <f>IF((0=1),(SUM(C302:P302)/P232),"")</f>
      </c>
      <c r="Q337" s="8">
        <f>IF((0=1),(SUM(C302:Q302)/Q232),"")</f>
      </c>
      <c r="R337" s="8">
        <f>IF((0=1),(SUM(C302:R302)/R232),"")</f>
      </c>
      <c r="S337" s="8">
        <f>IF((0=1),(SUM(C302:S302)/S232),"")</f>
      </c>
      <c r="T337" s="8">
        <f>IF((0=1),(SUM(C302:T302)/T232),"")</f>
      </c>
      <c r="U337" s="8">
        <f>IF((0=1),(SUM(C302:U302)/U232),"")</f>
      </c>
      <c r="V337" s="8">
        <f>IF((0=1),(SUM(C302:V302)/V232),"")</f>
      </c>
      <c r="W337" s="8">
        <f>IF((0=1),(SUM(C302:W302)/W232),"")</f>
      </c>
      <c r="X337" s="8">
        <f>IF((0=1),(SUM(C302:X302)/X232),"")</f>
      </c>
      <c r="Y337" s="8">
        <f>IF((0=1),(SUM(C302:Y302)/Y232),"")</f>
      </c>
      <c r="Z337" s="8">
        <f>IF((0=1),(SUM(C302:Z302)/Z232),"")</f>
      </c>
      <c r="AA337" s="8">
        <f>IF((0=1),(SUM(C302:AA302)/AA232),"")</f>
      </c>
      <c r="AB337" s="8">
        <f>IF((0=1),(SUM(C302:AB302)/AB232),"")</f>
      </c>
      <c r="AC337" s="8">
        <f>IF((0=1),(SUM(C302:AC302)/AC232),"")</f>
      </c>
      <c r="AD337" s="8">
        <f>IF((0=1),(SUM(C302:AD302)/AD232),"")</f>
      </c>
      <c r="AE337" s="8">
        <f>IF((0=1),(SUM(C302:AE302)/AE232),"")</f>
      </c>
      <c r="AF337" s="8">
        <f>IF((0=1),(SUM(C302:AF302)/AF232),"")</f>
      </c>
      <c r="AG337" s="8">
        <f>IF((0=1),(SUM(C302:AG302)/AG232),"")</f>
      </c>
      <c r="AH337" s="8">
        <f>IF((0=1),(SUM(C302:AH302)/AH232),"")</f>
      </c>
      <c r="AI337" s="8">
        <f>IF((0=1),(SUM(C302:AI302)/AI232),"")</f>
      </c>
      <c r="AJ337" s="8">
        <f>IF((0=1),(SUM(C302:AJ302)/AJ232),"")</f>
      </c>
      <c r="AK337" s="8">
        <f>IF((0=1),(SUM(C302:AK302)/AK232),"")</f>
      </c>
      <c r="AL337" s="8">
        <f>IF((0=1),(SUM(C302:AL302)/AL232),"")</f>
      </c>
      <c r="AM337" s="8">
        <f>IF((0=1),(SUM(C302:AM302)/AM232),"")</f>
      </c>
      <c r="AN337" s="8">
        <f>IF((0=1),(SUM(C302:AN302)/AN232),"")</f>
      </c>
      <c r="AO337" s="8">
        <f>IF((0=1),(SUM(C302:AO302)/AO232),"")</f>
      </c>
      <c r="AP337" s="8">
        <f>IF((0=1),(SUM(C302:AP302)/AP232),"")</f>
      </c>
      <c r="AQ337" s="8">
        <f>IF((0=1),(SUM(C302:AQ302)/AQ232),"")</f>
      </c>
      <c r="AR337" s="8">
        <f>IF((0=1),(SUM(C302:AR302)/AR232),"")</f>
      </c>
      <c r="AS337" s="8">
        <f>IF((0=1),(SUM(C302:AS302)/AS232),"")</f>
      </c>
      <c r="AT337" s="8">
        <f>IF((0=1),(SUM(C302:AT302)/AT232),"")</f>
      </c>
      <c r="AU337" s="8">
        <f>IF((0=1),(SUM(C302:AU302)/AU232),"")</f>
      </c>
      <c r="AV337" s="8">
        <f>IF((0=1),(SUM(C302:AV302)/AV232),"")</f>
      </c>
      <c r="AW337" s="8">
        <f>IF((0=1),(SUM(C302:AW302)/AW232),"")</f>
      </c>
      <c r="AX337" s="8">
        <f>IF((0=1),(SUM(C302:AX302)/AX232),"")</f>
      </c>
      <c r="AY337" s="8">
        <f>IF((0=1),(SUM(C302:AY302)/AY232),"")</f>
      </c>
      <c r="AZ337" s="8">
        <f>IF((0=1),(SUM(C302:AZ302)/AZ232),"")</f>
      </c>
      <c r="BA337" s="8">
        <f>IF((0=1),(SUM(C302:BA302)/BA232),"")</f>
      </c>
      <c r="BB337" s="8">
        <f>IF((0=1),(SUM(C302:BB302)/BB232),"")</f>
      </c>
      <c r="BC337" s="8">
        <f>IF((0=1),(SUM(C302:BC302)/BC232),"")</f>
      </c>
      <c r="BD337" s="8">
        <f>IF((0=1),(SUM(C302:BD302)/BD232),"")</f>
      </c>
      <c r="BE337" s="8">
        <f>IF((0=1),(SUM(C302:BE302)/BE232),"")</f>
      </c>
      <c r="BF337" s="8">
        <f>IF((0=1),(SUM(C302:BF302)/BF232),"")</f>
      </c>
      <c r="BG337" s="8">
        <f>IF((0=1),(SUM(C302:BG302)/BG232),"")</f>
      </c>
      <c r="BH337" s="8">
        <f>IF((0=1),(SUM(C302:BH302)/BH232),"")</f>
      </c>
      <c r="BI337" s="8">
        <f>IF((0=1),(SUM(C302:BI302)/BI232),"")</f>
      </c>
      <c r="BJ337" s="8">
        <f>IF((0=1),(SUM(C302:BJ302)/BJ232),"")</f>
      </c>
      <c r="BK337" s="8">
        <f>IF((0=1),(SUM(C302:BK302)/BK232),"")</f>
      </c>
      <c r="BL337" s="8">
        <f>IF((0=1),(SUM(C302:BL302)/BL232),"")</f>
      </c>
      <c r="BM337" s="8">
        <f>IF((0=1),(SUM(C302:BM302)/BM232),"")</f>
      </c>
      <c r="BN337" s="8">
        <f>IF((0=1),(SUM(C302:BN302)/BN232),"")</f>
      </c>
      <c r="BO337" s="8">
        <f>IF((0=1),(SUM(C302:BO302)/BO232),"")</f>
      </c>
      <c r="BP337" s="8">
        <f>IF((0=1),(SUM(C302:BP302)/BP232),"")</f>
      </c>
      <c r="BQ337" s="8">
        <f>IF((0=1),(SUM(C302:BQ302)/BQ232),"")</f>
      </c>
      <c r="BR337" s="8">
        <f>IF((0=1),(SUM(C302:BR302)/BR232),"")</f>
      </c>
      <c r="BS337" s="8">
        <f>IF((0=1),(SUM(C302:BS302)/BS232),"")</f>
      </c>
      <c r="BT337" s="8">
        <f>IF((0=1),(SUM(C302:BT302)/BT232),"")</f>
      </c>
      <c r="BU337" s="8">
        <f>IF((0=1),(SUM(C302:BU302)/BU232),"")</f>
      </c>
      <c r="BV337" s="8">
        <f>IF((0=1),(SUM(C302:BV302)/BV232),"")</f>
      </c>
      <c r="BW337" s="8">
        <f>IF((0=1),(SUM(C302:BW302)/BW232),"")</f>
      </c>
      <c r="BX337" s="8">
        <f>IF((0=1),(SUM(C302:BX302)/BX232),"")</f>
      </c>
      <c r="BY337" s="8">
        <f>IF((0=1),(SUM(C302:BY302)/BY232),"")</f>
      </c>
      <c r="BZ337" s="8">
        <f>IF((0=1),(SUM(C302:BZ302)/BZ232),"")</f>
      </c>
      <c r="CA337" s="8">
        <f>IF((0=1),(SUM(C302:CA302)/CA232),"")</f>
      </c>
      <c r="CB337" s="8">
        <f>IF((0=1),(SUM(C302:CB302)/CB232),"")</f>
      </c>
      <c r="CC337" s="8">
        <f>IF((0=1),(SUM(C302:CC302)/CC232),"")</f>
      </c>
      <c r="CD337" s="8">
        <f>IF((0=1),(SUM(C302:CD302)/CD232),"")</f>
      </c>
      <c r="CE337" s="8">
        <f>IF((0=1),(SUM(C302:CE302)/CE232),"")</f>
      </c>
      <c r="CF337" s="8">
        <f>IF((0=1),(SUM(C302:CF302)/CF232),"")</f>
      </c>
      <c r="CG337" s="8">
        <f>IF((0=1),(SUM(C302:CG302)/CG232),"")</f>
      </c>
      <c r="CH337" s="8">
        <f>IF((0=1),(SUM(C302:CH302)/CH232),"")</f>
      </c>
      <c r="CI337" s="8">
        <f>IF((0=1),(SUM(C302:CI302)/CI232),"")</f>
      </c>
      <c r="CJ337" s="8">
        <f>IF((0=1),(SUM(C302:CJ302)/CJ232),"")</f>
      </c>
      <c r="CK337" s="8">
        <f>IF((0=1),(SUM(C302:CK302)/CK232),"")</f>
      </c>
      <c r="CL337" s="8">
        <f>IF((0=1),(SUM(C302:CL302)/CL232),"")</f>
      </c>
      <c r="CM337" s="8">
        <f>IF((0=1),(SUM(C302:CM302)/CM232),"")</f>
      </c>
      <c r="CN337" s="8">
        <f>IF((0=1),(SUM(C302:CN302)/CN232),"")</f>
      </c>
      <c r="CO337" s="8">
        <f>IF((0=1),(SUM(C302:CO302)/CO232),"")</f>
      </c>
      <c r="CP337" s="8">
        <f>IF((0=1),(SUM(C302:CP302)/CP232),"")</f>
      </c>
      <c r="CQ337" s="8">
        <f>IF((0=1),(SUM(C302:CQ302)/CQ232),"")</f>
      </c>
      <c r="CR337" s="8">
        <f>IF((0=1),(SUM(C302:CR302)/CR232),"")</f>
      </c>
      <c r="CS337" s="8">
        <f>IF((0=1),(SUM(C302:CS302)/CS232),"")</f>
      </c>
      <c r="CT337" s="8">
        <f>IF((0=1),(SUM(C302:CT302)/CT232),"")</f>
      </c>
      <c r="CU337" s="8">
        <f>IF((0=1),(SUM(C302:CU302)/CU232),"")</f>
      </c>
      <c r="CV337" s="8">
        <f>IF((0=1),(SUM(C302:CV302)/CV232),"")</f>
      </c>
      <c r="CW337" s="8">
        <f>IF((0=1),(SUM(C302:CW302)/CW232),"")</f>
      </c>
      <c r="CX337" s="8">
        <f>IF((0=1),(SUM(C302:CX302)/CX232),"")</f>
      </c>
    </row>
    <row r="338">
      <c r="A338" s="0" t="inlineStr">
        <is>
          <t xml:space="preserve">Running mean of squares</t>
        </is>
      </c>
      <c r="B338" s="0" t="inlineStr">
        <is>
          <t xml:space="preserve">Random 7</t>
        </is>
      </c>
      <c r="C338" s="8">
        <f>IF((1=1),(SUM(C303)/C233),"")</f>
        <v>10.647169</v>
      </c>
      <c r="D338" s="8">
        <f>IF((0=1),(SUM(C303:D303)/D233),"")</f>
      </c>
      <c r="E338" s="8">
        <f>IF((0=1),(SUM(C303:E303)/E233),"")</f>
      </c>
      <c r="F338" s="8">
        <f>IF((0=1),(SUM(C303:F303)/F233),"")</f>
      </c>
      <c r="G338" s="8">
        <f>IF((0=1),(SUM(C303:G303)/G233),"")</f>
      </c>
      <c r="H338" s="8">
        <f>IF((0=1),(SUM(C303:H303)/H233),"")</f>
      </c>
      <c r="I338" s="8">
        <f>IF((0=1),(SUM(C303:I303)/I233),"")</f>
      </c>
      <c r="J338" s="8">
        <f>IF((0=1),(SUM(C303:J303)/J233),"")</f>
      </c>
      <c r="K338" s="8">
        <f>IF((0=1),(SUM(C303:K303)/K233),"")</f>
      </c>
      <c r="L338" s="8">
        <f>IF((0=1),(SUM(C303:L303)/L233),"")</f>
      </c>
      <c r="M338" s="8">
        <f>IF((0=1),(SUM(C303:M303)/M233),"")</f>
      </c>
      <c r="N338" s="8">
        <f>IF((0=1),(SUM(C303:N303)/N233),"")</f>
      </c>
      <c r="O338" s="8">
        <f>IF((0=1),(SUM(C303:O303)/O233),"")</f>
      </c>
      <c r="P338" s="8">
        <f>IF((0=1),(SUM(C303:P303)/P233),"")</f>
      </c>
      <c r="Q338" s="8">
        <f>IF((0=1),(SUM(C303:Q303)/Q233),"")</f>
      </c>
      <c r="R338" s="8">
        <f>IF((0=1),(SUM(C303:R303)/R233),"")</f>
      </c>
      <c r="S338" s="8">
        <f>IF((0=1),(SUM(C303:S303)/S233),"")</f>
      </c>
      <c r="T338" s="8">
        <f>IF((0=1),(SUM(C303:T303)/T233),"")</f>
      </c>
      <c r="U338" s="8">
        <f>IF((0=1),(SUM(C303:U303)/U233),"")</f>
      </c>
      <c r="V338" s="8">
        <f>IF((0=1),(SUM(C303:V303)/V233),"")</f>
      </c>
      <c r="W338" s="8">
        <f>IF((0=1),(SUM(C303:W303)/W233),"")</f>
      </c>
      <c r="X338" s="8">
        <f>IF((0=1),(SUM(C303:X303)/X233),"")</f>
      </c>
      <c r="Y338" s="8">
        <f>IF((0=1),(SUM(C303:Y303)/Y233),"")</f>
      </c>
      <c r="Z338" s="8">
        <f>IF((0=1),(SUM(C303:Z303)/Z233),"")</f>
      </c>
      <c r="AA338" s="8">
        <f>IF((0=1),(SUM(C303:AA303)/AA233),"")</f>
      </c>
      <c r="AB338" s="8">
        <f>IF((0=1),(SUM(C303:AB303)/AB233),"")</f>
      </c>
      <c r="AC338" s="8">
        <f>IF((0=1),(SUM(C303:AC303)/AC233),"")</f>
      </c>
      <c r="AD338" s="8">
        <f>IF((0=1),(SUM(C303:AD303)/AD233),"")</f>
      </c>
      <c r="AE338" s="8">
        <f>IF((0=1),(SUM(C303:AE303)/AE233),"")</f>
      </c>
      <c r="AF338" s="8">
        <f>IF((0=1),(SUM(C303:AF303)/AF233),"")</f>
      </c>
      <c r="AG338" s="8">
        <f>IF((0=1),(SUM(C303:AG303)/AG233),"")</f>
      </c>
      <c r="AH338" s="8">
        <f>IF((0=1),(SUM(C303:AH303)/AH233),"")</f>
      </c>
      <c r="AI338" s="8">
        <f>IF((0=1),(SUM(C303:AI303)/AI233),"")</f>
      </c>
      <c r="AJ338" s="8">
        <f>IF((0=1),(SUM(C303:AJ303)/AJ233),"")</f>
      </c>
      <c r="AK338" s="8">
        <f>IF((0=1),(SUM(C303:AK303)/AK233),"")</f>
      </c>
      <c r="AL338" s="8">
        <f>IF((0=1),(SUM(C303:AL303)/AL233),"")</f>
      </c>
      <c r="AM338" s="8">
        <f>IF((0=1),(SUM(C303:AM303)/AM233),"")</f>
      </c>
      <c r="AN338" s="8">
        <f>IF((0=1),(SUM(C303:AN303)/AN233),"")</f>
      </c>
      <c r="AO338" s="8">
        <f>IF((0=1),(SUM(C303:AO303)/AO233),"")</f>
      </c>
      <c r="AP338" s="8">
        <f>IF((0=1),(SUM(C303:AP303)/AP233),"")</f>
      </c>
      <c r="AQ338" s="8">
        <f>IF((0=1),(SUM(C303:AQ303)/AQ233),"")</f>
      </c>
      <c r="AR338" s="8">
        <f>IF((0=1),(SUM(C303:AR303)/AR233),"")</f>
      </c>
      <c r="AS338" s="8">
        <f>IF((0=1),(SUM(C303:AS303)/AS233),"")</f>
      </c>
      <c r="AT338" s="8">
        <f>IF((0=1),(SUM(C303:AT303)/AT233),"")</f>
      </c>
      <c r="AU338" s="8">
        <f>IF((0=1),(SUM(C303:AU303)/AU233),"")</f>
      </c>
      <c r="AV338" s="8">
        <f>IF((0=1),(SUM(C303:AV303)/AV233),"")</f>
      </c>
      <c r="AW338" s="8">
        <f>IF((0=1),(SUM(C303:AW303)/AW233),"")</f>
      </c>
      <c r="AX338" s="8">
        <f>IF((0=1),(SUM(C303:AX303)/AX233),"")</f>
      </c>
      <c r="AY338" s="8">
        <f>IF((0=1),(SUM(C303:AY303)/AY233),"")</f>
      </c>
      <c r="AZ338" s="8">
        <f>IF((0=1),(SUM(C303:AZ303)/AZ233),"")</f>
      </c>
      <c r="BA338" s="8">
        <f>IF((0=1),(SUM(C303:BA303)/BA233),"")</f>
      </c>
      <c r="BB338" s="8">
        <f>IF((0=1),(SUM(C303:BB303)/BB233),"")</f>
      </c>
      <c r="BC338" s="8">
        <f>IF((0=1),(SUM(C303:BC303)/BC233),"")</f>
      </c>
      <c r="BD338" s="8">
        <f>IF((0=1),(SUM(C303:BD303)/BD233),"")</f>
      </c>
      <c r="BE338" s="8">
        <f>IF((0=1),(SUM(C303:BE303)/BE233),"")</f>
      </c>
      <c r="BF338" s="8">
        <f>IF((0=1),(SUM(C303:BF303)/BF233),"")</f>
      </c>
      <c r="BG338" s="8">
        <f>IF((0=1),(SUM(C303:BG303)/BG233),"")</f>
      </c>
      <c r="BH338" s="8">
        <f>IF((0=1),(SUM(C303:BH303)/BH233),"")</f>
      </c>
      <c r="BI338" s="8">
        <f>IF((0=1),(SUM(C303:BI303)/BI233),"")</f>
      </c>
      <c r="BJ338" s="8">
        <f>IF((0=1),(SUM(C303:BJ303)/BJ233),"")</f>
      </c>
      <c r="BK338" s="8">
        <f>IF((0=1),(SUM(C303:BK303)/BK233),"")</f>
      </c>
      <c r="BL338" s="8">
        <f>IF((0=1),(SUM(C303:BL303)/BL233),"")</f>
      </c>
      <c r="BM338" s="8">
        <f>IF((0=1),(SUM(C303:BM303)/BM233),"")</f>
      </c>
      <c r="BN338" s="8">
        <f>IF((0=1),(SUM(C303:BN303)/BN233),"")</f>
      </c>
      <c r="BO338" s="8">
        <f>IF((0=1),(SUM(C303:BO303)/BO233),"")</f>
      </c>
      <c r="BP338" s="8">
        <f>IF((0=1),(SUM(C303:BP303)/BP233),"")</f>
      </c>
      <c r="BQ338" s="8">
        <f>IF((0=1),(SUM(C303:BQ303)/BQ233),"")</f>
      </c>
      <c r="BR338" s="8">
        <f>IF((0=1),(SUM(C303:BR303)/BR233),"")</f>
      </c>
      <c r="BS338" s="8">
        <f>IF((0=1),(SUM(C303:BS303)/BS233),"")</f>
      </c>
      <c r="BT338" s="8">
        <f>IF((0=1),(SUM(C303:BT303)/BT233),"")</f>
      </c>
      <c r="BU338" s="8">
        <f>IF((0=1),(SUM(C303:BU303)/BU233),"")</f>
      </c>
      <c r="BV338" s="8">
        <f>IF((0=1),(SUM(C303:BV303)/BV233),"")</f>
      </c>
      <c r="BW338" s="8">
        <f>IF((0=1),(SUM(C303:BW303)/BW233),"")</f>
      </c>
      <c r="BX338" s="8">
        <f>IF((0=1),(SUM(C303:BX303)/BX233),"")</f>
      </c>
      <c r="BY338" s="8">
        <f>IF((0=1),(SUM(C303:BY303)/BY233),"")</f>
      </c>
      <c r="BZ338" s="8">
        <f>IF((0=1),(SUM(C303:BZ303)/BZ233),"")</f>
      </c>
      <c r="CA338" s="8">
        <f>IF((0=1),(SUM(C303:CA303)/CA233),"")</f>
      </c>
      <c r="CB338" s="8">
        <f>IF((0=1),(SUM(C303:CB303)/CB233),"")</f>
      </c>
      <c r="CC338" s="8">
        <f>IF((0=1),(SUM(C303:CC303)/CC233),"")</f>
      </c>
      <c r="CD338" s="8">
        <f>IF((0=1),(SUM(C303:CD303)/CD233),"")</f>
      </c>
      <c r="CE338" s="8">
        <f>IF((0=1),(SUM(C303:CE303)/CE233),"")</f>
      </c>
      <c r="CF338" s="8">
        <f>IF((0=1),(SUM(C303:CF303)/CF233),"")</f>
      </c>
      <c r="CG338" s="8">
        <f>IF((0=1),(SUM(C303:CG303)/CG233),"")</f>
      </c>
      <c r="CH338" s="8">
        <f>IF((0=1),(SUM(C303:CH303)/CH233),"")</f>
      </c>
      <c r="CI338" s="8">
        <f>IF((0=1),(SUM(C303:CI303)/CI233),"")</f>
      </c>
      <c r="CJ338" s="8">
        <f>IF((0=1),(SUM(C303:CJ303)/CJ233),"")</f>
      </c>
      <c r="CK338" s="8">
        <f>IF((0=1),(SUM(C303:CK303)/CK233),"")</f>
      </c>
      <c r="CL338" s="8">
        <f>IF((0=1),(SUM(C303:CL303)/CL233),"")</f>
      </c>
      <c r="CM338" s="8">
        <f>IF((0=1),(SUM(C303:CM303)/CM233),"")</f>
      </c>
      <c r="CN338" s="8">
        <f>IF((0=1),(SUM(C303:CN303)/CN233),"")</f>
      </c>
      <c r="CO338" s="8">
        <f>IF((0=1),(SUM(C303:CO303)/CO233),"")</f>
      </c>
      <c r="CP338" s="8">
        <f>IF((0=1),(SUM(C303:CP303)/CP233),"")</f>
      </c>
      <c r="CQ338" s="8">
        <f>IF((0=1),(SUM(C303:CQ303)/CQ233),"")</f>
      </c>
      <c r="CR338" s="8">
        <f>IF((0=1),(SUM(C303:CR303)/CR233),"")</f>
      </c>
      <c r="CS338" s="8">
        <f>IF((0=1),(SUM(C303:CS303)/CS233),"")</f>
      </c>
      <c r="CT338" s="8">
        <f>IF((0=1),(SUM(C303:CT303)/CT233),"")</f>
      </c>
      <c r="CU338" s="8">
        <f>IF((0=1),(SUM(C303:CU303)/CU233),"")</f>
      </c>
      <c r="CV338" s="8">
        <f>IF((0=1),(SUM(C303:CV303)/CV233),"")</f>
      </c>
      <c r="CW338" s="8">
        <f>IF((0=1),(SUM(C303:CW303)/CW233),"")</f>
      </c>
      <c r="CX338" s="8">
        <f>IF((0=1),(SUM(C303:CX303)/CX233),"")</f>
      </c>
    </row>
    <row r="339">
      <c r="A339" s="0" t="inlineStr">
        <is>
          <t xml:space="preserve">Running mean of squares</t>
        </is>
      </c>
      <c r="B339" s="0" t="inlineStr">
        <is>
          <t xml:space="preserve">Random 8</t>
        </is>
      </c>
      <c r="C339" s="8">
        <f>IF((1=1),(SUM(C304)/C234),"")</f>
        <v>9.815689</v>
      </c>
      <c r="D339" s="8">
        <f>IF((0=1),(SUM(C304:D304)/D234),"")</f>
      </c>
      <c r="E339" s="8">
        <f>IF((0=1),(SUM(C304:E304)/E234),"")</f>
      </c>
      <c r="F339" s="8">
        <f>IF((0=1),(SUM(C304:F304)/F234),"")</f>
      </c>
      <c r="G339" s="8">
        <f>IF((0=1),(SUM(C304:G304)/G234),"")</f>
      </c>
      <c r="H339" s="8">
        <f>IF((0=1),(SUM(C304:H304)/H234),"")</f>
      </c>
      <c r="I339" s="8">
        <f>IF((0=1),(SUM(C304:I304)/I234),"")</f>
      </c>
      <c r="J339" s="8">
        <f>IF((0=1),(SUM(C304:J304)/J234),"")</f>
      </c>
      <c r="K339" s="8">
        <f>IF((0=1),(SUM(C304:K304)/K234),"")</f>
      </c>
      <c r="L339" s="8">
        <f>IF((0=1),(SUM(C304:L304)/L234),"")</f>
      </c>
      <c r="M339" s="8">
        <f>IF((0=1),(SUM(C304:M304)/M234),"")</f>
      </c>
      <c r="N339" s="8">
        <f>IF((0=1),(SUM(C304:N304)/N234),"")</f>
      </c>
      <c r="O339" s="8">
        <f>IF((0=1),(SUM(C304:O304)/O234),"")</f>
      </c>
      <c r="P339" s="8">
        <f>IF((0=1),(SUM(C304:P304)/P234),"")</f>
      </c>
      <c r="Q339" s="8">
        <f>IF((0=1),(SUM(C304:Q304)/Q234),"")</f>
      </c>
      <c r="R339" s="8">
        <f>IF((0=1),(SUM(C304:R304)/R234),"")</f>
      </c>
      <c r="S339" s="8">
        <f>IF((0=1),(SUM(C304:S304)/S234),"")</f>
      </c>
      <c r="T339" s="8">
        <f>IF((0=1),(SUM(C304:T304)/T234),"")</f>
      </c>
      <c r="U339" s="8">
        <f>IF((0=1),(SUM(C304:U304)/U234),"")</f>
      </c>
      <c r="V339" s="8">
        <f>IF((0=1),(SUM(C304:V304)/V234),"")</f>
      </c>
      <c r="W339" s="8">
        <f>IF((0=1),(SUM(C304:W304)/W234),"")</f>
      </c>
      <c r="X339" s="8">
        <f>IF((0=1),(SUM(C304:X304)/X234),"")</f>
      </c>
      <c r="Y339" s="8">
        <f>IF((0=1),(SUM(C304:Y304)/Y234),"")</f>
      </c>
      <c r="Z339" s="8">
        <f>IF((0=1),(SUM(C304:Z304)/Z234),"")</f>
      </c>
      <c r="AA339" s="8">
        <f>IF((0=1),(SUM(C304:AA304)/AA234),"")</f>
      </c>
      <c r="AB339" s="8">
        <f>IF((0=1),(SUM(C304:AB304)/AB234),"")</f>
      </c>
      <c r="AC339" s="8">
        <f>IF((0=1),(SUM(C304:AC304)/AC234),"")</f>
      </c>
      <c r="AD339" s="8">
        <f>IF((0=1),(SUM(C304:AD304)/AD234),"")</f>
      </c>
      <c r="AE339" s="8">
        <f>IF((0=1),(SUM(C304:AE304)/AE234),"")</f>
      </c>
      <c r="AF339" s="8">
        <f>IF((0=1),(SUM(C304:AF304)/AF234),"")</f>
      </c>
      <c r="AG339" s="8">
        <f>IF((0=1),(SUM(C304:AG304)/AG234),"")</f>
      </c>
      <c r="AH339" s="8">
        <f>IF((0=1),(SUM(C304:AH304)/AH234),"")</f>
      </c>
      <c r="AI339" s="8">
        <f>IF((0=1),(SUM(C304:AI304)/AI234),"")</f>
      </c>
      <c r="AJ339" s="8">
        <f>IF((0=1),(SUM(C304:AJ304)/AJ234),"")</f>
      </c>
      <c r="AK339" s="8">
        <f>IF((0=1),(SUM(C304:AK304)/AK234),"")</f>
      </c>
      <c r="AL339" s="8">
        <f>IF((0=1),(SUM(C304:AL304)/AL234),"")</f>
      </c>
      <c r="AM339" s="8">
        <f>IF((0=1),(SUM(C304:AM304)/AM234),"")</f>
      </c>
      <c r="AN339" s="8">
        <f>IF((0=1),(SUM(C304:AN304)/AN234),"")</f>
      </c>
      <c r="AO339" s="8">
        <f>IF((0=1),(SUM(C304:AO304)/AO234),"")</f>
      </c>
      <c r="AP339" s="8">
        <f>IF((0=1),(SUM(C304:AP304)/AP234),"")</f>
      </c>
      <c r="AQ339" s="8">
        <f>IF((0=1),(SUM(C304:AQ304)/AQ234),"")</f>
      </c>
      <c r="AR339" s="8">
        <f>IF((0=1),(SUM(C304:AR304)/AR234),"")</f>
      </c>
      <c r="AS339" s="8">
        <f>IF((0=1),(SUM(C304:AS304)/AS234),"")</f>
      </c>
      <c r="AT339" s="8">
        <f>IF((0=1),(SUM(C304:AT304)/AT234),"")</f>
      </c>
      <c r="AU339" s="8">
        <f>IF((0=1),(SUM(C304:AU304)/AU234),"")</f>
      </c>
      <c r="AV339" s="8">
        <f>IF((0=1),(SUM(C304:AV304)/AV234),"")</f>
      </c>
      <c r="AW339" s="8">
        <f>IF((0=1),(SUM(C304:AW304)/AW234),"")</f>
      </c>
      <c r="AX339" s="8">
        <f>IF((0=1),(SUM(C304:AX304)/AX234),"")</f>
      </c>
      <c r="AY339" s="8">
        <f>IF((0=1),(SUM(C304:AY304)/AY234),"")</f>
      </c>
      <c r="AZ339" s="8">
        <f>IF((0=1),(SUM(C304:AZ304)/AZ234),"")</f>
      </c>
      <c r="BA339" s="8">
        <f>IF((0=1),(SUM(C304:BA304)/BA234),"")</f>
      </c>
      <c r="BB339" s="8">
        <f>IF((0=1),(SUM(C304:BB304)/BB234),"")</f>
      </c>
      <c r="BC339" s="8">
        <f>IF((0=1),(SUM(C304:BC304)/BC234),"")</f>
      </c>
      <c r="BD339" s="8">
        <f>IF((0=1),(SUM(C304:BD304)/BD234),"")</f>
      </c>
      <c r="BE339" s="8">
        <f>IF((0=1),(SUM(C304:BE304)/BE234),"")</f>
      </c>
      <c r="BF339" s="8">
        <f>IF((0=1),(SUM(C304:BF304)/BF234),"")</f>
      </c>
      <c r="BG339" s="8">
        <f>IF((0=1),(SUM(C304:BG304)/BG234),"")</f>
      </c>
      <c r="BH339" s="8">
        <f>IF((0=1),(SUM(C304:BH304)/BH234),"")</f>
      </c>
      <c r="BI339" s="8">
        <f>IF((0=1),(SUM(C304:BI304)/BI234),"")</f>
      </c>
      <c r="BJ339" s="8">
        <f>IF((0=1),(SUM(C304:BJ304)/BJ234),"")</f>
      </c>
      <c r="BK339" s="8">
        <f>IF((0=1),(SUM(C304:BK304)/BK234),"")</f>
      </c>
      <c r="BL339" s="8">
        <f>IF((0=1),(SUM(C304:BL304)/BL234),"")</f>
      </c>
      <c r="BM339" s="8">
        <f>IF((0=1),(SUM(C304:BM304)/BM234),"")</f>
      </c>
      <c r="BN339" s="8">
        <f>IF((0=1),(SUM(C304:BN304)/BN234),"")</f>
      </c>
      <c r="BO339" s="8">
        <f>IF((0=1),(SUM(C304:BO304)/BO234),"")</f>
      </c>
      <c r="BP339" s="8">
        <f>IF((0=1),(SUM(C304:BP304)/BP234),"")</f>
      </c>
      <c r="BQ339" s="8">
        <f>IF((0=1),(SUM(C304:BQ304)/BQ234),"")</f>
      </c>
      <c r="BR339" s="8">
        <f>IF((0=1),(SUM(C304:BR304)/BR234),"")</f>
      </c>
      <c r="BS339" s="8">
        <f>IF((0=1),(SUM(C304:BS304)/BS234),"")</f>
      </c>
      <c r="BT339" s="8">
        <f>IF((0=1),(SUM(C304:BT304)/BT234),"")</f>
      </c>
      <c r="BU339" s="8">
        <f>IF((0=1),(SUM(C304:BU304)/BU234),"")</f>
      </c>
      <c r="BV339" s="8">
        <f>IF((0=1),(SUM(C304:BV304)/BV234),"")</f>
      </c>
      <c r="BW339" s="8">
        <f>IF((0=1),(SUM(C304:BW304)/BW234),"")</f>
      </c>
      <c r="BX339" s="8">
        <f>IF((0=1),(SUM(C304:BX304)/BX234),"")</f>
      </c>
      <c r="BY339" s="8">
        <f>IF((0=1),(SUM(C304:BY304)/BY234),"")</f>
      </c>
      <c r="BZ339" s="8">
        <f>IF((0=1),(SUM(C304:BZ304)/BZ234),"")</f>
      </c>
      <c r="CA339" s="8">
        <f>IF((0=1),(SUM(C304:CA304)/CA234),"")</f>
      </c>
      <c r="CB339" s="8">
        <f>IF((0=1),(SUM(C304:CB304)/CB234),"")</f>
      </c>
      <c r="CC339" s="8">
        <f>IF((0=1),(SUM(C304:CC304)/CC234),"")</f>
      </c>
      <c r="CD339" s="8">
        <f>IF((0=1),(SUM(C304:CD304)/CD234),"")</f>
      </c>
      <c r="CE339" s="8">
        <f>IF((0=1),(SUM(C304:CE304)/CE234),"")</f>
      </c>
      <c r="CF339" s="8">
        <f>IF((0=1),(SUM(C304:CF304)/CF234),"")</f>
      </c>
      <c r="CG339" s="8">
        <f>IF((0=1),(SUM(C304:CG304)/CG234),"")</f>
      </c>
      <c r="CH339" s="8">
        <f>IF((0=1),(SUM(C304:CH304)/CH234),"")</f>
      </c>
      <c r="CI339" s="8">
        <f>IF((0=1),(SUM(C304:CI304)/CI234),"")</f>
      </c>
      <c r="CJ339" s="8">
        <f>IF((0=1),(SUM(C304:CJ304)/CJ234),"")</f>
      </c>
      <c r="CK339" s="8">
        <f>IF((0=1),(SUM(C304:CK304)/CK234),"")</f>
      </c>
      <c r="CL339" s="8">
        <f>IF((0=1),(SUM(C304:CL304)/CL234),"")</f>
      </c>
      <c r="CM339" s="8">
        <f>IF((0=1),(SUM(C304:CM304)/CM234),"")</f>
      </c>
      <c r="CN339" s="8">
        <f>IF((0=1),(SUM(C304:CN304)/CN234),"")</f>
      </c>
      <c r="CO339" s="8">
        <f>IF((0=1),(SUM(C304:CO304)/CO234),"")</f>
      </c>
      <c r="CP339" s="8">
        <f>IF((0=1),(SUM(C304:CP304)/CP234),"")</f>
      </c>
      <c r="CQ339" s="8">
        <f>IF((0=1),(SUM(C304:CQ304)/CQ234),"")</f>
      </c>
      <c r="CR339" s="8">
        <f>IF((0=1),(SUM(C304:CR304)/CR234),"")</f>
      </c>
      <c r="CS339" s="8">
        <f>IF((0=1),(SUM(C304:CS304)/CS234),"")</f>
      </c>
      <c r="CT339" s="8">
        <f>IF((0=1),(SUM(C304:CT304)/CT234),"")</f>
      </c>
      <c r="CU339" s="8">
        <f>IF((0=1),(SUM(C304:CU304)/CU234),"")</f>
      </c>
      <c r="CV339" s="8">
        <f>IF((0=1),(SUM(C304:CV304)/CV234),"")</f>
      </c>
      <c r="CW339" s="8">
        <f>IF((0=1),(SUM(C304:CW304)/CW234),"")</f>
      </c>
      <c r="CX339" s="8">
        <f>IF((0=1),(SUM(C304:CX304)/CX234),"")</f>
      </c>
    </row>
    <row r="340">
      <c r="A340" s="0" t="inlineStr">
        <is>
          <t xml:space="preserve">Running mean of squares</t>
        </is>
      </c>
      <c r="B340" s="0" t="inlineStr">
        <is>
          <t xml:space="preserve">Random 9</t>
        </is>
      </c>
      <c r="C340" s="8">
        <f>IF((1=1),(SUM(C305)/C235),"")</f>
        <v>11.075584</v>
      </c>
      <c r="D340" s="8">
        <f>IF((0=1),(SUM(C305:D305)/D235),"")</f>
      </c>
      <c r="E340" s="8">
        <f>IF((0=1),(SUM(C305:E305)/E235),"")</f>
      </c>
      <c r="F340" s="8">
        <f>IF((0=1),(SUM(C305:F305)/F235),"")</f>
      </c>
      <c r="G340" s="8">
        <f>IF((0=1),(SUM(C305:G305)/G235),"")</f>
      </c>
      <c r="H340" s="8">
        <f>IF((0=1),(SUM(C305:H305)/H235),"")</f>
      </c>
      <c r="I340" s="8">
        <f>IF((0=1),(SUM(C305:I305)/I235),"")</f>
      </c>
      <c r="J340" s="8">
        <f>IF((0=1),(SUM(C305:J305)/J235),"")</f>
      </c>
      <c r="K340" s="8">
        <f>IF((0=1),(SUM(C305:K305)/K235),"")</f>
      </c>
      <c r="L340" s="8">
        <f>IF((0=1),(SUM(C305:L305)/L235),"")</f>
      </c>
      <c r="M340" s="8">
        <f>IF((0=1),(SUM(C305:M305)/M235),"")</f>
      </c>
      <c r="N340" s="8">
        <f>IF((0=1),(SUM(C305:N305)/N235),"")</f>
      </c>
      <c r="O340" s="8">
        <f>IF((0=1),(SUM(C305:O305)/O235),"")</f>
      </c>
      <c r="P340" s="8">
        <f>IF((0=1),(SUM(C305:P305)/P235),"")</f>
      </c>
      <c r="Q340" s="8">
        <f>IF((0=1),(SUM(C305:Q305)/Q235),"")</f>
      </c>
      <c r="R340" s="8">
        <f>IF((0=1),(SUM(C305:R305)/R235),"")</f>
      </c>
      <c r="S340" s="8">
        <f>IF((0=1),(SUM(C305:S305)/S235),"")</f>
      </c>
      <c r="T340" s="8">
        <f>IF((0=1),(SUM(C305:T305)/T235),"")</f>
      </c>
      <c r="U340" s="8">
        <f>IF((0=1),(SUM(C305:U305)/U235),"")</f>
      </c>
      <c r="V340" s="8">
        <f>IF((0=1),(SUM(C305:V305)/V235),"")</f>
      </c>
      <c r="W340" s="8">
        <f>IF((0=1),(SUM(C305:W305)/W235),"")</f>
      </c>
      <c r="X340" s="8">
        <f>IF((0=1),(SUM(C305:X305)/X235),"")</f>
      </c>
      <c r="Y340" s="8">
        <f>IF((0=1),(SUM(C305:Y305)/Y235),"")</f>
      </c>
      <c r="Z340" s="8">
        <f>IF((0=1),(SUM(C305:Z305)/Z235),"")</f>
      </c>
      <c r="AA340" s="8">
        <f>IF((0=1),(SUM(C305:AA305)/AA235),"")</f>
      </c>
      <c r="AB340" s="8">
        <f>IF((0=1),(SUM(C305:AB305)/AB235),"")</f>
      </c>
      <c r="AC340" s="8">
        <f>IF((0=1),(SUM(C305:AC305)/AC235),"")</f>
      </c>
      <c r="AD340" s="8">
        <f>IF((0=1),(SUM(C305:AD305)/AD235),"")</f>
      </c>
      <c r="AE340" s="8">
        <f>IF((0=1),(SUM(C305:AE305)/AE235),"")</f>
      </c>
      <c r="AF340" s="8">
        <f>IF((0=1),(SUM(C305:AF305)/AF235),"")</f>
      </c>
      <c r="AG340" s="8">
        <f>IF((0=1),(SUM(C305:AG305)/AG235),"")</f>
      </c>
      <c r="AH340" s="8">
        <f>IF((0=1),(SUM(C305:AH305)/AH235),"")</f>
      </c>
      <c r="AI340" s="8">
        <f>IF((0=1),(SUM(C305:AI305)/AI235),"")</f>
      </c>
      <c r="AJ340" s="8">
        <f>IF((0=1),(SUM(C305:AJ305)/AJ235),"")</f>
      </c>
      <c r="AK340" s="8">
        <f>IF((0=1),(SUM(C305:AK305)/AK235),"")</f>
      </c>
      <c r="AL340" s="8">
        <f>IF((0=1),(SUM(C305:AL305)/AL235),"")</f>
      </c>
      <c r="AM340" s="8">
        <f>IF((0=1),(SUM(C305:AM305)/AM235),"")</f>
      </c>
      <c r="AN340" s="8">
        <f>IF((0=1),(SUM(C305:AN305)/AN235),"")</f>
      </c>
      <c r="AO340" s="8">
        <f>IF((0=1),(SUM(C305:AO305)/AO235),"")</f>
      </c>
      <c r="AP340" s="8">
        <f>IF((0=1),(SUM(C305:AP305)/AP235),"")</f>
      </c>
      <c r="AQ340" s="8">
        <f>IF((0=1),(SUM(C305:AQ305)/AQ235),"")</f>
      </c>
      <c r="AR340" s="8">
        <f>IF((0=1),(SUM(C305:AR305)/AR235),"")</f>
      </c>
      <c r="AS340" s="8">
        <f>IF((0=1),(SUM(C305:AS305)/AS235),"")</f>
      </c>
      <c r="AT340" s="8">
        <f>IF((0=1),(SUM(C305:AT305)/AT235),"")</f>
      </c>
      <c r="AU340" s="8">
        <f>IF((0=1),(SUM(C305:AU305)/AU235),"")</f>
      </c>
      <c r="AV340" s="8">
        <f>IF((0=1),(SUM(C305:AV305)/AV235),"")</f>
      </c>
      <c r="AW340" s="8">
        <f>IF((0=1),(SUM(C305:AW305)/AW235),"")</f>
      </c>
      <c r="AX340" s="8">
        <f>IF((0=1),(SUM(C305:AX305)/AX235),"")</f>
      </c>
      <c r="AY340" s="8">
        <f>IF((0=1),(SUM(C305:AY305)/AY235),"")</f>
      </c>
      <c r="AZ340" s="8">
        <f>IF((0=1),(SUM(C305:AZ305)/AZ235),"")</f>
      </c>
      <c r="BA340" s="8">
        <f>IF((0=1),(SUM(C305:BA305)/BA235),"")</f>
      </c>
      <c r="BB340" s="8">
        <f>IF((0=1),(SUM(C305:BB305)/BB235),"")</f>
      </c>
      <c r="BC340" s="8">
        <f>IF((0=1),(SUM(C305:BC305)/BC235),"")</f>
      </c>
      <c r="BD340" s="8">
        <f>IF((0=1),(SUM(C305:BD305)/BD235),"")</f>
      </c>
      <c r="BE340" s="8">
        <f>IF((0=1),(SUM(C305:BE305)/BE235),"")</f>
      </c>
      <c r="BF340" s="8">
        <f>IF((0=1),(SUM(C305:BF305)/BF235),"")</f>
      </c>
      <c r="BG340" s="8">
        <f>IF((0=1),(SUM(C305:BG305)/BG235),"")</f>
      </c>
      <c r="BH340" s="8">
        <f>IF((0=1),(SUM(C305:BH305)/BH235),"")</f>
      </c>
      <c r="BI340" s="8">
        <f>IF((0=1),(SUM(C305:BI305)/BI235),"")</f>
      </c>
      <c r="BJ340" s="8">
        <f>IF((0=1),(SUM(C305:BJ305)/BJ235),"")</f>
      </c>
      <c r="BK340" s="8">
        <f>IF((0=1),(SUM(C305:BK305)/BK235),"")</f>
      </c>
      <c r="BL340" s="8">
        <f>IF((0=1),(SUM(C305:BL305)/BL235),"")</f>
      </c>
      <c r="BM340" s="8">
        <f>IF((0=1),(SUM(C305:BM305)/BM235),"")</f>
      </c>
      <c r="BN340" s="8">
        <f>IF((0=1),(SUM(C305:BN305)/BN235),"")</f>
      </c>
      <c r="BO340" s="8">
        <f>IF((0=1),(SUM(C305:BO305)/BO235),"")</f>
      </c>
      <c r="BP340" s="8">
        <f>IF((0=1),(SUM(C305:BP305)/BP235),"")</f>
      </c>
      <c r="BQ340" s="8">
        <f>IF((0=1),(SUM(C305:BQ305)/BQ235),"")</f>
      </c>
      <c r="BR340" s="8">
        <f>IF((0=1),(SUM(C305:BR305)/BR235),"")</f>
      </c>
      <c r="BS340" s="8">
        <f>IF((0=1),(SUM(C305:BS305)/BS235),"")</f>
      </c>
      <c r="BT340" s="8">
        <f>IF((0=1),(SUM(C305:BT305)/BT235),"")</f>
      </c>
      <c r="BU340" s="8">
        <f>IF((0=1),(SUM(C305:BU305)/BU235),"")</f>
      </c>
      <c r="BV340" s="8">
        <f>IF((0=1),(SUM(C305:BV305)/BV235),"")</f>
      </c>
      <c r="BW340" s="8">
        <f>IF((0=1),(SUM(C305:BW305)/BW235),"")</f>
      </c>
      <c r="BX340" s="8">
        <f>IF((0=1),(SUM(C305:BX305)/BX235),"")</f>
      </c>
      <c r="BY340" s="8">
        <f>IF((0=1),(SUM(C305:BY305)/BY235),"")</f>
      </c>
      <c r="BZ340" s="8">
        <f>IF((0=1),(SUM(C305:BZ305)/BZ235),"")</f>
      </c>
      <c r="CA340" s="8">
        <f>IF((0=1),(SUM(C305:CA305)/CA235),"")</f>
      </c>
      <c r="CB340" s="8">
        <f>IF((0=1),(SUM(C305:CB305)/CB235),"")</f>
      </c>
      <c r="CC340" s="8">
        <f>IF((0=1),(SUM(C305:CC305)/CC235),"")</f>
      </c>
      <c r="CD340" s="8">
        <f>IF((0=1),(SUM(C305:CD305)/CD235),"")</f>
      </c>
      <c r="CE340" s="8">
        <f>IF((0=1),(SUM(C305:CE305)/CE235),"")</f>
      </c>
      <c r="CF340" s="8">
        <f>IF((0=1),(SUM(C305:CF305)/CF235),"")</f>
      </c>
      <c r="CG340" s="8">
        <f>IF((0=1),(SUM(C305:CG305)/CG235),"")</f>
      </c>
      <c r="CH340" s="8">
        <f>IF((0=1),(SUM(C305:CH305)/CH235),"")</f>
      </c>
      <c r="CI340" s="8">
        <f>IF((0=1),(SUM(C305:CI305)/CI235),"")</f>
      </c>
      <c r="CJ340" s="8">
        <f>IF((0=1),(SUM(C305:CJ305)/CJ235),"")</f>
      </c>
      <c r="CK340" s="8">
        <f>IF((0=1),(SUM(C305:CK305)/CK235),"")</f>
      </c>
      <c r="CL340" s="8">
        <f>IF((0=1),(SUM(C305:CL305)/CL235),"")</f>
      </c>
      <c r="CM340" s="8">
        <f>IF((0=1),(SUM(C305:CM305)/CM235),"")</f>
      </c>
      <c r="CN340" s="8">
        <f>IF((0=1),(SUM(C305:CN305)/CN235),"")</f>
      </c>
      <c r="CO340" s="8">
        <f>IF((0=1),(SUM(C305:CO305)/CO235),"")</f>
      </c>
      <c r="CP340" s="8">
        <f>IF((0=1),(SUM(C305:CP305)/CP235),"")</f>
      </c>
      <c r="CQ340" s="8">
        <f>IF((0=1),(SUM(C305:CQ305)/CQ235),"")</f>
      </c>
      <c r="CR340" s="8">
        <f>IF((0=1),(SUM(C305:CR305)/CR235),"")</f>
      </c>
      <c r="CS340" s="8">
        <f>IF((0=1),(SUM(C305:CS305)/CS235),"")</f>
      </c>
      <c r="CT340" s="8">
        <f>IF((0=1),(SUM(C305:CT305)/CT235),"")</f>
      </c>
      <c r="CU340" s="8">
        <f>IF((0=1),(SUM(C305:CU305)/CU235),"")</f>
      </c>
      <c r="CV340" s="8">
        <f>IF((0=1),(SUM(C305:CV305)/CV235),"")</f>
      </c>
      <c r="CW340" s="8">
        <f>IF((0=1),(SUM(C305:CW305)/CW235),"")</f>
      </c>
      <c r="CX340" s="8">
        <f>IF((0=1),(SUM(C305:CX305)/CX235),"")</f>
      </c>
    </row>
    <row r="341">
      <c r="A341" s="0" t="inlineStr">
        <is>
          <t xml:space="preserve">Running mean of squares</t>
        </is>
      </c>
      <c r="B341" s="0" t="inlineStr">
        <is>
          <t xml:space="preserve">Random 10</t>
        </is>
      </c>
      <c r="C341" s="8">
        <f>IF((1=1),(SUM(C306)/C236),"")</f>
        <v>23.677956</v>
      </c>
      <c r="D341" s="8">
        <f>IF((0=1),(SUM(C306:D306)/D236),"")</f>
      </c>
      <c r="E341" s="8">
        <f>IF((0=1),(SUM(C306:E306)/E236),"")</f>
      </c>
      <c r="F341" s="8">
        <f>IF((0=1),(SUM(C306:F306)/F236),"")</f>
      </c>
      <c r="G341" s="8">
        <f>IF((0=1),(SUM(C306:G306)/G236),"")</f>
      </c>
      <c r="H341" s="8">
        <f>IF((0=1),(SUM(C306:H306)/H236),"")</f>
      </c>
      <c r="I341" s="8">
        <f>IF((0=1),(SUM(C306:I306)/I236),"")</f>
      </c>
      <c r="J341" s="8">
        <f>IF((0=1),(SUM(C306:J306)/J236),"")</f>
      </c>
      <c r="K341" s="8">
        <f>IF((0=1),(SUM(C306:K306)/K236),"")</f>
      </c>
      <c r="L341" s="8">
        <f>IF((0=1),(SUM(C306:L306)/L236),"")</f>
      </c>
      <c r="M341" s="8">
        <f>IF((0=1),(SUM(C306:M306)/M236),"")</f>
      </c>
      <c r="N341" s="8">
        <f>IF((0=1),(SUM(C306:N306)/N236),"")</f>
      </c>
      <c r="O341" s="8">
        <f>IF((0=1),(SUM(C306:O306)/O236),"")</f>
      </c>
      <c r="P341" s="8">
        <f>IF((0=1),(SUM(C306:P306)/P236),"")</f>
      </c>
      <c r="Q341" s="8">
        <f>IF((0=1),(SUM(C306:Q306)/Q236),"")</f>
      </c>
      <c r="R341" s="8">
        <f>IF((0=1),(SUM(C306:R306)/R236),"")</f>
      </c>
      <c r="S341" s="8">
        <f>IF((0=1),(SUM(C306:S306)/S236),"")</f>
      </c>
      <c r="T341" s="8">
        <f>IF((0=1),(SUM(C306:T306)/T236),"")</f>
      </c>
      <c r="U341" s="8">
        <f>IF((0=1),(SUM(C306:U306)/U236),"")</f>
      </c>
      <c r="V341" s="8">
        <f>IF((0=1),(SUM(C306:V306)/V236),"")</f>
      </c>
      <c r="W341" s="8">
        <f>IF((0=1),(SUM(C306:W306)/W236),"")</f>
      </c>
      <c r="X341" s="8">
        <f>IF((0=1),(SUM(C306:X306)/X236),"")</f>
      </c>
      <c r="Y341" s="8">
        <f>IF((0=1),(SUM(C306:Y306)/Y236),"")</f>
      </c>
      <c r="Z341" s="8">
        <f>IF((0=1),(SUM(C306:Z306)/Z236),"")</f>
      </c>
      <c r="AA341" s="8">
        <f>IF((0=1),(SUM(C306:AA306)/AA236),"")</f>
      </c>
      <c r="AB341" s="8">
        <f>IF((0=1),(SUM(C306:AB306)/AB236),"")</f>
      </c>
      <c r="AC341" s="8">
        <f>IF((0=1),(SUM(C306:AC306)/AC236),"")</f>
      </c>
      <c r="AD341" s="8">
        <f>IF((0=1),(SUM(C306:AD306)/AD236),"")</f>
      </c>
      <c r="AE341" s="8">
        <f>IF((0=1),(SUM(C306:AE306)/AE236),"")</f>
      </c>
      <c r="AF341" s="8">
        <f>IF((0=1),(SUM(C306:AF306)/AF236),"")</f>
      </c>
      <c r="AG341" s="8">
        <f>IF((0=1),(SUM(C306:AG306)/AG236),"")</f>
      </c>
      <c r="AH341" s="8">
        <f>IF((0=1),(SUM(C306:AH306)/AH236),"")</f>
      </c>
      <c r="AI341" s="8">
        <f>IF((0=1),(SUM(C306:AI306)/AI236),"")</f>
      </c>
      <c r="AJ341" s="8">
        <f>IF((0=1),(SUM(C306:AJ306)/AJ236),"")</f>
      </c>
      <c r="AK341" s="8">
        <f>IF((0=1),(SUM(C306:AK306)/AK236),"")</f>
      </c>
      <c r="AL341" s="8">
        <f>IF((0=1),(SUM(C306:AL306)/AL236),"")</f>
      </c>
      <c r="AM341" s="8">
        <f>IF((0=1),(SUM(C306:AM306)/AM236),"")</f>
      </c>
      <c r="AN341" s="8">
        <f>IF((0=1),(SUM(C306:AN306)/AN236),"")</f>
      </c>
      <c r="AO341" s="8">
        <f>IF((0=1),(SUM(C306:AO306)/AO236),"")</f>
      </c>
      <c r="AP341" s="8">
        <f>IF((0=1),(SUM(C306:AP306)/AP236),"")</f>
      </c>
      <c r="AQ341" s="8">
        <f>IF((0=1),(SUM(C306:AQ306)/AQ236),"")</f>
      </c>
      <c r="AR341" s="8">
        <f>IF((0=1),(SUM(C306:AR306)/AR236),"")</f>
      </c>
      <c r="AS341" s="8">
        <f>IF((0=1),(SUM(C306:AS306)/AS236),"")</f>
      </c>
      <c r="AT341" s="8">
        <f>IF((0=1),(SUM(C306:AT306)/AT236),"")</f>
      </c>
      <c r="AU341" s="8">
        <f>IF((0=1),(SUM(C306:AU306)/AU236),"")</f>
      </c>
      <c r="AV341" s="8">
        <f>IF((0=1),(SUM(C306:AV306)/AV236),"")</f>
      </c>
      <c r="AW341" s="8">
        <f>IF((0=1),(SUM(C306:AW306)/AW236),"")</f>
      </c>
      <c r="AX341" s="8">
        <f>IF((0=1),(SUM(C306:AX306)/AX236),"")</f>
      </c>
      <c r="AY341" s="8">
        <f>IF((0=1),(SUM(C306:AY306)/AY236),"")</f>
      </c>
      <c r="AZ341" s="8">
        <f>IF((0=1),(SUM(C306:AZ306)/AZ236),"")</f>
      </c>
      <c r="BA341" s="8">
        <f>IF((0=1),(SUM(C306:BA306)/BA236),"")</f>
      </c>
      <c r="BB341" s="8">
        <f>IF((0=1),(SUM(C306:BB306)/BB236),"")</f>
      </c>
      <c r="BC341" s="8">
        <f>IF((0=1),(SUM(C306:BC306)/BC236),"")</f>
      </c>
      <c r="BD341" s="8">
        <f>IF((0=1),(SUM(C306:BD306)/BD236),"")</f>
      </c>
      <c r="BE341" s="8">
        <f>IF((0=1),(SUM(C306:BE306)/BE236),"")</f>
      </c>
      <c r="BF341" s="8">
        <f>IF((0=1),(SUM(C306:BF306)/BF236),"")</f>
      </c>
      <c r="BG341" s="8">
        <f>IF((0=1),(SUM(C306:BG306)/BG236),"")</f>
      </c>
      <c r="BH341" s="8">
        <f>IF((0=1),(SUM(C306:BH306)/BH236),"")</f>
      </c>
      <c r="BI341" s="8">
        <f>IF((0=1),(SUM(C306:BI306)/BI236),"")</f>
      </c>
      <c r="BJ341" s="8">
        <f>IF((0=1),(SUM(C306:BJ306)/BJ236),"")</f>
      </c>
      <c r="BK341" s="8">
        <f>IF((0=1),(SUM(C306:BK306)/BK236),"")</f>
      </c>
      <c r="BL341" s="8">
        <f>IF((0=1),(SUM(C306:BL306)/BL236),"")</f>
      </c>
      <c r="BM341" s="8">
        <f>IF((0=1),(SUM(C306:BM306)/BM236),"")</f>
      </c>
      <c r="BN341" s="8">
        <f>IF((0=1),(SUM(C306:BN306)/BN236),"")</f>
      </c>
      <c r="BO341" s="8">
        <f>IF((0=1),(SUM(C306:BO306)/BO236),"")</f>
      </c>
      <c r="BP341" s="8">
        <f>IF((0=1),(SUM(C306:BP306)/BP236),"")</f>
      </c>
      <c r="BQ341" s="8">
        <f>IF((0=1),(SUM(C306:BQ306)/BQ236),"")</f>
      </c>
      <c r="BR341" s="8">
        <f>IF((0=1),(SUM(C306:BR306)/BR236),"")</f>
      </c>
      <c r="BS341" s="8">
        <f>IF((0=1),(SUM(C306:BS306)/BS236),"")</f>
      </c>
      <c r="BT341" s="8">
        <f>IF((0=1),(SUM(C306:BT306)/BT236),"")</f>
      </c>
      <c r="BU341" s="8">
        <f>IF((0=1),(SUM(C306:BU306)/BU236),"")</f>
      </c>
      <c r="BV341" s="8">
        <f>IF((0=1),(SUM(C306:BV306)/BV236),"")</f>
      </c>
      <c r="BW341" s="8">
        <f>IF((0=1),(SUM(C306:BW306)/BW236),"")</f>
      </c>
      <c r="BX341" s="8">
        <f>IF((0=1),(SUM(C306:BX306)/BX236),"")</f>
      </c>
      <c r="BY341" s="8">
        <f>IF((0=1),(SUM(C306:BY306)/BY236),"")</f>
      </c>
      <c r="BZ341" s="8">
        <f>IF((0=1),(SUM(C306:BZ306)/BZ236),"")</f>
      </c>
      <c r="CA341" s="8">
        <f>IF((0=1),(SUM(C306:CA306)/CA236),"")</f>
      </c>
      <c r="CB341" s="8">
        <f>IF((0=1),(SUM(C306:CB306)/CB236),"")</f>
      </c>
      <c r="CC341" s="8">
        <f>IF((0=1),(SUM(C306:CC306)/CC236),"")</f>
      </c>
      <c r="CD341" s="8">
        <f>IF((0=1),(SUM(C306:CD306)/CD236),"")</f>
      </c>
      <c r="CE341" s="8">
        <f>IF((0=1),(SUM(C306:CE306)/CE236),"")</f>
      </c>
      <c r="CF341" s="8">
        <f>IF((0=1),(SUM(C306:CF306)/CF236),"")</f>
      </c>
      <c r="CG341" s="8">
        <f>IF((0=1),(SUM(C306:CG306)/CG236),"")</f>
      </c>
      <c r="CH341" s="8">
        <f>IF((0=1),(SUM(C306:CH306)/CH236),"")</f>
      </c>
      <c r="CI341" s="8">
        <f>IF((0=1),(SUM(C306:CI306)/CI236),"")</f>
      </c>
      <c r="CJ341" s="8">
        <f>IF((0=1),(SUM(C306:CJ306)/CJ236),"")</f>
      </c>
      <c r="CK341" s="8">
        <f>IF((0=1),(SUM(C306:CK306)/CK236),"")</f>
      </c>
      <c r="CL341" s="8">
        <f>IF((0=1),(SUM(C306:CL306)/CL236),"")</f>
      </c>
      <c r="CM341" s="8">
        <f>IF((0=1),(SUM(C306:CM306)/CM236),"")</f>
      </c>
      <c r="CN341" s="8">
        <f>IF((0=1),(SUM(C306:CN306)/CN236),"")</f>
      </c>
      <c r="CO341" s="8">
        <f>IF((0=1),(SUM(C306:CO306)/CO236),"")</f>
      </c>
      <c r="CP341" s="8">
        <f>IF((0=1),(SUM(C306:CP306)/CP236),"")</f>
      </c>
      <c r="CQ341" s="8">
        <f>IF((0=1),(SUM(C306:CQ306)/CQ236),"")</f>
      </c>
      <c r="CR341" s="8">
        <f>IF((0=1),(SUM(C306:CR306)/CR236),"")</f>
      </c>
      <c r="CS341" s="8">
        <f>IF((0=1),(SUM(C306:CS306)/CS236),"")</f>
      </c>
      <c r="CT341" s="8">
        <f>IF((0=1),(SUM(C306:CT306)/CT236),"")</f>
      </c>
      <c r="CU341" s="8">
        <f>IF((0=1),(SUM(C306:CU306)/CU236),"")</f>
      </c>
      <c r="CV341" s="8">
        <f>IF((0=1),(SUM(C306:CV306)/CV236),"")</f>
      </c>
      <c r="CW341" s="8">
        <f>IF((0=1),(SUM(C306:CW306)/CW236),"")</f>
      </c>
      <c r="CX341" s="8">
        <f>IF((0=1),(SUM(C306:CX306)/CX236),"")</f>
      </c>
    </row>
    <row r="342">
      <c r="A342" s="0" t="inlineStr">
        <is>
          <t xml:space="preserve">Running mean of squares</t>
        </is>
      </c>
      <c r="B342" s="0" t="inlineStr">
        <is>
          <t xml:space="preserve">Random 11</t>
        </is>
      </c>
      <c r="C342" s="8">
        <f>IF((1=1),(SUM(C307)/C237),"")</f>
        <v>192.876544</v>
      </c>
      <c r="D342" s="8">
        <f>IF((0=1),(SUM(C307:D307)/D237),"")</f>
      </c>
      <c r="E342" s="8">
        <f>IF((0=1),(SUM(C307:E307)/E237),"")</f>
      </c>
      <c r="F342" s="8">
        <f>IF((0=1),(SUM(C307:F307)/F237),"")</f>
      </c>
      <c r="G342" s="8">
        <f>IF((0=1),(SUM(C307:G307)/G237),"")</f>
      </c>
      <c r="H342" s="8">
        <f>IF((0=1),(SUM(C307:H307)/H237),"")</f>
      </c>
      <c r="I342" s="8">
        <f>IF((0=1),(SUM(C307:I307)/I237),"")</f>
      </c>
      <c r="J342" s="8">
        <f>IF((0=1),(SUM(C307:J307)/J237),"")</f>
      </c>
      <c r="K342" s="8">
        <f>IF((0=1),(SUM(C307:K307)/K237),"")</f>
      </c>
      <c r="L342" s="8">
        <f>IF((0=1),(SUM(C307:L307)/L237),"")</f>
      </c>
      <c r="M342" s="8">
        <f>IF((0=1),(SUM(C307:M307)/M237),"")</f>
      </c>
      <c r="N342" s="8">
        <f>IF((0=1),(SUM(C307:N307)/N237),"")</f>
      </c>
      <c r="O342" s="8">
        <f>IF((0=1),(SUM(C307:O307)/O237),"")</f>
      </c>
      <c r="P342" s="8">
        <f>IF((0=1),(SUM(C307:P307)/P237),"")</f>
      </c>
      <c r="Q342" s="8">
        <f>IF((0=1),(SUM(C307:Q307)/Q237),"")</f>
      </c>
      <c r="R342" s="8">
        <f>IF((0=1),(SUM(C307:R307)/R237),"")</f>
      </c>
      <c r="S342" s="8">
        <f>IF((0=1),(SUM(C307:S307)/S237),"")</f>
      </c>
      <c r="T342" s="8">
        <f>IF((0=1),(SUM(C307:T307)/T237),"")</f>
      </c>
      <c r="U342" s="8">
        <f>IF((0=1),(SUM(C307:U307)/U237),"")</f>
      </c>
      <c r="V342" s="8">
        <f>IF((0=1),(SUM(C307:V307)/V237),"")</f>
      </c>
      <c r="W342" s="8">
        <f>IF((0=1),(SUM(C307:W307)/W237),"")</f>
      </c>
      <c r="X342" s="8">
        <f>IF((0=1),(SUM(C307:X307)/X237),"")</f>
      </c>
      <c r="Y342" s="8">
        <f>IF((0=1),(SUM(C307:Y307)/Y237),"")</f>
      </c>
      <c r="Z342" s="8">
        <f>IF((0=1),(SUM(C307:Z307)/Z237),"")</f>
      </c>
      <c r="AA342" s="8">
        <f>IF((0=1),(SUM(C307:AA307)/AA237),"")</f>
      </c>
      <c r="AB342" s="8">
        <f>IF((0=1),(SUM(C307:AB307)/AB237),"")</f>
      </c>
      <c r="AC342" s="8">
        <f>IF((0=1),(SUM(C307:AC307)/AC237),"")</f>
      </c>
      <c r="AD342" s="8">
        <f>IF((0=1),(SUM(C307:AD307)/AD237),"")</f>
      </c>
      <c r="AE342" s="8">
        <f>IF((0=1),(SUM(C307:AE307)/AE237),"")</f>
      </c>
      <c r="AF342" s="8">
        <f>IF((0=1),(SUM(C307:AF307)/AF237),"")</f>
      </c>
      <c r="AG342" s="8">
        <f>IF((0=1),(SUM(C307:AG307)/AG237),"")</f>
      </c>
      <c r="AH342" s="8">
        <f>IF((0=1),(SUM(C307:AH307)/AH237),"")</f>
      </c>
      <c r="AI342" s="8">
        <f>IF((0=1),(SUM(C307:AI307)/AI237),"")</f>
      </c>
      <c r="AJ342" s="8">
        <f>IF((0=1),(SUM(C307:AJ307)/AJ237),"")</f>
      </c>
      <c r="AK342" s="8">
        <f>IF((0=1),(SUM(C307:AK307)/AK237),"")</f>
      </c>
      <c r="AL342" s="8">
        <f>IF((0=1),(SUM(C307:AL307)/AL237),"")</f>
      </c>
      <c r="AM342" s="8">
        <f>IF((0=1),(SUM(C307:AM307)/AM237),"")</f>
      </c>
      <c r="AN342" s="8">
        <f>IF((0=1),(SUM(C307:AN307)/AN237),"")</f>
      </c>
      <c r="AO342" s="8">
        <f>IF((0=1),(SUM(C307:AO307)/AO237),"")</f>
      </c>
      <c r="AP342" s="8">
        <f>IF((0=1),(SUM(C307:AP307)/AP237),"")</f>
      </c>
      <c r="AQ342" s="8">
        <f>IF((0=1),(SUM(C307:AQ307)/AQ237),"")</f>
      </c>
      <c r="AR342" s="8">
        <f>IF((0=1),(SUM(C307:AR307)/AR237),"")</f>
      </c>
      <c r="AS342" s="8">
        <f>IF((0=1),(SUM(C307:AS307)/AS237),"")</f>
      </c>
      <c r="AT342" s="8">
        <f>IF((0=1),(SUM(C307:AT307)/AT237),"")</f>
      </c>
      <c r="AU342" s="8">
        <f>IF((0=1),(SUM(C307:AU307)/AU237),"")</f>
      </c>
      <c r="AV342" s="8">
        <f>IF((0=1),(SUM(C307:AV307)/AV237),"")</f>
      </c>
      <c r="AW342" s="8">
        <f>IF((0=1),(SUM(C307:AW307)/AW237),"")</f>
      </c>
      <c r="AX342" s="8">
        <f>IF((0=1),(SUM(C307:AX307)/AX237),"")</f>
      </c>
      <c r="AY342" s="8">
        <f>IF((0=1),(SUM(C307:AY307)/AY237),"")</f>
      </c>
      <c r="AZ342" s="8">
        <f>IF((0=1),(SUM(C307:AZ307)/AZ237),"")</f>
      </c>
      <c r="BA342" s="8">
        <f>IF((0=1),(SUM(C307:BA307)/BA237),"")</f>
      </c>
      <c r="BB342" s="8">
        <f>IF((0=1),(SUM(C307:BB307)/BB237),"")</f>
      </c>
      <c r="BC342" s="8">
        <f>IF((0=1),(SUM(C307:BC307)/BC237),"")</f>
      </c>
      <c r="BD342" s="8">
        <f>IF((0=1),(SUM(C307:BD307)/BD237),"")</f>
      </c>
      <c r="BE342" s="8">
        <f>IF((0=1),(SUM(C307:BE307)/BE237),"")</f>
      </c>
      <c r="BF342" s="8">
        <f>IF((0=1),(SUM(C307:BF307)/BF237),"")</f>
      </c>
      <c r="BG342" s="8">
        <f>IF((0=1),(SUM(C307:BG307)/BG237),"")</f>
      </c>
      <c r="BH342" s="8">
        <f>IF((0=1),(SUM(C307:BH307)/BH237),"")</f>
      </c>
      <c r="BI342" s="8">
        <f>IF((0=1),(SUM(C307:BI307)/BI237),"")</f>
      </c>
      <c r="BJ342" s="8">
        <f>IF((0=1),(SUM(C307:BJ307)/BJ237),"")</f>
      </c>
      <c r="BK342" s="8">
        <f>IF((0=1),(SUM(C307:BK307)/BK237),"")</f>
      </c>
      <c r="BL342" s="8">
        <f>IF((0=1),(SUM(C307:BL307)/BL237),"")</f>
      </c>
      <c r="BM342" s="8">
        <f>IF((0=1),(SUM(C307:BM307)/BM237),"")</f>
      </c>
      <c r="BN342" s="8">
        <f>IF((0=1),(SUM(C307:BN307)/BN237),"")</f>
      </c>
      <c r="BO342" s="8">
        <f>IF((0=1),(SUM(C307:BO307)/BO237),"")</f>
      </c>
      <c r="BP342" s="8">
        <f>IF((0=1),(SUM(C307:BP307)/BP237),"")</f>
      </c>
      <c r="BQ342" s="8">
        <f>IF((0=1),(SUM(C307:BQ307)/BQ237),"")</f>
      </c>
      <c r="BR342" s="8">
        <f>IF((0=1),(SUM(C307:BR307)/BR237),"")</f>
      </c>
      <c r="BS342" s="8">
        <f>IF((0=1),(SUM(C307:BS307)/BS237),"")</f>
      </c>
      <c r="BT342" s="8">
        <f>IF((0=1),(SUM(C307:BT307)/BT237),"")</f>
      </c>
      <c r="BU342" s="8">
        <f>IF((0=1),(SUM(C307:BU307)/BU237),"")</f>
      </c>
      <c r="BV342" s="8">
        <f>IF((0=1),(SUM(C307:BV307)/BV237),"")</f>
      </c>
      <c r="BW342" s="8">
        <f>IF((0=1),(SUM(C307:BW307)/BW237),"")</f>
      </c>
      <c r="BX342" s="8">
        <f>IF((0=1),(SUM(C307:BX307)/BX237),"")</f>
      </c>
      <c r="BY342" s="8">
        <f>IF((0=1),(SUM(C307:BY307)/BY237),"")</f>
      </c>
      <c r="BZ342" s="8">
        <f>IF((0=1),(SUM(C307:BZ307)/BZ237),"")</f>
      </c>
      <c r="CA342" s="8">
        <f>IF((0=1),(SUM(C307:CA307)/CA237),"")</f>
      </c>
      <c r="CB342" s="8">
        <f>IF((0=1),(SUM(C307:CB307)/CB237),"")</f>
      </c>
      <c r="CC342" s="8">
        <f>IF((0=1),(SUM(C307:CC307)/CC237),"")</f>
      </c>
      <c r="CD342" s="8">
        <f>IF((0=1),(SUM(C307:CD307)/CD237),"")</f>
      </c>
      <c r="CE342" s="8">
        <f>IF((0=1),(SUM(C307:CE307)/CE237),"")</f>
      </c>
      <c r="CF342" s="8">
        <f>IF((0=1),(SUM(C307:CF307)/CF237),"")</f>
      </c>
      <c r="CG342" s="8">
        <f>IF((0=1),(SUM(C307:CG307)/CG237),"")</f>
      </c>
      <c r="CH342" s="8">
        <f>IF((0=1),(SUM(C307:CH307)/CH237),"")</f>
      </c>
      <c r="CI342" s="8">
        <f>IF((0=1),(SUM(C307:CI307)/CI237),"")</f>
      </c>
      <c r="CJ342" s="8">
        <f>IF((0=1),(SUM(C307:CJ307)/CJ237),"")</f>
      </c>
      <c r="CK342" s="8">
        <f>IF((0=1),(SUM(C307:CK307)/CK237),"")</f>
      </c>
      <c r="CL342" s="8">
        <f>IF((0=1),(SUM(C307:CL307)/CL237),"")</f>
      </c>
      <c r="CM342" s="8">
        <f>IF((0=1),(SUM(C307:CM307)/CM237),"")</f>
      </c>
      <c r="CN342" s="8">
        <f>IF((0=1),(SUM(C307:CN307)/CN237),"")</f>
      </c>
      <c r="CO342" s="8">
        <f>IF((0=1),(SUM(C307:CO307)/CO237),"")</f>
      </c>
      <c r="CP342" s="8">
        <f>IF((0=1),(SUM(C307:CP307)/CP237),"")</f>
      </c>
      <c r="CQ342" s="8">
        <f>IF((0=1),(SUM(C307:CQ307)/CQ237),"")</f>
      </c>
      <c r="CR342" s="8">
        <f>IF((0=1),(SUM(C307:CR307)/CR237),"")</f>
      </c>
      <c r="CS342" s="8">
        <f>IF((0=1),(SUM(C307:CS307)/CS237),"")</f>
      </c>
      <c r="CT342" s="8">
        <f>IF((0=1),(SUM(C307:CT307)/CT237),"")</f>
      </c>
      <c r="CU342" s="8">
        <f>IF((0=1),(SUM(C307:CU307)/CU237),"")</f>
      </c>
      <c r="CV342" s="8">
        <f>IF((0=1),(SUM(C307:CV307)/CV237),"")</f>
      </c>
      <c r="CW342" s="8">
        <f>IF((0=1),(SUM(C307:CW307)/CW237),"")</f>
      </c>
      <c r="CX342" s="8">
        <f>IF((0=1),(SUM(C307:CX307)/CX237),"")</f>
      </c>
    </row>
    <row r="343">
      <c r="A343" s="0" t="inlineStr">
        <is>
          <t xml:space="preserve">Running mean of squares</t>
        </is>
      </c>
      <c r="B343" s="0" t="inlineStr">
        <is>
          <t xml:space="preserve">Random 12</t>
        </is>
      </c>
      <c r="C343" s="8">
        <f>IF((1=1),(SUM(C308)/C238),"")</f>
        <v>0.253009</v>
      </c>
      <c r="D343" s="8">
        <f>IF((0=1),(SUM(C308:D308)/D238),"")</f>
      </c>
      <c r="E343" s="8">
        <f>IF((0=1),(SUM(C308:E308)/E238),"")</f>
      </c>
      <c r="F343" s="8">
        <f>IF((0=1),(SUM(C308:F308)/F238),"")</f>
      </c>
      <c r="G343" s="8">
        <f>IF((0=1),(SUM(C308:G308)/G238),"")</f>
      </c>
      <c r="H343" s="8">
        <f>IF((0=1),(SUM(C308:H308)/H238),"")</f>
      </c>
      <c r="I343" s="8">
        <f>IF((0=1),(SUM(C308:I308)/I238),"")</f>
      </c>
      <c r="J343" s="8">
        <f>IF((0=1),(SUM(C308:J308)/J238),"")</f>
      </c>
      <c r="K343" s="8">
        <f>IF((0=1),(SUM(C308:K308)/K238),"")</f>
      </c>
      <c r="L343" s="8">
        <f>IF((0=1),(SUM(C308:L308)/L238),"")</f>
      </c>
      <c r="M343" s="8">
        <f>IF((0=1),(SUM(C308:M308)/M238),"")</f>
      </c>
      <c r="N343" s="8">
        <f>IF((0=1),(SUM(C308:N308)/N238),"")</f>
      </c>
      <c r="O343" s="8">
        <f>IF((0=1),(SUM(C308:O308)/O238),"")</f>
      </c>
      <c r="P343" s="8">
        <f>IF((0=1),(SUM(C308:P308)/P238),"")</f>
      </c>
      <c r="Q343" s="8">
        <f>IF((0=1),(SUM(C308:Q308)/Q238),"")</f>
      </c>
      <c r="R343" s="8">
        <f>IF((0=1),(SUM(C308:R308)/R238),"")</f>
      </c>
      <c r="S343" s="8">
        <f>IF((0=1),(SUM(C308:S308)/S238),"")</f>
      </c>
      <c r="T343" s="8">
        <f>IF((0=1),(SUM(C308:T308)/T238),"")</f>
      </c>
      <c r="U343" s="8">
        <f>IF((0=1),(SUM(C308:U308)/U238),"")</f>
      </c>
      <c r="V343" s="8">
        <f>IF((0=1),(SUM(C308:V308)/V238),"")</f>
      </c>
      <c r="W343" s="8">
        <f>IF((0=1),(SUM(C308:W308)/W238),"")</f>
      </c>
      <c r="X343" s="8">
        <f>IF((0=1),(SUM(C308:X308)/X238),"")</f>
      </c>
      <c r="Y343" s="8">
        <f>IF((0=1),(SUM(C308:Y308)/Y238),"")</f>
      </c>
      <c r="Z343" s="8">
        <f>IF((0=1),(SUM(C308:Z308)/Z238),"")</f>
      </c>
      <c r="AA343" s="8">
        <f>IF((0=1),(SUM(C308:AA308)/AA238),"")</f>
      </c>
      <c r="AB343" s="8">
        <f>IF((0=1),(SUM(C308:AB308)/AB238),"")</f>
      </c>
      <c r="AC343" s="8">
        <f>IF((0=1),(SUM(C308:AC308)/AC238),"")</f>
      </c>
      <c r="AD343" s="8">
        <f>IF((0=1),(SUM(C308:AD308)/AD238),"")</f>
      </c>
      <c r="AE343" s="8">
        <f>IF((0=1),(SUM(C308:AE308)/AE238),"")</f>
      </c>
      <c r="AF343" s="8">
        <f>IF((0=1),(SUM(C308:AF308)/AF238),"")</f>
      </c>
      <c r="AG343" s="8">
        <f>IF((0=1),(SUM(C308:AG308)/AG238),"")</f>
      </c>
      <c r="AH343" s="8">
        <f>IF((0=1),(SUM(C308:AH308)/AH238),"")</f>
      </c>
      <c r="AI343" s="8">
        <f>IF((0=1),(SUM(C308:AI308)/AI238),"")</f>
      </c>
      <c r="AJ343" s="8">
        <f>IF((0=1),(SUM(C308:AJ308)/AJ238),"")</f>
      </c>
      <c r="AK343" s="8">
        <f>IF((0=1),(SUM(C308:AK308)/AK238),"")</f>
      </c>
      <c r="AL343" s="8">
        <f>IF((0=1),(SUM(C308:AL308)/AL238),"")</f>
      </c>
      <c r="AM343" s="8">
        <f>IF((0=1),(SUM(C308:AM308)/AM238),"")</f>
      </c>
      <c r="AN343" s="8">
        <f>IF((0=1),(SUM(C308:AN308)/AN238),"")</f>
      </c>
      <c r="AO343" s="8">
        <f>IF((0=1),(SUM(C308:AO308)/AO238),"")</f>
      </c>
      <c r="AP343" s="8">
        <f>IF((0=1),(SUM(C308:AP308)/AP238),"")</f>
      </c>
      <c r="AQ343" s="8">
        <f>IF((0=1),(SUM(C308:AQ308)/AQ238),"")</f>
      </c>
      <c r="AR343" s="8">
        <f>IF((0=1),(SUM(C308:AR308)/AR238),"")</f>
      </c>
      <c r="AS343" s="8">
        <f>IF((0=1),(SUM(C308:AS308)/AS238),"")</f>
      </c>
      <c r="AT343" s="8">
        <f>IF((0=1),(SUM(C308:AT308)/AT238),"")</f>
      </c>
      <c r="AU343" s="8">
        <f>IF((0=1),(SUM(C308:AU308)/AU238),"")</f>
      </c>
      <c r="AV343" s="8">
        <f>IF((0=1),(SUM(C308:AV308)/AV238),"")</f>
      </c>
      <c r="AW343" s="8">
        <f>IF((0=1),(SUM(C308:AW308)/AW238),"")</f>
      </c>
      <c r="AX343" s="8">
        <f>IF((0=1),(SUM(C308:AX308)/AX238),"")</f>
      </c>
      <c r="AY343" s="8">
        <f>IF((0=1),(SUM(C308:AY308)/AY238),"")</f>
      </c>
      <c r="AZ343" s="8">
        <f>IF((0=1),(SUM(C308:AZ308)/AZ238),"")</f>
      </c>
      <c r="BA343" s="8">
        <f>IF((0=1),(SUM(C308:BA308)/BA238),"")</f>
      </c>
      <c r="BB343" s="8">
        <f>IF((0=1),(SUM(C308:BB308)/BB238),"")</f>
      </c>
      <c r="BC343" s="8">
        <f>IF((0=1),(SUM(C308:BC308)/BC238),"")</f>
      </c>
      <c r="BD343" s="8">
        <f>IF((0=1),(SUM(C308:BD308)/BD238),"")</f>
      </c>
      <c r="BE343" s="8">
        <f>IF((0=1),(SUM(C308:BE308)/BE238),"")</f>
      </c>
      <c r="BF343" s="8">
        <f>IF((0=1),(SUM(C308:BF308)/BF238),"")</f>
      </c>
      <c r="BG343" s="8">
        <f>IF((0=1),(SUM(C308:BG308)/BG238),"")</f>
      </c>
      <c r="BH343" s="8">
        <f>IF((0=1),(SUM(C308:BH308)/BH238),"")</f>
      </c>
      <c r="BI343" s="8">
        <f>IF((0=1),(SUM(C308:BI308)/BI238),"")</f>
      </c>
      <c r="BJ343" s="8">
        <f>IF((0=1),(SUM(C308:BJ308)/BJ238),"")</f>
      </c>
      <c r="BK343" s="8">
        <f>IF((0=1),(SUM(C308:BK308)/BK238),"")</f>
      </c>
      <c r="BL343" s="8">
        <f>IF((0=1),(SUM(C308:BL308)/BL238),"")</f>
      </c>
      <c r="BM343" s="8">
        <f>IF((0=1),(SUM(C308:BM308)/BM238),"")</f>
      </c>
      <c r="BN343" s="8">
        <f>IF((0=1),(SUM(C308:BN308)/BN238),"")</f>
      </c>
      <c r="BO343" s="8">
        <f>IF((0=1),(SUM(C308:BO308)/BO238),"")</f>
      </c>
      <c r="BP343" s="8">
        <f>IF((0=1),(SUM(C308:BP308)/BP238),"")</f>
      </c>
      <c r="BQ343" s="8">
        <f>IF((0=1),(SUM(C308:BQ308)/BQ238),"")</f>
      </c>
      <c r="BR343" s="8">
        <f>IF((0=1),(SUM(C308:BR308)/BR238),"")</f>
      </c>
      <c r="BS343" s="8">
        <f>IF((0=1),(SUM(C308:BS308)/BS238),"")</f>
      </c>
      <c r="BT343" s="8">
        <f>IF((0=1),(SUM(C308:BT308)/BT238),"")</f>
      </c>
      <c r="BU343" s="8">
        <f>IF((0=1),(SUM(C308:BU308)/BU238),"")</f>
      </c>
      <c r="BV343" s="8">
        <f>IF((0=1),(SUM(C308:BV308)/BV238),"")</f>
      </c>
      <c r="BW343" s="8">
        <f>IF((0=1),(SUM(C308:BW308)/BW238),"")</f>
      </c>
      <c r="BX343" s="8">
        <f>IF((0=1),(SUM(C308:BX308)/BX238),"")</f>
      </c>
      <c r="BY343" s="8">
        <f>IF((0=1),(SUM(C308:BY308)/BY238),"")</f>
      </c>
      <c r="BZ343" s="8">
        <f>IF((0=1),(SUM(C308:BZ308)/BZ238),"")</f>
      </c>
      <c r="CA343" s="8">
        <f>IF((0=1),(SUM(C308:CA308)/CA238),"")</f>
      </c>
      <c r="CB343" s="8">
        <f>IF((0=1),(SUM(C308:CB308)/CB238),"")</f>
      </c>
      <c r="CC343" s="8">
        <f>IF((0=1),(SUM(C308:CC308)/CC238),"")</f>
      </c>
      <c r="CD343" s="8">
        <f>IF((0=1),(SUM(C308:CD308)/CD238),"")</f>
      </c>
      <c r="CE343" s="8">
        <f>IF((0=1),(SUM(C308:CE308)/CE238),"")</f>
      </c>
      <c r="CF343" s="8">
        <f>IF((0=1),(SUM(C308:CF308)/CF238),"")</f>
      </c>
      <c r="CG343" s="8">
        <f>IF((0=1),(SUM(C308:CG308)/CG238),"")</f>
      </c>
      <c r="CH343" s="8">
        <f>IF((0=1),(SUM(C308:CH308)/CH238),"")</f>
      </c>
      <c r="CI343" s="8">
        <f>IF((0=1),(SUM(C308:CI308)/CI238),"")</f>
      </c>
      <c r="CJ343" s="8">
        <f>IF((0=1),(SUM(C308:CJ308)/CJ238),"")</f>
      </c>
      <c r="CK343" s="8">
        <f>IF((0=1),(SUM(C308:CK308)/CK238),"")</f>
      </c>
      <c r="CL343" s="8">
        <f>IF((0=1),(SUM(C308:CL308)/CL238),"")</f>
      </c>
      <c r="CM343" s="8">
        <f>IF((0=1),(SUM(C308:CM308)/CM238),"")</f>
      </c>
      <c r="CN343" s="8">
        <f>IF((0=1),(SUM(C308:CN308)/CN238),"")</f>
      </c>
      <c r="CO343" s="8">
        <f>IF((0=1),(SUM(C308:CO308)/CO238),"")</f>
      </c>
      <c r="CP343" s="8">
        <f>IF((0=1),(SUM(C308:CP308)/CP238),"")</f>
      </c>
      <c r="CQ343" s="8">
        <f>IF((0=1),(SUM(C308:CQ308)/CQ238),"")</f>
      </c>
      <c r="CR343" s="8">
        <f>IF((0=1),(SUM(C308:CR308)/CR238),"")</f>
      </c>
      <c r="CS343" s="8">
        <f>IF((0=1),(SUM(C308:CS308)/CS238),"")</f>
      </c>
      <c r="CT343" s="8">
        <f>IF((0=1),(SUM(C308:CT308)/CT238),"")</f>
      </c>
      <c r="CU343" s="8">
        <f>IF((0=1),(SUM(C308:CU308)/CU238),"")</f>
      </c>
      <c r="CV343" s="8">
        <f>IF((0=1),(SUM(C308:CV308)/CV238),"")</f>
      </c>
      <c r="CW343" s="8">
        <f>IF((0=1),(SUM(C308:CW308)/CW238),"")</f>
      </c>
      <c r="CX343" s="8">
        <f>IF((0=1),(SUM(C308:CX308)/CX238),"")</f>
      </c>
    </row>
    <row r="344">
      <c r="A344" s="0" t="inlineStr">
        <is>
          <t xml:space="preserve">Running mean of squares</t>
        </is>
      </c>
      <c r="B344" s="0" t="inlineStr">
        <is>
          <t xml:space="preserve">Random 13</t>
        </is>
      </c>
      <c r="C344" s="8">
        <f>IF((1=1),(SUM(C309)/C239),"")</f>
        <v>69.15585600000001</v>
      </c>
      <c r="D344" s="8">
        <f>IF((0=1),(SUM(C309:D309)/D239),"")</f>
      </c>
      <c r="E344" s="8">
        <f>IF((0=1),(SUM(C309:E309)/E239),"")</f>
      </c>
      <c r="F344" s="8">
        <f>IF((0=1),(SUM(C309:F309)/F239),"")</f>
      </c>
      <c r="G344" s="8">
        <f>IF((0=1),(SUM(C309:G309)/G239),"")</f>
      </c>
      <c r="H344" s="8">
        <f>IF((0=1),(SUM(C309:H309)/H239),"")</f>
      </c>
      <c r="I344" s="8">
        <f>IF((0=1),(SUM(C309:I309)/I239),"")</f>
      </c>
      <c r="J344" s="8">
        <f>IF((0=1),(SUM(C309:J309)/J239),"")</f>
      </c>
      <c r="K344" s="8">
        <f>IF((0=1),(SUM(C309:K309)/K239),"")</f>
      </c>
      <c r="L344" s="8">
        <f>IF((0=1),(SUM(C309:L309)/L239),"")</f>
      </c>
      <c r="M344" s="8">
        <f>IF((0=1),(SUM(C309:M309)/M239),"")</f>
      </c>
      <c r="N344" s="8">
        <f>IF((0=1),(SUM(C309:N309)/N239),"")</f>
      </c>
      <c r="O344" s="8">
        <f>IF((0=1),(SUM(C309:O309)/O239),"")</f>
      </c>
      <c r="P344" s="8">
        <f>IF((0=1),(SUM(C309:P309)/P239),"")</f>
      </c>
      <c r="Q344" s="8">
        <f>IF((0=1),(SUM(C309:Q309)/Q239),"")</f>
      </c>
      <c r="R344" s="8">
        <f>IF((0=1),(SUM(C309:R309)/R239),"")</f>
      </c>
      <c r="S344" s="8">
        <f>IF((0=1),(SUM(C309:S309)/S239),"")</f>
      </c>
      <c r="T344" s="8">
        <f>IF((0=1),(SUM(C309:T309)/T239),"")</f>
      </c>
      <c r="U344" s="8">
        <f>IF((0=1),(SUM(C309:U309)/U239),"")</f>
      </c>
      <c r="V344" s="8">
        <f>IF((0=1),(SUM(C309:V309)/V239),"")</f>
      </c>
      <c r="W344" s="8">
        <f>IF((0=1),(SUM(C309:W309)/W239),"")</f>
      </c>
      <c r="X344" s="8">
        <f>IF((0=1),(SUM(C309:X309)/X239),"")</f>
      </c>
      <c r="Y344" s="8">
        <f>IF((0=1),(SUM(C309:Y309)/Y239),"")</f>
      </c>
      <c r="Z344" s="8">
        <f>IF((0=1),(SUM(C309:Z309)/Z239),"")</f>
      </c>
      <c r="AA344" s="8">
        <f>IF((0=1),(SUM(C309:AA309)/AA239),"")</f>
      </c>
      <c r="AB344" s="8">
        <f>IF((0=1),(SUM(C309:AB309)/AB239),"")</f>
      </c>
      <c r="AC344" s="8">
        <f>IF((0=1),(SUM(C309:AC309)/AC239),"")</f>
      </c>
      <c r="AD344" s="8">
        <f>IF((0=1),(SUM(C309:AD309)/AD239),"")</f>
      </c>
      <c r="AE344" s="8">
        <f>IF((0=1),(SUM(C309:AE309)/AE239),"")</f>
      </c>
      <c r="AF344" s="8">
        <f>IF((0=1),(SUM(C309:AF309)/AF239),"")</f>
      </c>
      <c r="AG344" s="8">
        <f>IF((0=1),(SUM(C309:AG309)/AG239),"")</f>
      </c>
      <c r="AH344" s="8">
        <f>IF((0=1),(SUM(C309:AH309)/AH239),"")</f>
      </c>
      <c r="AI344" s="8">
        <f>IF((0=1),(SUM(C309:AI309)/AI239),"")</f>
      </c>
      <c r="AJ344" s="8">
        <f>IF((0=1),(SUM(C309:AJ309)/AJ239),"")</f>
      </c>
      <c r="AK344" s="8">
        <f>IF((0=1),(SUM(C309:AK309)/AK239),"")</f>
      </c>
      <c r="AL344" s="8">
        <f>IF((0=1),(SUM(C309:AL309)/AL239),"")</f>
      </c>
      <c r="AM344" s="8">
        <f>IF((0=1),(SUM(C309:AM309)/AM239),"")</f>
      </c>
      <c r="AN344" s="8">
        <f>IF((0=1),(SUM(C309:AN309)/AN239),"")</f>
      </c>
      <c r="AO344" s="8">
        <f>IF((0=1),(SUM(C309:AO309)/AO239),"")</f>
      </c>
      <c r="AP344" s="8">
        <f>IF((0=1),(SUM(C309:AP309)/AP239),"")</f>
      </c>
      <c r="AQ344" s="8">
        <f>IF((0=1),(SUM(C309:AQ309)/AQ239),"")</f>
      </c>
      <c r="AR344" s="8">
        <f>IF((0=1),(SUM(C309:AR309)/AR239),"")</f>
      </c>
      <c r="AS344" s="8">
        <f>IF((0=1),(SUM(C309:AS309)/AS239),"")</f>
      </c>
      <c r="AT344" s="8">
        <f>IF((0=1),(SUM(C309:AT309)/AT239),"")</f>
      </c>
      <c r="AU344" s="8">
        <f>IF((0=1),(SUM(C309:AU309)/AU239),"")</f>
      </c>
      <c r="AV344" s="8">
        <f>IF((0=1),(SUM(C309:AV309)/AV239),"")</f>
      </c>
      <c r="AW344" s="8">
        <f>IF((0=1),(SUM(C309:AW309)/AW239),"")</f>
      </c>
      <c r="AX344" s="8">
        <f>IF((0=1),(SUM(C309:AX309)/AX239),"")</f>
      </c>
      <c r="AY344" s="8">
        <f>IF((0=1),(SUM(C309:AY309)/AY239),"")</f>
      </c>
      <c r="AZ344" s="8">
        <f>IF((0=1),(SUM(C309:AZ309)/AZ239),"")</f>
      </c>
      <c r="BA344" s="8">
        <f>IF((0=1),(SUM(C309:BA309)/BA239),"")</f>
      </c>
      <c r="BB344" s="8">
        <f>IF((0=1),(SUM(C309:BB309)/BB239),"")</f>
      </c>
      <c r="BC344" s="8">
        <f>IF((0=1),(SUM(C309:BC309)/BC239),"")</f>
      </c>
      <c r="BD344" s="8">
        <f>IF((0=1),(SUM(C309:BD309)/BD239),"")</f>
      </c>
      <c r="BE344" s="8">
        <f>IF((0=1),(SUM(C309:BE309)/BE239),"")</f>
      </c>
      <c r="BF344" s="8">
        <f>IF((0=1),(SUM(C309:BF309)/BF239),"")</f>
      </c>
      <c r="BG344" s="8">
        <f>IF((0=1),(SUM(C309:BG309)/BG239),"")</f>
      </c>
      <c r="BH344" s="8">
        <f>IF((0=1),(SUM(C309:BH309)/BH239),"")</f>
      </c>
      <c r="BI344" s="8">
        <f>IF((0=1),(SUM(C309:BI309)/BI239),"")</f>
      </c>
      <c r="BJ344" s="8">
        <f>IF((0=1),(SUM(C309:BJ309)/BJ239),"")</f>
      </c>
      <c r="BK344" s="8">
        <f>IF((0=1),(SUM(C309:BK309)/BK239),"")</f>
      </c>
      <c r="BL344" s="8">
        <f>IF((0=1),(SUM(C309:BL309)/BL239),"")</f>
      </c>
      <c r="BM344" s="8">
        <f>IF((0=1),(SUM(C309:BM309)/BM239),"")</f>
      </c>
      <c r="BN344" s="8">
        <f>IF((0=1),(SUM(C309:BN309)/BN239),"")</f>
      </c>
      <c r="BO344" s="8">
        <f>IF((0=1),(SUM(C309:BO309)/BO239),"")</f>
      </c>
      <c r="BP344" s="8">
        <f>IF((0=1),(SUM(C309:BP309)/BP239),"")</f>
      </c>
      <c r="BQ344" s="8">
        <f>IF((0=1),(SUM(C309:BQ309)/BQ239),"")</f>
      </c>
      <c r="BR344" s="8">
        <f>IF((0=1),(SUM(C309:BR309)/BR239),"")</f>
      </c>
      <c r="BS344" s="8">
        <f>IF((0=1),(SUM(C309:BS309)/BS239),"")</f>
      </c>
      <c r="BT344" s="8">
        <f>IF((0=1),(SUM(C309:BT309)/BT239),"")</f>
      </c>
      <c r="BU344" s="8">
        <f>IF((0=1),(SUM(C309:BU309)/BU239),"")</f>
      </c>
      <c r="BV344" s="8">
        <f>IF((0=1),(SUM(C309:BV309)/BV239),"")</f>
      </c>
      <c r="BW344" s="8">
        <f>IF((0=1),(SUM(C309:BW309)/BW239),"")</f>
      </c>
      <c r="BX344" s="8">
        <f>IF((0=1),(SUM(C309:BX309)/BX239),"")</f>
      </c>
      <c r="BY344" s="8">
        <f>IF((0=1),(SUM(C309:BY309)/BY239),"")</f>
      </c>
      <c r="BZ344" s="8">
        <f>IF((0=1),(SUM(C309:BZ309)/BZ239),"")</f>
      </c>
      <c r="CA344" s="8">
        <f>IF((0=1),(SUM(C309:CA309)/CA239),"")</f>
      </c>
      <c r="CB344" s="8">
        <f>IF((0=1),(SUM(C309:CB309)/CB239),"")</f>
      </c>
      <c r="CC344" s="8">
        <f>IF((0=1),(SUM(C309:CC309)/CC239),"")</f>
      </c>
      <c r="CD344" s="8">
        <f>IF((0=1),(SUM(C309:CD309)/CD239),"")</f>
      </c>
      <c r="CE344" s="8">
        <f>IF((0=1),(SUM(C309:CE309)/CE239),"")</f>
      </c>
      <c r="CF344" s="8">
        <f>IF((0=1),(SUM(C309:CF309)/CF239),"")</f>
      </c>
      <c r="CG344" s="8">
        <f>IF((0=1),(SUM(C309:CG309)/CG239),"")</f>
      </c>
      <c r="CH344" s="8">
        <f>IF((0=1),(SUM(C309:CH309)/CH239),"")</f>
      </c>
      <c r="CI344" s="8">
        <f>IF((0=1),(SUM(C309:CI309)/CI239),"")</f>
      </c>
      <c r="CJ344" s="8">
        <f>IF((0=1),(SUM(C309:CJ309)/CJ239),"")</f>
      </c>
      <c r="CK344" s="8">
        <f>IF((0=1),(SUM(C309:CK309)/CK239),"")</f>
      </c>
      <c r="CL344" s="8">
        <f>IF((0=1),(SUM(C309:CL309)/CL239),"")</f>
      </c>
      <c r="CM344" s="8">
        <f>IF((0=1),(SUM(C309:CM309)/CM239),"")</f>
      </c>
      <c r="CN344" s="8">
        <f>IF((0=1),(SUM(C309:CN309)/CN239),"")</f>
      </c>
      <c r="CO344" s="8">
        <f>IF((0=1),(SUM(C309:CO309)/CO239),"")</f>
      </c>
      <c r="CP344" s="8">
        <f>IF((0=1),(SUM(C309:CP309)/CP239),"")</f>
      </c>
      <c r="CQ344" s="8">
        <f>IF((0=1),(SUM(C309:CQ309)/CQ239),"")</f>
      </c>
      <c r="CR344" s="8">
        <f>IF((0=1),(SUM(C309:CR309)/CR239),"")</f>
      </c>
      <c r="CS344" s="8">
        <f>IF((0=1),(SUM(C309:CS309)/CS239),"")</f>
      </c>
      <c r="CT344" s="8">
        <f>IF((0=1),(SUM(C309:CT309)/CT239),"")</f>
      </c>
      <c r="CU344" s="8">
        <f>IF((0=1),(SUM(C309:CU309)/CU239),"")</f>
      </c>
      <c r="CV344" s="8">
        <f>IF((0=1),(SUM(C309:CV309)/CV239),"")</f>
      </c>
      <c r="CW344" s="8">
        <f>IF((0=1),(SUM(C309:CW309)/CW239),"")</f>
      </c>
      <c r="CX344" s="8">
        <f>IF((0=1),(SUM(C309:CX309)/CX239),"")</f>
      </c>
    </row>
    <row r="345">
      <c r="A345" s="0" t="inlineStr">
        <is>
          <t xml:space="preserve">Running mean of squares</t>
        </is>
      </c>
      <c r="B345" s="0" t="inlineStr">
        <is>
          <t xml:space="preserve">Random 14</t>
        </is>
      </c>
      <c r="C345" s="8">
        <f>IF((1=1),(SUM(C310)/C240),"")</f>
        <v>2.8628639999999996</v>
      </c>
      <c r="D345" s="8">
        <f>IF((0=1),(SUM(C310:D310)/D240),"")</f>
      </c>
      <c r="E345" s="8">
        <f>IF((0=1),(SUM(C310:E310)/E240),"")</f>
      </c>
      <c r="F345" s="8">
        <f>IF((0=1),(SUM(C310:F310)/F240),"")</f>
      </c>
      <c r="G345" s="8">
        <f>IF((0=1),(SUM(C310:G310)/G240),"")</f>
      </c>
      <c r="H345" s="8">
        <f>IF((0=1),(SUM(C310:H310)/H240),"")</f>
      </c>
      <c r="I345" s="8">
        <f>IF((0=1),(SUM(C310:I310)/I240),"")</f>
      </c>
      <c r="J345" s="8">
        <f>IF((0=1),(SUM(C310:J310)/J240),"")</f>
      </c>
      <c r="K345" s="8">
        <f>IF((0=1),(SUM(C310:K310)/K240),"")</f>
      </c>
      <c r="L345" s="8">
        <f>IF((0=1),(SUM(C310:L310)/L240),"")</f>
      </c>
      <c r="M345" s="8">
        <f>IF((0=1),(SUM(C310:M310)/M240),"")</f>
      </c>
      <c r="N345" s="8">
        <f>IF((0=1),(SUM(C310:N310)/N240),"")</f>
      </c>
      <c r="O345" s="8">
        <f>IF((0=1),(SUM(C310:O310)/O240),"")</f>
      </c>
      <c r="P345" s="8">
        <f>IF((0=1),(SUM(C310:P310)/P240),"")</f>
      </c>
      <c r="Q345" s="8">
        <f>IF((0=1),(SUM(C310:Q310)/Q240),"")</f>
      </c>
      <c r="R345" s="8">
        <f>IF((0=1),(SUM(C310:R310)/R240),"")</f>
      </c>
      <c r="S345" s="8">
        <f>IF((0=1),(SUM(C310:S310)/S240),"")</f>
      </c>
      <c r="T345" s="8">
        <f>IF((0=1),(SUM(C310:T310)/T240),"")</f>
      </c>
      <c r="U345" s="8">
        <f>IF((0=1),(SUM(C310:U310)/U240),"")</f>
      </c>
      <c r="V345" s="8">
        <f>IF((0=1),(SUM(C310:V310)/V240),"")</f>
      </c>
      <c r="W345" s="8">
        <f>IF((0=1),(SUM(C310:W310)/W240),"")</f>
      </c>
      <c r="X345" s="8">
        <f>IF((0=1),(SUM(C310:X310)/X240),"")</f>
      </c>
      <c r="Y345" s="8">
        <f>IF((0=1),(SUM(C310:Y310)/Y240),"")</f>
      </c>
      <c r="Z345" s="8">
        <f>IF((0=1),(SUM(C310:Z310)/Z240),"")</f>
      </c>
      <c r="AA345" s="8">
        <f>IF((0=1),(SUM(C310:AA310)/AA240),"")</f>
      </c>
      <c r="AB345" s="8">
        <f>IF((0=1),(SUM(C310:AB310)/AB240),"")</f>
      </c>
      <c r="AC345" s="8">
        <f>IF((0=1),(SUM(C310:AC310)/AC240),"")</f>
      </c>
      <c r="AD345" s="8">
        <f>IF((0=1),(SUM(C310:AD310)/AD240),"")</f>
      </c>
      <c r="AE345" s="8">
        <f>IF((0=1),(SUM(C310:AE310)/AE240),"")</f>
      </c>
      <c r="AF345" s="8">
        <f>IF((0=1),(SUM(C310:AF310)/AF240),"")</f>
      </c>
      <c r="AG345" s="8">
        <f>IF((0=1),(SUM(C310:AG310)/AG240),"")</f>
      </c>
      <c r="AH345" s="8">
        <f>IF((0=1),(SUM(C310:AH310)/AH240),"")</f>
      </c>
      <c r="AI345" s="8">
        <f>IF((0=1),(SUM(C310:AI310)/AI240),"")</f>
      </c>
      <c r="AJ345" s="8">
        <f>IF((0=1),(SUM(C310:AJ310)/AJ240),"")</f>
      </c>
      <c r="AK345" s="8">
        <f>IF((0=1),(SUM(C310:AK310)/AK240),"")</f>
      </c>
      <c r="AL345" s="8">
        <f>IF((0=1),(SUM(C310:AL310)/AL240),"")</f>
      </c>
      <c r="AM345" s="8">
        <f>IF((0=1),(SUM(C310:AM310)/AM240),"")</f>
      </c>
      <c r="AN345" s="8">
        <f>IF((0=1),(SUM(C310:AN310)/AN240),"")</f>
      </c>
      <c r="AO345" s="8">
        <f>IF((0=1),(SUM(C310:AO310)/AO240),"")</f>
      </c>
      <c r="AP345" s="8">
        <f>IF((0=1),(SUM(C310:AP310)/AP240),"")</f>
      </c>
      <c r="AQ345" s="8">
        <f>IF((0=1),(SUM(C310:AQ310)/AQ240),"")</f>
      </c>
      <c r="AR345" s="8">
        <f>IF((0=1),(SUM(C310:AR310)/AR240),"")</f>
      </c>
      <c r="AS345" s="8">
        <f>IF((0=1),(SUM(C310:AS310)/AS240),"")</f>
      </c>
      <c r="AT345" s="8">
        <f>IF((0=1),(SUM(C310:AT310)/AT240),"")</f>
      </c>
      <c r="AU345" s="8">
        <f>IF((0=1),(SUM(C310:AU310)/AU240),"")</f>
      </c>
      <c r="AV345" s="8">
        <f>IF((0=1),(SUM(C310:AV310)/AV240),"")</f>
      </c>
      <c r="AW345" s="8">
        <f>IF((0=1),(SUM(C310:AW310)/AW240),"")</f>
      </c>
      <c r="AX345" s="8">
        <f>IF((0=1),(SUM(C310:AX310)/AX240),"")</f>
      </c>
      <c r="AY345" s="8">
        <f>IF((0=1),(SUM(C310:AY310)/AY240),"")</f>
      </c>
      <c r="AZ345" s="8">
        <f>IF((0=1),(SUM(C310:AZ310)/AZ240),"")</f>
      </c>
      <c r="BA345" s="8">
        <f>IF((0=1),(SUM(C310:BA310)/BA240),"")</f>
      </c>
      <c r="BB345" s="8">
        <f>IF((0=1),(SUM(C310:BB310)/BB240),"")</f>
      </c>
      <c r="BC345" s="8">
        <f>IF((0=1),(SUM(C310:BC310)/BC240),"")</f>
      </c>
      <c r="BD345" s="8">
        <f>IF((0=1),(SUM(C310:BD310)/BD240),"")</f>
      </c>
      <c r="BE345" s="8">
        <f>IF((0=1),(SUM(C310:BE310)/BE240),"")</f>
      </c>
      <c r="BF345" s="8">
        <f>IF((0=1),(SUM(C310:BF310)/BF240),"")</f>
      </c>
      <c r="BG345" s="8">
        <f>IF((0=1),(SUM(C310:BG310)/BG240),"")</f>
      </c>
      <c r="BH345" s="8">
        <f>IF((0=1),(SUM(C310:BH310)/BH240),"")</f>
      </c>
      <c r="BI345" s="8">
        <f>IF((0=1),(SUM(C310:BI310)/BI240),"")</f>
      </c>
      <c r="BJ345" s="8">
        <f>IF((0=1),(SUM(C310:BJ310)/BJ240),"")</f>
      </c>
      <c r="BK345" s="8">
        <f>IF((0=1),(SUM(C310:BK310)/BK240),"")</f>
      </c>
      <c r="BL345" s="8">
        <f>IF((0=1),(SUM(C310:BL310)/BL240),"")</f>
      </c>
      <c r="BM345" s="8">
        <f>IF((0=1),(SUM(C310:BM310)/BM240),"")</f>
      </c>
      <c r="BN345" s="8">
        <f>IF((0=1),(SUM(C310:BN310)/BN240),"")</f>
      </c>
      <c r="BO345" s="8">
        <f>IF((0=1),(SUM(C310:BO310)/BO240),"")</f>
      </c>
      <c r="BP345" s="8">
        <f>IF((0=1),(SUM(C310:BP310)/BP240),"")</f>
      </c>
      <c r="BQ345" s="8">
        <f>IF((0=1),(SUM(C310:BQ310)/BQ240),"")</f>
      </c>
      <c r="BR345" s="8">
        <f>IF((0=1),(SUM(C310:BR310)/BR240),"")</f>
      </c>
      <c r="BS345" s="8">
        <f>IF((0=1),(SUM(C310:BS310)/BS240),"")</f>
      </c>
      <c r="BT345" s="8">
        <f>IF((0=1),(SUM(C310:BT310)/BT240),"")</f>
      </c>
      <c r="BU345" s="8">
        <f>IF((0=1),(SUM(C310:BU310)/BU240),"")</f>
      </c>
      <c r="BV345" s="8">
        <f>IF((0=1),(SUM(C310:BV310)/BV240),"")</f>
      </c>
      <c r="BW345" s="8">
        <f>IF((0=1),(SUM(C310:BW310)/BW240),"")</f>
      </c>
      <c r="BX345" s="8">
        <f>IF((0=1),(SUM(C310:BX310)/BX240),"")</f>
      </c>
      <c r="BY345" s="8">
        <f>IF((0=1),(SUM(C310:BY310)/BY240),"")</f>
      </c>
      <c r="BZ345" s="8">
        <f>IF((0=1),(SUM(C310:BZ310)/BZ240),"")</f>
      </c>
      <c r="CA345" s="8">
        <f>IF((0=1),(SUM(C310:CA310)/CA240),"")</f>
      </c>
      <c r="CB345" s="8">
        <f>IF((0=1),(SUM(C310:CB310)/CB240),"")</f>
      </c>
      <c r="CC345" s="8">
        <f>IF((0=1),(SUM(C310:CC310)/CC240),"")</f>
      </c>
      <c r="CD345" s="8">
        <f>IF((0=1),(SUM(C310:CD310)/CD240),"")</f>
      </c>
      <c r="CE345" s="8">
        <f>IF((0=1),(SUM(C310:CE310)/CE240),"")</f>
      </c>
      <c r="CF345" s="8">
        <f>IF((0=1),(SUM(C310:CF310)/CF240),"")</f>
      </c>
      <c r="CG345" s="8">
        <f>IF((0=1),(SUM(C310:CG310)/CG240),"")</f>
      </c>
      <c r="CH345" s="8">
        <f>IF((0=1),(SUM(C310:CH310)/CH240),"")</f>
      </c>
      <c r="CI345" s="8">
        <f>IF((0=1),(SUM(C310:CI310)/CI240),"")</f>
      </c>
      <c r="CJ345" s="8">
        <f>IF((0=1),(SUM(C310:CJ310)/CJ240),"")</f>
      </c>
      <c r="CK345" s="8">
        <f>IF((0=1),(SUM(C310:CK310)/CK240),"")</f>
      </c>
      <c r="CL345" s="8">
        <f>IF((0=1),(SUM(C310:CL310)/CL240),"")</f>
      </c>
      <c r="CM345" s="8">
        <f>IF((0=1),(SUM(C310:CM310)/CM240),"")</f>
      </c>
      <c r="CN345" s="8">
        <f>IF((0=1),(SUM(C310:CN310)/CN240),"")</f>
      </c>
      <c r="CO345" s="8">
        <f>IF((0=1),(SUM(C310:CO310)/CO240),"")</f>
      </c>
      <c r="CP345" s="8">
        <f>IF((0=1),(SUM(C310:CP310)/CP240),"")</f>
      </c>
      <c r="CQ345" s="8">
        <f>IF((0=1),(SUM(C310:CQ310)/CQ240),"")</f>
      </c>
      <c r="CR345" s="8">
        <f>IF((0=1),(SUM(C310:CR310)/CR240),"")</f>
      </c>
      <c r="CS345" s="8">
        <f>IF((0=1),(SUM(C310:CS310)/CS240),"")</f>
      </c>
      <c r="CT345" s="8">
        <f>IF((0=1),(SUM(C310:CT310)/CT240),"")</f>
      </c>
      <c r="CU345" s="8">
        <f>IF((0=1),(SUM(C310:CU310)/CU240),"")</f>
      </c>
      <c r="CV345" s="8">
        <f>IF((0=1),(SUM(C310:CV310)/CV240),"")</f>
      </c>
      <c r="CW345" s="8">
        <f>IF((0=1),(SUM(C310:CW310)/CW240),"")</f>
      </c>
      <c r="CX345" s="8">
        <f>IF((0=1),(SUM(C310:CX310)/CX240),"")</f>
      </c>
    </row>
    <row r="346">
      <c r="A346" s="0" t="inlineStr">
        <is>
          <t xml:space="preserve">Running mean of squares</t>
        </is>
      </c>
      <c r="B346" s="0" t="inlineStr">
        <is>
          <t xml:space="preserve">Random 15</t>
        </is>
      </c>
      <c r="C346" s="8">
        <f>IF((1=1),(SUM(C311)/C241),"")</f>
        <v>190.302025</v>
      </c>
      <c r="D346" s="8">
        <f>IF((0=1),(SUM(C311:D311)/D241),"")</f>
      </c>
      <c r="E346" s="8">
        <f>IF((0=1),(SUM(C311:E311)/E241),"")</f>
      </c>
      <c r="F346" s="8">
        <f>IF((0=1),(SUM(C311:F311)/F241),"")</f>
      </c>
      <c r="G346" s="8">
        <f>IF((0=1),(SUM(C311:G311)/G241),"")</f>
      </c>
      <c r="H346" s="8">
        <f>IF((0=1),(SUM(C311:H311)/H241),"")</f>
      </c>
      <c r="I346" s="8">
        <f>IF((0=1),(SUM(C311:I311)/I241),"")</f>
      </c>
      <c r="J346" s="8">
        <f>IF((0=1),(SUM(C311:J311)/J241),"")</f>
      </c>
      <c r="K346" s="8">
        <f>IF((0=1),(SUM(C311:K311)/K241),"")</f>
      </c>
      <c r="L346" s="8">
        <f>IF((0=1),(SUM(C311:L311)/L241),"")</f>
      </c>
      <c r="M346" s="8">
        <f>IF((0=1),(SUM(C311:M311)/M241),"")</f>
      </c>
      <c r="N346" s="8">
        <f>IF((0=1),(SUM(C311:N311)/N241),"")</f>
      </c>
      <c r="O346" s="8">
        <f>IF((0=1),(SUM(C311:O311)/O241),"")</f>
      </c>
      <c r="P346" s="8">
        <f>IF((0=1),(SUM(C311:P311)/P241),"")</f>
      </c>
      <c r="Q346" s="8">
        <f>IF((0=1),(SUM(C311:Q311)/Q241),"")</f>
      </c>
      <c r="R346" s="8">
        <f>IF((0=1),(SUM(C311:R311)/R241),"")</f>
      </c>
      <c r="S346" s="8">
        <f>IF((0=1),(SUM(C311:S311)/S241),"")</f>
      </c>
      <c r="T346" s="8">
        <f>IF((0=1),(SUM(C311:T311)/T241),"")</f>
      </c>
      <c r="U346" s="8">
        <f>IF((0=1),(SUM(C311:U311)/U241),"")</f>
      </c>
      <c r="V346" s="8">
        <f>IF((0=1),(SUM(C311:V311)/V241),"")</f>
      </c>
      <c r="W346" s="8">
        <f>IF((0=1),(SUM(C311:W311)/W241),"")</f>
      </c>
      <c r="X346" s="8">
        <f>IF((0=1),(SUM(C311:X311)/X241),"")</f>
      </c>
      <c r="Y346" s="8">
        <f>IF((0=1),(SUM(C311:Y311)/Y241),"")</f>
      </c>
      <c r="Z346" s="8">
        <f>IF((0=1),(SUM(C311:Z311)/Z241),"")</f>
      </c>
      <c r="AA346" s="8">
        <f>IF((0=1),(SUM(C311:AA311)/AA241),"")</f>
      </c>
      <c r="AB346" s="8">
        <f>IF((0=1),(SUM(C311:AB311)/AB241),"")</f>
      </c>
      <c r="AC346" s="8">
        <f>IF((0=1),(SUM(C311:AC311)/AC241),"")</f>
      </c>
      <c r="AD346" s="8">
        <f>IF((0=1),(SUM(C311:AD311)/AD241),"")</f>
      </c>
      <c r="AE346" s="8">
        <f>IF((0=1),(SUM(C311:AE311)/AE241),"")</f>
      </c>
      <c r="AF346" s="8">
        <f>IF((0=1),(SUM(C311:AF311)/AF241),"")</f>
      </c>
      <c r="AG346" s="8">
        <f>IF((0=1),(SUM(C311:AG311)/AG241),"")</f>
      </c>
      <c r="AH346" s="8">
        <f>IF((0=1),(SUM(C311:AH311)/AH241),"")</f>
      </c>
      <c r="AI346" s="8">
        <f>IF((0=1),(SUM(C311:AI311)/AI241),"")</f>
      </c>
      <c r="AJ346" s="8">
        <f>IF((0=1),(SUM(C311:AJ311)/AJ241),"")</f>
      </c>
      <c r="AK346" s="8">
        <f>IF((0=1),(SUM(C311:AK311)/AK241),"")</f>
      </c>
      <c r="AL346" s="8">
        <f>IF((0=1),(SUM(C311:AL311)/AL241),"")</f>
      </c>
      <c r="AM346" s="8">
        <f>IF((0=1),(SUM(C311:AM311)/AM241),"")</f>
      </c>
      <c r="AN346" s="8">
        <f>IF((0=1),(SUM(C311:AN311)/AN241),"")</f>
      </c>
      <c r="AO346" s="8">
        <f>IF((0=1),(SUM(C311:AO311)/AO241),"")</f>
      </c>
      <c r="AP346" s="8">
        <f>IF((0=1),(SUM(C311:AP311)/AP241),"")</f>
      </c>
      <c r="AQ346" s="8">
        <f>IF((0=1),(SUM(C311:AQ311)/AQ241),"")</f>
      </c>
      <c r="AR346" s="8">
        <f>IF((0=1),(SUM(C311:AR311)/AR241),"")</f>
      </c>
      <c r="AS346" s="8">
        <f>IF((0=1),(SUM(C311:AS311)/AS241),"")</f>
      </c>
      <c r="AT346" s="8">
        <f>IF((0=1),(SUM(C311:AT311)/AT241),"")</f>
      </c>
      <c r="AU346" s="8">
        <f>IF((0=1),(SUM(C311:AU311)/AU241),"")</f>
      </c>
      <c r="AV346" s="8">
        <f>IF((0=1),(SUM(C311:AV311)/AV241),"")</f>
      </c>
      <c r="AW346" s="8">
        <f>IF((0=1),(SUM(C311:AW311)/AW241),"")</f>
      </c>
      <c r="AX346" s="8">
        <f>IF((0=1),(SUM(C311:AX311)/AX241),"")</f>
      </c>
      <c r="AY346" s="8">
        <f>IF((0=1),(SUM(C311:AY311)/AY241),"")</f>
      </c>
      <c r="AZ346" s="8">
        <f>IF((0=1),(SUM(C311:AZ311)/AZ241),"")</f>
      </c>
      <c r="BA346" s="8">
        <f>IF((0=1),(SUM(C311:BA311)/BA241),"")</f>
      </c>
      <c r="BB346" s="8">
        <f>IF((0=1),(SUM(C311:BB311)/BB241),"")</f>
      </c>
      <c r="BC346" s="8">
        <f>IF((0=1),(SUM(C311:BC311)/BC241),"")</f>
      </c>
      <c r="BD346" s="8">
        <f>IF((0=1),(SUM(C311:BD311)/BD241),"")</f>
      </c>
      <c r="BE346" s="8">
        <f>IF((0=1),(SUM(C311:BE311)/BE241),"")</f>
      </c>
      <c r="BF346" s="8">
        <f>IF((0=1),(SUM(C311:BF311)/BF241),"")</f>
      </c>
      <c r="BG346" s="8">
        <f>IF((0=1),(SUM(C311:BG311)/BG241),"")</f>
      </c>
      <c r="BH346" s="8">
        <f>IF((0=1),(SUM(C311:BH311)/BH241),"")</f>
      </c>
      <c r="BI346" s="8">
        <f>IF((0=1),(SUM(C311:BI311)/BI241),"")</f>
      </c>
      <c r="BJ346" s="8">
        <f>IF((0=1),(SUM(C311:BJ311)/BJ241),"")</f>
      </c>
      <c r="BK346" s="8">
        <f>IF((0=1),(SUM(C311:BK311)/BK241),"")</f>
      </c>
      <c r="BL346" s="8">
        <f>IF((0=1),(SUM(C311:BL311)/BL241),"")</f>
      </c>
      <c r="BM346" s="8">
        <f>IF((0=1),(SUM(C311:BM311)/BM241),"")</f>
      </c>
      <c r="BN346" s="8">
        <f>IF((0=1),(SUM(C311:BN311)/BN241),"")</f>
      </c>
      <c r="BO346" s="8">
        <f>IF((0=1),(SUM(C311:BO311)/BO241),"")</f>
      </c>
      <c r="BP346" s="8">
        <f>IF((0=1),(SUM(C311:BP311)/BP241),"")</f>
      </c>
      <c r="BQ346" s="8">
        <f>IF((0=1),(SUM(C311:BQ311)/BQ241),"")</f>
      </c>
      <c r="BR346" s="8">
        <f>IF((0=1),(SUM(C311:BR311)/BR241),"")</f>
      </c>
      <c r="BS346" s="8">
        <f>IF((0=1),(SUM(C311:BS311)/BS241),"")</f>
      </c>
      <c r="BT346" s="8">
        <f>IF((0=1),(SUM(C311:BT311)/BT241),"")</f>
      </c>
      <c r="BU346" s="8">
        <f>IF((0=1),(SUM(C311:BU311)/BU241),"")</f>
      </c>
      <c r="BV346" s="8">
        <f>IF((0=1),(SUM(C311:BV311)/BV241),"")</f>
      </c>
      <c r="BW346" s="8">
        <f>IF((0=1),(SUM(C311:BW311)/BW241),"")</f>
      </c>
      <c r="BX346" s="8">
        <f>IF((0=1),(SUM(C311:BX311)/BX241),"")</f>
      </c>
      <c r="BY346" s="8">
        <f>IF((0=1),(SUM(C311:BY311)/BY241),"")</f>
      </c>
      <c r="BZ346" s="8">
        <f>IF((0=1),(SUM(C311:BZ311)/BZ241),"")</f>
      </c>
      <c r="CA346" s="8">
        <f>IF((0=1),(SUM(C311:CA311)/CA241),"")</f>
      </c>
      <c r="CB346" s="8">
        <f>IF((0=1),(SUM(C311:CB311)/CB241),"")</f>
      </c>
      <c r="CC346" s="8">
        <f>IF((0=1),(SUM(C311:CC311)/CC241),"")</f>
      </c>
      <c r="CD346" s="8">
        <f>IF((0=1),(SUM(C311:CD311)/CD241),"")</f>
      </c>
      <c r="CE346" s="8">
        <f>IF((0=1),(SUM(C311:CE311)/CE241),"")</f>
      </c>
      <c r="CF346" s="8">
        <f>IF((0=1),(SUM(C311:CF311)/CF241),"")</f>
      </c>
      <c r="CG346" s="8">
        <f>IF((0=1),(SUM(C311:CG311)/CG241),"")</f>
      </c>
      <c r="CH346" s="8">
        <f>IF((0=1),(SUM(C311:CH311)/CH241),"")</f>
      </c>
      <c r="CI346" s="8">
        <f>IF((0=1),(SUM(C311:CI311)/CI241),"")</f>
      </c>
      <c r="CJ346" s="8">
        <f>IF((0=1),(SUM(C311:CJ311)/CJ241),"")</f>
      </c>
      <c r="CK346" s="8">
        <f>IF((0=1),(SUM(C311:CK311)/CK241),"")</f>
      </c>
      <c r="CL346" s="8">
        <f>IF((0=1),(SUM(C311:CL311)/CL241),"")</f>
      </c>
      <c r="CM346" s="8">
        <f>IF((0=1),(SUM(C311:CM311)/CM241),"")</f>
      </c>
      <c r="CN346" s="8">
        <f>IF((0=1),(SUM(C311:CN311)/CN241),"")</f>
      </c>
      <c r="CO346" s="8">
        <f>IF((0=1),(SUM(C311:CO311)/CO241),"")</f>
      </c>
      <c r="CP346" s="8">
        <f>IF((0=1),(SUM(C311:CP311)/CP241),"")</f>
      </c>
      <c r="CQ346" s="8">
        <f>IF((0=1),(SUM(C311:CQ311)/CQ241),"")</f>
      </c>
      <c r="CR346" s="8">
        <f>IF((0=1),(SUM(C311:CR311)/CR241),"")</f>
      </c>
      <c r="CS346" s="8">
        <f>IF((0=1),(SUM(C311:CS311)/CS241),"")</f>
      </c>
      <c r="CT346" s="8">
        <f>IF((0=1),(SUM(C311:CT311)/CT241),"")</f>
      </c>
      <c r="CU346" s="8">
        <f>IF((0=1),(SUM(C311:CU311)/CU241),"")</f>
      </c>
      <c r="CV346" s="8">
        <f>IF((0=1),(SUM(C311:CV311)/CV241),"")</f>
      </c>
      <c r="CW346" s="8">
        <f>IF((0=1),(SUM(C311:CW311)/CW241),"")</f>
      </c>
      <c r="CX346" s="8">
        <f>IF((0=1),(SUM(C311:CX311)/CX241),"")</f>
      </c>
    </row>
    <row r="347">
      <c r="A347" s="0" t="inlineStr">
        <is>
          <t xml:space="preserve">Running mean of squares</t>
        </is>
      </c>
      <c r="B347" s="0" t="inlineStr">
        <is>
          <t xml:space="preserve">Random 16</t>
        </is>
      </c>
      <c r="C347" s="8">
        <f>IF((1=1),(SUM(C312)/C242),"")</f>
        <v>1.468944</v>
      </c>
      <c r="D347" s="8">
        <f>IF((0=1),(SUM(C312:D312)/D242),"")</f>
      </c>
      <c r="E347" s="8">
        <f>IF((0=1),(SUM(C312:E312)/E242),"")</f>
      </c>
      <c r="F347" s="8">
        <f>IF((0=1),(SUM(C312:F312)/F242),"")</f>
      </c>
      <c r="G347" s="8">
        <f>IF((0=1),(SUM(C312:G312)/G242),"")</f>
      </c>
      <c r="H347" s="8">
        <f>IF((0=1),(SUM(C312:H312)/H242),"")</f>
      </c>
      <c r="I347" s="8">
        <f>IF((0=1),(SUM(C312:I312)/I242),"")</f>
      </c>
      <c r="J347" s="8">
        <f>IF((0=1),(SUM(C312:J312)/J242),"")</f>
      </c>
      <c r="K347" s="8">
        <f>IF((0=1),(SUM(C312:K312)/K242),"")</f>
      </c>
      <c r="L347" s="8">
        <f>IF((0=1),(SUM(C312:L312)/L242),"")</f>
      </c>
      <c r="M347" s="8">
        <f>IF((0=1),(SUM(C312:M312)/M242),"")</f>
      </c>
      <c r="N347" s="8">
        <f>IF((0=1),(SUM(C312:N312)/N242),"")</f>
      </c>
      <c r="O347" s="8">
        <f>IF((0=1),(SUM(C312:O312)/O242),"")</f>
      </c>
      <c r="P347" s="8">
        <f>IF((0=1),(SUM(C312:P312)/P242),"")</f>
      </c>
      <c r="Q347" s="8">
        <f>IF((0=1),(SUM(C312:Q312)/Q242),"")</f>
      </c>
      <c r="R347" s="8">
        <f>IF((0=1),(SUM(C312:R312)/R242),"")</f>
      </c>
      <c r="S347" s="8">
        <f>IF((0=1),(SUM(C312:S312)/S242),"")</f>
      </c>
      <c r="T347" s="8">
        <f>IF((0=1),(SUM(C312:T312)/T242),"")</f>
      </c>
      <c r="U347" s="8">
        <f>IF((0=1),(SUM(C312:U312)/U242),"")</f>
      </c>
      <c r="V347" s="8">
        <f>IF((0=1),(SUM(C312:V312)/V242),"")</f>
      </c>
      <c r="W347" s="8">
        <f>IF((0=1),(SUM(C312:W312)/W242),"")</f>
      </c>
      <c r="X347" s="8">
        <f>IF((0=1),(SUM(C312:X312)/X242),"")</f>
      </c>
      <c r="Y347" s="8">
        <f>IF((0=1),(SUM(C312:Y312)/Y242),"")</f>
      </c>
      <c r="Z347" s="8">
        <f>IF((0=1),(SUM(C312:Z312)/Z242),"")</f>
      </c>
      <c r="AA347" s="8">
        <f>IF((0=1),(SUM(C312:AA312)/AA242),"")</f>
      </c>
      <c r="AB347" s="8">
        <f>IF((0=1),(SUM(C312:AB312)/AB242),"")</f>
      </c>
      <c r="AC347" s="8">
        <f>IF((0=1),(SUM(C312:AC312)/AC242),"")</f>
      </c>
      <c r="AD347" s="8">
        <f>IF((0=1),(SUM(C312:AD312)/AD242),"")</f>
      </c>
      <c r="AE347" s="8">
        <f>IF((0=1),(SUM(C312:AE312)/AE242),"")</f>
      </c>
      <c r="AF347" s="8">
        <f>IF((0=1),(SUM(C312:AF312)/AF242),"")</f>
      </c>
      <c r="AG347" s="8">
        <f>IF((0=1),(SUM(C312:AG312)/AG242),"")</f>
      </c>
      <c r="AH347" s="8">
        <f>IF((0=1),(SUM(C312:AH312)/AH242),"")</f>
      </c>
      <c r="AI347" s="8">
        <f>IF((0=1),(SUM(C312:AI312)/AI242),"")</f>
      </c>
      <c r="AJ347" s="8">
        <f>IF((0=1),(SUM(C312:AJ312)/AJ242),"")</f>
      </c>
      <c r="AK347" s="8">
        <f>IF((0=1),(SUM(C312:AK312)/AK242),"")</f>
      </c>
      <c r="AL347" s="8">
        <f>IF((0=1),(SUM(C312:AL312)/AL242),"")</f>
      </c>
      <c r="AM347" s="8">
        <f>IF((0=1),(SUM(C312:AM312)/AM242),"")</f>
      </c>
      <c r="AN347" s="8">
        <f>IF((0=1),(SUM(C312:AN312)/AN242),"")</f>
      </c>
      <c r="AO347" s="8">
        <f>IF((0=1),(SUM(C312:AO312)/AO242),"")</f>
      </c>
      <c r="AP347" s="8">
        <f>IF((0=1),(SUM(C312:AP312)/AP242),"")</f>
      </c>
      <c r="AQ347" s="8">
        <f>IF((0=1),(SUM(C312:AQ312)/AQ242),"")</f>
      </c>
      <c r="AR347" s="8">
        <f>IF((0=1),(SUM(C312:AR312)/AR242),"")</f>
      </c>
      <c r="AS347" s="8">
        <f>IF((0=1),(SUM(C312:AS312)/AS242),"")</f>
      </c>
      <c r="AT347" s="8">
        <f>IF((0=1),(SUM(C312:AT312)/AT242),"")</f>
      </c>
      <c r="AU347" s="8">
        <f>IF((0=1),(SUM(C312:AU312)/AU242),"")</f>
      </c>
      <c r="AV347" s="8">
        <f>IF((0=1),(SUM(C312:AV312)/AV242),"")</f>
      </c>
      <c r="AW347" s="8">
        <f>IF((0=1),(SUM(C312:AW312)/AW242),"")</f>
      </c>
      <c r="AX347" s="8">
        <f>IF((0=1),(SUM(C312:AX312)/AX242),"")</f>
      </c>
      <c r="AY347" s="8">
        <f>IF((0=1),(SUM(C312:AY312)/AY242),"")</f>
      </c>
      <c r="AZ347" s="8">
        <f>IF((0=1),(SUM(C312:AZ312)/AZ242),"")</f>
      </c>
      <c r="BA347" s="8">
        <f>IF((0=1),(SUM(C312:BA312)/BA242),"")</f>
      </c>
      <c r="BB347" s="8">
        <f>IF((0=1),(SUM(C312:BB312)/BB242),"")</f>
      </c>
      <c r="BC347" s="8">
        <f>IF((0=1),(SUM(C312:BC312)/BC242),"")</f>
      </c>
      <c r="BD347" s="8">
        <f>IF((0=1),(SUM(C312:BD312)/BD242),"")</f>
      </c>
      <c r="BE347" s="8">
        <f>IF((0=1),(SUM(C312:BE312)/BE242),"")</f>
      </c>
      <c r="BF347" s="8">
        <f>IF((0=1),(SUM(C312:BF312)/BF242),"")</f>
      </c>
      <c r="BG347" s="8">
        <f>IF((0=1),(SUM(C312:BG312)/BG242),"")</f>
      </c>
      <c r="BH347" s="8">
        <f>IF((0=1),(SUM(C312:BH312)/BH242),"")</f>
      </c>
      <c r="BI347" s="8">
        <f>IF((0=1),(SUM(C312:BI312)/BI242),"")</f>
      </c>
      <c r="BJ347" s="8">
        <f>IF((0=1),(SUM(C312:BJ312)/BJ242),"")</f>
      </c>
      <c r="BK347" s="8">
        <f>IF((0=1),(SUM(C312:BK312)/BK242),"")</f>
      </c>
      <c r="BL347" s="8">
        <f>IF((0=1),(SUM(C312:BL312)/BL242),"")</f>
      </c>
      <c r="BM347" s="8">
        <f>IF((0=1),(SUM(C312:BM312)/BM242),"")</f>
      </c>
      <c r="BN347" s="8">
        <f>IF((0=1),(SUM(C312:BN312)/BN242),"")</f>
      </c>
      <c r="BO347" s="8">
        <f>IF((0=1),(SUM(C312:BO312)/BO242),"")</f>
      </c>
      <c r="BP347" s="8">
        <f>IF((0=1),(SUM(C312:BP312)/BP242),"")</f>
      </c>
      <c r="BQ347" s="8">
        <f>IF((0=1),(SUM(C312:BQ312)/BQ242),"")</f>
      </c>
      <c r="BR347" s="8">
        <f>IF((0=1),(SUM(C312:BR312)/BR242),"")</f>
      </c>
      <c r="BS347" s="8">
        <f>IF((0=1),(SUM(C312:BS312)/BS242),"")</f>
      </c>
      <c r="BT347" s="8">
        <f>IF((0=1),(SUM(C312:BT312)/BT242),"")</f>
      </c>
      <c r="BU347" s="8">
        <f>IF((0=1),(SUM(C312:BU312)/BU242),"")</f>
      </c>
      <c r="BV347" s="8">
        <f>IF((0=1),(SUM(C312:BV312)/BV242),"")</f>
      </c>
      <c r="BW347" s="8">
        <f>IF((0=1),(SUM(C312:BW312)/BW242),"")</f>
      </c>
      <c r="BX347" s="8">
        <f>IF((0=1),(SUM(C312:BX312)/BX242),"")</f>
      </c>
      <c r="BY347" s="8">
        <f>IF((0=1),(SUM(C312:BY312)/BY242),"")</f>
      </c>
      <c r="BZ347" s="8">
        <f>IF((0=1),(SUM(C312:BZ312)/BZ242),"")</f>
      </c>
      <c r="CA347" s="8">
        <f>IF((0=1),(SUM(C312:CA312)/CA242),"")</f>
      </c>
      <c r="CB347" s="8">
        <f>IF((0=1),(SUM(C312:CB312)/CB242),"")</f>
      </c>
      <c r="CC347" s="8">
        <f>IF((0=1),(SUM(C312:CC312)/CC242),"")</f>
      </c>
      <c r="CD347" s="8">
        <f>IF((0=1),(SUM(C312:CD312)/CD242),"")</f>
      </c>
      <c r="CE347" s="8">
        <f>IF((0=1),(SUM(C312:CE312)/CE242),"")</f>
      </c>
      <c r="CF347" s="8">
        <f>IF((0=1),(SUM(C312:CF312)/CF242),"")</f>
      </c>
      <c r="CG347" s="8">
        <f>IF((0=1),(SUM(C312:CG312)/CG242),"")</f>
      </c>
      <c r="CH347" s="8">
        <f>IF((0=1),(SUM(C312:CH312)/CH242),"")</f>
      </c>
      <c r="CI347" s="8">
        <f>IF((0=1),(SUM(C312:CI312)/CI242),"")</f>
      </c>
      <c r="CJ347" s="8">
        <f>IF((0=1),(SUM(C312:CJ312)/CJ242),"")</f>
      </c>
      <c r="CK347" s="8">
        <f>IF((0=1),(SUM(C312:CK312)/CK242),"")</f>
      </c>
      <c r="CL347" s="8">
        <f>IF((0=1),(SUM(C312:CL312)/CL242),"")</f>
      </c>
      <c r="CM347" s="8">
        <f>IF((0=1),(SUM(C312:CM312)/CM242),"")</f>
      </c>
      <c r="CN347" s="8">
        <f>IF((0=1),(SUM(C312:CN312)/CN242),"")</f>
      </c>
      <c r="CO347" s="8">
        <f>IF((0=1),(SUM(C312:CO312)/CO242),"")</f>
      </c>
      <c r="CP347" s="8">
        <f>IF((0=1),(SUM(C312:CP312)/CP242),"")</f>
      </c>
      <c r="CQ347" s="8">
        <f>IF((0=1),(SUM(C312:CQ312)/CQ242),"")</f>
      </c>
      <c r="CR347" s="8">
        <f>IF((0=1),(SUM(C312:CR312)/CR242),"")</f>
      </c>
      <c r="CS347" s="8">
        <f>IF((0=1),(SUM(C312:CS312)/CS242),"")</f>
      </c>
      <c r="CT347" s="8">
        <f>IF((0=1),(SUM(C312:CT312)/CT242),"")</f>
      </c>
      <c r="CU347" s="8">
        <f>IF((0=1),(SUM(C312:CU312)/CU242),"")</f>
      </c>
      <c r="CV347" s="8">
        <f>IF((0=1),(SUM(C312:CV312)/CV242),"")</f>
      </c>
      <c r="CW347" s="8">
        <f>IF((0=1),(SUM(C312:CW312)/CW242),"")</f>
      </c>
      <c r="CX347" s="8">
        <f>IF((0=1),(SUM(C312:CX312)/CX242),"")</f>
      </c>
    </row>
    <row r="348">
      <c r="A348" s="0" t="inlineStr">
        <is>
          <t xml:space="preserve">Running mean of squares</t>
        </is>
      </c>
      <c r="B348" s="0" t="inlineStr">
        <is>
          <t xml:space="preserve">Random 17</t>
        </is>
      </c>
      <c r="C348" s="8">
        <f>IF((1=1),(SUM(C313)/C243),"")</f>
        <v>8.8804</v>
      </c>
      <c r="D348" s="8">
        <f>IF((0=1),(SUM(C313:D313)/D243),"")</f>
      </c>
      <c r="E348" s="8">
        <f>IF((0=1),(SUM(C313:E313)/E243),"")</f>
      </c>
      <c r="F348" s="8">
        <f>IF((0=1),(SUM(C313:F313)/F243),"")</f>
      </c>
      <c r="G348" s="8">
        <f>IF((0=1),(SUM(C313:G313)/G243),"")</f>
      </c>
      <c r="H348" s="8">
        <f>IF((0=1),(SUM(C313:H313)/H243),"")</f>
      </c>
      <c r="I348" s="8">
        <f>IF((0=1),(SUM(C313:I313)/I243),"")</f>
      </c>
      <c r="J348" s="8">
        <f>IF((0=1),(SUM(C313:J313)/J243),"")</f>
      </c>
      <c r="K348" s="8">
        <f>IF((0=1),(SUM(C313:K313)/K243),"")</f>
      </c>
      <c r="L348" s="8">
        <f>IF((0=1),(SUM(C313:L313)/L243),"")</f>
      </c>
      <c r="M348" s="8">
        <f>IF((0=1),(SUM(C313:M313)/M243),"")</f>
      </c>
      <c r="N348" s="8">
        <f>IF((0=1),(SUM(C313:N313)/N243),"")</f>
      </c>
      <c r="O348" s="8">
        <f>IF((0=1),(SUM(C313:O313)/O243),"")</f>
      </c>
      <c r="P348" s="8">
        <f>IF((0=1),(SUM(C313:P313)/P243),"")</f>
      </c>
      <c r="Q348" s="8">
        <f>IF((0=1),(SUM(C313:Q313)/Q243),"")</f>
      </c>
      <c r="R348" s="8">
        <f>IF((0=1),(SUM(C313:R313)/R243),"")</f>
      </c>
      <c r="S348" s="8">
        <f>IF((0=1),(SUM(C313:S313)/S243),"")</f>
      </c>
      <c r="T348" s="8">
        <f>IF((0=1),(SUM(C313:T313)/T243),"")</f>
      </c>
      <c r="U348" s="8">
        <f>IF((0=1),(SUM(C313:U313)/U243),"")</f>
      </c>
      <c r="V348" s="8">
        <f>IF((0=1),(SUM(C313:V313)/V243),"")</f>
      </c>
      <c r="W348" s="8">
        <f>IF((0=1),(SUM(C313:W313)/W243),"")</f>
      </c>
      <c r="X348" s="8">
        <f>IF((0=1),(SUM(C313:X313)/X243),"")</f>
      </c>
      <c r="Y348" s="8">
        <f>IF((0=1),(SUM(C313:Y313)/Y243),"")</f>
      </c>
      <c r="Z348" s="8">
        <f>IF((0=1),(SUM(C313:Z313)/Z243),"")</f>
      </c>
      <c r="AA348" s="8">
        <f>IF((0=1),(SUM(C313:AA313)/AA243),"")</f>
      </c>
      <c r="AB348" s="8">
        <f>IF((0=1),(SUM(C313:AB313)/AB243),"")</f>
      </c>
      <c r="AC348" s="8">
        <f>IF((0=1),(SUM(C313:AC313)/AC243),"")</f>
      </c>
      <c r="AD348" s="8">
        <f>IF((0=1),(SUM(C313:AD313)/AD243),"")</f>
      </c>
      <c r="AE348" s="8">
        <f>IF((0=1),(SUM(C313:AE313)/AE243),"")</f>
      </c>
      <c r="AF348" s="8">
        <f>IF((0=1),(SUM(C313:AF313)/AF243),"")</f>
      </c>
      <c r="AG348" s="8">
        <f>IF((0=1),(SUM(C313:AG313)/AG243),"")</f>
      </c>
      <c r="AH348" s="8">
        <f>IF((0=1),(SUM(C313:AH313)/AH243),"")</f>
      </c>
      <c r="AI348" s="8">
        <f>IF((0=1),(SUM(C313:AI313)/AI243),"")</f>
      </c>
      <c r="AJ348" s="8">
        <f>IF((0=1),(SUM(C313:AJ313)/AJ243),"")</f>
      </c>
      <c r="AK348" s="8">
        <f>IF((0=1),(SUM(C313:AK313)/AK243),"")</f>
      </c>
      <c r="AL348" s="8">
        <f>IF((0=1),(SUM(C313:AL313)/AL243),"")</f>
      </c>
      <c r="AM348" s="8">
        <f>IF((0=1),(SUM(C313:AM313)/AM243),"")</f>
      </c>
      <c r="AN348" s="8">
        <f>IF((0=1),(SUM(C313:AN313)/AN243),"")</f>
      </c>
      <c r="AO348" s="8">
        <f>IF((0=1),(SUM(C313:AO313)/AO243),"")</f>
      </c>
      <c r="AP348" s="8">
        <f>IF((0=1),(SUM(C313:AP313)/AP243),"")</f>
      </c>
      <c r="AQ348" s="8">
        <f>IF((0=1),(SUM(C313:AQ313)/AQ243),"")</f>
      </c>
      <c r="AR348" s="8">
        <f>IF((0=1),(SUM(C313:AR313)/AR243),"")</f>
      </c>
      <c r="AS348" s="8">
        <f>IF((0=1),(SUM(C313:AS313)/AS243),"")</f>
      </c>
      <c r="AT348" s="8">
        <f>IF((0=1),(SUM(C313:AT313)/AT243),"")</f>
      </c>
      <c r="AU348" s="8">
        <f>IF((0=1),(SUM(C313:AU313)/AU243),"")</f>
      </c>
      <c r="AV348" s="8">
        <f>IF((0=1),(SUM(C313:AV313)/AV243),"")</f>
      </c>
      <c r="AW348" s="8">
        <f>IF((0=1),(SUM(C313:AW313)/AW243),"")</f>
      </c>
      <c r="AX348" s="8">
        <f>IF((0=1),(SUM(C313:AX313)/AX243),"")</f>
      </c>
      <c r="AY348" s="8">
        <f>IF((0=1),(SUM(C313:AY313)/AY243),"")</f>
      </c>
      <c r="AZ348" s="8">
        <f>IF((0=1),(SUM(C313:AZ313)/AZ243),"")</f>
      </c>
      <c r="BA348" s="8">
        <f>IF((0=1),(SUM(C313:BA313)/BA243),"")</f>
      </c>
      <c r="BB348" s="8">
        <f>IF((0=1),(SUM(C313:BB313)/BB243),"")</f>
      </c>
      <c r="BC348" s="8">
        <f>IF((0=1),(SUM(C313:BC313)/BC243),"")</f>
      </c>
      <c r="BD348" s="8">
        <f>IF((0=1),(SUM(C313:BD313)/BD243),"")</f>
      </c>
      <c r="BE348" s="8">
        <f>IF((0=1),(SUM(C313:BE313)/BE243),"")</f>
      </c>
      <c r="BF348" s="8">
        <f>IF((0=1),(SUM(C313:BF313)/BF243),"")</f>
      </c>
      <c r="BG348" s="8">
        <f>IF((0=1),(SUM(C313:BG313)/BG243),"")</f>
      </c>
      <c r="BH348" s="8">
        <f>IF((0=1),(SUM(C313:BH313)/BH243),"")</f>
      </c>
      <c r="BI348" s="8">
        <f>IF((0=1),(SUM(C313:BI313)/BI243),"")</f>
      </c>
      <c r="BJ348" s="8">
        <f>IF((0=1),(SUM(C313:BJ313)/BJ243),"")</f>
      </c>
      <c r="BK348" s="8">
        <f>IF((0=1),(SUM(C313:BK313)/BK243),"")</f>
      </c>
      <c r="BL348" s="8">
        <f>IF((0=1),(SUM(C313:BL313)/BL243),"")</f>
      </c>
      <c r="BM348" s="8">
        <f>IF((0=1),(SUM(C313:BM313)/BM243),"")</f>
      </c>
      <c r="BN348" s="8">
        <f>IF((0=1),(SUM(C313:BN313)/BN243),"")</f>
      </c>
      <c r="BO348" s="8">
        <f>IF((0=1),(SUM(C313:BO313)/BO243),"")</f>
      </c>
      <c r="BP348" s="8">
        <f>IF((0=1),(SUM(C313:BP313)/BP243),"")</f>
      </c>
      <c r="BQ348" s="8">
        <f>IF((0=1),(SUM(C313:BQ313)/BQ243),"")</f>
      </c>
      <c r="BR348" s="8">
        <f>IF((0=1),(SUM(C313:BR313)/BR243),"")</f>
      </c>
      <c r="BS348" s="8">
        <f>IF((0=1),(SUM(C313:BS313)/BS243),"")</f>
      </c>
      <c r="BT348" s="8">
        <f>IF((0=1),(SUM(C313:BT313)/BT243),"")</f>
      </c>
      <c r="BU348" s="8">
        <f>IF((0=1),(SUM(C313:BU313)/BU243),"")</f>
      </c>
      <c r="BV348" s="8">
        <f>IF((0=1),(SUM(C313:BV313)/BV243),"")</f>
      </c>
      <c r="BW348" s="8">
        <f>IF((0=1),(SUM(C313:BW313)/BW243),"")</f>
      </c>
      <c r="BX348" s="8">
        <f>IF((0=1),(SUM(C313:BX313)/BX243),"")</f>
      </c>
      <c r="BY348" s="8">
        <f>IF((0=1),(SUM(C313:BY313)/BY243),"")</f>
      </c>
      <c r="BZ348" s="8">
        <f>IF((0=1),(SUM(C313:BZ313)/BZ243),"")</f>
      </c>
      <c r="CA348" s="8">
        <f>IF((0=1),(SUM(C313:CA313)/CA243),"")</f>
      </c>
      <c r="CB348" s="8">
        <f>IF((0=1),(SUM(C313:CB313)/CB243),"")</f>
      </c>
      <c r="CC348" s="8">
        <f>IF((0=1),(SUM(C313:CC313)/CC243),"")</f>
      </c>
      <c r="CD348" s="8">
        <f>IF((0=1),(SUM(C313:CD313)/CD243),"")</f>
      </c>
      <c r="CE348" s="8">
        <f>IF((0=1),(SUM(C313:CE313)/CE243),"")</f>
      </c>
      <c r="CF348" s="8">
        <f>IF((0=1),(SUM(C313:CF313)/CF243),"")</f>
      </c>
      <c r="CG348" s="8">
        <f>IF((0=1),(SUM(C313:CG313)/CG243),"")</f>
      </c>
      <c r="CH348" s="8">
        <f>IF((0=1),(SUM(C313:CH313)/CH243),"")</f>
      </c>
      <c r="CI348" s="8">
        <f>IF((0=1),(SUM(C313:CI313)/CI243),"")</f>
      </c>
      <c r="CJ348" s="8">
        <f>IF((0=1),(SUM(C313:CJ313)/CJ243),"")</f>
      </c>
      <c r="CK348" s="8">
        <f>IF((0=1),(SUM(C313:CK313)/CK243),"")</f>
      </c>
      <c r="CL348" s="8">
        <f>IF((0=1),(SUM(C313:CL313)/CL243),"")</f>
      </c>
      <c r="CM348" s="8">
        <f>IF((0=1),(SUM(C313:CM313)/CM243),"")</f>
      </c>
      <c r="CN348" s="8">
        <f>IF((0=1),(SUM(C313:CN313)/CN243),"")</f>
      </c>
      <c r="CO348" s="8">
        <f>IF((0=1),(SUM(C313:CO313)/CO243),"")</f>
      </c>
      <c r="CP348" s="8">
        <f>IF((0=1),(SUM(C313:CP313)/CP243),"")</f>
      </c>
      <c r="CQ348" s="8">
        <f>IF((0=1),(SUM(C313:CQ313)/CQ243),"")</f>
      </c>
      <c r="CR348" s="8">
        <f>IF((0=1),(SUM(C313:CR313)/CR243),"")</f>
      </c>
      <c r="CS348" s="8">
        <f>IF((0=1),(SUM(C313:CS313)/CS243),"")</f>
      </c>
      <c r="CT348" s="8">
        <f>IF((0=1),(SUM(C313:CT313)/CT243),"")</f>
      </c>
      <c r="CU348" s="8">
        <f>IF((0=1),(SUM(C313:CU313)/CU243),"")</f>
      </c>
      <c r="CV348" s="8">
        <f>IF((0=1),(SUM(C313:CV313)/CV243),"")</f>
      </c>
      <c r="CW348" s="8">
        <f>IF((0=1),(SUM(C313:CW313)/CW243),"")</f>
      </c>
      <c r="CX348" s="8">
        <f>IF((0=1),(SUM(C313:CX313)/CX243),"")</f>
      </c>
    </row>
    <row r="349">
      <c r="A349" s="0" t="inlineStr">
        <is>
          <t xml:space="preserve">Running mean of squares</t>
        </is>
      </c>
      <c r="B349" s="0" t="inlineStr">
        <is>
          <t xml:space="preserve">Random 18</t>
        </is>
      </c>
      <c r="C349" s="8">
        <f>IF((1=1),(SUM(C314)/C244),"")</f>
        <v>117.2889</v>
      </c>
      <c r="D349" s="8">
        <f>IF((0=1),(SUM(C314:D314)/D244),"")</f>
      </c>
      <c r="E349" s="8">
        <f>IF((0=1),(SUM(C314:E314)/E244),"")</f>
      </c>
      <c r="F349" s="8">
        <f>IF((0=1),(SUM(C314:F314)/F244),"")</f>
      </c>
      <c r="G349" s="8">
        <f>IF((0=1),(SUM(C314:G314)/G244),"")</f>
      </c>
      <c r="H349" s="8">
        <f>IF((0=1),(SUM(C314:H314)/H244),"")</f>
      </c>
      <c r="I349" s="8">
        <f>IF((0=1),(SUM(C314:I314)/I244),"")</f>
      </c>
      <c r="J349" s="8">
        <f>IF((0=1),(SUM(C314:J314)/J244),"")</f>
      </c>
      <c r="K349" s="8">
        <f>IF((0=1),(SUM(C314:K314)/K244),"")</f>
      </c>
      <c r="L349" s="8">
        <f>IF((0=1),(SUM(C314:L314)/L244),"")</f>
      </c>
      <c r="M349" s="8">
        <f>IF((0=1),(SUM(C314:M314)/M244),"")</f>
      </c>
      <c r="N349" s="8">
        <f>IF((0=1),(SUM(C314:N314)/N244),"")</f>
      </c>
      <c r="O349" s="8">
        <f>IF((0=1),(SUM(C314:O314)/O244),"")</f>
      </c>
      <c r="P349" s="8">
        <f>IF((0=1),(SUM(C314:P314)/P244),"")</f>
      </c>
      <c r="Q349" s="8">
        <f>IF((0=1),(SUM(C314:Q314)/Q244),"")</f>
      </c>
      <c r="R349" s="8">
        <f>IF((0=1),(SUM(C314:R314)/R244),"")</f>
      </c>
      <c r="S349" s="8">
        <f>IF((0=1),(SUM(C314:S314)/S244),"")</f>
      </c>
      <c r="T349" s="8">
        <f>IF((0=1),(SUM(C314:T314)/T244),"")</f>
      </c>
      <c r="U349" s="8">
        <f>IF((0=1),(SUM(C314:U314)/U244),"")</f>
      </c>
      <c r="V349" s="8">
        <f>IF((0=1),(SUM(C314:V314)/V244),"")</f>
      </c>
      <c r="W349" s="8">
        <f>IF((0=1),(SUM(C314:W314)/W244),"")</f>
      </c>
      <c r="X349" s="8">
        <f>IF((0=1),(SUM(C314:X314)/X244),"")</f>
      </c>
      <c r="Y349" s="8">
        <f>IF((0=1),(SUM(C314:Y314)/Y244),"")</f>
      </c>
      <c r="Z349" s="8">
        <f>IF((0=1),(SUM(C314:Z314)/Z244),"")</f>
      </c>
      <c r="AA349" s="8">
        <f>IF((0=1),(SUM(C314:AA314)/AA244),"")</f>
      </c>
      <c r="AB349" s="8">
        <f>IF((0=1),(SUM(C314:AB314)/AB244),"")</f>
      </c>
      <c r="AC349" s="8">
        <f>IF((0=1),(SUM(C314:AC314)/AC244),"")</f>
      </c>
      <c r="AD349" s="8">
        <f>IF((0=1),(SUM(C314:AD314)/AD244),"")</f>
      </c>
      <c r="AE349" s="8">
        <f>IF((0=1),(SUM(C314:AE314)/AE244),"")</f>
      </c>
      <c r="AF349" s="8">
        <f>IF((0=1),(SUM(C314:AF314)/AF244),"")</f>
      </c>
      <c r="AG349" s="8">
        <f>IF((0=1),(SUM(C314:AG314)/AG244),"")</f>
      </c>
      <c r="AH349" s="8">
        <f>IF((0=1),(SUM(C314:AH314)/AH244),"")</f>
      </c>
      <c r="AI349" s="8">
        <f>IF((0=1),(SUM(C314:AI314)/AI244),"")</f>
      </c>
      <c r="AJ349" s="8">
        <f>IF((0=1),(SUM(C314:AJ314)/AJ244),"")</f>
      </c>
      <c r="AK349" s="8">
        <f>IF((0=1),(SUM(C314:AK314)/AK244),"")</f>
      </c>
      <c r="AL349" s="8">
        <f>IF((0=1),(SUM(C314:AL314)/AL244),"")</f>
      </c>
      <c r="AM349" s="8">
        <f>IF((0=1),(SUM(C314:AM314)/AM244),"")</f>
      </c>
      <c r="AN349" s="8">
        <f>IF((0=1),(SUM(C314:AN314)/AN244),"")</f>
      </c>
      <c r="AO349" s="8">
        <f>IF((0=1),(SUM(C314:AO314)/AO244),"")</f>
      </c>
      <c r="AP349" s="8">
        <f>IF((0=1),(SUM(C314:AP314)/AP244),"")</f>
      </c>
      <c r="AQ349" s="8">
        <f>IF((0=1),(SUM(C314:AQ314)/AQ244),"")</f>
      </c>
      <c r="AR349" s="8">
        <f>IF((0=1),(SUM(C314:AR314)/AR244),"")</f>
      </c>
      <c r="AS349" s="8">
        <f>IF((0=1),(SUM(C314:AS314)/AS244),"")</f>
      </c>
      <c r="AT349" s="8">
        <f>IF((0=1),(SUM(C314:AT314)/AT244),"")</f>
      </c>
      <c r="AU349" s="8">
        <f>IF((0=1),(SUM(C314:AU314)/AU244),"")</f>
      </c>
      <c r="AV349" s="8">
        <f>IF((0=1),(SUM(C314:AV314)/AV244),"")</f>
      </c>
      <c r="AW349" s="8">
        <f>IF((0=1),(SUM(C314:AW314)/AW244),"")</f>
      </c>
      <c r="AX349" s="8">
        <f>IF((0=1),(SUM(C314:AX314)/AX244),"")</f>
      </c>
      <c r="AY349" s="8">
        <f>IF((0=1),(SUM(C314:AY314)/AY244),"")</f>
      </c>
      <c r="AZ349" s="8">
        <f>IF((0=1),(SUM(C314:AZ314)/AZ244),"")</f>
      </c>
      <c r="BA349" s="8">
        <f>IF((0=1),(SUM(C314:BA314)/BA244),"")</f>
      </c>
      <c r="BB349" s="8">
        <f>IF((0=1),(SUM(C314:BB314)/BB244),"")</f>
      </c>
      <c r="BC349" s="8">
        <f>IF((0=1),(SUM(C314:BC314)/BC244),"")</f>
      </c>
      <c r="BD349" s="8">
        <f>IF((0=1),(SUM(C314:BD314)/BD244),"")</f>
      </c>
      <c r="BE349" s="8">
        <f>IF((0=1),(SUM(C314:BE314)/BE244),"")</f>
      </c>
      <c r="BF349" s="8">
        <f>IF((0=1),(SUM(C314:BF314)/BF244),"")</f>
      </c>
      <c r="BG349" s="8">
        <f>IF((0=1),(SUM(C314:BG314)/BG244),"")</f>
      </c>
      <c r="BH349" s="8">
        <f>IF((0=1),(SUM(C314:BH314)/BH244),"")</f>
      </c>
      <c r="BI349" s="8">
        <f>IF((0=1),(SUM(C314:BI314)/BI244),"")</f>
      </c>
      <c r="BJ349" s="8">
        <f>IF((0=1),(SUM(C314:BJ314)/BJ244),"")</f>
      </c>
      <c r="BK349" s="8">
        <f>IF((0=1),(SUM(C314:BK314)/BK244),"")</f>
      </c>
      <c r="BL349" s="8">
        <f>IF((0=1),(SUM(C314:BL314)/BL244),"")</f>
      </c>
      <c r="BM349" s="8">
        <f>IF((0=1),(SUM(C314:BM314)/BM244),"")</f>
      </c>
      <c r="BN349" s="8">
        <f>IF((0=1),(SUM(C314:BN314)/BN244),"")</f>
      </c>
      <c r="BO349" s="8">
        <f>IF((0=1),(SUM(C314:BO314)/BO244),"")</f>
      </c>
      <c r="BP349" s="8">
        <f>IF((0=1),(SUM(C314:BP314)/BP244),"")</f>
      </c>
      <c r="BQ349" s="8">
        <f>IF((0=1),(SUM(C314:BQ314)/BQ244),"")</f>
      </c>
      <c r="BR349" s="8">
        <f>IF((0=1),(SUM(C314:BR314)/BR244),"")</f>
      </c>
      <c r="BS349" s="8">
        <f>IF((0=1),(SUM(C314:BS314)/BS244),"")</f>
      </c>
      <c r="BT349" s="8">
        <f>IF((0=1),(SUM(C314:BT314)/BT244),"")</f>
      </c>
      <c r="BU349" s="8">
        <f>IF((0=1),(SUM(C314:BU314)/BU244),"")</f>
      </c>
      <c r="BV349" s="8">
        <f>IF((0=1),(SUM(C314:BV314)/BV244),"")</f>
      </c>
      <c r="BW349" s="8">
        <f>IF((0=1),(SUM(C314:BW314)/BW244),"")</f>
      </c>
      <c r="BX349" s="8">
        <f>IF((0=1),(SUM(C314:BX314)/BX244),"")</f>
      </c>
      <c r="BY349" s="8">
        <f>IF((0=1),(SUM(C314:BY314)/BY244),"")</f>
      </c>
      <c r="BZ349" s="8">
        <f>IF((0=1),(SUM(C314:BZ314)/BZ244),"")</f>
      </c>
      <c r="CA349" s="8">
        <f>IF((0=1),(SUM(C314:CA314)/CA244),"")</f>
      </c>
      <c r="CB349" s="8">
        <f>IF((0=1),(SUM(C314:CB314)/CB244),"")</f>
      </c>
      <c r="CC349" s="8">
        <f>IF((0=1),(SUM(C314:CC314)/CC244),"")</f>
      </c>
      <c r="CD349" s="8">
        <f>IF((0=1),(SUM(C314:CD314)/CD244),"")</f>
      </c>
      <c r="CE349" s="8">
        <f>IF((0=1),(SUM(C314:CE314)/CE244),"")</f>
      </c>
      <c r="CF349" s="8">
        <f>IF((0=1),(SUM(C314:CF314)/CF244),"")</f>
      </c>
      <c r="CG349" s="8">
        <f>IF((0=1),(SUM(C314:CG314)/CG244),"")</f>
      </c>
      <c r="CH349" s="8">
        <f>IF((0=1),(SUM(C314:CH314)/CH244),"")</f>
      </c>
      <c r="CI349" s="8">
        <f>IF((0=1),(SUM(C314:CI314)/CI244),"")</f>
      </c>
      <c r="CJ349" s="8">
        <f>IF((0=1),(SUM(C314:CJ314)/CJ244),"")</f>
      </c>
      <c r="CK349" s="8">
        <f>IF((0=1),(SUM(C314:CK314)/CK244),"")</f>
      </c>
      <c r="CL349" s="8">
        <f>IF((0=1),(SUM(C314:CL314)/CL244),"")</f>
      </c>
      <c r="CM349" s="8">
        <f>IF((0=1),(SUM(C314:CM314)/CM244),"")</f>
      </c>
      <c r="CN349" s="8">
        <f>IF((0=1),(SUM(C314:CN314)/CN244),"")</f>
      </c>
      <c r="CO349" s="8">
        <f>IF((0=1),(SUM(C314:CO314)/CO244),"")</f>
      </c>
      <c r="CP349" s="8">
        <f>IF((0=1),(SUM(C314:CP314)/CP244),"")</f>
      </c>
      <c r="CQ349" s="8">
        <f>IF((0=1),(SUM(C314:CQ314)/CQ244),"")</f>
      </c>
      <c r="CR349" s="8">
        <f>IF((0=1),(SUM(C314:CR314)/CR244),"")</f>
      </c>
      <c r="CS349" s="8">
        <f>IF((0=1),(SUM(C314:CS314)/CS244),"")</f>
      </c>
      <c r="CT349" s="8">
        <f>IF((0=1),(SUM(C314:CT314)/CT244),"")</f>
      </c>
      <c r="CU349" s="8">
        <f>IF((0=1),(SUM(C314:CU314)/CU244),"")</f>
      </c>
      <c r="CV349" s="8">
        <f>IF((0=1),(SUM(C314:CV314)/CV244),"")</f>
      </c>
      <c r="CW349" s="8">
        <f>IF((0=1),(SUM(C314:CW314)/CW244),"")</f>
      </c>
      <c r="CX349" s="8">
        <f>IF((0=1),(SUM(C314:CX314)/CX244),"")</f>
      </c>
    </row>
    <row r="350">
      <c r="A350" s="0" t="inlineStr">
        <is>
          <t xml:space="preserve">Running mean of squares</t>
        </is>
      </c>
      <c r="B350" s="0" t="inlineStr">
        <is>
          <t xml:space="preserve">Random 19</t>
        </is>
      </c>
      <c r="C350" s="8">
        <f>IF((1=1),(SUM(C315)/C245),"")</f>
        <v>30.913599999999995</v>
      </c>
      <c r="D350" s="8">
        <f>IF((0=1),(SUM(C315:D315)/D245),"")</f>
      </c>
      <c r="E350" s="8">
        <f>IF((0=1),(SUM(C315:E315)/E245),"")</f>
      </c>
      <c r="F350" s="8">
        <f>IF((0=1),(SUM(C315:F315)/F245),"")</f>
      </c>
      <c r="G350" s="8">
        <f>IF((0=1),(SUM(C315:G315)/G245),"")</f>
      </c>
      <c r="H350" s="8">
        <f>IF((0=1),(SUM(C315:H315)/H245),"")</f>
      </c>
      <c r="I350" s="8">
        <f>IF((0=1),(SUM(C315:I315)/I245),"")</f>
      </c>
      <c r="J350" s="8">
        <f>IF((0=1),(SUM(C315:J315)/J245),"")</f>
      </c>
      <c r="K350" s="8">
        <f>IF((0=1),(SUM(C315:K315)/K245),"")</f>
      </c>
      <c r="L350" s="8">
        <f>IF((0=1),(SUM(C315:L315)/L245),"")</f>
      </c>
      <c r="M350" s="8">
        <f>IF((0=1),(SUM(C315:M315)/M245),"")</f>
      </c>
      <c r="N350" s="8">
        <f>IF((0=1),(SUM(C315:N315)/N245),"")</f>
      </c>
      <c r="O350" s="8">
        <f>IF((0=1),(SUM(C315:O315)/O245),"")</f>
      </c>
      <c r="P350" s="8">
        <f>IF((0=1),(SUM(C315:P315)/P245),"")</f>
      </c>
      <c r="Q350" s="8">
        <f>IF((0=1),(SUM(C315:Q315)/Q245),"")</f>
      </c>
      <c r="R350" s="8">
        <f>IF((0=1),(SUM(C315:R315)/R245),"")</f>
      </c>
      <c r="S350" s="8">
        <f>IF((0=1),(SUM(C315:S315)/S245),"")</f>
      </c>
      <c r="T350" s="8">
        <f>IF((0=1),(SUM(C315:T315)/T245),"")</f>
      </c>
      <c r="U350" s="8">
        <f>IF((0=1),(SUM(C315:U315)/U245),"")</f>
      </c>
      <c r="V350" s="8">
        <f>IF((0=1),(SUM(C315:V315)/V245),"")</f>
      </c>
      <c r="W350" s="8">
        <f>IF((0=1),(SUM(C315:W315)/W245),"")</f>
      </c>
      <c r="X350" s="8">
        <f>IF((0=1),(SUM(C315:X315)/X245),"")</f>
      </c>
      <c r="Y350" s="8">
        <f>IF((0=1),(SUM(C315:Y315)/Y245),"")</f>
      </c>
      <c r="Z350" s="8">
        <f>IF((0=1),(SUM(C315:Z315)/Z245),"")</f>
      </c>
      <c r="AA350" s="8">
        <f>IF((0=1),(SUM(C315:AA315)/AA245),"")</f>
      </c>
      <c r="AB350" s="8">
        <f>IF((0=1),(SUM(C315:AB315)/AB245),"")</f>
      </c>
      <c r="AC350" s="8">
        <f>IF((0=1),(SUM(C315:AC315)/AC245),"")</f>
      </c>
      <c r="AD350" s="8">
        <f>IF((0=1),(SUM(C315:AD315)/AD245),"")</f>
      </c>
      <c r="AE350" s="8">
        <f>IF((0=1),(SUM(C315:AE315)/AE245),"")</f>
      </c>
      <c r="AF350" s="8">
        <f>IF((0=1),(SUM(C315:AF315)/AF245),"")</f>
      </c>
      <c r="AG350" s="8">
        <f>IF((0=1),(SUM(C315:AG315)/AG245),"")</f>
      </c>
      <c r="AH350" s="8">
        <f>IF((0=1),(SUM(C315:AH315)/AH245),"")</f>
      </c>
      <c r="AI350" s="8">
        <f>IF((0=1),(SUM(C315:AI315)/AI245),"")</f>
      </c>
      <c r="AJ350" s="8">
        <f>IF((0=1),(SUM(C315:AJ315)/AJ245),"")</f>
      </c>
      <c r="AK350" s="8">
        <f>IF((0=1),(SUM(C315:AK315)/AK245),"")</f>
      </c>
      <c r="AL350" s="8">
        <f>IF((0=1),(SUM(C315:AL315)/AL245),"")</f>
      </c>
      <c r="AM350" s="8">
        <f>IF((0=1),(SUM(C315:AM315)/AM245),"")</f>
      </c>
      <c r="AN350" s="8">
        <f>IF((0=1),(SUM(C315:AN315)/AN245),"")</f>
      </c>
      <c r="AO350" s="8">
        <f>IF((0=1),(SUM(C315:AO315)/AO245),"")</f>
      </c>
      <c r="AP350" s="8">
        <f>IF((0=1),(SUM(C315:AP315)/AP245),"")</f>
      </c>
      <c r="AQ350" s="8">
        <f>IF((0=1),(SUM(C315:AQ315)/AQ245),"")</f>
      </c>
      <c r="AR350" s="8">
        <f>IF((0=1),(SUM(C315:AR315)/AR245),"")</f>
      </c>
      <c r="AS350" s="8">
        <f>IF((0=1),(SUM(C315:AS315)/AS245),"")</f>
      </c>
      <c r="AT350" s="8">
        <f>IF((0=1),(SUM(C315:AT315)/AT245),"")</f>
      </c>
      <c r="AU350" s="8">
        <f>IF((0=1),(SUM(C315:AU315)/AU245),"")</f>
      </c>
      <c r="AV350" s="8">
        <f>IF((0=1),(SUM(C315:AV315)/AV245),"")</f>
      </c>
      <c r="AW350" s="8">
        <f>IF((0=1),(SUM(C315:AW315)/AW245),"")</f>
      </c>
      <c r="AX350" s="8">
        <f>IF((0=1),(SUM(C315:AX315)/AX245),"")</f>
      </c>
      <c r="AY350" s="8">
        <f>IF((0=1),(SUM(C315:AY315)/AY245),"")</f>
      </c>
      <c r="AZ350" s="8">
        <f>IF((0=1),(SUM(C315:AZ315)/AZ245),"")</f>
      </c>
      <c r="BA350" s="8">
        <f>IF((0=1),(SUM(C315:BA315)/BA245),"")</f>
      </c>
      <c r="BB350" s="8">
        <f>IF((0=1),(SUM(C315:BB315)/BB245),"")</f>
      </c>
      <c r="BC350" s="8">
        <f>IF((0=1),(SUM(C315:BC315)/BC245),"")</f>
      </c>
      <c r="BD350" s="8">
        <f>IF((0=1),(SUM(C315:BD315)/BD245),"")</f>
      </c>
      <c r="BE350" s="8">
        <f>IF((0=1),(SUM(C315:BE315)/BE245),"")</f>
      </c>
      <c r="BF350" s="8">
        <f>IF((0=1),(SUM(C315:BF315)/BF245),"")</f>
      </c>
      <c r="BG350" s="8">
        <f>IF((0=1),(SUM(C315:BG315)/BG245),"")</f>
      </c>
      <c r="BH350" s="8">
        <f>IF((0=1),(SUM(C315:BH315)/BH245),"")</f>
      </c>
      <c r="BI350" s="8">
        <f>IF((0=1),(SUM(C315:BI315)/BI245),"")</f>
      </c>
      <c r="BJ350" s="8">
        <f>IF((0=1),(SUM(C315:BJ315)/BJ245),"")</f>
      </c>
      <c r="BK350" s="8">
        <f>IF((0=1),(SUM(C315:BK315)/BK245),"")</f>
      </c>
      <c r="BL350" s="8">
        <f>IF((0=1),(SUM(C315:BL315)/BL245),"")</f>
      </c>
      <c r="BM350" s="8">
        <f>IF((0=1),(SUM(C315:BM315)/BM245),"")</f>
      </c>
      <c r="BN350" s="8">
        <f>IF((0=1),(SUM(C315:BN315)/BN245),"")</f>
      </c>
      <c r="BO350" s="8">
        <f>IF((0=1),(SUM(C315:BO315)/BO245),"")</f>
      </c>
      <c r="BP350" s="8">
        <f>IF((0=1),(SUM(C315:BP315)/BP245),"")</f>
      </c>
      <c r="BQ350" s="8">
        <f>IF((0=1),(SUM(C315:BQ315)/BQ245),"")</f>
      </c>
      <c r="BR350" s="8">
        <f>IF((0=1),(SUM(C315:BR315)/BR245),"")</f>
      </c>
      <c r="BS350" s="8">
        <f>IF((0=1),(SUM(C315:BS315)/BS245),"")</f>
      </c>
      <c r="BT350" s="8">
        <f>IF((0=1),(SUM(C315:BT315)/BT245),"")</f>
      </c>
      <c r="BU350" s="8">
        <f>IF((0=1),(SUM(C315:BU315)/BU245),"")</f>
      </c>
      <c r="BV350" s="8">
        <f>IF((0=1),(SUM(C315:BV315)/BV245),"")</f>
      </c>
      <c r="BW350" s="8">
        <f>IF((0=1),(SUM(C315:BW315)/BW245),"")</f>
      </c>
      <c r="BX350" s="8">
        <f>IF((0=1),(SUM(C315:BX315)/BX245),"")</f>
      </c>
      <c r="BY350" s="8">
        <f>IF((0=1),(SUM(C315:BY315)/BY245),"")</f>
      </c>
      <c r="BZ350" s="8">
        <f>IF((0=1),(SUM(C315:BZ315)/BZ245),"")</f>
      </c>
      <c r="CA350" s="8">
        <f>IF((0=1),(SUM(C315:CA315)/CA245),"")</f>
      </c>
      <c r="CB350" s="8">
        <f>IF((0=1),(SUM(C315:CB315)/CB245),"")</f>
      </c>
      <c r="CC350" s="8">
        <f>IF((0=1),(SUM(C315:CC315)/CC245),"")</f>
      </c>
      <c r="CD350" s="8">
        <f>IF((0=1),(SUM(C315:CD315)/CD245),"")</f>
      </c>
      <c r="CE350" s="8">
        <f>IF((0=1),(SUM(C315:CE315)/CE245),"")</f>
      </c>
      <c r="CF350" s="8">
        <f>IF((0=1),(SUM(C315:CF315)/CF245),"")</f>
      </c>
      <c r="CG350" s="8">
        <f>IF((0=1),(SUM(C315:CG315)/CG245),"")</f>
      </c>
      <c r="CH350" s="8">
        <f>IF((0=1),(SUM(C315:CH315)/CH245),"")</f>
      </c>
      <c r="CI350" s="8">
        <f>IF((0=1),(SUM(C315:CI315)/CI245),"")</f>
      </c>
      <c r="CJ350" s="8">
        <f>IF((0=1),(SUM(C315:CJ315)/CJ245),"")</f>
      </c>
      <c r="CK350" s="8">
        <f>IF((0=1),(SUM(C315:CK315)/CK245),"")</f>
      </c>
      <c r="CL350" s="8">
        <f>IF((0=1),(SUM(C315:CL315)/CL245),"")</f>
      </c>
      <c r="CM350" s="8">
        <f>IF((0=1),(SUM(C315:CM315)/CM245),"")</f>
      </c>
      <c r="CN350" s="8">
        <f>IF((0=1),(SUM(C315:CN315)/CN245),"")</f>
      </c>
      <c r="CO350" s="8">
        <f>IF((0=1),(SUM(C315:CO315)/CO245),"")</f>
      </c>
      <c r="CP350" s="8">
        <f>IF((0=1),(SUM(C315:CP315)/CP245),"")</f>
      </c>
      <c r="CQ350" s="8">
        <f>IF((0=1),(SUM(C315:CQ315)/CQ245),"")</f>
      </c>
      <c r="CR350" s="8">
        <f>IF((0=1),(SUM(C315:CR315)/CR245),"")</f>
      </c>
      <c r="CS350" s="8">
        <f>IF((0=1),(SUM(C315:CS315)/CS245),"")</f>
      </c>
      <c r="CT350" s="8">
        <f>IF((0=1),(SUM(C315:CT315)/CT245),"")</f>
      </c>
      <c r="CU350" s="8">
        <f>IF((0=1),(SUM(C315:CU315)/CU245),"")</f>
      </c>
      <c r="CV350" s="8">
        <f>IF((0=1),(SUM(C315:CV315)/CV245),"")</f>
      </c>
      <c r="CW350" s="8">
        <f>IF((0=1),(SUM(C315:CW315)/CW245),"")</f>
      </c>
      <c r="CX350" s="8">
        <f>IF((0=1),(SUM(C315:CX315)/CX245),"")</f>
      </c>
    </row>
    <row r="351">
      <c r="A351" s="0" t="inlineStr">
        <is>
          <t xml:space="preserve">Running mean of squares</t>
        </is>
      </c>
      <c r="B351" s="0" t="inlineStr">
        <is>
          <t xml:space="preserve">Random 20</t>
        </is>
      </c>
      <c r="C351" s="8">
        <f>IF((1=1),(SUM(C316)/C246),"")</f>
        <v>25.130169</v>
      </c>
      <c r="D351" s="8">
        <f>IF((0=1),(SUM(C316:D316)/D246),"")</f>
      </c>
      <c r="E351" s="8">
        <f>IF((0=1),(SUM(C316:E316)/E246),"")</f>
      </c>
      <c r="F351" s="8">
        <f>IF((0=1),(SUM(C316:F316)/F246),"")</f>
      </c>
      <c r="G351" s="8">
        <f>IF((0=1),(SUM(C316:G316)/G246),"")</f>
      </c>
      <c r="H351" s="8">
        <f>IF((0=1),(SUM(C316:H316)/H246),"")</f>
      </c>
      <c r="I351" s="8">
        <f>IF((0=1),(SUM(C316:I316)/I246),"")</f>
      </c>
      <c r="J351" s="8">
        <f>IF((0=1),(SUM(C316:J316)/J246),"")</f>
      </c>
      <c r="K351" s="8">
        <f>IF((0=1),(SUM(C316:K316)/K246),"")</f>
      </c>
      <c r="L351" s="8">
        <f>IF((0=1),(SUM(C316:L316)/L246),"")</f>
      </c>
      <c r="M351" s="8">
        <f>IF((0=1),(SUM(C316:M316)/M246),"")</f>
      </c>
      <c r="N351" s="8">
        <f>IF((0=1),(SUM(C316:N316)/N246),"")</f>
      </c>
      <c r="O351" s="8">
        <f>IF((0=1),(SUM(C316:O316)/O246),"")</f>
      </c>
      <c r="P351" s="8">
        <f>IF((0=1),(SUM(C316:P316)/P246),"")</f>
      </c>
      <c r="Q351" s="8">
        <f>IF((0=1),(SUM(C316:Q316)/Q246),"")</f>
      </c>
      <c r="R351" s="8">
        <f>IF((0=1),(SUM(C316:R316)/R246),"")</f>
      </c>
      <c r="S351" s="8">
        <f>IF((0=1),(SUM(C316:S316)/S246),"")</f>
      </c>
      <c r="T351" s="8">
        <f>IF((0=1),(SUM(C316:T316)/T246),"")</f>
      </c>
      <c r="U351" s="8">
        <f>IF((0=1),(SUM(C316:U316)/U246),"")</f>
      </c>
      <c r="V351" s="8">
        <f>IF((0=1),(SUM(C316:V316)/V246),"")</f>
      </c>
      <c r="W351" s="8">
        <f>IF((0=1),(SUM(C316:W316)/W246),"")</f>
      </c>
      <c r="X351" s="8">
        <f>IF((0=1),(SUM(C316:X316)/X246),"")</f>
      </c>
      <c r="Y351" s="8">
        <f>IF((0=1),(SUM(C316:Y316)/Y246),"")</f>
      </c>
      <c r="Z351" s="8">
        <f>IF((0=1),(SUM(C316:Z316)/Z246),"")</f>
      </c>
      <c r="AA351" s="8">
        <f>IF((0=1),(SUM(C316:AA316)/AA246),"")</f>
      </c>
      <c r="AB351" s="8">
        <f>IF((0=1),(SUM(C316:AB316)/AB246),"")</f>
      </c>
      <c r="AC351" s="8">
        <f>IF((0=1),(SUM(C316:AC316)/AC246),"")</f>
      </c>
      <c r="AD351" s="8">
        <f>IF((0=1),(SUM(C316:AD316)/AD246),"")</f>
      </c>
      <c r="AE351" s="8">
        <f>IF((0=1),(SUM(C316:AE316)/AE246),"")</f>
      </c>
      <c r="AF351" s="8">
        <f>IF((0=1),(SUM(C316:AF316)/AF246),"")</f>
      </c>
      <c r="AG351" s="8">
        <f>IF((0=1),(SUM(C316:AG316)/AG246),"")</f>
      </c>
      <c r="AH351" s="8">
        <f>IF((0=1),(SUM(C316:AH316)/AH246),"")</f>
      </c>
      <c r="AI351" s="8">
        <f>IF((0=1),(SUM(C316:AI316)/AI246),"")</f>
      </c>
      <c r="AJ351" s="8">
        <f>IF((0=1),(SUM(C316:AJ316)/AJ246),"")</f>
      </c>
      <c r="AK351" s="8">
        <f>IF((0=1),(SUM(C316:AK316)/AK246),"")</f>
      </c>
      <c r="AL351" s="8">
        <f>IF((0=1),(SUM(C316:AL316)/AL246),"")</f>
      </c>
      <c r="AM351" s="8">
        <f>IF((0=1),(SUM(C316:AM316)/AM246),"")</f>
      </c>
      <c r="AN351" s="8">
        <f>IF((0=1),(SUM(C316:AN316)/AN246),"")</f>
      </c>
      <c r="AO351" s="8">
        <f>IF((0=1),(SUM(C316:AO316)/AO246),"")</f>
      </c>
      <c r="AP351" s="8">
        <f>IF((0=1),(SUM(C316:AP316)/AP246),"")</f>
      </c>
      <c r="AQ351" s="8">
        <f>IF((0=1),(SUM(C316:AQ316)/AQ246),"")</f>
      </c>
      <c r="AR351" s="8">
        <f>IF((0=1),(SUM(C316:AR316)/AR246),"")</f>
      </c>
      <c r="AS351" s="8">
        <f>IF((0=1),(SUM(C316:AS316)/AS246),"")</f>
      </c>
      <c r="AT351" s="8">
        <f>IF((0=1),(SUM(C316:AT316)/AT246),"")</f>
      </c>
      <c r="AU351" s="8">
        <f>IF((0=1),(SUM(C316:AU316)/AU246),"")</f>
      </c>
      <c r="AV351" s="8">
        <f>IF((0=1),(SUM(C316:AV316)/AV246),"")</f>
      </c>
      <c r="AW351" s="8">
        <f>IF((0=1),(SUM(C316:AW316)/AW246),"")</f>
      </c>
      <c r="AX351" s="8">
        <f>IF((0=1),(SUM(C316:AX316)/AX246),"")</f>
      </c>
      <c r="AY351" s="8">
        <f>IF((0=1),(SUM(C316:AY316)/AY246),"")</f>
      </c>
      <c r="AZ351" s="8">
        <f>IF((0=1),(SUM(C316:AZ316)/AZ246),"")</f>
      </c>
      <c r="BA351" s="8">
        <f>IF((0=1),(SUM(C316:BA316)/BA246),"")</f>
      </c>
      <c r="BB351" s="8">
        <f>IF((0=1),(SUM(C316:BB316)/BB246),"")</f>
      </c>
      <c r="BC351" s="8">
        <f>IF((0=1),(SUM(C316:BC316)/BC246),"")</f>
      </c>
      <c r="BD351" s="8">
        <f>IF((0=1),(SUM(C316:BD316)/BD246),"")</f>
      </c>
      <c r="BE351" s="8">
        <f>IF((0=1),(SUM(C316:BE316)/BE246),"")</f>
      </c>
      <c r="BF351" s="8">
        <f>IF((0=1),(SUM(C316:BF316)/BF246),"")</f>
      </c>
      <c r="BG351" s="8">
        <f>IF((0=1),(SUM(C316:BG316)/BG246),"")</f>
      </c>
      <c r="BH351" s="8">
        <f>IF((0=1),(SUM(C316:BH316)/BH246),"")</f>
      </c>
      <c r="BI351" s="8">
        <f>IF((0=1),(SUM(C316:BI316)/BI246),"")</f>
      </c>
      <c r="BJ351" s="8">
        <f>IF((0=1),(SUM(C316:BJ316)/BJ246),"")</f>
      </c>
      <c r="BK351" s="8">
        <f>IF((0=1),(SUM(C316:BK316)/BK246),"")</f>
      </c>
      <c r="BL351" s="8">
        <f>IF((0=1),(SUM(C316:BL316)/BL246),"")</f>
      </c>
      <c r="BM351" s="8">
        <f>IF((0=1),(SUM(C316:BM316)/BM246),"")</f>
      </c>
      <c r="BN351" s="8">
        <f>IF((0=1),(SUM(C316:BN316)/BN246),"")</f>
      </c>
      <c r="BO351" s="8">
        <f>IF((0=1),(SUM(C316:BO316)/BO246),"")</f>
      </c>
      <c r="BP351" s="8">
        <f>IF((0=1),(SUM(C316:BP316)/BP246),"")</f>
      </c>
      <c r="BQ351" s="8">
        <f>IF((0=1),(SUM(C316:BQ316)/BQ246),"")</f>
      </c>
      <c r="BR351" s="8">
        <f>IF((0=1),(SUM(C316:BR316)/BR246),"")</f>
      </c>
      <c r="BS351" s="8">
        <f>IF((0=1),(SUM(C316:BS316)/BS246),"")</f>
      </c>
      <c r="BT351" s="8">
        <f>IF((0=1),(SUM(C316:BT316)/BT246),"")</f>
      </c>
      <c r="BU351" s="8">
        <f>IF((0=1),(SUM(C316:BU316)/BU246),"")</f>
      </c>
      <c r="BV351" s="8">
        <f>IF((0=1),(SUM(C316:BV316)/BV246),"")</f>
      </c>
      <c r="BW351" s="8">
        <f>IF((0=1),(SUM(C316:BW316)/BW246),"")</f>
      </c>
      <c r="BX351" s="8">
        <f>IF((0=1),(SUM(C316:BX316)/BX246),"")</f>
      </c>
      <c r="BY351" s="8">
        <f>IF((0=1),(SUM(C316:BY316)/BY246),"")</f>
      </c>
      <c r="BZ351" s="8">
        <f>IF((0=1),(SUM(C316:BZ316)/BZ246),"")</f>
      </c>
      <c r="CA351" s="8">
        <f>IF((0=1),(SUM(C316:CA316)/CA246),"")</f>
      </c>
      <c r="CB351" s="8">
        <f>IF((0=1),(SUM(C316:CB316)/CB246),"")</f>
      </c>
      <c r="CC351" s="8">
        <f>IF((0=1),(SUM(C316:CC316)/CC246),"")</f>
      </c>
      <c r="CD351" s="8">
        <f>IF((0=1),(SUM(C316:CD316)/CD246),"")</f>
      </c>
      <c r="CE351" s="8">
        <f>IF((0=1),(SUM(C316:CE316)/CE246),"")</f>
      </c>
      <c r="CF351" s="8">
        <f>IF((0=1),(SUM(C316:CF316)/CF246),"")</f>
      </c>
      <c r="CG351" s="8">
        <f>IF((0=1),(SUM(C316:CG316)/CG246),"")</f>
      </c>
      <c r="CH351" s="8">
        <f>IF((0=1),(SUM(C316:CH316)/CH246),"")</f>
      </c>
      <c r="CI351" s="8">
        <f>IF((0=1),(SUM(C316:CI316)/CI246),"")</f>
      </c>
      <c r="CJ351" s="8">
        <f>IF((0=1),(SUM(C316:CJ316)/CJ246),"")</f>
      </c>
      <c r="CK351" s="8">
        <f>IF((0=1),(SUM(C316:CK316)/CK246),"")</f>
      </c>
      <c r="CL351" s="8">
        <f>IF((0=1),(SUM(C316:CL316)/CL246),"")</f>
      </c>
      <c r="CM351" s="8">
        <f>IF((0=1),(SUM(C316:CM316)/CM246),"")</f>
      </c>
      <c r="CN351" s="8">
        <f>IF((0=1),(SUM(C316:CN316)/CN246),"")</f>
      </c>
      <c r="CO351" s="8">
        <f>IF((0=1),(SUM(C316:CO316)/CO246),"")</f>
      </c>
      <c r="CP351" s="8">
        <f>IF((0=1),(SUM(C316:CP316)/CP246),"")</f>
      </c>
      <c r="CQ351" s="8">
        <f>IF((0=1),(SUM(C316:CQ316)/CQ246),"")</f>
      </c>
      <c r="CR351" s="8">
        <f>IF((0=1),(SUM(C316:CR316)/CR246),"")</f>
      </c>
      <c r="CS351" s="8">
        <f>IF((0=1),(SUM(C316:CS316)/CS246),"")</f>
      </c>
      <c r="CT351" s="8">
        <f>IF((0=1),(SUM(C316:CT316)/CT246),"")</f>
      </c>
      <c r="CU351" s="8">
        <f>IF((0=1),(SUM(C316:CU316)/CU246),"")</f>
      </c>
      <c r="CV351" s="8">
        <f>IF((0=1),(SUM(C316:CV316)/CV246),"")</f>
      </c>
      <c r="CW351" s="8">
        <f>IF((0=1),(SUM(C316:CW316)/CW246),"")</f>
      </c>
      <c r="CX351" s="8">
        <f>IF((0=1),(SUM(C316:CX316)/CX246),"")</f>
      </c>
    </row>
    <row r="352">
      <c r="A352" s="0" t="inlineStr">
        <is>
          <t xml:space="preserve">Running daily sd, bps</t>
        </is>
      </c>
      <c r="B352" s="0" t="inlineStr">
        <is>
          <t xml:space="preserve">worst 100 by yesterday's close-to-close return</t>
        </is>
      </c>
      <c r="C352" s="4">
        <v>0</v>
      </c>
      <c r="D352" s="0"/>
      <c r="E352" s="0"/>
      <c r="F352" s="0"/>
      <c r="G352" s="0"/>
      <c r="H352" s="0"/>
      <c r="I352" s="0"/>
      <c r="J352" s="0"/>
      <c r="K352" s="0"/>
      <c r="L352" s="0"/>
      <c r="M352" s="0"/>
      <c r="N352" s="0"/>
      <c r="O352" s="0"/>
      <c r="P352" s="0"/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AB352" s="0"/>
      <c r="AC352" s="0"/>
      <c r="AD352" s="0"/>
      <c r="AE352" s="0"/>
      <c r="AF352" s="0"/>
      <c r="AG352" s="0"/>
      <c r="AH352" s="0"/>
      <c r="AI352" s="0"/>
      <c r="AJ352" s="0"/>
      <c r="AK352" s="0"/>
      <c r="AL352" s="0"/>
      <c r="AM352" s="0"/>
      <c r="AN352" s="0"/>
      <c r="AO352" s="0"/>
      <c r="AP352" s="0"/>
      <c r="AQ352" s="0"/>
      <c r="AR352" s="0"/>
      <c r="AS352" s="0"/>
      <c r="AT352" s="0"/>
      <c r="AU352" s="0"/>
      <c r="AV352" s="0"/>
      <c r="AW352" s="0"/>
      <c r="AX352" s="0"/>
      <c r="AY352" s="0"/>
      <c r="AZ352" s="0"/>
      <c r="BA352" s="0"/>
      <c r="BB352" s="0"/>
      <c r="BC352" s="0"/>
      <c r="BD352" s="0"/>
      <c r="BE352" s="0"/>
      <c r="BF352" s="0"/>
      <c r="BG352" s="0"/>
      <c r="BH352" s="0"/>
      <c r="BI352" s="0"/>
      <c r="BJ352" s="0"/>
      <c r="BK352" s="0"/>
      <c r="BL352" s="0"/>
      <c r="BM352" s="0"/>
      <c r="BN352" s="0"/>
      <c r="BO352" s="0"/>
      <c r="BP352" s="0"/>
      <c r="BQ352" s="0"/>
      <c r="BR352" s="0"/>
      <c r="BS352" s="0"/>
      <c r="BT352" s="0"/>
      <c r="BU352" s="0"/>
      <c r="BV352" s="0"/>
      <c r="BW352" s="0"/>
      <c r="BX352" s="0"/>
      <c r="BY352" s="0"/>
      <c r="BZ352" s="0"/>
      <c r="CA352" s="0"/>
      <c r="CB352" s="0"/>
      <c r="CC352" s="0"/>
      <c r="CD352" s="0"/>
      <c r="CE352" s="0"/>
      <c r="CF352" s="0"/>
      <c r="CG352" s="0"/>
      <c r="CH352" s="0"/>
      <c r="CI352" s="0"/>
      <c r="CJ352" s="0"/>
      <c r="CK352" s="0"/>
      <c r="CL352" s="0"/>
      <c r="CM352" s="0"/>
      <c r="CN352" s="0"/>
      <c r="CO352" s="0"/>
      <c r="CP352" s="0"/>
      <c r="CQ352" s="0"/>
      <c r="CR352" s="0"/>
      <c r="CS352" s="0"/>
      <c r="CT352" s="0"/>
      <c r="CU352" s="0"/>
      <c r="CV352" s="0"/>
      <c r="CW352" s="0"/>
      <c r="CX352" s="0"/>
    </row>
    <row r="353">
      <c r="A353" s="0" t="inlineStr">
        <is>
          <t xml:space="preserve">Running daily sd, bps</t>
        </is>
      </c>
      <c r="B353" s="0" t="inlineStr">
        <is>
          <t xml:space="preserve">lowest 100 by 60-day volatility</t>
        </is>
      </c>
      <c r="C353" s="4">
        <v>0</v>
      </c>
      <c r="D353" s="0"/>
      <c r="E353" s="0"/>
      <c r="F353" s="0"/>
      <c r="G353" s="0"/>
      <c r="H353" s="0"/>
      <c r="I353" s="0"/>
      <c r="J353" s="0"/>
      <c r="K353" s="0"/>
      <c r="L353" s="0"/>
      <c r="M353" s="0"/>
      <c r="N353" s="0"/>
      <c r="O353" s="0"/>
      <c r="P353" s="0"/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AB353" s="0"/>
      <c r="AC353" s="0"/>
      <c r="AD353" s="0"/>
      <c r="AE353" s="0"/>
      <c r="AF353" s="0"/>
      <c r="AG353" s="0"/>
      <c r="AH353" s="0"/>
      <c r="AI353" s="0"/>
      <c r="AJ353" s="0"/>
      <c r="AK353" s="0"/>
      <c r="AL353" s="0"/>
      <c r="AM353" s="0"/>
      <c r="AN353" s="0"/>
      <c r="AO353" s="0"/>
      <c r="AP353" s="0"/>
      <c r="AQ353" s="0"/>
      <c r="AR353" s="0"/>
      <c r="AS353" s="0"/>
      <c r="AT353" s="0"/>
      <c r="AU353" s="0"/>
      <c r="AV353" s="0"/>
      <c r="AW353" s="0"/>
      <c r="AX353" s="0"/>
      <c r="AY353" s="0"/>
      <c r="AZ353" s="0"/>
      <c r="BA353" s="0"/>
      <c r="BB353" s="0"/>
      <c r="BC353" s="0"/>
      <c r="BD353" s="0"/>
      <c r="BE353" s="0"/>
      <c r="BF353" s="0"/>
      <c r="BG353" s="0"/>
      <c r="BH353" s="0"/>
      <c r="BI353" s="0"/>
      <c r="BJ353" s="0"/>
      <c r="BK353" s="0"/>
      <c r="BL353" s="0"/>
      <c r="BM353" s="0"/>
      <c r="BN353" s="0"/>
      <c r="BO353" s="0"/>
      <c r="BP353" s="0"/>
      <c r="BQ353" s="0"/>
      <c r="BR353" s="0"/>
      <c r="BS353" s="0"/>
      <c r="BT353" s="0"/>
      <c r="BU353" s="0"/>
      <c r="BV353" s="0"/>
      <c r="BW353" s="0"/>
      <c r="BX353" s="0"/>
      <c r="BY353" s="0"/>
      <c r="BZ353" s="0"/>
      <c r="CA353" s="0"/>
      <c r="CB353" s="0"/>
      <c r="CC353" s="0"/>
      <c r="CD353" s="0"/>
      <c r="CE353" s="0"/>
      <c r="CF353" s="0"/>
      <c r="CG353" s="0"/>
      <c r="CH353" s="0"/>
      <c r="CI353" s="0"/>
      <c r="CJ353" s="0"/>
      <c r="CK353" s="0"/>
      <c r="CL353" s="0"/>
      <c r="CM353" s="0"/>
      <c r="CN353" s="0"/>
      <c r="CO353" s="0"/>
      <c r="CP353" s="0"/>
      <c r="CQ353" s="0"/>
      <c r="CR353" s="0"/>
      <c r="CS353" s="0"/>
      <c r="CT353" s="0"/>
      <c r="CU353" s="0"/>
      <c r="CV353" s="0"/>
      <c r="CW353" s="0"/>
      <c r="CX353" s="0"/>
    </row>
    <row r="354">
      <c r="A354" s="0" t="inlineStr">
        <is>
          <t xml:space="preserve">Running daily sd, bps</t>
        </is>
      </c>
      <c r="B354" s="0" t="inlineStr">
        <is>
          <t xml:space="preserve">largest 100 by market cap</t>
        </is>
      </c>
      <c r="C354" s="4">
        <v>0</v>
      </c>
      <c r="D354" s="0"/>
      <c r="E354" s="0"/>
      <c r="F354" s="0"/>
      <c r="G354" s="0"/>
      <c r="H354" s="0"/>
      <c r="I354" s="0"/>
      <c r="J354" s="0"/>
      <c r="K354" s="0"/>
      <c r="L354" s="0"/>
      <c r="M354" s="0"/>
      <c r="N354" s="0"/>
      <c r="O354" s="0"/>
      <c r="P354" s="0"/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AB354" s="0"/>
      <c r="AC354" s="0"/>
      <c r="AD354" s="0"/>
      <c r="AE354" s="0"/>
      <c r="AF354" s="0"/>
      <c r="AG354" s="0"/>
      <c r="AH354" s="0"/>
      <c r="AI354" s="0"/>
      <c r="AJ354" s="0"/>
      <c r="AK354" s="0"/>
      <c r="AL354" s="0"/>
      <c r="AM354" s="0"/>
      <c r="AN354" s="0"/>
      <c r="AO354" s="0"/>
      <c r="AP354" s="0"/>
      <c r="AQ354" s="0"/>
      <c r="AR354" s="0"/>
      <c r="AS354" s="0"/>
      <c r="AT354" s="0"/>
      <c r="AU354" s="0"/>
      <c r="AV354" s="0"/>
      <c r="AW354" s="0"/>
      <c r="AX354" s="0"/>
      <c r="AY354" s="0"/>
      <c r="AZ354" s="0"/>
      <c r="BA354" s="0"/>
      <c r="BB354" s="0"/>
      <c r="BC354" s="0"/>
      <c r="BD354" s="0"/>
      <c r="BE354" s="0"/>
      <c r="BF354" s="0"/>
      <c r="BG354" s="0"/>
      <c r="BH354" s="0"/>
      <c r="BI354" s="0"/>
      <c r="BJ354" s="0"/>
      <c r="BK354" s="0"/>
      <c r="BL354" s="0"/>
      <c r="BM354" s="0"/>
      <c r="BN354" s="0"/>
      <c r="BO354" s="0"/>
      <c r="BP354" s="0"/>
      <c r="BQ354" s="0"/>
      <c r="BR354" s="0"/>
      <c r="BS354" s="0"/>
      <c r="BT354" s="0"/>
      <c r="BU354" s="0"/>
      <c r="BV354" s="0"/>
      <c r="BW354" s="0"/>
      <c r="BX354" s="0"/>
      <c r="BY354" s="0"/>
      <c r="BZ354" s="0"/>
      <c r="CA354" s="0"/>
      <c r="CB354" s="0"/>
      <c r="CC354" s="0"/>
      <c r="CD354" s="0"/>
      <c r="CE354" s="0"/>
      <c r="CF354" s="0"/>
      <c r="CG354" s="0"/>
      <c r="CH354" s="0"/>
      <c r="CI354" s="0"/>
      <c r="CJ354" s="0"/>
      <c r="CK354" s="0"/>
      <c r="CL354" s="0"/>
      <c r="CM354" s="0"/>
      <c r="CN354" s="0"/>
      <c r="CO354" s="0"/>
      <c r="CP354" s="0"/>
      <c r="CQ354" s="0"/>
      <c r="CR354" s="0"/>
      <c r="CS354" s="0"/>
      <c r="CT354" s="0"/>
      <c r="CU354" s="0"/>
      <c r="CV354" s="0"/>
      <c r="CW354" s="0"/>
      <c r="CX354" s="0"/>
    </row>
    <row r="355">
      <c r="A355" s="0" t="inlineStr">
        <is>
          <t xml:space="preserve">Running daily sd, bps</t>
        </is>
      </c>
      <c r="B355" s="0" t="inlineStr">
        <is>
          <t xml:space="preserve">top 100 by 12-1 month return</t>
        </is>
      </c>
      <c r="C355" s="4">
        <v>0</v>
      </c>
      <c r="D355" s="0"/>
      <c r="E355" s="0"/>
      <c r="F355" s="0"/>
      <c r="G355" s="0"/>
      <c r="H355" s="0"/>
      <c r="I355" s="0"/>
      <c r="J355" s="0"/>
      <c r="K355" s="0"/>
      <c r="L355" s="0"/>
      <c r="M355" s="0"/>
      <c r="N355" s="0"/>
      <c r="O355" s="0"/>
      <c r="P355" s="0"/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AB355" s="0"/>
      <c r="AC355" s="0"/>
      <c r="AD355" s="0"/>
      <c r="AE355" s="0"/>
      <c r="AF355" s="0"/>
      <c r="AG355" s="0"/>
      <c r="AH355" s="0"/>
      <c r="AI355" s="0"/>
      <c r="AJ355" s="0"/>
      <c r="AK355" s="0"/>
      <c r="AL355" s="0"/>
      <c r="AM355" s="0"/>
      <c r="AN355" s="0"/>
      <c r="AO355" s="0"/>
      <c r="AP355" s="0"/>
      <c r="AQ355" s="0"/>
      <c r="AR355" s="0"/>
      <c r="AS355" s="0"/>
      <c r="AT355" s="0"/>
      <c r="AU355" s="0"/>
      <c r="AV355" s="0"/>
      <c r="AW355" s="0"/>
      <c r="AX355" s="0"/>
      <c r="AY355" s="0"/>
      <c r="AZ355" s="0"/>
      <c r="BA355" s="0"/>
      <c r="BB355" s="0"/>
      <c r="BC355" s="0"/>
      <c r="BD355" s="0"/>
      <c r="BE355" s="0"/>
      <c r="BF355" s="0"/>
      <c r="BG355" s="0"/>
      <c r="BH355" s="0"/>
      <c r="BI355" s="0"/>
      <c r="BJ355" s="0"/>
      <c r="BK355" s="0"/>
      <c r="BL355" s="0"/>
      <c r="BM355" s="0"/>
      <c r="BN355" s="0"/>
      <c r="BO355" s="0"/>
      <c r="BP355" s="0"/>
      <c r="BQ355" s="0"/>
      <c r="BR355" s="0"/>
      <c r="BS355" s="0"/>
      <c r="BT355" s="0"/>
      <c r="BU355" s="0"/>
      <c r="BV355" s="0"/>
      <c r="BW355" s="0"/>
      <c r="BX355" s="0"/>
      <c r="BY355" s="0"/>
      <c r="BZ355" s="0"/>
      <c r="CA355" s="0"/>
      <c r="CB355" s="0"/>
      <c r="CC355" s="0"/>
      <c r="CD355" s="0"/>
      <c r="CE355" s="0"/>
      <c r="CF355" s="0"/>
      <c r="CG355" s="0"/>
      <c r="CH355" s="0"/>
      <c r="CI355" s="0"/>
      <c r="CJ355" s="0"/>
      <c r="CK355" s="0"/>
      <c r="CL355" s="0"/>
      <c r="CM355" s="0"/>
      <c r="CN355" s="0"/>
      <c r="CO355" s="0"/>
      <c r="CP355" s="0"/>
      <c r="CQ355" s="0"/>
      <c r="CR355" s="0"/>
      <c r="CS355" s="0"/>
      <c r="CT355" s="0"/>
      <c r="CU355" s="0"/>
      <c r="CV355" s="0"/>
      <c r="CW355" s="0"/>
      <c r="CX355" s="0"/>
    </row>
    <row r="356">
      <c r="A356" s="0" t="inlineStr">
        <is>
          <t xml:space="preserve">Running daily sd, bps</t>
        </is>
      </c>
      <c r="B356" s="0" t="inlineStr">
        <is>
          <t xml:space="preserve">best 100 by yesterday's close-to-close return</t>
        </is>
      </c>
      <c r="C356" s="4">
        <v>0</v>
      </c>
      <c r="D356" s="0"/>
      <c r="E356" s="0"/>
      <c r="F356" s="0"/>
      <c r="G356" s="0"/>
      <c r="H356" s="0"/>
      <c r="I356" s="0"/>
      <c r="J356" s="0"/>
      <c r="K356" s="0"/>
      <c r="L356" s="0"/>
      <c r="M356" s="0"/>
      <c r="N356" s="0"/>
      <c r="O356" s="0"/>
      <c r="P356" s="0"/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AB356" s="0"/>
      <c r="AC356" s="0"/>
      <c r="AD356" s="0"/>
      <c r="AE356" s="0"/>
      <c r="AF356" s="0"/>
      <c r="AG356" s="0"/>
      <c r="AH356" s="0"/>
      <c r="AI356" s="0"/>
      <c r="AJ356" s="0"/>
      <c r="AK356" s="0"/>
      <c r="AL356" s="0"/>
      <c r="AM356" s="0"/>
      <c r="AN356" s="0"/>
      <c r="AO356" s="0"/>
      <c r="AP356" s="0"/>
      <c r="AQ356" s="0"/>
      <c r="AR356" s="0"/>
      <c r="AS356" s="0"/>
      <c r="AT356" s="0"/>
      <c r="AU356" s="0"/>
      <c r="AV356" s="0"/>
      <c r="AW356" s="0"/>
      <c r="AX356" s="0"/>
      <c r="AY356" s="0"/>
      <c r="AZ356" s="0"/>
      <c r="BA356" s="0"/>
      <c r="BB356" s="0"/>
      <c r="BC356" s="0"/>
      <c r="BD356" s="0"/>
      <c r="BE356" s="0"/>
      <c r="BF356" s="0"/>
      <c r="BG356" s="0"/>
      <c r="BH356" s="0"/>
      <c r="BI356" s="0"/>
      <c r="BJ356" s="0"/>
      <c r="BK356" s="0"/>
      <c r="BL356" s="0"/>
      <c r="BM356" s="0"/>
      <c r="BN356" s="0"/>
      <c r="BO356" s="0"/>
      <c r="BP356" s="0"/>
      <c r="BQ356" s="0"/>
      <c r="BR356" s="0"/>
      <c r="BS356" s="0"/>
      <c r="BT356" s="0"/>
      <c r="BU356" s="0"/>
      <c r="BV356" s="0"/>
      <c r="BW356" s="0"/>
      <c r="BX356" s="0"/>
      <c r="BY356" s="0"/>
      <c r="BZ356" s="0"/>
      <c r="CA356" s="0"/>
      <c r="CB356" s="0"/>
      <c r="CC356" s="0"/>
      <c r="CD356" s="0"/>
      <c r="CE356" s="0"/>
      <c r="CF356" s="0"/>
      <c r="CG356" s="0"/>
      <c r="CH356" s="0"/>
      <c r="CI356" s="0"/>
      <c r="CJ356" s="0"/>
      <c r="CK356" s="0"/>
      <c r="CL356" s="0"/>
      <c r="CM356" s="0"/>
      <c r="CN356" s="0"/>
      <c r="CO356" s="0"/>
      <c r="CP356" s="0"/>
      <c r="CQ356" s="0"/>
      <c r="CR356" s="0"/>
      <c r="CS356" s="0"/>
      <c r="CT356" s="0"/>
      <c r="CU356" s="0"/>
      <c r="CV356" s="0"/>
      <c r="CW356" s="0"/>
      <c r="CX356" s="0"/>
    </row>
    <row r="357">
      <c r="A357" s="0" t="inlineStr">
        <is>
          <t xml:space="preserve">Running daily sd, bps</t>
        </is>
      </c>
      <c r="B357" s="0" t="inlineStr">
        <is>
          <t xml:space="preserve">Retail Attention Overnight</t>
        </is>
      </c>
      <c r="C357" s="4">
        <v>0</v>
      </c>
      <c r="D357" s="0"/>
      <c r="E357" s="0"/>
      <c r="F357" s="0"/>
      <c r="G357" s="0"/>
      <c r="H357" s="0"/>
      <c r="I357" s="0"/>
      <c r="J357" s="0"/>
      <c r="K357" s="0"/>
      <c r="L357" s="0"/>
      <c r="M357" s="0"/>
      <c r="N357" s="0"/>
      <c r="O357" s="0"/>
      <c r="P357" s="0"/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AB357" s="0"/>
      <c r="AC357" s="0"/>
      <c r="AD357" s="0"/>
      <c r="AE357" s="0"/>
      <c r="AF357" s="0"/>
      <c r="AG357" s="0"/>
      <c r="AH357" s="0"/>
      <c r="AI357" s="0"/>
      <c r="AJ357" s="0"/>
      <c r="AK357" s="0"/>
      <c r="AL357" s="0"/>
      <c r="AM357" s="0"/>
      <c r="AN357" s="0"/>
      <c r="AO357" s="0"/>
      <c r="AP357" s="0"/>
      <c r="AQ357" s="0"/>
      <c r="AR357" s="0"/>
      <c r="AS357" s="0"/>
      <c r="AT357" s="0"/>
      <c r="AU357" s="0"/>
      <c r="AV357" s="0"/>
      <c r="AW357" s="0"/>
      <c r="AX357" s="0"/>
      <c r="AY357" s="0"/>
      <c r="AZ357" s="0"/>
      <c r="BA357" s="0"/>
      <c r="BB357" s="0"/>
      <c r="BC357" s="0"/>
      <c r="BD357" s="0"/>
      <c r="BE357" s="0"/>
      <c r="BF357" s="0"/>
      <c r="BG357" s="0"/>
      <c r="BH357" s="0"/>
      <c r="BI357" s="0"/>
      <c r="BJ357" s="0"/>
      <c r="BK357" s="0"/>
      <c r="BL357" s="0"/>
      <c r="BM357" s="0"/>
      <c r="BN357" s="0"/>
      <c r="BO357" s="0"/>
      <c r="BP357" s="0"/>
      <c r="BQ357" s="0"/>
      <c r="BR357" s="0"/>
      <c r="BS357" s="0"/>
      <c r="BT357" s="0"/>
      <c r="BU357" s="0"/>
      <c r="BV357" s="0"/>
      <c r="BW357" s="0"/>
      <c r="BX357" s="0"/>
      <c r="BY357" s="0"/>
      <c r="BZ357" s="0"/>
      <c r="CA357" s="0"/>
      <c r="CB357" s="0"/>
      <c r="CC357" s="0"/>
      <c r="CD357" s="0"/>
      <c r="CE357" s="0"/>
      <c r="CF357" s="0"/>
      <c r="CG357" s="0"/>
      <c r="CH357" s="0"/>
      <c r="CI357" s="0"/>
      <c r="CJ357" s="0"/>
      <c r="CK357" s="0"/>
      <c r="CL357" s="0"/>
      <c r="CM357" s="0"/>
      <c r="CN357" s="0"/>
      <c r="CO357" s="0"/>
      <c r="CP357" s="0"/>
      <c r="CQ357" s="0"/>
      <c r="CR357" s="0"/>
      <c r="CS357" s="0"/>
      <c r="CT357" s="0"/>
      <c r="CU357" s="0"/>
      <c r="CV357" s="0"/>
      <c r="CW357" s="0"/>
      <c r="CX357" s="0"/>
    </row>
    <row r="358">
      <c r="A358" s="0" t="inlineStr">
        <is>
          <t xml:space="preserve">Running daily sd, bps</t>
        </is>
      </c>
      <c r="B358" s="0" t="inlineStr">
        <is>
          <t xml:space="preserve">Post-Earnings Drift, Overnight Leg</t>
        </is>
      </c>
      <c r="C358" s="4">
        <v>0</v>
      </c>
      <c r="D358" s="0"/>
      <c r="E358" s="0"/>
      <c r="F358" s="0"/>
      <c r="G358" s="0"/>
      <c r="H358" s="0"/>
      <c r="I358" s="0"/>
      <c r="J358" s="0"/>
      <c r="K358" s="0"/>
      <c r="L358" s="0"/>
      <c r="M358" s="0"/>
      <c r="N358" s="0"/>
      <c r="O358" s="0"/>
      <c r="P358" s="0"/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AB358" s="0"/>
      <c r="AC358" s="0"/>
      <c r="AD358" s="0"/>
      <c r="AE358" s="0"/>
      <c r="AF358" s="0"/>
      <c r="AG358" s="0"/>
      <c r="AH358" s="0"/>
      <c r="AI358" s="0"/>
      <c r="AJ358" s="0"/>
      <c r="AK358" s="0"/>
      <c r="AL358" s="0"/>
      <c r="AM358" s="0"/>
      <c r="AN358" s="0"/>
      <c r="AO358" s="0"/>
      <c r="AP358" s="0"/>
      <c r="AQ358" s="0"/>
      <c r="AR358" s="0"/>
      <c r="AS358" s="0"/>
      <c r="AT358" s="0"/>
      <c r="AU358" s="0"/>
      <c r="AV358" s="0"/>
      <c r="AW358" s="0"/>
      <c r="AX358" s="0"/>
      <c r="AY358" s="0"/>
      <c r="AZ358" s="0"/>
      <c r="BA358" s="0"/>
      <c r="BB358" s="0"/>
      <c r="BC358" s="0"/>
      <c r="BD358" s="0"/>
      <c r="BE358" s="0"/>
      <c r="BF358" s="0"/>
      <c r="BG358" s="0"/>
      <c r="BH358" s="0"/>
      <c r="BI358" s="0"/>
      <c r="BJ358" s="0"/>
      <c r="BK358" s="0"/>
      <c r="BL358" s="0"/>
      <c r="BM358" s="0"/>
      <c r="BN358" s="0"/>
      <c r="BO358" s="0"/>
      <c r="BP358" s="0"/>
      <c r="BQ358" s="0"/>
      <c r="BR358" s="0"/>
      <c r="BS358" s="0"/>
      <c r="BT358" s="0"/>
      <c r="BU358" s="0"/>
      <c r="BV358" s="0"/>
      <c r="BW358" s="0"/>
      <c r="BX358" s="0"/>
      <c r="BY358" s="0"/>
      <c r="BZ358" s="0"/>
      <c r="CA358" s="0"/>
      <c r="CB358" s="0"/>
      <c r="CC358" s="0"/>
      <c r="CD358" s="0"/>
      <c r="CE358" s="0"/>
      <c r="CF358" s="0"/>
      <c r="CG358" s="0"/>
      <c r="CH358" s="0"/>
      <c r="CI358" s="0"/>
      <c r="CJ358" s="0"/>
      <c r="CK358" s="0"/>
      <c r="CL358" s="0"/>
      <c r="CM358" s="0"/>
      <c r="CN358" s="0"/>
      <c r="CO358" s="0"/>
      <c r="CP358" s="0"/>
      <c r="CQ358" s="0"/>
      <c r="CR358" s="0"/>
      <c r="CS358" s="0"/>
      <c r="CT358" s="0"/>
      <c r="CU358" s="0"/>
      <c r="CV358" s="0"/>
      <c r="CW358" s="0"/>
      <c r="CX358" s="0"/>
    </row>
    <row r="359">
      <c r="A359" s="0" t="inlineStr">
        <is>
          <t xml:space="preserve">Running daily sd, bps</t>
        </is>
      </c>
      <c r="B359" s="0" t="inlineStr">
        <is>
          <t xml:space="preserve">Intraday-to-Overnight Reversal</t>
        </is>
      </c>
      <c r="C359" s="4">
        <v>0</v>
      </c>
      <c r="D359" s="0"/>
      <c r="E359" s="0"/>
      <c r="F359" s="0"/>
      <c r="G359" s="0"/>
      <c r="H359" s="0"/>
      <c r="I359" s="0"/>
      <c r="J359" s="0"/>
      <c r="K359" s="0"/>
      <c r="L359" s="0"/>
      <c r="M359" s="0"/>
      <c r="N359" s="0"/>
      <c r="O359" s="0"/>
      <c r="P359" s="0"/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AB359" s="0"/>
      <c r="AC359" s="0"/>
      <c r="AD359" s="0"/>
      <c r="AE359" s="0"/>
      <c r="AF359" s="0"/>
      <c r="AG359" s="0"/>
      <c r="AH359" s="0"/>
      <c r="AI359" s="0"/>
      <c r="AJ359" s="0"/>
      <c r="AK359" s="0"/>
      <c r="AL359" s="0"/>
      <c r="AM359" s="0"/>
      <c r="AN359" s="0"/>
      <c r="AO359" s="0"/>
      <c r="AP359" s="0"/>
      <c r="AQ359" s="0"/>
      <c r="AR359" s="0"/>
      <c r="AS359" s="0"/>
      <c r="AT359" s="0"/>
      <c r="AU359" s="0"/>
      <c r="AV359" s="0"/>
      <c r="AW359" s="0"/>
      <c r="AX359" s="0"/>
      <c r="AY359" s="0"/>
      <c r="AZ359" s="0"/>
      <c r="BA359" s="0"/>
      <c r="BB359" s="0"/>
      <c r="BC359" s="0"/>
      <c r="BD359" s="0"/>
      <c r="BE359" s="0"/>
      <c r="BF359" s="0"/>
      <c r="BG359" s="0"/>
      <c r="BH359" s="0"/>
      <c r="BI359" s="0"/>
      <c r="BJ359" s="0"/>
      <c r="BK359" s="0"/>
      <c r="BL359" s="0"/>
      <c r="BM359" s="0"/>
      <c r="BN359" s="0"/>
      <c r="BO359" s="0"/>
      <c r="BP359" s="0"/>
      <c r="BQ359" s="0"/>
      <c r="BR359" s="0"/>
      <c r="BS359" s="0"/>
      <c r="BT359" s="0"/>
      <c r="BU359" s="0"/>
      <c r="BV359" s="0"/>
      <c r="BW359" s="0"/>
      <c r="BX359" s="0"/>
      <c r="BY359" s="0"/>
      <c r="BZ359" s="0"/>
      <c r="CA359" s="0"/>
      <c r="CB359" s="0"/>
      <c r="CC359" s="0"/>
      <c r="CD359" s="0"/>
      <c r="CE359" s="0"/>
      <c r="CF359" s="0"/>
      <c r="CG359" s="0"/>
      <c r="CH359" s="0"/>
      <c r="CI359" s="0"/>
      <c r="CJ359" s="0"/>
      <c r="CK359" s="0"/>
      <c r="CL359" s="0"/>
      <c r="CM359" s="0"/>
      <c r="CN359" s="0"/>
      <c r="CO359" s="0"/>
      <c r="CP359" s="0"/>
      <c r="CQ359" s="0"/>
      <c r="CR359" s="0"/>
      <c r="CS359" s="0"/>
      <c r="CT359" s="0"/>
      <c r="CU359" s="0"/>
      <c r="CV359" s="0"/>
      <c r="CW359" s="0"/>
      <c r="CX359" s="0"/>
    </row>
    <row r="360">
      <c r="A360" s="0" t="inlineStr">
        <is>
          <t xml:space="preserve">Running daily sd, bps</t>
        </is>
      </c>
      <c r="B360" s="0" t="inlineStr">
        <is>
          <t xml:space="preserve">Analyst Revision Momentum</t>
        </is>
      </c>
      <c r="C360" s="4">
        <v>0</v>
      </c>
      <c r="D360" s="0"/>
      <c r="E360" s="0"/>
      <c r="F360" s="0"/>
      <c r="G360" s="0"/>
      <c r="H360" s="0"/>
      <c r="I360" s="0"/>
      <c r="J360" s="0"/>
      <c r="K360" s="0"/>
      <c r="L360" s="0"/>
      <c r="M360" s="0"/>
      <c r="N360" s="0"/>
      <c r="O360" s="0"/>
      <c r="P360" s="0"/>
      <c r="Q360" s="0"/>
      <c r="R360" s="0"/>
      <c r="S360" s="0"/>
      <c r="T360" s="0"/>
      <c r="U360" s="0"/>
      <c r="V360" s="0"/>
      <c r="W360" s="0"/>
      <c r="X360" s="0"/>
      <c r="Y360" s="0"/>
      <c r="Z360" s="0"/>
      <c r="AA360" s="0"/>
      <c r="AB360" s="0"/>
      <c r="AC360" s="0"/>
      <c r="AD360" s="0"/>
      <c r="AE360" s="0"/>
      <c r="AF360" s="0"/>
      <c r="AG360" s="0"/>
      <c r="AH360" s="0"/>
      <c r="AI360" s="0"/>
      <c r="AJ360" s="0"/>
      <c r="AK360" s="0"/>
      <c r="AL360" s="0"/>
      <c r="AM360" s="0"/>
      <c r="AN360" s="0"/>
      <c r="AO360" s="0"/>
      <c r="AP360" s="0"/>
      <c r="AQ360" s="0"/>
      <c r="AR360" s="0"/>
      <c r="AS360" s="0"/>
      <c r="AT360" s="0"/>
      <c r="AU360" s="0"/>
      <c r="AV360" s="0"/>
      <c r="AW360" s="0"/>
      <c r="AX360" s="0"/>
      <c r="AY360" s="0"/>
      <c r="AZ360" s="0"/>
      <c r="BA360" s="0"/>
      <c r="BB360" s="0"/>
      <c r="BC360" s="0"/>
      <c r="BD360" s="0"/>
      <c r="BE360" s="0"/>
      <c r="BF360" s="0"/>
      <c r="BG360" s="0"/>
      <c r="BH360" s="0"/>
      <c r="BI360" s="0"/>
      <c r="BJ360" s="0"/>
      <c r="BK360" s="0"/>
      <c r="BL360" s="0"/>
      <c r="BM360" s="0"/>
      <c r="BN360" s="0"/>
      <c r="BO360" s="0"/>
      <c r="BP360" s="0"/>
      <c r="BQ360" s="0"/>
      <c r="BR360" s="0"/>
      <c r="BS360" s="0"/>
      <c r="BT360" s="0"/>
      <c r="BU360" s="0"/>
      <c r="BV360" s="0"/>
      <c r="BW360" s="0"/>
      <c r="BX360" s="0"/>
      <c r="BY360" s="0"/>
      <c r="BZ360" s="0"/>
      <c r="CA360" s="0"/>
      <c r="CB360" s="0"/>
      <c r="CC360" s="0"/>
      <c r="CD360" s="0"/>
      <c r="CE360" s="0"/>
      <c r="CF360" s="0"/>
      <c r="CG360" s="0"/>
      <c r="CH360" s="0"/>
      <c r="CI360" s="0"/>
      <c r="CJ360" s="0"/>
      <c r="CK360" s="0"/>
      <c r="CL360" s="0"/>
      <c r="CM360" s="0"/>
      <c r="CN360" s="0"/>
      <c r="CO360" s="0"/>
      <c r="CP360" s="0"/>
      <c r="CQ360" s="0"/>
      <c r="CR360" s="0"/>
      <c r="CS360" s="0"/>
      <c r="CT360" s="0"/>
      <c r="CU360" s="0"/>
      <c r="CV360" s="0"/>
      <c r="CW360" s="0"/>
      <c r="CX360" s="0"/>
    </row>
    <row r="361">
      <c r="A361" s="0" t="inlineStr">
        <is>
          <t xml:space="preserve">Running daily sd, bps</t>
        </is>
      </c>
      <c r="B361" s="0" t="inlineStr">
        <is>
          <t xml:space="preserve">Clustered Insider Buying</t>
        </is>
      </c>
      <c r="C361" s="4">
        <v>0</v>
      </c>
      <c r="D361" s="0"/>
      <c r="E361" s="0"/>
      <c r="F361" s="0"/>
      <c r="G361" s="0"/>
      <c r="H361" s="0"/>
      <c r="I361" s="0"/>
      <c r="J361" s="0"/>
      <c r="K361" s="0"/>
      <c r="L361" s="0"/>
      <c r="M361" s="0"/>
      <c r="N361" s="0"/>
      <c r="O361" s="0"/>
      <c r="P361" s="0"/>
      <c r="Q361" s="0"/>
      <c r="R361" s="0"/>
      <c r="S361" s="0"/>
      <c r="T361" s="0"/>
      <c r="U361" s="0"/>
      <c r="V361" s="0"/>
      <c r="W361" s="0"/>
      <c r="X361" s="0"/>
      <c r="Y361" s="0"/>
      <c r="Z361" s="0"/>
      <c r="AA361" s="0"/>
      <c r="AB361" s="0"/>
      <c r="AC361" s="0"/>
      <c r="AD361" s="0"/>
      <c r="AE361" s="0"/>
      <c r="AF361" s="0"/>
      <c r="AG361" s="0"/>
      <c r="AH361" s="0"/>
      <c r="AI361" s="0"/>
      <c r="AJ361" s="0"/>
      <c r="AK361" s="0"/>
      <c r="AL361" s="0"/>
      <c r="AM361" s="0"/>
      <c r="AN361" s="0"/>
      <c r="AO361" s="0"/>
      <c r="AP361" s="0"/>
      <c r="AQ361" s="0"/>
      <c r="AR361" s="0"/>
      <c r="AS361" s="0"/>
      <c r="AT361" s="0"/>
      <c r="AU361" s="0"/>
      <c r="AV361" s="0"/>
      <c r="AW361" s="0"/>
      <c r="AX361" s="0"/>
      <c r="AY361" s="0"/>
      <c r="AZ361" s="0"/>
      <c r="BA361" s="0"/>
      <c r="BB361" s="0"/>
      <c r="BC361" s="0"/>
      <c r="BD361" s="0"/>
      <c r="BE361" s="0"/>
      <c r="BF361" s="0"/>
      <c r="BG361" s="0"/>
      <c r="BH361" s="0"/>
      <c r="BI361" s="0"/>
      <c r="BJ361" s="0"/>
      <c r="BK361" s="0"/>
      <c r="BL361" s="0"/>
      <c r="BM361" s="0"/>
      <c r="BN361" s="0"/>
      <c r="BO361" s="0"/>
      <c r="BP361" s="0"/>
      <c r="BQ361" s="0"/>
      <c r="BR361" s="0"/>
      <c r="BS361" s="0"/>
      <c r="BT361" s="0"/>
      <c r="BU361" s="0"/>
      <c r="BV361" s="0"/>
      <c r="BW361" s="0"/>
      <c r="BX361" s="0"/>
      <c r="BY361" s="0"/>
      <c r="BZ361" s="0"/>
      <c r="CA361" s="0"/>
      <c r="CB361" s="0"/>
      <c r="CC361" s="0"/>
      <c r="CD361" s="0"/>
      <c r="CE361" s="0"/>
      <c r="CF361" s="0"/>
      <c r="CG361" s="0"/>
      <c r="CH361" s="0"/>
      <c r="CI361" s="0"/>
      <c r="CJ361" s="0"/>
      <c r="CK361" s="0"/>
      <c r="CL361" s="0"/>
      <c r="CM361" s="0"/>
      <c r="CN361" s="0"/>
      <c r="CO361" s="0"/>
      <c r="CP361" s="0"/>
      <c r="CQ361" s="0"/>
      <c r="CR361" s="0"/>
      <c r="CS361" s="0"/>
      <c r="CT361" s="0"/>
      <c r="CU361" s="0"/>
      <c r="CV361" s="0"/>
      <c r="CW361" s="0"/>
      <c r="CX361" s="0"/>
    </row>
    <row r="362">
      <c r="A362" s="0" t="inlineStr">
        <is>
          <t xml:space="preserve">Running daily sd, bps</t>
        </is>
      </c>
      <c r="B362" s="0" t="inlineStr">
        <is>
          <t xml:space="preserve">Same-Month Seasonality</t>
        </is>
      </c>
      <c r="C362" s="4">
        <v>0</v>
      </c>
      <c r="D362" s="0"/>
      <c r="E362" s="0"/>
      <c r="F362" s="0"/>
      <c r="G362" s="0"/>
      <c r="H362" s="0"/>
      <c r="I362" s="0"/>
      <c r="J362" s="0"/>
      <c r="K362" s="0"/>
      <c r="L362" s="0"/>
      <c r="M362" s="0"/>
      <c r="N362" s="0"/>
      <c r="O362" s="0"/>
      <c r="P362" s="0"/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AB362" s="0"/>
      <c r="AC362" s="0"/>
      <c r="AD362" s="0"/>
      <c r="AE362" s="0"/>
      <c r="AF362" s="0"/>
      <c r="AG362" s="0"/>
      <c r="AH362" s="0"/>
      <c r="AI362" s="0"/>
      <c r="AJ362" s="0"/>
      <c r="AK362" s="0"/>
      <c r="AL362" s="0"/>
      <c r="AM362" s="0"/>
      <c r="AN362" s="0"/>
      <c r="AO362" s="0"/>
      <c r="AP362" s="0"/>
      <c r="AQ362" s="0"/>
      <c r="AR362" s="0"/>
      <c r="AS362" s="0"/>
      <c r="AT362" s="0"/>
      <c r="AU362" s="0"/>
      <c r="AV362" s="0"/>
      <c r="AW362" s="0"/>
      <c r="AX362" s="0"/>
      <c r="AY362" s="0"/>
      <c r="AZ362" s="0"/>
      <c r="BA362" s="0"/>
      <c r="BB362" s="0"/>
      <c r="BC362" s="0"/>
      <c r="BD362" s="0"/>
      <c r="BE362" s="0"/>
      <c r="BF362" s="0"/>
      <c r="BG362" s="0"/>
      <c r="BH362" s="0"/>
      <c r="BI362" s="0"/>
      <c r="BJ362" s="0"/>
      <c r="BK362" s="0"/>
      <c r="BL362" s="0"/>
      <c r="BM362" s="0"/>
      <c r="BN362" s="0"/>
      <c r="BO362" s="0"/>
      <c r="BP362" s="0"/>
      <c r="BQ362" s="0"/>
      <c r="BR362" s="0"/>
      <c r="BS362" s="0"/>
      <c r="BT362" s="0"/>
      <c r="BU362" s="0"/>
      <c r="BV362" s="0"/>
      <c r="BW362" s="0"/>
      <c r="BX362" s="0"/>
      <c r="BY362" s="0"/>
      <c r="BZ362" s="0"/>
      <c r="CA362" s="0"/>
      <c r="CB362" s="0"/>
      <c r="CC362" s="0"/>
      <c r="CD362" s="0"/>
      <c r="CE362" s="0"/>
      <c r="CF362" s="0"/>
      <c r="CG362" s="0"/>
      <c r="CH362" s="0"/>
      <c r="CI362" s="0"/>
      <c r="CJ362" s="0"/>
      <c r="CK362" s="0"/>
      <c r="CL362" s="0"/>
      <c r="CM362" s="0"/>
      <c r="CN362" s="0"/>
      <c r="CO362" s="0"/>
      <c r="CP362" s="0"/>
      <c r="CQ362" s="0"/>
      <c r="CR362" s="0"/>
      <c r="CS362" s="0"/>
      <c r="CT362" s="0"/>
      <c r="CU362" s="0"/>
      <c r="CV362" s="0"/>
      <c r="CW362" s="0"/>
      <c r="CX362" s="0"/>
    </row>
    <row r="363">
      <c r="A363" s="0" t="inlineStr">
        <is>
          <t xml:space="preserve">Running daily sd, bps</t>
        </is>
      </c>
      <c r="B363" s="0" t="inlineStr">
        <is>
          <t xml:space="preserve">Quality at a Reasonable Price</t>
        </is>
      </c>
      <c r="C363" s="4">
        <v>0</v>
      </c>
      <c r="D363" s="0"/>
      <c r="E363" s="0"/>
      <c r="F363" s="0"/>
      <c r="G363" s="0"/>
      <c r="H363" s="0"/>
      <c r="I363" s="0"/>
      <c r="J363" s="0"/>
      <c r="K363" s="0"/>
      <c r="L363" s="0"/>
      <c r="M363" s="0"/>
      <c r="N363" s="0"/>
      <c r="O363" s="0"/>
      <c r="P363" s="0"/>
      <c r="Q363" s="0"/>
      <c r="R363" s="0"/>
      <c r="S363" s="0"/>
      <c r="T363" s="0"/>
      <c r="U363" s="0"/>
      <c r="V363" s="0"/>
      <c r="W363" s="0"/>
      <c r="X363" s="0"/>
      <c r="Y363" s="0"/>
      <c r="Z363" s="0"/>
      <c r="AA363" s="0"/>
      <c r="AB363" s="0"/>
      <c r="AC363" s="0"/>
      <c r="AD363" s="0"/>
      <c r="AE363" s="0"/>
      <c r="AF363" s="0"/>
      <c r="AG363" s="0"/>
      <c r="AH363" s="0"/>
      <c r="AI363" s="0"/>
      <c r="AJ363" s="0"/>
      <c r="AK363" s="0"/>
      <c r="AL363" s="0"/>
      <c r="AM363" s="0"/>
      <c r="AN363" s="0"/>
      <c r="AO363" s="0"/>
      <c r="AP363" s="0"/>
      <c r="AQ363" s="0"/>
      <c r="AR363" s="0"/>
      <c r="AS363" s="0"/>
      <c r="AT363" s="0"/>
      <c r="AU363" s="0"/>
      <c r="AV363" s="0"/>
      <c r="AW363" s="0"/>
      <c r="AX363" s="0"/>
      <c r="AY363" s="0"/>
      <c r="AZ363" s="0"/>
      <c r="BA363" s="0"/>
      <c r="BB363" s="0"/>
      <c r="BC363" s="0"/>
      <c r="BD363" s="0"/>
      <c r="BE363" s="0"/>
      <c r="BF363" s="0"/>
      <c r="BG363" s="0"/>
      <c r="BH363" s="0"/>
      <c r="BI363" s="0"/>
      <c r="BJ363" s="0"/>
      <c r="BK363" s="0"/>
      <c r="BL363" s="0"/>
      <c r="BM363" s="0"/>
      <c r="BN363" s="0"/>
      <c r="BO363" s="0"/>
      <c r="BP363" s="0"/>
      <c r="BQ363" s="0"/>
      <c r="BR363" s="0"/>
      <c r="BS363" s="0"/>
      <c r="BT363" s="0"/>
      <c r="BU363" s="0"/>
      <c r="BV363" s="0"/>
      <c r="BW363" s="0"/>
      <c r="BX363" s="0"/>
      <c r="BY363" s="0"/>
      <c r="BZ363" s="0"/>
      <c r="CA363" s="0"/>
      <c r="CB363" s="0"/>
      <c r="CC363" s="0"/>
      <c r="CD363" s="0"/>
      <c r="CE363" s="0"/>
      <c r="CF363" s="0"/>
      <c r="CG363" s="0"/>
      <c r="CH363" s="0"/>
      <c r="CI363" s="0"/>
      <c r="CJ363" s="0"/>
      <c r="CK363" s="0"/>
      <c r="CL363" s="0"/>
      <c r="CM363" s="0"/>
      <c r="CN363" s="0"/>
      <c r="CO363" s="0"/>
      <c r="CP363" s="0"/>
      <c r="CQ363" s="0"/>
      <c r="CR363" s="0"/>
      <c r="CS363" s="0"/>
      <c r="CT363" s="0"/>
      <c r="CU363" s="0"/>
      <c r="CV363" s="0"/>
      <c r="CW363" s="0"/>
      <c r="CX363" s="0"/>
    </row>
    <row r="364">
      <c r="A364" s="0" t="inlineStr">
        <is>
          <t xml:space="preserve">Running daily sd, bps</t>
        </is>
      </c>
      <c r="B364" s="0" t="inlineStr">
        <is>
          <t xml:space="preserve">Residual Momentum</t>
        </is>
      </c>
      <c r="C364" s="4">
        <v>0</v>
      </c>
      <c r="D364" s="0"/>
      <c r="E364" s="0"/>
      <c r="F364" s="0"/>
      <c r="G364" s="0"/>
      <c r="H364" s="0"/>
      <c r="I364" s="0"/>
      <c r="J364" s="0"/>
      <c r="K364" s="0"/>
      <c r="L364" s="0"/>
      <c r="M364" s="0"/>
      <c r="N364" s="0"/>
      <c r="O364" s="0"/>
      <c r="P364" s="0"/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AB364" s="0"/>
      <c r="AC364" s="0"/>
      <c r="AD364" s="0"/>
      <c r="AE364" s="0"/>
      <c r="AF364" s="0"/>
      <c r="AG364" s="0"/>
      <c r="AH364" s="0"/>
      <c r="AI364" s="0"/>
      <c r="AJ364" s="0"/>
      <c r="AK364" s="0"/>
      <c r="AL364" s="0"/>
      <c r="AM364" s="0"/>
      <c r="AN364" s="0"/>
      <c r="AO364" s="0"/>
      <c r="AP364" s="0"/>
      <c r="AQ364" s="0"/>
      <c r="AR364" s="0"/>
      <c r="AS364" s="0"/>
      <c r="AT364" s="0"/>
      <c r="AU364" s="0"/>
      <c r="AV364" s="0"/>
      <c r="AW364" s="0"/>
      <c r="AX364" s="0"/>
      <c r="AY364" s="0"/>
      <c r="AZ364" s="0"/>
      <c r="BA364" s="0"/>
      <c r="BB364" s="0"/>
      <c r="BC364" s="0"/>
      <c r="BD364" s="0"/>
      <c r="BE364" s="0"/>
      <c r="BF364" s="0"/>
      <c r="BG364" s="0"/>
      <c r="BH364" s="0"/>
      <c r="BI364" s="0"/>
      <c r="BJ364" s="0"/>
      <c r="BK364" s="0"/>
      <c r="BL364" s="0"/>
      <c r="BM364" s="0"/>
      <c r="BN364" s="0"/>
      <c r="BO364" s="0"/>
      <c r="BP364" s="0"/>
      <c r="BQ364" s="0"/>
      <c r="BR364" s="0"/>
      <c r="BS364" s="0"/>
      <c r="BT364" s="0"/>
      <c r="BU364" s="0"/>
      <c r="BV364" s="0"/>
      <c r="BW364" s="0"/>
      <c r="BX364" s="0"/>
      <c r="BY364" s="0"/>
      <c r="BZ364" s="0"/>
      <c r="CA364" s="0"/>
      <c r="CB364" s="0"/>
      <c r="CC364" s="0"/>
      <c r="CD364" s="0"/>
      <c r="CE364" s="0"/>
      <c r="CF364" s="0"/>
      <c r="CG364" s="0"/>
      <c r="CH364" s="0"/>
      <c r="CI364" s="0"/>
      <c r="CJ364" s="0"/>
      <c r="CK364" s="0"/>
      <c r="CL364" s="0"/>
      <c r="CM364" s="0"/>
      <c r="CN364" s="0"/>
      <c r="CO364" s="0"/>
      <c r="CP364" s="0"/>
      <c r="CQ364" s="0"/>
      <c r="CR364" s="0"/>
      <c r="CS364" s="0"/>
      <c r="CT364" s="0"/>
      <c r="CU364" s="0"/>
      <c r="CV364" s="0"/>
      <c r="CW364" s="0"/>
      <c r="CX364" s="0"/>
    </row>
    <row r="365">
      <c r="A365" s="0" t="inlineStr">
        <is>
          <t xml:space="preserve">Running daily sd, bps</t>
        </is>
      </c>
      <c r="B365" s="0" t="inlineStr">
        <is>
          <t xml:space="preserve">Overnight Return Persistence</t>
        </is>
      </c>
      <c r="C365" s="4">
        <v>0</v>
      </c>
      <c r="D365" s="0"/>
      <c r="E365" s="0"/>
      <c r="F365" s="0"/>
      <c r="G365" s="0"/>
      <c r="H365" s="0"/>
      <c r="I365" s="0"/>
      <c r="J365" s="0"/>
      <c r="K365" s="0"/>
      <c r="L365" s="0"/>
      <c r="M365" s="0"/>
      <c r="N365" s="0"/>
      <c r="O365" s="0"/>
      <c r="P365" s="0"/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AB365" s="0"/>
      <c r="AC365" s="0"/>
      <c r="AD365" s="0"/>
      <c r="AE365" s="0"/>
      <c r="AF365" s="0"/>
      <c r="AG365" s="0"/>
      <c r="AH365" s="0"/>
      <c r="AI365" s="0"/>
      <c r="AJ365" s="0"/>
      <c r="AK365" s="0"/>
      <c r="AL365" s="0"/>
      <c r="AM365" s="0"/>
      <c r="AN365" s="0"/>
      <c r="AO365" s="0"/>
      <c r="AP365" s="0"/>
      <c r="AQ365" s="0"/>
      <c r="AR365" s="0"/>
      <c r="AS365" s="0"/>
      <c r="AT365" s="0"/>
      <c r="AU365" s="0"/>
      <c r="AV365" s="0"/>
      <c r="AW365" s="0"/>
      <c r="AX365" s="0"/>
      <c r="AY365" s="0"/>
      <c r="AZ365" s="0"/>
      <c r="BA365" s="0"/>
      <c r="BB365" s="0"/>
      <c r="BC365" s="0"/>
      <c r="BD365" s="0"/>
      <c r="BE365" s="0"/>
      <c r="BF365" s="0"/>
      <c r="BG365" s="0"/>
      <c r="BH365" s="0"/>
      <c r="BI365" s="0"/>
      <c r="BJ365" s="0"/>
      <c r="BK365" s="0"/>
      <c r="BL365" s="0"/>
      <c r="BM365" s="0"/>
      <c r="BN365" s="0"/>
      <c r="BO365" s="0"/>
      <c r="BP365" s="0"/>
      <c r="BQ365" s="0"/>
      <c r="BR365" s="0"/>
      <c r="BS365" s="0"/>
      <c r="BT365" s="0"/>
      <c r="BU365" s="0"/>
      <c r="BV365" s="0"/>
      <c r="BW365" s="0"/>
      <c r="BX365" s="0"/>
      <c r="BY365" s="0"/>
      <c r="BZ365" s="0"/>
      <c r="CA365" s="0"/>
      <c r="CB365" s="0"/>
      <c r="CC365" s="0"/>
      <c r="CD365" s="0"/>
      <c r="CE365" s="0"/>
      <c r="CF365" s="0"/>
      <c r="CG365" s="0"/>
      <c r="CH365" s="0"/>
      <c r="CI365" s="0"/>
      <c r="CJ365" s="0"/>
      <c r="CK365" s="0"/>
      <c r="CL365" s="0"/>
      <c r="CM365" s="0"/>
      <c r="CN365" s="0"/>
      <c r="CO365" s="0"/>
      <c r="CP365" s="0"/>
      <c r="CQ365" s="0"/>
      <c r="CR365" s="0"/>
      <c r="CS365" s="0"/>
      <c r="CT365" s="0"/>
      <c r="CU365" s="0"/>
      <c r="CV365" s="0"/>
      <c r="CW365" s="0"/>
      <c r="CX365" s="0"/>
    </row>
    <row r="366">
      <c r="A366" s="0" t="inlineStr">
        <is>
          <t xml:space="preserve">Running daily sd, bps</t>
        </is>
      </c>
      <c r="B366" s="0" t="inlineStr">
        <is>
          <t xml:space="preserve">52-Week-High Anchoring</t>
        </is>
      </c>
      <c r="C366" s="4">
        <v>0</v>
      </c>
      <c r="D366" s="0"/>
      <c r="E366" s="0"/>
      <c r="F366" s="0"/>
      <c r="G366" s="0"/>
      <c r="H366" s="0"/>
      <c r="I366" s="0"/>
      <c r="J366" s="0"/>
      <c r="K366" s="0"/>
      <c r="L366" s="0"/>
      <c r="M366" s="0"/>
      <c r="N366" s="0"/>
      <c r="O366" s="0"/>
      <c r="P366" s="0"/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AB366" s="0"/>
      <c r="AC366" s="0"/>
      <c r="AD366" s="0"/>
      <c r="AE366" s="0"/>
      <c r="AF366" s="0"/>
      <c r="AG366" s="0"/>
      <c r="AH366" s="0"/>
      <c r="AI366" s="0"/>
      <c r="AJ366" s="0"/>
      <c r="AK366" s="0"/>
      <c r="AL366" s="0"/>
      <c r="AM366" s="0"/>
      <c r="AN366" s="0"/>
      <c r="AO366" s="0"/>
      <c r="AP366" s="0"/>
      <c r="AQ366" s="0"/>
      <c r="AR366" s="0"/>
      <c r="AS366" s="0"/>
      <c r="AT366" s="0"/>
      <c r="AU366" s="0"/>
      <c r="AV366" s="0"/>
      <c r="AW366" s="0"/>
      <c r="AX366" s="0"/>
      <c r="AY366" s="0"/>
      <c r="AZ366" s="0"/>
      <c r="BA366" s="0"/>
      <c r="BB366" s="0"/>
      <c r="BC366" s="0"/>
      <c r="BD366" s="0"/>
      <c r="BE366" s="0"/>
      <c r="BF366" s="0"/>
      <c r="BG366" s="0"/>
      <c r="BH366" s="0"/>
      <c r="BI366" s="0"/>
      <c r="BJ366" s="0"/>
      <c r="BK366" s="0"/>
      <c r="BL366" s="0"/>
      <c r="BM366" s="0"/>
      <c r="BN366" s="0"/>
      <c r="BO366" s="0"/>
      <c r="BP366" s="0"/>
      <c r="BQ366" s="0"/>
      <c r="BR366" s="0"/>
      <c r="BS366" s="0"/>
      <c r="BT366" s="0"/>
      <c r="BU366" s="0"/>
      <c r="BV366" s="0"/>
      <c r="BW366" s="0"/>
      <c r="BX366" s="0"/>
      <c r="BY366" s="0"/>
      <c r="BZ366" s="0"/>
      <c r="CA366" s="0"/>
      <c r="CB366" s="0"/>
      <c r="CC366" s="0"/>
      <c r="CD366" s="0"/>
      <c r="CE366" s="0"/>
      <c r="CF366" s="0"/>
      <c r="CG366" s="0"/>
      <c r="CH366" s="0"/>
      <c r="CI366" s="0"/>
      <c r="CJ366" s="0"/>
      <c r="CK366" s="0"/>
      <c r="CL366" s="0"/>
      <c r="CM366" s="0"/>
      <c r="CN366" s="0"/>
      <c r="CO366" s="0"/>
      <c r="CP366" s="0"/>
      <c r="CQ366" s="0"/>
      <c r="CR366" s="0"/>
      <c r="CS366" s="0"/>
      <c r="CT366" s="0"/>
      <c r="CU366" s="0"/>
      <c r="CV366" s="0"/>
      <c r="CW366" s="0"/>
      <c r="CX366" s="0"/>
    </row>
    <row r="367">
      <c r="A367" s="0" t="inlineStr">
        <is>
          <t xml:space="preserve">Running daily sd, bps</t>
        </is>
      </c>
      <c r="B367" s="0" t="inlineStr">
        <is>
          <t xml:space="preserve">Random 1</t>
        </is>
      </c>
      <c r="C367" s="4">
        <v>0</v>
      </c>
      <c r="D367" s="0"/>
      <c r="E367" s="0"/>
      <c r="F367" s="0"/>
      <c r="G367" s="0"/>
      <c r="H367" s="0"/>
      <c r="I367" s="0"/>
      <c r="J367" s="0"/>
      <c r="K367" s="0"/>
      <c r="L367" s="0"/>
      <c r="M367" s="0"/>
      <c r="N367" s="0"/>
      <c r="O367" s="0"/>
      <c r="P367" s="0"/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AB367" s="0"/>
      <c r="AC367" s="0"/>
      <c r="AD367" s="0"/>
      <c r="AE367" s="0"/>
      <c r="AF367" s="0"/>
      <c r="AG367" s="0"/>
      <c r="AH367" s="0"/>
      <c r="AI367" s="0"/>
      <c r="AJ367" s="0"/>
      <c r="AK367" s="0"/>
      <c r="AL367" s="0"/>
      <c r="AM367" s="0"/>
      <c r="AN367" s="0"/>
      <c r="AO367" s="0"/>
      <c r="AP367" s="0"/>
      <c r="AQ367" s="0"/>
      <c r="AR367" s="0"/>
      <c r="AS367" s="0"/>
      <c r="AT367" s="0"/>
      <c r="AU367" s="0"/>
      <c r="AV367" s="0"/>
      <c r="AW367" s="0"/>
      <c r="AX367" s="0"/>
      <c r="AY367" s="0"/>
      <c r="AZ367" s="0"/>
      <c r="BA367" s="0"/>
      <c r="BB367" s="0"/>
      <c r="BC367" s="0"/>
      <c r="BD367" s="0"/>
      <c r="BE367" s="0"/>
      <c r="BF367" s="0"/>
      <c r="BG367" s="0"/>
      <c r="BH367" s="0"/>
      <c r="BI367" s="0"/>
      <c r="BJ367" s="0"/>
      <c r="BK367" s="0"/>
      <c r="BL367" s="0"/>
      <c r="BM367" s="0"/>
      <c r="BN367" s="0"/>
      <c r="BO367" s="0"/>
      <c r="BP367" s="0"/>
      <c r="BQ367" s="0"/>
      <c r="BR367" s="0"/>
      <c r="BS367" s="0"/>
      <c r="BT367" s="0"/>
      <c r="BU367" s="0"/>
      <c r="BV367" s="0"/>
      <c r="BW367" s="0"/>
      <c r="BX367" s="0"/>
      <c r="BY367" s="0"/>
      <c r="BZ367" s="0"/>
      <c r="CA367" s="0"/>
      <c r="CB367" s="0"/>
      <c r="CC367" s="0"/>
      <c r="CD367" s="0"/>
      <c r="CE367" s="0"/>
      <c r="CF367" s="0"/>
      <c r="CG367" s="0"/>
      <c r="CH367" s="0"/>
      <c r="CI367" s="0"/>
      <c r="CJ367" s="0"/>
      <c r="CK367" s="0"/>
      <c r="CL367" s="0"/>
      <c r="CM367" s="0"/>
      <c r="CN367" s="0"/>
      <c r="CO367" s="0"/>
      <c r="CP367" s="0"/>
      <c r="CQ367" s="0"/>
      <c r="CR367" s="0"/>
      <c r="CS367" s="0"/>
      <c r="CT367" s="0"/>
      <c r="CU367" s="0"/>
      <c r="CV367" s="0"/>
      <c r="CW367" s="0"/>
      <c r="CX367" s="0"/>
    </row>
    <row r="368">
      <c r="A368" s="0" t="inlineStr">
        <is>
          <t xml:space="preserve">Running daily sd, bps</t>
        </is>
      </c>
      <c r="B368" s="0" t="inlineStr">
        <is>
          <t xml:space="preserve">Random 2</t>
        </is>
      </c>
      <c r="C368" s="4">
        <v>0</v>
      </c>
      <c r="D368" s="0"/>
      <c r="E368" s="0"/>
      <c r="F368" s="0"/>
      <c r="G368" s="0"/>
      <c r="H368" s="0"/>
      <c r="I368" s="0"/>
      <c r="J368" s="0"/>
      <c r="K368" s="0"/>
      <c r="L368" s="0"/>
      <c r="M368" s="0"/>
      <c r="N368" s="0"/>
      <c r="O368" s="0"/>
      <c r="P368" s="0"/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AB368" s="0"/>
      <c r="AC368" s="0"/>
      <c r="AD368" s="0"/>
      <c r="AE368" s="0"/>
      <c r="AF368" s="0"/>
      <c r="AG368" s="0"/>
      <c r="AH368" s="0"/>
      <c r="AI368" s="0"/>
      <c r="AJ368" s="0"/>
      <c r="AK368" s="0"/>
      <c r="AL368" s="0"/>
      <c r="AM368" s="0"/>
      <c r="AN368" s="0"/>
      <c r="AO368" s="0"/>
      <c r="AP368" s="0"/>
      <c r="AQ368" s="0"/>
      <c r="AR368" s="0"/>
      <c r="AS368" s="0"/>
      <c r="AT368" s="0"/>
      <c r="AU368" s="0"/>
      <c r="AV368" s="0"/>
      <c r="AW368" s="0"/>
      <c r="AX368" s="0"/>
      <c r="AY368" s="0"/>
      <c r="AZ368" s="0"/>
      <c r="BA368" s="0"/>
      <c r="BB368" s="0"/>
      <c r="BC368" s="0"/>
      <c r="BD368" s="0"/>
      <c r="BE368" s="0"/>
      <c r="BF368" s="0"/>
      <c r="BG368" s="0"/>
      <c r="BH368" s="0"/>
      <c r="BI368" s="0"/>
      <c r="BJ368" s="0"/>
      <c r="BK368" s="0"/>
      <c r="BL368" s="0"/>
      <c r="BM368" s="0"/>
      <c r="BN368" s="0"/>
      <c r="BO368" s="0"/>
      <c r="BP368" s="0"/>
      <c r="BQ368" s="0"/>
      <c r="BR368" s="0"/>
      <c r="BS368" s="0"/>
      <c r="BT368" s="0"/>
      <c r="BU368" s="0"/>
      <c r="BV368" s="0"/>
      <c r="BW368" s="0"/>
      <c r="BX368" s="0"/>
      <c r="BY368" s="0"/>
      <c r="BZ368" s="0"/>
      <c r="CA368" s="0"/>
      <c r="CB368" s="0"/>
      <c r="CC368" s="0"/>
      <c r="CD368" s="0"/>
      <c r="CE368" s="0"/>
      <c r="CF368" s="0"/>
      <c r="CG368" s="0"/>
      <c r="CH368" s="0"/>
      <c r="CI368" s="0"/>
      <c r="CJ368" s="0"/>
      <c r="CK368" s="0"/>
      <c r="CL368" s="0"/>
      <c r="CM368" s="0"/>
      <c r="CN368" s="0"/>
      <c r="CO368" s="0"/>
      <c r="CP368" s="0"/>
      <c r="CQ368" s="0"/>
      <c r="CR368" s="0"/>
      <c r="CS368" s="0"/>
      <c r="CT368" s="0"/>
      <c r="CU368" s="0"/>
      <c r="CV368" s="0"/>
      <c r="CW368" s="0"/>
      <c r="CX368" s="0"/>
    </row>
    <row r="369">
      <c r="A369" s="0" t="inlineStr">
        <is>
          <t xml:space="preserve">Running daily sd, bps</t>
        </is>
      </c>
      <c r="B369" s="0" t="inlineStr">
        <is>
          <t xml:space="preserve">Random 3</t>
        </is>
      </c>
      <c r="C369" s="4">
        <v>0</v>
      </c>
      <c r="D369" s="0"/>
      <c r="E369" s="0"/>
      <c r="F369" s="0"/>
      <c r="G369" s="0"/>
      <c r="H369" s="0"/>
      <c r="I369" s="0"/>
      <c r="J369" s="0"/>
      <c r="K369" s="0"/>
      <c r="L369" s="0"/>
      <c r="M369" s="0"/>
      <c r="N369" s="0"/>
      <c r="O369" s="0"/>
      <c r="P369" s="0"/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AB369" s="0"/>
      <c r="AC369" s="0"/>
      <c r="AD369" s="0"/>
      <c r="AE369" s="0"/>
      <c r="AF369" s="0"/>
      <c r="AG369" s="0"/>
      <c r="AH369" s="0"/>
      <c r="AI369" s="0"/>
      <c r="AJ369" s="0"/>
      <c r="AK369" s="0"/>
      <c r="AL369" s="0"/>
      <c r="AM369" s="0"/>
      <c r="AN369" s="0"/>
      <c r="AO369" s="0"/>
      <c r="AP369" s="0"/>
      <c r="AQ369" s="0"/>
      <c r="AR369" s="0"/>
      <c r="AS369" s="0"/>
      <c r="AT369" s="0"/>
      <c r="AU369" s="0"/>
      <c r="AV369" s="0"/>
      <c r="AW369" s="0"/>
      <c r="AX369" s="0"/>
      <c r="AY369" s="0"/>
      <c r="AZ369" s="0"/>
      <c r="BA369" s="0"/>
      <c r="BB369" s="0"/>
      <c r="BC369" s="0"/>
      <c r="BD369" s="0"/>
      <c r="BE369" s="0"/>
      <c r="BF369" s="0"/>
      <c r="BG369" s="0"/>
      <c r="BH369" s="0"/>
      <c r="BI369" s="0"/>
      <c r="BJ369" s="0"/>
      <c r="BK369" s="0"/>
      <c r="BL369" s="0"/>
      <c r="BM369" s="0"/>
      <c r="BN369" s="0"/>
      <c r="BO369" s="0"/>
      <c r="BP369" s="0"/>
      <c r="BQ369" s="0"/>
      <c r="BR369" s="0"/>
      <c r="BS369" s="0"/>
      <c r="BT369" s="0"/>
      <c r="BU369" s="0"/>
      <c r="BV369" s="0"/>
      <c r="BW369" s="0"/>
      <c r="BX369" s="0"/>
      <c r="BY369" s="0"/>
      <c r="BZ369" s="0"/>
      <c r="CA369" s="0"/>
      <c r="CB369" s="0"/>
      <c r="CC369" s="0"/>
      <c r="CD369" s="0"/>
      <c r="CE369" s="0"/>
      <c r="CF369" s="0"/>
      <c r="CG369" s="0"/>
      <c r="CH369" s="0"/>
      <c r="CI369" s="0"/>
      <c r="CJ369" s="0"/>
      <c r="CK369" s="0"/>
      <c r="CL369" s="0"/>
      <c r="CM369" s="0"/>
      <c r="CN369" s="0"/>
      <c r="CO369" s="0"/>
      <c r="CP369" s="0"/>
      <c r="CQ369" s="0"/>
      <c r="CR369" s="0"/>
      <c r="CS369" s="0"/>
      <c r="CT369" s="0"/>
      <c r="CU369" s="0"/>
      <c r="CV369" s="0"/>
      <c r="CW369" s="0"/>
      <c r="CX369" s="0"/>
    </row>
    <row r="370">
      <c r="A370" s="0" t="inlineStr">
        <is>
          <t xml:space="preserve">Running daily sd, bps</t>
        </is>
      </c>
      <c r="B370" s="0" t="inlineStr">
        <is>
          <t xml:space="preserve">Random 4</t>
        </is>
      </c>
      <c r="C370" s="4">
        <v>0</v>
      </c>
      <c r="D370" s="0"/>
      <c r="E370" s="0"/>
      <c r="F370" s="0"/>
      <c r="G370" s="0"/>
      <c r="H370" s="0"/>
      <c r="I370" s="0"/>
      <c r="J370" s="0"/>
      <c r="K370" s="0"/>
      <c r="L370" s="0"/>
      <c r="M370" s="0"/>
      <c r="N370" s="0"/>
      <c r="O370" s="0"/>
      <c r="P370" s="0"/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AB370" s="0"/>
      <c r="AC370" s="0"/>
      <c r="AD370" s="0"/>
      <c r="AE370" s="0"/>
      <c r="AF370" s="0"/>
      <c r="AG370" s="0"/>
      <c r="AH370" s="0"/>
      <c r="AI370" s="0"/>
      <c r="AJ370" s="0"/>
      <c r="AK370" s="0"/>
      <c r="AL370" s="0"/>
      <c r="AM370" s="0"/>
      <c r="AN370" s="0"/>
      <c r="AO370" s="0"/>
      <c r="AP370" s="0"/>
      <c r="AQ370" s="0"/>
      <c r="AR370" s="0"/>
      <c r="AS370" s="0"/>
      <c r="AT370" s="0"/>
      <c r="AU370" s="0"/>
      <c r="AV370" s="0"/>
      <c r="AW370" s="0"/>
      <c r="AX370" s="0"/>
      <c r="AY370" s="0"/>
      <c r="AZ370" s="0"/>
      <c r="BA370" s="0"/>
      <c r="BB370" s="0"/>
      <c r="BC370" s="0"/>
      <c r="BD370" s="0"/>
      <c r="BE370" s="0"/>
      <c r="BF370" s="0"/>
      <c r="BG370" s="0"/>
      <c r="BH370" s="0"/>
      <c r="BI370" s="0"/>
      <c r="BJ370" s="0"/>
      <c r="BK370" s="0"/>
      <c r="BL370" s="0"/>
      <c r="BM370" s="0"/>
      <c r="BN370" s="0"/>
      <c r="BO370" s="0"/>
      <c r="BP370" s="0"/>
      <c r="BQ370" s="0"/>
      <c r="BR370" s="0"/>
      <c r="BS370" s="0"/>
      <c r="BT370" s="0"/>
      <c r="BU370" s="0"/>
      <c r="BV370" s="0"/>
      <c r="BW370" s="0"/>
      <c r="BX370" s="0"/>
      <c r="BY370" s="0"/>
      <c r="BZ370" s="0"/>
      <c r="CA370" s="0"/>
      <c r="CB370" s="0"/>
      <c r="CC370" s="0"/>
      <c r="CD370" s="0"/>
      <c r="CE370" s="0"/>
      <c r="CF370" s="0"/>
      <c r="CG370" s="0"/>
      <c r="CH370" s="0"/>
      <c r="CI370" s="0"/>
      <c r="CJ370" s="0"/>
      <c r="CK370" s="0"/>
      <c r="CL370" s="0"/>
      <c r="CM370" s="0"/>
      <c r="CN370" s="0"/>
      <c r="CO370" s="0"/>
      <c r="CP370" s="0"/>
      <c r="CQ370" s="0"/>
      <c r="CR370" s="0"/>
      <c r="CS370" s="0"/>
      <c r="CT370" s="0"/>
      <c r="CU370" s="0"/>
      <c r="CV370" s="0"/>
      <c r="CW370" s="0"/>
      <c r="CX370" s="0"/>
    </row>
    <row r="371">
      <c r="A371" s="0" t="inlineStr">
        <is>
          <t xml:space="preserve">Running daily sd, bps</t>
        </is>
      </c>
      <c r="B371" s="0" t="inlineStr">
        <is>
          <t xml:space="preserve">Random 5</t>
        </is>
      </c>
      <c r="C371" s="4">
        <v>0</v>
      </c>
      <c r="D371" s="0"/>
      <c r="E371" s="0"/>
      <c r="F371" s="0"/>
      <c r="G371" s="0"/>
      <c r="H371" s="0"/>
      <c r="I371" s="0"/>
      <c r="J371" s="0"/>
      <c r="K371" s="0"/>
      <c r="L371" s="0"/>
      <c r="M371" s="0"/>
      <c r="N371" s="0"/>
      <c r="O371" s="0"/>
      <c r="P371" s="0"/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AB371" s="0"/>
      <c r="AC371" s="0"/>
      <c r="AD371" s="0"/>
      <c r="AE371" s="0"/>
      <c r="AF371" s="0"/>
      <c r="AG371" s="0"/>
      <c r="AH371" s="0"/>
      <c r="AI371" s="0"/>
      <c r="AJ371" s="0"/>
      <c r="AK371" s="0"/>
      <c r="AL371" s="0"/>
      <c r="AM371" s="0"/>
      <c r="AN371" s="0"/>
      <c r="AO371" s="0"/>
      <c r="AP371" s="0"/>
      <c r="AQ371" s="0"/>
      <c r="AR371" s="0"/>
      <c r="AS371" s="0"/>
      <c r="AT371" s="0"/>
      <c r="AU371" s="0"/>
      <c r="AV371" s="0"/>
      <c r="AW371" s="0"/>
      <c r="AX371" s="0"/>
      <c r="AY371" s="0"/>
      <c r="AZ371" s="0"/>
      <c r="BA371" s="0"/>
      <c r="BB371" s="0"/>
      <c r="BC371" s="0"/>
      <c r="BD371" s="0"/>
      <c r="BE371" s="0"/>
      <c r="BF371" s="0"/>
      <c r="BG371" s="0"/>
      <c r="BH371" s="0"/>
      <c r="BI371" s="0"/>
      <c r="BJ371" s="0"/>
      <c r="BK371" s="0"/>
      <c r="BL371" s="0"/>
      <c r="BM371" s="0"/>
      <c r="BN371" s="0"/>
      <c r="BO371" s="0"/>
      <c r="BP371" s="0"/>
      <c r="BQ371" s="0"/>
      <c r="BR371" s="0"/>
      <c r="BS371" s="0"/>
      <c r="BT371" s="0"/>
      <c r="BU371" s="0"/>
      <c r="BV371" s="0"/>
      <c r="BW371" s="0"/>
      <c r="BX371" s="0"/>
      <c r="BY371" s="0"/>
      <c r="BZ371" s="0"/>
      <c r="CA371" s="0"/>
      <c r="CB371" s="0"/>
      <c r="CC371" s="0"/>
      <c r="CD371" s="0"/>
      <c r="CE371" s="0"/>
      <c r="CF371" s="0"/>
      <c r="CG371" s="0"/>
      <c r="CH371" s="0"/>
      <c r="CI371" s="0"/>
      <c r="CJ371" s="0"/>
      <c r="CK371" s="0"/>
      <c r="CL371" s="0"/>
      <c r="CM371" s="0"/>
      <c r="CN371" s="0"/>
      <c r="CO371" s="0"/>
      <c r="CP371" s="0"/>
      <c r="CQ371" s="0"/>
      <c r="CR371" s="0"/>
      <c r="CS371" s="0"/>
      <c r="CT371" s="0"/>
      <c r="CU371" s="0"/>
      <c r="CV371" s="0"/>
      <c r="CW371" s="0"/>
      <c r="CX371" s="0"/>
    </row>
    <row r="372">
      <c r="A372" s="0" t="inlineStr">
        <is>
          <t xml:space="preserve">Running daily sd, bps</t>
        </is>
      </c>
      <c r="B372" s="0" t="inlineStr">
        <is>
          <t xml:space="preserve">Random 6</t>
        </is>
      </c>
      <c r="C372" s="4">
        <v>0</v>
      </c>
      <c r="D372" s="0"/>
      <c r="E372" s="0"/>
      <c r="F372" s="0"/>
      <c r="G372" s="0"/>
      <c r="H372" s="0"/>
      <c r="I372" s="0"/>
      <c r="J372" s="0"/>
      <c r="K372" s="0"/>
      <c r="L372" s="0"/>
      <c r="M372" s="0"/>
      <c r="N372" s="0"/>
      <c r="O372" s="0"/>
      <c r="P372" s="0"/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AB372" s="0"/>
      <c r="AC372" s="0"/>
      <c r="AD372" s="0"/>
      <c r="AE372" s="0"/>
      <c r="AF372" s="0"/>
      <c r="AG372" s="0"/>
      <c r="AH372" s="0"/>
      <c r="AI372" s="0"/>
      <c r="AJ372" s="0"/>
      <c r="AK372" s="0"/>
      <c r="AL372" s="0"/>
      <c r="AM372" s="0"/>
      <c r="AN372" s="0"/>
      <c r="AO372" s="0"/>
      <c r="AP372" s="0"/>
      <c r="AQ372" s="0"/>
      <c r="AR372" s="0"/>
      <c r="AS372" s="0"/>
      <c r="AT372" s="0"/>
      <c r="AU372" s="0"/>
      <c r="AV372" s="0"/>
      <c r="AW372" s="0"/>
      <c r="AX372" s="0"/>
      <c r="AY372" s="0"/>
      <c r="AZ372" s="0"/>
      <c r="BA372" s="0"/>
      <c r="BB372" s="0"/>
      <c r="BC372" s="0"/>
      <c r="BD372" s="0"/>
      <c r="BE372" s="0"/>
      <c r="BF372" s="0"/>
      <c r="BG372" s="0"/>
      <c r="BH372" s="0"/>
      <c r="BI372" s="0"/>
      <c r="BJ372" s="0"/>
      <c r="BK372" s="0"/>
      <c r="BL372" s="0"/>
      <c r="BM372" s="0"/>
      <c r="BN372" s="0"/>
      <c r="BO372" s="0"/>
      <c r="BP372" s="0"/>
      <c r="BQ372" s="0"/>
      <c r="BR372" s="0"/>
      <c r="BS372" s="0"/>
      <c r="BT372" s="0"/>
      <c r="BU372" s="0"/>
      <c r="BV372" s="0"/>
      <c r="BW372" s="0"/>
      <c r="BX372" s="0"/>
      <c r="BY372" s="0"/>
      <c r="BZ372" s="0"/>
      <c r="CA372" s="0"/>
      <c r="CB372" s="0"/>
      <c r="CC372" s="0"/>
      <c r="CD372" s="0"/>
      <c r="CE372" s="0"/>
      <c r="CF372" s="0"/>
      <c r="CG372" s="0"/>
      <c r="CH372" s="0"/>
      <c r="CI372" s="0"/>
      <c r="CJ372" s="0"/>
      <c r="CK372" s="0"/>
      <c r="CL372" s="0"/>
      <c r="CM372" s="0"/>
      <c r="CN372" s="0"/>
      <c r="CO372" s="0"/>
      <c r="CP372" s="0"/>
      <c r="CQ372" s="0"/>
      <c r="CR372" s="0"/>
      <c r="CS372" s="0"/>
      <c r="CT372" s="0"/>
      <c r="CU372" s="0"/>
      <c r="CV372" s="0"/>
      <c r="CW372" s="0"/>
      <c r="CX372" s="0"/>
    </row>
    <row r="373">
      <c r="A373" s="0" t="inlineStr">
        <is>
          <t xml:space="preserve">Running daily sd, bps</t>
        </is>
      </c>
      <c r="B373" s="0" t="inlineStr">
        <is>
          <t xml:space="preserve">Random 7</t>
        </is>
      </c>
      <c r="C373" s="4">
        <v>0</v>
      </c>
      <c r="D373" s="0"/>
      <c r="E373" s="0"/>
      <c r="F373" s="0"/>
      <c r="G373" s="0"/>
      <c r="H373" s="0"/>
      <c r="I373" s="0"/>
      <c r="J373" s="0"/>
      <c r="K373" s="0"/>
      <c r="L373" s="0"/>
      <c r="M373" s="0"/>
      <c r="N373" s="0"/>
      <c r="O373" s="0"/>
      <c r="P373" s="0"/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AB373" s="0"/>
      <c r="AC373" s="0"/>
      <c r="AD373" s="0"/>
      <c r="AE373" s="0"/>
      <c r="AF373" s="0"/>
      <c r="AG373" s="0"/>
      <c r="AH373" s="0"/>
      <c r="AI373" s="0"/>
      <c r="AJ373" s="0"/>
      <c r="AK373" s="0"/>
      <c r="AL373" s="0"/>
      <c r="AM373" s="0"/>
      <c r="AN373" s="0"/>
      <c r="AO373" s="0"/>
      <c r="AP373" s="0"/>
      <c r="AQ373" s="0"/>
      <c r="AR373" s="0"/>
      <c r="AS373" s="0"/>
      <c r="AT373" s="0"/>
      <c r="AU373" s="0"/>
      <c r="AV373" s="0"/>
      <c r="AW373" s="0"/>
      <c r="AX373" s="0"/>
      <c r="AY373" s="0"/>
      <c r="AZ373" s="0"/>
      <c r="BA373" s="0"/>
      <c r="BB373" s="0"/>
      <c r="BC373" s="0"/>
      <c r="BD373" s="0"/>
      <c r="BE373" s="0"/>
      <c r="BF373" s="0"/>
      <c r="BG373" s="0"/>
      <c r="BH373" s="0"/>
      <c r="BI373" s="0"/>
      <c r="BJ373" s="0"/>
      <c r="BK373" s="0"/>
      <c r="BL373" s="0"/>
      <c r="BM373" s="0"/>
      <c r="BN373" s="0"/>
      <c r="BO373" s="0"/>
      <c r="BP373" s="0"/>
      <c r="BQ373" s="0"/>
      <c r="BR373" s="0"/>
      <c r="BS373" s="0"/>
      <c r="BT373" s="0"/>
      <c r="BU373" s="0"/>
      <c r="BV373" s="0"/>
      <c r="BW373" s="0"/>
      <c r="BX373" s="0"/>
      <c r="BY373" s="0"/>
      <c r="BZ373" s="0"/>
      <c r="CA373" s="0"/>
      <c r="CB373" s="0"/>
      <c r="CC373" s="0"/>
      <c r="CD373" s="0"/>
      <c r="CE373" s="0"/>
      <c r="CF373" s="0"/>
      <c r="CG373" s="0"/>
      <c r="CH373" s="0"/>
      <c r="CI373" s="0"/>
      <c r="CJ373" s="0"/>
      <c r="CK373" s="0"/>
      <c r="CL373" s="0"/>
      <c r="CM373" s="0"/>
      <c r="CN373" s="0"/>
      <c r="CO373" s="0"/>
      <c r="CP373" s="0"/>
      <c r="CQ373" s="0"/>
      <c r="CR373" s="0"/>
      <c r="CS373" s="0"/>
      <c r="CT373" s="0"/>
      <c r="CU373" s="0"/>
      <c r="CV373" s="0"/>
      <c r="CW373" s="0"/>
      <c r="CX373" s="0"/>
    </row>
    <row r="374">
      <c r="A374" s="0" t="inlineStr">
        <is>
          <t xml:space="preserve">Running daily sd, bps</t>
        </is>
      </c>
      <c r="B374" s="0" t="inlineStr">
        <is>
          <t xml:space="preserve">Random 8</t>
        </is>
      </c>
      <c r="C374" s="4">
        <v>0</v>
      </c>
      <c r="D374" s="0"/>
      <c r="E374" s="0"/>
      <c r="F374" s="0"/>
      <c r="G374" s="0"/>
      <c r="H374" s="0"/>
      <c r="I374" s="0"/>
      <c r="J374" s="0"/>
      <c r="K374" s="0"/>
      <c r="L374" s="0"/>
      <c r="M374" s="0"/>
      <c r="N374" s="0"/>
      <c r="O374" s="0"/>
      <c r="P374" s="0"/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AB374" s="0"/>
      <c r="AC374" s="0"/>
      <c r="AD374" s="0"/>
      <c r="AE374" s="0"/>
      <c r="AF374" s="0"/>
      <c r="AG374" s="0"/>
      <c r="AH374" s="0"/>
      <c r="AI374" s="0"/>
      <c r="AJ374" s="0"/>
      <c r="AK374" s="0"/>
      <c r="AL374" s="0"/>
      <c r="AM374" s="0"/>
      <c r="AN374" s="0"/>
      <c r="AO374" s="0"/>
      <c r="AP374" s="0"/>
      <c r="AQ374" s="0"/>
      <c r="AR374" s="0"/>
      <c r="AS374" s="0"/>
      <c r="AT374" s="0"/>
      <c r="AU374" s="0"/>
      <c r="AV374" s="0"/>
      <c r="AW374" s="0"/>
      <c r="AX374" s="0"/>
      <c r="AY374" s="0"/>
      <c r="AZ374" s="0"/>
      <c r="BA374" s="0"/>
      <c r="BB374" s="0"/>
      <c r="BC374" s="0"/>
      <c r="BD374" s="0"/>
      <c r="BE374" s="0"/>
      <c r="BF374" s="0"/>
      <c r="BG374" s="0"/>
      <c r="BH374" s="0"/>
      <c r="BI374" s="0"/>
      <c r="BJ374" s="0"/>
      <c r="BK374" s="0"/>
      <c r="BL374" s="0"/>
      <c r="BM374" s="0"/>
      <c r="BN374" s="0"/>
      <c r="BO374" s="0"/>
      <c r="BP374" s="0"/>
      <c r="BQ374" s="0"/>
      <c r="BR374" s="0"/>
      <c r="BS374" s="0"/>
      <c r="BT374" s="0"/>
      <c r="BU374" s="0"/>
      <c r="BV374" s="0"/>
      <c r="BW374" s="0"/>
      <c r="BX374" s="0"/>
      <c r="BY374" s="0"/>
      <c r="BZ374" s="0"/>
      <c r="CA374" s="0"/>
      <c r="CB374" s="0"/>
      <c r="CC374" s="0"/>
      <c r="CD374" s="0"/>
      <c r="CE374" s="0"/>
      <c r="CF374" s="0"/>
      <c r="CG374" s="0"/>
      <c r="CH374" s="0"/>
      <c r="CI374" s="0"/>
      <c r="CJ374" s="0"/>
      <c r="CK374" s="0"/>
      <c r="CL374" s="0"/>
      <c r="CM374" s="0"/>
      <c r="CN374" s="0"/>
      <c r="CO374" s="0"/>
      <c r="CP374" s="0"/>
      <c r="CQ374" s="0"/>
      <c r="CR374" s="0"/>
      <c r="CS374" s="0"/>
      <c r="CT374" s="0"/>
      <c r="CU374" s="0"/>
      <c r="CV374" s="0"/>
      <c r="CW374" s="0"/>
      <c r="CX374" s="0"/>
    </row>
    <row r="375">
      <c r="A375" s="0" t="inlineStr">
        <is>
          <t xml:space="preserve">Running daily sd, bps</t>
        </is>
      </c>
      <c r="B375" s="0" t="inlineStr">
        <is>
          <t xml:space="preserve">Random 9</t>
        </is>
      </c>
      <c r="C375" s="4">
        <v>0</v>
      </c>
      <c r="D375" s="0"/>
      <c r="E375" s="0"/>
      <c r="F375" s="0"/>
      <c r="G375" s="0"/>
      <c r="H375" s="0"/>
      <c r="I375" s="0"/>
      <c r="J375" s="0"/>
      <c r="K375" s="0"/>
      <c r="L375" s="0"/>
      <c r="M375" s="0"/>
      <c r="N375" s="0"/>
      <c r="O375" s="0"/>
      <c r="P375" s="0"/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AB375" s="0"/>
      <c r="AC375" s="0"/>
      <c r="AD375" s="0"/>
      <c r="AE375" s="0"/>
      <c r="AF375" s="0"/>
      <c r="AG375" s="0"/>
      <c r="AH375" s="0"/>
      <c r="AI375" s="0"/>
      <c r="AJ375" s="0"/>
      <c r="AK375" s="0"/>
      <c r="AL375" s="0"/>
      <c r="AM375" s="0"/>
      <c r="AN375" s="0"/>
      <c r="AO375" s="0"/>
      <c r="AP375" s="0"/>
      <c r="AQ375" s="0"/>
      <c r="AR375" s="0"/>
      <c r="AS375" s="0"/>
      <c r="AT375" s="0"/>
      <c r="AU375" s="0"/>
      <c r="AV375" s="0"/>
      <c r="AW375" s="0"/>
      <c r="AX375" s="0"/>
      <c r="AY375" s="0"/>
      <c r="AZ375" s="0"/>
      <c r="BA375" s="0"/>
      <c r="BB375" s="0"/>
      <c r="BC375" s="0"/>
      <c r="BD375" s="0"/>
      <c r="BE375" s="0"/>
      <c r="BF375" s="0"/>
      <c r="BG375" s="0"/>
      <c r="BH375" s="0"/>
      <c r="BI375" s="0"/>
      <c r="BJ375" s="0"/>
      <c r="BK375" s="0"/>
      <c r="BL375" s="0"/>
      <c r="BM375" s="0"/>
      <c r="BN375" s="0"/>
      <c r="BO375" s="0"/>
      <c r="BP375" s="0"/>
      <c r="BQ375" s="0"/>
      <c r="BR375" s="0"/>
      <c r="BS375" s="0"/>
      <c r="BT375" s="0"/>
      <c r="BU375" s="0"/>
      <c r="BV375" s="0"/>
      <c r="BW375" s="0"/>
      <c r="BX375" s="0"/>
      <c r="BY375" s="0"/>
      <c r="BZ375" s="0"/>
      <c r="CA375" s="0"/>
      <c r="CB375" s="0"/>
      <c r="CC375" s="0"/>
      <c r="CD375" s="0"/>
      <c r="CE375" s="0"/>
      <c r="CF375" s="0"/>
      <c r="CG375" s="0"/>
      <c r="CH375" s="0"/>
      <c r="CI375" s="0"/>
      <c r="CJ375" s="0"/>
      <c r="CK375" s="0"/>
      <c r="CL375" s="0"/>
      <c r="CM375" s="0"/>
      <c r="CN375" s="0"/>
      <c r="CO375" s="0"/>
      <c r="CP375" s="0"/>
      <c r="CQ375" s="0"/>
      <c r="CR375" s="0"/>
      <c r="CS375" s="0"/>
      <c r="CT375" s="0"/>
      <c r="CU375" s="0"/>
      <c r="CV375" s="0"/>
      <c r="CW375" s="0"/>
      <c r="CX375" s="0"/>
    </row>
    <row r="376">
      <c r="A376" s="0" t="inlineStr">
        <is>
          <t xml:space="preserve">Running daily sd, bps</t>
        </is>
      </c>
      <c r="B376" s="0" t="inlineStr">
        <is>
          <t xml:space="preserve">Random 10</t>
        </is>
      </c>
      <c r="C376" s="4">
        <v>0</v>
      </c>
      <c r="D376" s="0"/>
      <c r="E376" s="0"/>
      <c r="F376" s="0"/>
      <c r="G376" s="0"/>
      <c r="H376" s="0"/>
      <c r="I376" s="0"/>
      <c r="J376" s="0"/>
      <c r="K376" s="0"/>
      <c r="L376" s="0"/>
      <c r="M376" s="0"/>
      <c r="N376" s="0"/>
      <c r="O376" s="0"/>
      <c r="P376" s="0"/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AB376" s="0"/>
      <c r="AC376" s="0"/>
      <c r="AD376" s="0"/>
      <c r="AE376" s="0"/>
      <c r="AF376" s="0"/>
      <c r="AG376" s="0"/>
      <c r="AH376" s="0"/>
      <c r="AI376" s="0"/>
      <c r="AJ376" s="0"/>
      <c r="AK376" s="0"/>
      <c r="AL376" s="0"/>
      <c r="AM376" s="0"/>
      <c r="AN376" s="0"/>
      <c r="AO376" s="0"/>
      <c r="AP376" s="0"/>
      <c r="AQ376" s="0"/>
      <c r="AR376" s="0"/>
      <c r="AS376" s="0"/>
      <c r="AT376" s="0"/>
      <c r="AU376" s="0"/>
      <c r="AV376" s="0"/>
      <c r="AW376" s="0"/>
      <c r="AX376" s="0"/>
      <c r="AY376" s="0"/>
      <c r="AZ376" s="0"/>
      <c r="BA376" s="0"/>
      <c r="BB376" s="0"/>
      <c r="BC376" s="0"/>
      <c r="BD376" s="0"/>
      <c r="BE376" s="0"/>
      <c r="BF376" s="0"/>
      <c r="BG376" s="0"/>
      <c r="BH376" s="0"/>
      <c r="BI376" s="0"/>
      <c r="BJ376" s="0"/>
      <c r="BK376" s="0"/>
      <c r="BL376" s="0"/>
      <c r="BM376" s="0"/>
      <c r="BN376" s="0"/>
      <c r="BO376" s="0"/>
      <c r="BP376" s="0"/>
      <c r="BQ376" s="0"/>
      <c r="BR376" s="0"/>
      <c r="BS376" s="0"/>
      <c r="BT376" s="0"/>
      <c r="BU376" s="0"/>
      <c r="BV376" s="0"/>
      <c r="BW376" s="0"/>
      <c r="BX376" s="0"/>
      <c r="BY376" s="0"/>
      <c r="BZ376" s="0"/>
      <c r="CA376" s="0"/>
      <c r="CB376" s="0"/>
      <c r="CC376" s="0"/>
      <c r="CD376" s="0"/>
      <c r="CE376" s="0"/>
      <c r="CF376" s="0"/>
      <c r="CG376" s="0"/>
      <c r="CH376" s="0"/>
      <c r="CI376" s="0"/>
      <c r="CJ376" s="0"/>
      <c r="CK376" s="0"/>
      <c r="CL376" s="0"/>
      <c r="CM376" s="0"/>
      <c r="CN376" s="0"/>
      <c r="CO376" s="0"/>
      <c r="CP376" s="0"/>
      <c r="CQ376" s="0"/>
      <c r="CR376" s="0"/>
      <c r="CS376" s="0"/>
      <c r="CT376" s="0"/>
      <c r="CU376" s="0"/>
      <c r="CV376" s="0"/>
      <c r="CW376" s="0"/>
      <c r="CX376" s="0"/>
    </row>
    <row r="377">
      <c r="A377" s="0" t="inlineStr">
        <is>
          <t xml:space="preserve">Running daily sd, bps</t>
        </is>
      </c>
      <c r="B377" s="0" t="inlineStr">
        <is>
          <t xml:space="preserve">Random 11</t>
        </is>
      </c>
      <c r="C377" s="4">
        <v>0</v>
      </c>
      <c r="D377" s="0"/>
      <c r="E377" s="0"/>
      <c r="F377" s="0"/>
      <c r="G377" s="0"/>
      <c r="H377" s="0"/>
      <c r="I377" s="0"/>
      <c r="J377" s="0"/>
      <c r="K377" s="0"/>
      <c r="L377" s="0"/>
      <c r="M377" s="0"/>
      <c r="N377" s="0"/>
      <c r="O377" s="0"/>
      <c r="P377" s="0"/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AB377" s="0"/>
      <c r="AC377" s="0"/>
      <c r="AD377" s="0"/>
      <c r="AE377" s="0"/>
      <c r="AF377" s="0"/>
      <c r="AG377" s="0"/>
      <c r="AH377" s="0"/>
      <c r="AI377" s="0"/>
      <c r="AJ377" s="0"/>
      <c r="AK377" s="0"/>
      <c r="AL377" s="0"/>
      <c r="AM377" s="0"/>
      <c r="AN377" s="0"/>
      <c r="AO377" s="0"/>
      <c r="AP377" s="0"/>
      <c r="AQ377" s="0"/>
      <c r="AR377" s="0"/>
      <c r="AS377" s="0"/>
      <c r="AT377" s="0"/>
      <c r="AU377" s="0"/>
      <c r="AV377" s="0"/>
      <c r="AW377" s="0"/>
      <c r="AX377" s="0"/>
      <c r="AY377" s="0"/>
      <c r="AZ377" s="0"/>
      <c r="BA377" s="0"/>
      <c r="BB377" s="0"/>
      <c r="BC377" s="0"/>
      <c r="BD377" s="0"/>
      <c r="BE377" s="0"/>
      <c r="BF377" s="0"/>
      <c r="BG377" s="0"/>
      <c r="BH377" s="0"/>
      <c r="BI377" s="0"/>
      <c r="BJ377" s="0"/>
      <c r="BK377" s="0"/>
      <c r="BL377" s="0"/>
      <c r="BM377" s="0"/>
      <c r="BN377" s="0"/>
      <c r="BO377" s="0"/>
      <c r="BP377" s="0"/>
      <c r="BQ377" s="0"/>
      <c r="BR377" s="0"/>
      <c r="BS377" s="0"/>
      <c r="BT377" s="0"/>
      <c r="BU377" s="0"/>
      <c r="BV377" s="0"/>
      <c r="BW377" s="0"/>
      <c r="BX377" s="0"/>
      <c r="BY377" s="0"/>
      <c r="BZ377" s="0"/>
      <c r="CA377" s="0"/>
      <c r="CB377" s="0"/>
      <c r="CC377" s="0"/>
      <c r="CD377" s="0"/>
      <c r="CE377" s="0"/>
      <c r="CF377" s="0"/>
      <c r="CG377" s="0"/>
      <c r="CH377" s="0"/>
      <c r="CI377" s="0"/>
      <c r="CJ377" s="0"/>
      <c r="CK377" s="0"/>
      <c r="CL377" s="0"/>
      <c r="CM377" s="0"/>
      <c r="CN377" s="0"/>
      <c r="CO377" s="0"/>
      <c r="CP377" s="0"/>
      <c r="CQ377" s="0"/>
      <c r="CR377" s="0"/>
      <c r="CS377" s="0"/>
      <c r="CT377" s="0"/>
      <c r="CU377" s="0"/>
      <c r="CV377" s="0"/>
      <c r="CW377" s="0"/>
      <c r="CX377" s="0"/>
    </row>
    <row r="378">
      <c r="A378" s="0" t="inlineStr">
        <is>
          <t xml:space="preserve">Running daily sd, bps</t>
        </is>
      </c>
      <c r="B378" s="0" t="inlineStr">
        <is>
          <t xml:space="preserve">Random 12</t>
        </is>
      </c>
      <c r="C378" s="4">
        <v>0</v>
      </c>
      <c r="D378" s="0"/>
      <c r="E378" s="0"/>
      <c r="F378" s="0"/>
      <c r="G378" s="0"/>
      <c r="H378" s="0"/>
      <c r="I378" s="0"/>
      <c r="J378" s="0"/>
      <c r="K378" s="0"/>
      <c r="L378" s="0"/>
      <c r="M378" s="0"/>
      <c r="N378" s="0"/>
      <c r="O378" s="0"/>
      <c r="P378" s="0"/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AB378" s="0"/>
      <c r="AC378" s="0"/>
      <c r="AD378" s="0"/>
      <c r="AE378" s="0"/>
      <c r="AF378" s="0"/>
      <c r="AG378" s="0"/>
      <c r="AH378" s="0"/>
      <c r="AI378" s="0"/>
      <c r="AJ378" s="0"/>
      <c r="AK378" s="0"/>
      <c r="AL378" s="0"/>
      <c r="AM378" s="0"/>
      <c r="AN378" s="0"/>
      <c r="AO378" s="0"/>
      <c r="AP378" s="0"/>
      <c r="AQ378" s="0"/>
      <c r="AR378" s="0"/>
      <c r="AS378" s="0"/>
      <c r="AT378" s="0"/>
      <c r="AU378" s="0"/>
      <c r="AV378" s="0"/>
      <c r="AW378" s="0"/>
      <c r="AX378" s="0"/>
      <c r="AY378" s="0"/>
      <c r="AZ378" s="0"/>
      <c r="BA378" s="0"/>
      <c r="BB378" s="0"/>
      <c r="BC378" s="0"/>
      <c r="BD378" s="0"/>
      <c r="BE378" s="0"/>
      <c r="BF378" s="0"/>
      <c r="BG378" s="0"/>
      <c r="BH378" s="0"/>
      <c r="BI378" s="0"/>
      <c r="BJ378" s="0"/>
      <c r="BK378" s="0"/>
      <c r="BL378" s="0"/>
      <c r="BM378" s="0"/>
      <c r="BN378" s="0"/>
      <c r="BO378" s="0"/>
      <c r="BP378" s="0"/>
      <c r="BQ378" s="0"/>
      <c r="BR378" s="0"/>
      <c r="BS378" s="0"/>
      <c r="BT378" s="0"/>
      <c r="BU378" s="0"/>
      <c r="BV378" s="0"/>
      <c r="BW378" s="0"/>
      <c r="BX378" s="0"/>
      <c r="BY378" s="0"/>
      <c r="BZ378" s="0"/>
      <c r="CA378" s="0"/>
      <c r="CB378" s="0"/>
      <c r="CC378" s="0"/>
      <c r="CD378" s="0"/>
      <c r="CE378" s="0"/>
      <c r="CF378" s="0"/>
      <c r="CG378" s="0"/>
      <c r="CH378" s="0"/>
      <c r="CI378" s="0"/>
      <c r="CJ378" s="0"/>
      <c r="CK378" s="0"/>
      <c r="CL378" s="0"/>
      <c r="CM378" s="0"/>
      <c r="CN378" s="0"/>
      <c r="CO378" s="0"/>
      <c r="CP378" s="0"/>
      <c r="CQ378" s="0"/>
      <c r="CR378" s="0"/>
      <c r="CS378" s="0"/>
      <c r="CT378" s="0"/>
      <c r="CU378" s="0"/>
      <c r="CV378" s="0"/>
      <c r="CW378" s="0"/>
      <c r="CX378" s="0"/>
    </row>
    <row r="379">
      <c r="A379" s="0" t="inlineStr">
        <is>
          <t xml:space="preserve">Running daily sd, bps</t>
        </is>
      </c>
      <c r="B379" s="0" t="inlineStr">
        <is>
          <t xml:space="preserve">Random 13</t>
        </is>
      </c>
      <c r="C379" s="4">
        <v>0</v>
      </c>
      <c r="D379" s="0"/>
      <c r="E379" s="0"/>
      <c r="F379" s="0"/>
      <c r="G379" s="0"/>
      <c r="H379" s="0"/>
      <c r="I379" s="0"/>
      <c r="J379" s="0"/>
      <c r="K379" s="0"/>
      <c r="L379" s="0"/>
      <c r="M379" s="0"/>
      <c r="N379" s="0"/>
      <c r="O379" s="0"/>
      <c r="P379" s="0"/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AB379" s="0"/>
      <c r="AC379" s="0"/>
      <c r="AD379" s="0"/>
      <c r="AE379" s="0"/>
      <c r="AF379" s="0"/>
      <c r="AG379" s="0"/>
      <c r="AH379" s="0"/>
      <c r="AI379" s="0"/>
      <c r="AJ379" s="0"/>
      <c r="AK379" s="0"/>
      <c r="AL379" s="0"/>
      <c r="AM379" s="0"/>
      <c r="AN379" s="0"/>
      <c r="AO379" s="0"/>
      <c r="AP379" s="0"/>
      <c r="AQ379" s="0"/>
      <c r="AR379" s="0"/>
      <c r="AS379" s="0"/>
      <c r="AT379" s="0"/>
      <c r="AU379" s="0"/>
      <c r="AV379" s="0"/>
      <c r="AW379" s="0"/>
      <c r="AX379" s="0"/>
      <c r="AY379" s="0"/>
      <c r="AZ379" s="0"/>
      <c r="BA379" s="0"/>
      <c r="BB379" s="0"/>
      <c r="BC379" s="0"/>
      <c r="BD379" s="0"/>
      <c r="BE379" s="0"/>
      <c r="BF379" s="0"/>
      <c r="BG379" s="0"/>
      <c r="BH379" s="0"/>
      <c r="BI379" s="0"/>
      <c r="BJ379" s="0"/>
      <c r="BK379" s="0"/>
      <c r="BL379" s="0"/>
      <c r="BM379" s="0"/>
      <c r="BN379" s="0"/>
      <c r="BO379" s="0"/>
      <c r="BP379" s="0"/>
      <c r="BQ379" s="0"/>
      <c r="BR379" s="0"/>
      <c r="BS379" s="0"/>
      <c r="BT379" s="0"/>
      <c r="BU379" s="0"/>
      <c r="BV379" s="0"/>
      <c r="BW379" s="0"/>
      <c r="BX379" s="0"/>
      <c r="BY379" s="0"/>
      <c r="BZ379" s="0"/>
      <c r="CA379" s="0"/>
      <c r="CB379" s="0"/>
      <c r="CC379" s="0"/>
      <c r="CD379" s="0"/>
      <c r="CE379" s="0"/>
      <c r="CF379" s="0"/>
      <c r="CG379" s="0"/>
      <c r="CH379" s="0"/>
      <c r="CI379" s="0"/>
      <c r="CJ379" s="0"/>
      <c r="CK379" s="0"/>
      <c r="CL379" s="0"/>
      <c r="CM379" s="0"/>
      <c r="CN379" s="0"/>
      <c r="CO379" s="0"/>
      <c r="CP379" s="0"/>
      <c r="CQ379" s="0"/>
      <c r="CR379" s="0"/>
      <c r="CS379" s="0"/>
      <c r="CT379" s="0"/>
      <c r="CU379" s="0"/>
      <c r="CV379" s="0"/>
      <c r="CW379" s="0"/>
      <c r="CX379" s="0"/>
    </row>
    <row r="380">
      <c r="A380" s="0" t="inlineStr">
        <is>
          <t xml:space="preserve">Running daily sd, bps</t>
        </is>
      </c>
      <c r="B380" s="0" t="inlineStr">
        <is>
          <t xml:space="preserve">Random 14</t>
        </is>
      </c>
      <c r="C380" s="4">
        <v>0</v>
      </c>
      <c r="D380" s="0"/>
      <c r="E380" s="0"/>
      <c r="F380" s="0"/>
      <c r="G380" s="0"/>
      <c r="H380" s="0"/>
      <c r="I380" s="0"/>
      <c r="J380" s="0"/>
      <c r="K380" s="0"/>
      <c r="L380" s="0"/>
      <c r="M380" s="0"/>
      <c r="N380" s="0"/>
      <c r="O380" s="0"/>
      <c r="P380" s="0"/>
      <c r="Q380" s="0"/>
      <c r="R380" s="0"/>
      <c r="S380" s="0"/>
      <c r="T380" s="0"/>
      <c r="U380" s="0"/>
      <c r="V380" s="0"/>
      <c r="W380" s="0"/>
      <c r="X380" s="0"/>
      <c r="Y380" s="0"/>
      <c r="Z380" s="0"/>
      <c r="AA380" s="0"/>
      <c r="AB380" s="0"/>
      <c r="AC380" s="0"/>
      <c r="AD380" s="0"/>
      <c r="AE380" s="0"/>
      <c r="AF380" s="0"/>
      <c r="AG380" s="0"/>
      <c r="AH380" s="0"/>
      <c r="AI380" s="0"/>
      <c r="AJ380" s="0"/>
      <c r="AK380" s="0"/>
      <c r="AL380" s="0"/>
      <c r="AM380" s="0"/>
      <c r="AN380" s="0"/>
      <c r="AO380" s="0"/>
      <c r="AP380" s="0"/>
      <c r="AQ380" s="0"/>
      <c r="AR380" s="0"/>
      <c r="AS380" s="0"/>
      <c r="AT380" s="0"/>
      <c r="AU380" s="0"/>
      <c r="AV380" s="0"/>
      <c r="AW380" s="0"/>
      <c r="AX380" s="0"/>
      <c r="AY380" s="0"/>
      <c r="AZ380" s="0"/>
      <c r="BA380" s="0"/>
      <c r="BB380" s="0"/>
      <c r="BC380" s="0"/>
      <c r="BD380" s="0"/>
      <c r="BE380" s="0"/>
      <c r="BF380" s="0"/>
      <c r="BG380" s="0"/>
      <c r="BH380" s="0"/>
      <c r="BI380" s="0"/>
      <c r="BJ380" s="0"/>
      <c r="BK380" s="0"/>
      <c r="BL380" s="0"/>
      <c r="BM380" s="0"/>
      <c r="BN380" s="0"/>
      <c r="BO380" s="0"/>
      <c r="BP380" s="0"/>
      <c r="BQ380" s="0"/>
      <c r="BR380" s="0"/>
      <c r="BS380" s="0"/>
      <c r="BT380" s="0"/>
      <c r="BU380" s="0"/>
      <c r="BV380" s="0"/>
      <c r="BW380" s="0"/>
      <c r="BX380" s="0"/>
      <c r="BY380" s="0"/>
      <c r="BZ380" s="0"/>
      <c r="CA380" s="0"/>
      <c r="CB380" s="0"/>
      <c r="CC380" s="0"/>
      <c r="CD380" s="0"/>
      <c r="CE380" s="0"/>
      <c r="CF380" s="0"/>
      <c r="CG380" s="0"/>
      <c r="CH380" s="0"/>
      <c r="CI380" s="0"/>
      <c r="CJ380" s="0"/>
      <c r="CK380" s="0"/>
      <c r="CL380" s="0"/>
      <c r="CM380" s="0"/>
      <c r="CN380" s="0"/>
      <c r="CO380" s="0"/>
      <c r="CP380" s="0"/>
      <c r="CQ380" s="0"/>
      <c r="CR380" s="0"/>
      <c r="CS380" s="0"/>
      <c r="CT380" s="0"/>
      <c r="CU380" s="0"/>
      <c r="CV380" s="0"/>
      <c r="CW380" s="0"/>
      <c r="CX380" s="0"/>
    </row>
    <row r="381">
      <c r="A381" s="0" t="inlineStr">
        <is>
          <t xml:space="preserve">Running daily sd, bps</t>
        </is>
      </c>
      <c r="B381" s="0" t="inlineStr">
        <is>
          <t xml:space="preserve">Random 15</t>
        </is>
      </c>
      <c r="C381" s="4">
        <v>0</v>
      </c>
      <c r="D381" s="0"/>
      <c r="E381" s="0"/>
      <c r="F381" s="0"/>
      <c r="G381" s="0"/>
      <c r="H381" s="0"/>
      <c r="I381" s="0"/>
      <c r="J381" s="0"/>
      <c r="K381" s="0"/>
      <c r="L381" s="0"/>
      <c r="M381" s="0"/>
      <c r="N381" s="0"/>
      <c r="O381" s="0"/>
      <c r="P381" s="0"/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AB381" s="0"/>
      <c r="AC381" s="0"/>
      <c r="AD381" s="0"/>
      <c r="AE381" s="0"/>
      <c r="AF381" s="0"/>
      <c r="AG381" s="0"/>
      <c r="AH381" s="0"/>
      <c r="AI381" s="0"/>
      <c r="AJ381" s="0"/>
      <c r="AK381" s="0"/>
      <c r="AL381" s="0"/>
      <c r="AM381" s="0"/>
      <c r="AN381" s="0"/>
      <c r="AO381" s="0"/>
      <c r="AP381" s="0"/>
      <c r="AQ381" s="0"/>
      <c r="AR381" s="0"/>
      <c r="AS381" s="0"/>
      <c r="AT381" s="0"/>
      <c r="AU381" s="0"/>
      <c r="AV381" s="0"/>
      <c r="AW381" s="0"/>
      <c r="AX381" s="0"/>
      <c r="AY381" s="0"/>
      <c r="AZ381" s="0"/>
      <c r="BA381" s="0"/>
      <c r="BB381" s="0"/>
      <c r="BC381" s="0"/>
      <c r="BD381" s="0"/>
      <c r="BE381" s="0"/>
      <c r="BF381" s="0"/>
      <c r="BG381" s="0"/>
      <c r="BH381" s="0"/>
      <c r="BI381" s="0"/>
      <c r="BJ381" s="0"/>
      <c r="BK381" s="0"/>
      <c r="BL381" s="0"/>
      <c r="BM381" s="0"/>
      <c r="BN381" s="0"/>
      <c r="BO381" s="0"/>
      <c r="BP381" s="0"/>
      <c r="BQ381" s="0"/>
      <c r="BR381" s="0"/>
      <c r="BS381" s="0"/>
      <c r="BT381" s="0"/>
      <c r="BU381" s="0"/>
      <c r="BV381" s="0"/>
      <c r="BW381" s="0"/>
      <c r="BX381" s="0"/>
      <c r="BY381" s="0"/>
      <c r="BZ381" s="0"/>
      <c r="CA381" s="0"/>
      <c r="CB381" s="0"/>
      <c r="CC381" s="0"/>
      <c r="CD381" s="0"/>
      <c r="CE381" s="0"/>
      <c r="CF381" s="0"/>
      <c r="CG381" s="0"/>
      <c r="CH381" s="0"/>
      <c r="CI381" s="0"/>
      <c r="CJ381" s="0"/>
      <c r="CK381" s="0"/>
      <c r="CL381" s="0"/>
      <c r="CM381" s="0"/>
      <c r="CN381" s="0"/>
      <c r="CO381" s="0"/>
      <c r="CP381" s="0"/>
      <c r="CQ381" s="0"/>
      <c r="CR381" s="0"/>
      <c r="CS381" s="0"/>
      <c r="CT381" s="0"/>
      <c r="CU381" s="0"/>
      <c r="CV381" s="0"/>
      <c r="CW381" s="0"/>
      <c r="CX381" s="0"/>
    </row>
    <row r="382">
      <c r="A382" s="0" t="inlineStr">
        <is>
          <t xml:space="preserve">Running daily sd, bps</t>
        </is>
      </c>
      <c r="B382" s="0" t="inlineStr">
        <is>
          <t xml:space="preserve">Random 16</t>
        </is>
      </c>
      <c r="C382" s="4">
        <v>0</v>
      </c>
      <c r="D382" s="0"/>
      <c r="E382" s="0"/>
      <c r="F382" s="0"/>
      <c r="G382" s="0"/>
      <c r="H382" s="0"/>
      <c r="I382" s="0"/>
      <c r="J382" s="0"/>
      <c r="K382" s="0"/>
      <c r="L382" s="0"/>
      <c r="M382" s="0"/>
      <c r="N382" s="0"/>
      <c r="O382" s="0"/>
      <c r="P382" s="0"/>
      <c r="Q382" s="0"/>
      <c r="R382" s="0"/>
      <c r="S382" s="0"/>
      <c r="T382" s="0"/>
      <c r="U382" s="0"/>
      <c r="V382" s="0"/>
      <c r="W382" s="0"/>
      <c r="X382" s="0"/>
      <c r="Y382" s="0"/>
      <c r="Z382" s="0"/>
      <c r="AA382" s="0"/>
      <c r="AB382" s="0"/>
      <c r="AC382" s="0"/>
      <c r="AD382" s="0"/>
      <c r="AE382" s="0"/>
      <c r="AF382" s="0"/>
      <c r="AG382" s="0"/>
      <c r="AH382" s="0"/>
      <c r="AI382" s="0"/>
      <c r="AJ382" s="0"/>
      <c r="AK382" s="0"/>
      <c r="AL382" s="0"/>
      <c r="AM382" s="0"/>
      <c r="AN382" s="0"/>
      <c r="AO382" s="0"/>
      <c r="AP382" s="0"/>
      <c r="AQ382" s="0"/>
      <c r="AR382" s="0"/>
      <c r="AS382" s="0"/>
      <c r="AT382" s="0"/>
      <c r="AU382" s="0"/>
      <c r="AV382" s="0"/>
      <c r="AW382" s="0"/>
      <c r="AX382" s="0"/>
      <c r="AY382" s="0"/>
      <c r="AZ382" s="0"/>
      <c r="BA382" s="0"/>
      <c r="BB382" s="0"/>
      <c r="BC382" s="0"/>
      <c r="BD382" s="0"/>
      <c r="BE382" s="0"/>
      <c r="BF382" s="0"/>
      <c r="BG382" s="0"/>
      <c r="BH382" s="0"/>
      <c r="BI382" s="0"/>
      <c r="BJ382" s="0"/>
      <c r="BK382" s="0"/>
      <c r="BL382" s="0"/>
      <c r="BM382" s="0"/>
      <c r="BN382" s="0"/>
      <c r="BO382" s="0"/>
      <c r="BP382" s="0"/>
      <c r="BQ382" s="0"/>
      <c r="BR382" s="0"/>
      <c r="BS382" s="0"/>
      <c r="BT382" s="0"/>
      <c r="BU382" s="0"/>
      <c r="BV382" s="0"/>
      <c r="BW382" s="0"/>
      <c r="BX382" s="0"/>
      <c r="BY382" s="0"/>
      <c r="BZ382" s="0"/>
      <c r="CA382" s="0"/>
      <c r="CB382" s="0"/>
      <c r="CC382" s="0"/>
      <c r="CD382" s="0"/>
      <c r="CE382" s="0"/>
      <c r="CF382" s="0"/>
      <c r="CG382" s="0"/>
      <c r="CH382" s="0"/>
      <c r="CI382" s="0"/>
      <c r="CJ382" s="0"/>
      <c r="CK382" s="0"/>
      <c r="CL382" s="0"/>
      <c r="CM382" s="0"/>
      <c r="CN382" s="0"/>
      <c r="CO382" s="0"/>
      <c r="CP382" s="0"/>
      <c r="CQ382" s="0"/>
      <c r="CR382" s="0"/>
      <c r="CS382" s="0"/>
      <c r="CT382" s="0"/>
      <c r="CU382" s="0"/>
      <c r="CV382" s="0"/>
      <c r="CW382" s="0"/>
      <c r="CX382" s="0"/>
    </row>
    <row r="383">
      <c r="A383" s="0" t="inlineStr">
        <is>
          <t xml:space="preserve">Running daily sd, bps</t>
        </is>
      </c>
      <c r="B383" s="0" t="inlineStr">
        <is>
          <t xml:space="preserve">Random 17</t>
        </is>
      </c>
      <c r="C383" s="4">
        <v>0</v>
      </c>
      <c r="D383" s="0"/>
      <c r="E383" s="0"/>
      <c r="F383" s="0"/>
      <c r="G383" s="0"/>
      <c r="H383" s="0"/>
      <c r="I383" s="0"/>
      <c r="J383" s="0"/>
      <c r="K383" s="0"/>
      <c r="L383" s="0"/>
      <c r="M383" s="0"/>
      <c r="N383" s="0"/>
      <c r="O383" s="0"/>
      <c r="P383" s="0"/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AB383" s="0"/>
      <c r="AC383" s="0"/>
      <c r="AD383" s="0"/>
      <c r="AE383" s="0"/>
      <c r="AF383" s="0"/>
      <c r="AG383" s="0"/>
      <c r="AH383" s="0"/>
      <c r="AI383" s="0"/>
      <c r="AJ383" s="0"/>
      <c r="AK383" s="0"/>
      <c r="AL383" s="0"/>
      <c r="AM383" s="0"/>
      <c r="AN383" s="0"/>
      <c r="AO383" s="0"/>
      <c r="AP383" s="0"/>
      <c r="AQ383" s="0"/>
      <c r="AR383" s="0"/>
      <c r="AS383" s="0"/>
      <c r="AT383" s="0"/>
      <c r="AU383" s="0"/>
      <c r="AV383" s="0"/>
      <c r="AW383" s="0"/>
      <c r="AX383" s="0"/>
      <c r="AY383" s="0"/>
      <c r="AZ383" s="0"/>
      <c r="BA383" s="0"/>
      <c r="BB383" s="0"/>
      <c r="BC383" s="0"/>
      <c r="BD383" s="0"/>
      <c r="BE383" s="0"/>
      <c r="BF383" s="0"/>
      <c r="BG383" s="0"/>
      <c r="BH383" s="0"/>
      <c r="BI383" s="0"/>
      <c r="BJ383" s="0"/>
      <c r="BK383" s="0"/>
      <c r="BL383" s="0"/>
      <c r="BM383" s="0"/>
      <c r="BN383" s="0"/>
      <c r="BO383" s="0"/>
      <c r="BP383" s="0"/>
      <c r="BQ383" s="0"/>
      <c r="BR383" s="0"/>
      <c r="BS383" s="0"/>
      <c r="BT383" s="0"/>
      <c r="BU383" s="0"/>
      <c r="BV383" s="0"/>
      <c r="BW383" s="0"/>
      <c r="BX383" s="0"/>
      <c r="BY383" s="0"/>
      <c r="BZ383" s="0"/>
      <c r="CA383" s="0"/>
      <c r="CB383" s="0"/>
      <c r="CC383" s="0"/>
      <c r="CD383" s="0"/>
      <c r="CE383" s="0"/>
      <c r="CF383" s="0"/>
      <c r="CG383" s="0"/>
      <c r="CH383" s="0"/>
      <c r="CI383" s="0"/>
      <c r="CJ383" s="0"/>
      <c r="CK383" s="0"/>
      <c r="CL383" s="0"/>
      <c r="CM383" s="0"/>
      <c r="CN383" s="0"/>
      <c r="CO383" s="0"/>
      <c r="CP383" s="0"/>
      <c r="CQ383" s="0"/>
      <c r="CR383" s="0"/>
      <c r="CS383" s="0"/>
      <c r="CT383" s="0"/>
      <c r="CU383" s="0"/>
      <c r="CV383" s="0"/>
      <c r="CW383" s="0"/>
      <c r="CX383" s="0"/>
    </row>
    <row r="384">
      <c r="A384" s="0" t="inlineStr">
        <is>
          <t xml:space="preserve">Running daily sd, bps</t>
        </is>
      </c>
      <c r="B384" s="0" t="inlineStr">
        <is>
          <t xml:space="preserve">Random 18</t>
        </is>
      </c>
      <c r="C384" s="4">
        <v>0</v>
      </c>
      <c r="D384" s="0"/>
      <c r="E384" s="0"/>
      <c r="F384" s="0"/>
      <c r="G384" s="0"/>
      <c r="H384" s="0"/>
      <c r="I384" s="0"/>
      <c r="J384" s="0"/>
      <c r="K384" s="0"/>
      <c r="L384" s="0"/>
      <c r="M384" s="0"/>
      <c r="N384" s="0"/>
      <c r="O384" s="0"/>
      <c r="P384" s="0"/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AB384" s="0"/>
      <c r="AC384" s="0"/>
      <c r="AD384" s="0"/>
      <c r="AE384" s="0"/>
      <c r="AF384" s="0"/>
      <c r="AG384" s="0"/>
      <c r="AH384" s="0"/>
      <c r="AI384" s="0"/>
      <c r="AJ384" s="0"/>
      <c r="AK384" s="0"/>
      <c r="AL384" s="0"/>
      <c r="AM384" s="0"/>
      <c r="AN384" s="0"/>
      <c r="AO384" s="0"/>
      <c r="AP384" s="0"/>
      <c r="AQ384" s="0"/>
      <c r="AR384" s="0"/>
      <c r="AS384" s="0"/>
      <c r="AT384" s="0"/>
      <c r="AU384" s="0"/>
      <c r="AV384" s="0"/>
      <c r="AW384" s="0"/>
      <c r="AX384" s="0"/>
      <c r="AY384" s="0"/>
      <c r="AZ384" s="0"/>
      <c r="BA384" s="0"/>
      <c r="BB384" s="0"/>
      <c r="BC384" s="0"/>
      <c r="BD384" s="0"/>
      <c r="BE384" s="0"/>
      <c r="BF384" s="0"/>
      <c r="BG384" s="0"/>
      <c r="BH384" s="0"/>
      <c r="BI384" s="0"/>
      <c r="BJ384" s="0"/>
      <c r="BK384" s="0"/>
      <c r="BL384" s="0"/>
      <c r="BM384" s="0"/>
      <c r="BN384" s="0"/>
      <c r="BO384" s="0"/>
      <c r="BP384" s="0"/>
      <c r="BQ384" s="0"/>
      <c r="BR384" s="0"/>
      <c r="BS384" s="0"/>
      <c r="BT384" s="0"/>
      <c r="BU384" s="0"/>
      <c r="BV384" s="0"/>
      <c r="BW384" s="0"/>
      <c r="BX384" s="0"/>
      <c r="BY384" s="0"/>
      <c r="BZ384" s="0"/>
      <c r="CA384" s="0"/>
      <c r="CB384" s="0"/>
      <c r="CC384" s="0"/>
      <c r="CD384" s="0"/>
      <c r="CE384" s="0"/>
      <c r="CF384" s="0"/>
      <c r="CG384" s="0"/>
      <c r="CH384" s="0"/>
      <c r="CI384" s="0"/>
      <c r="CJ384" s="0"/>
      <c r="CK384" s="0"/>
      <c r="CL384" s="0"/>
      <c r="CM384" s="0"/>
      <c r="CN384" s="0"/>
      <c r="CO384" s="0"/>
      <c r="CP384" s="0"/>
      <c r="CQ384" s="0"/>
      <c r="CR384" s="0"/>
      <c r="CS384" s="0"/>
      <c r="CT384" s="0"/>
      <c r="CU384" s="0"/>
      <c r="CV384" s="0"/>
      <c r="CW384" s="0"/>
      <c r="CX384" s="0"/>
    </row>
    <row r="385">
      <c r="A385" s="0" t="inlineStr">
        <is>
          <t xml:space="preserve">Running daily sd, bps</t>
        </is>
      </c>
      <c r="B385" s="0" t="inlineStr">
        <is>
          <t xml:space="preserve">Random 19</t>
        </is>
      </c>
      <c r="C385" s="4">
        <v>0</v>
      </c>
      <c r="D385" s="0"/>
      <c r="E385" s="0"/>
      <c r="F385" s="0"/>
      <c r="G385" s="0"/>
      <c r="H385" s="0"/>
      <c r="I385" s="0"/>
      <c r="J385" s="0"/>
      <c r="K385" s="0"/>
      <c r="L385" s="0"/>
      <c r="M385" s="0"/>
      <c r="N385" s="0"/>
      <c r="O385" s="0"/>
      <c r="P385" s="0"/>
      <c r="Q385" s="0"/>
      <c r="R385" s="0"/>
      <c r="S385" s="0"/>
      <c r="T385" s="0"/>
      <c r="U385" s="0"/>
      <c r="V385" s="0"/>
      <c r="W385" s="0"/>
      <c r="X385" s="0"/>
      <c r="Y385" s="0"/>
      <c r="Z385" s="0"/>
      <c r="AA385" s="0"/>
      <c r="AB385" s="0"/>
      <c r="AC385" s="0"/>
      <c r="AD385" s="0"/>
      <c r="AE385" s="0"/>
      <c r="AF385" s="0"/>
      <c r="AG385" s="0"/>
      <c r="AH385" s="0"/>
      <c r="AI385" s="0"/>
      <c r="AJ385" s="0"/>
      <c r="AK385" s="0"/>
      <c r="AL385" s="0"/>
      <c r="AM385" s="0"/>
      <c r="AN385" s="0"/>
      <c r="AO385" s="0"/>
      <c r="AP385" s="0"/>
      <c r="AQ385" s="0"/>
      <c r="AR385" s="0"/>
      <c r="AS385" s="0"/>
      <c r="AT385" s="0"/>
      <c r="AU385" s="0"/>
      <c r="AV385" s="0"/>
      <c r="AW385" s="0"/>
      <c r="AX385" s="0"/>
      <c r="AY385" s="0"/>
      <c r="AZ385" s="0"/>
      <c r="BA385" s="0"/>
      <c r="BB385" s="0"/>
      <c r="BC385" s="0"/>
      <c r="BD385" s="0"/>
      <c r="BE385" s="0"/>
      <c r="BF385" s="0"/>
      <c r="BG385" s="0"/>
      <c r="BH385" s="0"/>
      <c r="BI385" s="0"/>
      <c r="BJ385" s="0"/>
      <c r="BK385" s="0"/>
      <c r="BL385" s="0"/>
      <c r="BM385" s="0"/>
      <c r="BN385" s="0"/>
      <c r="BO385" s="0"/>
      <c r="BP385" s="0"/>
      <c r="BQ385" s="0"/>
      <c r="BR385" s="0"/>
      <c r="BS385" s="0"/>
      <c r="BT385" s="0"/>
      <c r="BU385" s="0"/>
      <c r="BV385" s="0"/>
      <c r="BW385" s="0"/>
      <c r="BX385" s="0"/>
      <c r="BY385" s="0"/>
      <c r="BZ385" s="0"/>
      <c r="CA385" s="0"/>
      <c r="CB385" s="0"/>
      <c r="CC385" s="0"/>
      <c r="CD385" s="0"/>
      <c r="CE385" s="0"/>
      <c r="CF385" s="0"/>
      <c r="CG385" s="0"/>
      <c r="CH385" s="0"/>
      <c r="CI385" s="0"/>
      <c r="CJ385" s="0"/>
      <c r="CK385" s="0"/>
      <c r="CL385" s="0"/>
      <c r="CM385" s="0"/>
      <c r="CN385" s="0"/>
      <c r="CO385" s="0"/>
      <c r="CP385" s="0"/>
      <c r="CQ385" s="0"/>
      <c r="CR385" s="0"/>
      <c r="CS385" s="0"/>
      <c r="CT385" s="0"/>
      <c r="CU385" s="0"/>
      <c r="CV385" s="0"/>
      <c r="CW385" s="0"/>
      <c r="CX385" s="0"/>
    </row>
    <row r="386">
      <c r="A386" s="0" t="inlineStr">
        <is>
          <t xml:space="preserve">Running daily sd, bps</t>
        </is>
      </c>
      <c r="B386" s="0" t="inlineStr">
        <is>
          <t xml:space="preserve">Random 20</t>
        </is>
      </c>
      <c r="C386" s="4">
        <v>0</v>
      </c>
      <c r="D386" s="0"/>
      <c r="E386" s="0"/>
      <c r="F386" s="0"/>
      <c r="G386" s="0"/>
      <c r="H386" s="0"/>
      <c r="I386" s="0"/>
      <c r="J386" s="0"/>
      <c r="K386" s="0"/>
      <c r="L386" s="0"/>
      <c r="M386" s="0"/>
      <c r="N386" s="0"/>
      <c r="O386" s="0"/>
      <c r="P386" s="0"/>
      <c r="Q386" s="0"/>
      <c r="R386" s="0"/>
      <c r="S386" s="0"/>
      <c r="T386" s="0"/>
      <c r="U386" s="0"/>
      <c r="V386" s="0"/>
      <c r="W386" s="0"/>
      <c r="X386" s="0"/>
      <c r="Y386" s="0"/>
      <c r="Z386" s="0"/>
      <c r="AA386" s="0"/>
      <c r="AB386" s="0"/>
      <c r="AC386" s="0"/>
      <c r="AD386" s="0"/>
      <c r="AE386" s="0"/>
      <c r="AF386" s="0"/>
      <c r="AG386" s="0"/>
      <c r="AH386" s="0"/>
      <c r="AI386" s="0"/>
      <c r="AJ386" s="0"/>
      <c r="AK386" s="0"/>
      <c r="AL386" s="0"/>
      <c r="AM386" s="0"/>
      <c r="AN386" s="0"/>
      <c r="AO386" s="0"/>
      <c r="AP386" s="0"/>
      <c r="AQ386" s="0"/>
      <c r="AR386" s="0"/>
      <c r="AS386" s="0"/>
      <c r="AT386" s="0"/>
      <c r="AU386" s="0"/>
      <c r="AV386" s="0"/>
      <c r="AW386" s="0"/>
      <c r="AX386" s="0"/>
      <c r="AY386" s="0"/>
      <c r="AZ386" s="0"/>
      <c r="BA386" s="0"/>
      <c r="BB386" s="0"/>
      <c r="BC386" s="0"/>
      <c r="BD386" s="0"/>
      <c r="BE386" s="0"/>
      <c r="BF386" s="0"/>
      <c r="BG386" s="0"/>
      <c r="BH386" s="0"/>
      <c r="BI386" s="0"/>
      <c r="BJ386" s="0"/>
      <c r="BK386" s="0"/>
      <c r="BL386" s="0"/>
      <c r="BM386" s="0"/>
      <c r="BN386" s="0"/>
      <c r="BO386" s="0"/>
      <c r="BP386" s="0"/>
      <c r="BQ386" s="0"/>
      <c r="BR386" s="0"/>
      <c r="BS386" s="0"/>
      <c r="BT386" s="0"/>
      <c r="BU386" s="0"/>
      <c r="BV386" s="0"/>
      <c r="BW386" s="0"/>
      <c r="BX386" s="0"/>
      <c r="BY386" s="0"/>
      <c r="BZ386" s="0"/>
      <c r="CA386" s="0"/>
      <c r="CB386" s="0"/>
      <c r="CC386" s="0"/>
      <c r="CD386" s="0"/>
      <c r="CE386" s="0"/>
      <c r="CF386" s="0"/>
      <c r="CG386" s="0"/>
      <c r="CH386" s="0"/>
      <c r="CI386" s="0"/>
      <c r="CJ386" s="0"/>
      <c r="CK386" s="0"/>
      <c r="CL386" s="0"/>
      <c r="CM386" s="0"/>
      <c r="CN386" s="0"/>
      <c r="CO386" s="0"/>
      <c r="CP386" s="0"/>
      <c r="CQ386" s="0"/>
      <c r="CR386" s="0"/>
      <c r="CS386" s="0"/>
      <c r="CT386" s="0"/>
      <c r="CU386" s="0"/>
      <c r="CV386" s="0"/>
      <c r="CW386" s="0"/>
      <c r="CX386" s="0"/>
    </row>
    <row r="387">
      <c r="A387" s="0" t="inlineStr">
        <is>
          <t xml:space="preserve">Running t-stat</t>
        </is>
      </c>
      <c r="B387" s="0" t="inlineStr">
        <is>
          <t xml:space="preserve">worst 100 by yesterday's close-to-close return</t>
        </is>
      </c>
      <c r="C387" s="0"/>
      <c r="D387" s="0"/>
      <c r="E387" s="0"/>
      <c r="F387" s="0"/>
      <c r="G387" s="0"/>
      <c r="H387" s="0"/>
      <c r="I387" s="0"/>
      <c r="J387" s="0"/>
      <c r="K387" s="0"/>
      <c r="L387" s="0"/>
      <c r="M387" s="0"/>
      <c r="N387" s="0"/>
      <c r="O387" s="0"/>
      <c r="P387" s="0"/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AB387" s="0"/>
      <c r="AC387" s="0"/>
      <c r="AD387" s="0"/>
      <c r="AE387" s="0"/>
      <c r="AF387" s="0"/>
      <c r="AG387" s="0"/>
      <c r="AH387" s="0"/>
      <c r="AI387" s="0"/>
      <c r="AJ387" s="0"/>
      <c r="AK387" s="0"/>
      <c r="AL387" s="0"/>
      <c r="AM387" s="0"/>
      <c r="AN387" s="0"/>
      <c r="AO387" s="0"/>
      <c r="AP387" s="0"/>
      <c r="AQ387" s="0"/>
      <c r="AR387" s="0"/>
      <c r="AS387" s="0"/>
      <c r="AT387" s="0"/>
      <c r="AU387" s="0"/>
      <c r="AV387" s="0"/>
      <c r="AW387" s="0"/>
      <c r="AX387" s="0"/>
      <c r="AY387" s="0"/>
      <c r="AZ387" s="0"/>
      <c r="BA387" s="0"/>
      <c r="BB387" s="0"/>
      <c r="BC387" s="0"/>
      <c r="BD387" s="0"/>
      <c r="BE387" s="0"/>
      <c r="BF387" s="0"/>
      <c r="BG387" s="0"/>
      <c r="BH387" s="0"/>
      <c r="BI387" s="0"/>
      <c r="BJ387" s="0"/>
      <c r="BK387" s="0"/>
      <c r="BL387" s="0"/>
      <c r="BM387" s="0"/>
      <c r="BN387" s="0"/>
      <c r="BO387" s="0"/>
      <c r="BP387" s="0"/>
      <c r="BQ387" s="0"/>
      <c r="BR387" s="0"/>
      <c r="BS387" s="0"/>
      <c r="BT387" s="0"/>
      <c r="BU387" s="0"/>
      <c r="BV387" s="0"/>
      <c r="BW387" s="0"/>
      <c r="BX387" s="0"/>
      <c r="BY387" s="0"/>
      <c r="BZ387" s="0"/>
      <c r="CA387" s="0"/>
      <c r="CB387" s="0"/>
      <c r="CC387" s="0"/>
      <c r="CD387" s="0"/>
      <c r="CE387" s="0"/>
      <c r="CF387" s="0"/>
      <c r="CG387" s="0"/>
      <c r="CH387" s="0"/>
      <c r="CI387" s="0"/>
      <c r="CJ387" s="0"/>
      <c r="CK387" s="0"/>
      <c r="CL387" s="0"/>
      <c r="CM387" s="0"/>
      <c r="CN387" s="0"/>
      <c r="CO387" s="0"/>
      <c r="CP387" s="0"/>
      <c r="CQ387" s="0"/>
      <c r="CR387" s="0"/>
      <c r="CS387" s="0"/>
      <c r="CT387" s="0"/>
      <c r="CU387" s="0"/>
      <c r="CV387" s="0"/>
      <c r="CW387" s="0"/>
      <c r="CX387" s="0"/>
    </row>
    <row r="388">
      <c r="A388" s="0" t="inlineStr">
        <is>
          <t xml:space="preserve">Running t-stat</t>
        </is>
      </c>
      <c r="B388" s="0" t="inlineStr">
        <is>
          <t xml:space="preserve">lowest 100 by 60-day volatility</t>
        </is>
      </c>
      <c r="C388" s="0"/>
      <c r="D388" s="0"/>
      <c r="E388" s="0"/>
      <c r="F388" s="0"/>
      <c r="G388" s="0"/>
      <c r="H388" s="0"/>
      <c r="I388" s="0"/>
      <c r="J388" s="0"/>
      <c r="K388" s="0"/>
      <c r="L388" s="0"/>
      <c r="M388" s="0"/>
      <c r="N388" s="0"/>
      <c r="O388" s="0"/>
      <c r="P388" s="0"/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AB388" s="0"/>
      <c r="AC388" s="0"/>
      <c r="AD388" s="0"/>
      <c r="AE388" s="0"/>
      <c r="AF388" s="0"/>
      <c r="AG388" s="0"/>
      <c r="AH388" s="0"/>
      <c r="AI388" s="0"/>
      <c r="AJ388" s="0"/>
      <c r="AK388" s="0"/>
      <c r="AL388" s="0"/>
      <c r="AM388" s="0"/>
      <c r="AN388" s="0"/>
      <c r="AO388" s="0"/>
      <c r="AP388" s="0"/>
      <c r="AQ388" s="0"/>
      <c r="AR388" s="0"/>
      <c r="AS388" s="0"/>
      <c r="AT388" s="0"/>
      <c r="AU388" s="0"/>
      <c r="AV388" s="0"/>
      <c r="AW388" s="0"/>
      <c r="AX388" s="0"/>
      <c r="AY388" s="0"/>
      <c r="AZ388" s="0"/>
      <c r="BA388" s="0"/>
      <c r="BB388" s="0"/>
      <c r="BC388" s="0"/>
      <c r="BD388" s="0"/>
      <c r="BE388" s="0"/>
      <c r="BF388" s="0"/>
      <c r="BG388" s="0"/>
      <c r="BH388" s="0"/>
      <c r="BI388" s="0"/>
      <c r="BJ388" s="0"/>
      <c r="BK388" s="0"/>
      <c r="BL388" s="0"/>
      <c r="BM388" s="0"/>
      <c r="BN388" s="0"/>
      <c r="BO388" s="0"/>
      <c r="BP388" s="0"/>
      <c r="BQ388" s="0"/>
      <c r="BR388" s="0"/>
      <c r="BS388" s="0"/>
      <c r="BT388" s="0"/>
      <c r="BU388" s="0"/>
      <c r="BV388" s="0"/>
      <c r="BW388" s="0"/>
      <c r="BX388" s="0"/>
      <c r="BY388" s="0"/>
      <c r="BZ388" s="0"/>
      <c r="CA388" s="0"/>
      <c r="CB388" s="0"/>
      <c r="CC388" s="0"/>
      <c r="CD388" s="0"/>
      <c r="CE388" s="0"/>
      <c r="CF388" s="0"/>
      <c r="CG388" s="0"/>
      <c r="CH388" s="0"/>
      <c r="CI388" s="0"/>
      <c r="CJ388" s="0"/>
      <c r="CK388" s="0"/>
      <c r="CL388" s="0"/>
      <c r="CM388" s="0"/>
      <c r="CN388" s="0"/>
      <c r="CO388" s="0"/>
      <c r="CP388" s="0"/>
      <c r="CQ388" s="0"/>
      <c r="CR388" s="0"/>
      <c r="CS388" s="0"/>
      <c r="CT388" s="0"/>
      <c r="CU388" s="0"/>
      <c r="CV388" s="0"/>
      <c r="CW388" s="0"/>
      <c r="CX388" s="0"/>
    </row>
    <row r="389">
      <c r="A389" s="0" t="inlineStr">
        <is>
          <t xml:space="preserve">Running t-stat</t>
        </is>
      </c>
      <c r="B389" s="0" t="inlineStr">
        <is>
          <t xml:space="preserve">largest 100 by market cap</t>
        </is>
      </c>
      <c r="C389" s="0"/>
      <c r="D389" s="0"/>
      <c r="E389" s="0"/>
      <c r="F389" s="0"/>
      <c r="G389" s="0"/>
      <c r="H389" s="0"/>
      <c r="I389" s="0"/>
      <c r="J389" s="0"/>
      <c r="K389" s="0"/>
      <c r="L389" s="0"/>
      <c r="M389" s="0"/>
      <c r="N389" s="0"/>
      <c r="O389" s="0"/>
      <c r="P389" s="0"/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AB389" s="0"/>
      <c r="AC389" s="0"/>
      <c r="AD389" s="0"/>
      <c r="AE389" s="0"/>
      <c r="AF389" s="0"/>
      <c r="AG389" s="0"/>
      <c r="AH389" s="0"/>
      <c r="AI389" s="0"/>
      <c r="AJ389" s="0"/>
      <c r="AK389" s="0"/>
      <c r="AL389" s="0"/>
      <c r="AM389" s="0"/>
      <c r="AN389" s="0"/>
      <c r="AO389" s="0"/>
      <c r="AP389" s="0"/>
      <c r="AQ389" s="0"/>
      <c r="AR389" s="0"/>
      <c r="AS389" s="0"/>
      <c r="AT389" s="0"/>
      <c r="AU389" s="0"/>
      <c r="AV389" s="0"/>
      <c r="AW389" s="0"/>
      <c r="AX389" s="0"/>
      <c r="AY389" s="0"/>
      <c r="AZ389" s="0"/>
      <c r="BA389" s="0"/>
      <c r="BB389" s="0"/>
      <c r="BC389" s="0"/>
      <c r="BD389" s="0"/>
      <c r="BE389" s="0"/>
      <c r="BF389" s="0"/>
      <c r="BG389" s="0"/>
      <c r="BH389" s="0"/>
      <c r="BI389" s="0"/>
      <c r="BJ389" s="0"/>
      <c r="BK389" s="0"/>
      <c r="BL389" s="0"/>
      <c r="BM389" s="0"/>
      <c r="BN389" s="0"/>
      <c r="BO389" s="0"/>
      <c r="BP389" s="0"/>
      <c r="BQ389" s="0"/>
      <c r="BR389" s="0"/>
      <c r="BS389" s="0"/>
      <c r="BT389" s="0"/>
      <c r="BU389" s="0"/>
      <c r="BV389" s="0"/>
      <c r="BW389" s="0"/>
      <c r="BX389" s="0"/>
      <c r="BY389" s="0"/>
      <c r="BZ389" s="0"/>
      <c r="CA389" s="0"/>
      <c r="CB389" s="0"/>
      <c r="CC389" s="0"/>
      <c r="CD389" s="0"/>
      <c r="CE389" s="0"/>
      <c r="CF389" s="0"/>
      <c r="CG389" s="0"/>
      <c r="CH389" s="0"/>
      <c r="CI389" s="0"/>
      <c r="CJ389" s="0"/>
      <c r="CK389" s="0"/>
      <c r="CL389" s="0"/>
      <c r="CM389" s="0"/>
      <c r="CN389" s="0"/>
      <c r="CO389" s="0"/>
      <c r="CP389" s="0"/>
      <c r="CQ389" s="0"/>
      <c r="CR389" s="0"/>
      <c r="CS389" s="0"/>
      <c r="CT389" s="0"/>
      <c r="CU389" s="0"/>
      <c r="CV389" s="0"/>
      <c r="CW389" s="0"/>
      <c r="CX389" s="0"/>
    </row>
    <row r="390">
      <c r="A390" s="0" t="inlineStr">
        <is>
          <t xml:space="preserve">Running t-stat</t>
        </is>
      </c>
      <c r="B390" s="0" t="inlineStr">
        <is>
          <t xml:space="preserve">top 100 by 12-1 month return</t>
        </is>
      </c>
      <c r="C390" s="0"/>
      <c r="D390" s="0"/>
      <c r="E390" s="0"/>
      <c r="F390" s="0"/>
      <c r="G390" s="0"/>
      <c r="H390" s="0"/>
      <c r="I390" s="0"/>
      <c r="J390" s="0"/>
      <c r="K390" s="0"/>
      <c r="L390" s="0"/>
      <c r="M390" s="0"/>
      <c r="N390" s="0"/>
      <c r="O390" s="0"/>
      <c r="P390" s="0"/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AB390" s="0"/>
      <c r="AC390" s="0"/>
      <c r="AD390" s="0"/>
      <c r="AE390" s="0"/>
      <c r="AF390" s="0"/>
      <c r="AG390" s="0"/>
      <c r="AH390" s="0"/>
      <c r="AI390" s="0"/>
      <c r="AJ390" s="0"/>
      <c r="AK390" s="0"/>
      <c r="AL390" s="0"/>
      <c r="AM390" s="0"/>
      <c r="AN390" s="0"/>
      <c r="AO390" s="0"/>
      <c r="AP390" s="0"/>
      <c r="AQ390" s="0"/>
      <c r="AR390" s="0"/>
      <c r="AS390" s="0"/>
      <c r="AT390" s="0"/>
      <c r="AU390" s="0"/>
      <c r="AV390" s="0"/>
      <c r="AW390" s="0"/>
      <c r="AX390" s="0"/>
      <c r="AY390" s="0"/>
      <c r="AZ390" s="0"/>
      <c r="BA390" s="0"/>
      <c r="BB390" s="0"/>
      <c r="BC390" s="0"/>
      <c r="BD390" s="0"/>
      <c r="BE390" s="0"/>
      <c r="BF390" s="0"/>
      <c r="BG390" s="0"/>
      <c r="BH390" s="0"/>
      <c r="BI390" s="0"/>
      <c r="BJ390" s="0"/>
      <c r="BK390" s="0"/>
      <c r="BL390" s="0"/>
      <c r="BM390" s="0"/>
      <c r="BN390" s="0"/>
      <c r="BO390" s="0"/>
      <c r="BP390" s="0"/>
      <c r="BQ390" s="0"/>
      <c r="BR390" s="0"/>
      <c r="BS390" s="0"/>
      <c r="BT390" s="0"/>
      <c r="BU390" s="0"/>
      <c r="BV390" s="0"/>
      <c r="BW390" s="0"/>
      <c r="BX390" s="0"/>
      <c r="BY390" s="0"/>
      <c r="BZ390" s="0"/>
      <c r="CA390" s="0"/>
      <c r="CB390" s="0"/>
      <c r="CC390" s="0"/>
      <c r="CD390" s="0"/>
      <c r="CE390" s="0"/>
      <c r="CF390" s="0"/>
      <c r="CG390" s="0"/>
      <c r="CH390" s="0"/>
      <c r="CI390" s="0"/>
      <c r="CJ390" s="0"/>
      <c r="CK390" s="0"/>
      <c r="CL390" s="0"/>
      <c r="CM390" s="0"/>
      <c r="CN390" s="0"/>
      <c r="CO390" s="0"/>
      <c r="CP390" s="0"/>
      <c r="CQ390" s="0"/>
      <c r="CR390" s="0"/>
      <c r="CS390" s="0"/>
      <c r="CT390" s="0"/>
      <c r="CU390" s="0"/>
      <c r="CV390" s="0"/>
      <c r="CW390" s="0"/>
      <c r="CX390" s="0"/>
    </row>
    <row r="391">
      <c r="A391" s="0" t="inlineStr">
        <is>
          <t xml:space="preserve">Running t-stat</t>
        </is>
      </c>
      <c r="B391" s="0" t="inlineStr">
        <is>
          <t xml:space="preserve">best 100 by yesterday's close-to-close return</t>
        </is>
      </c>
      <c r="C391" s="0"/>
      <c r="D391" s="0"/>
      <c r="E391" s="0"/>
      <c r="F391" s="0"/>
      <c r="G391" s="0"/>
      <c r="H391" s="0"/>
      <c r="I391" s="0"/>
      <c r="J391" s="0"/>
      <c r="K391" s="0"/>
      <c r="L391" s="0"/>
      <c r="M391" s="0"/>
      <c r="N391" s="0"/>
      <c r="O391" s="0"/>
      <c r="P391" s="0"/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AB391" s="0"/>
      <c r="AC391" s="0"/>
      <c r="AD391" s="0"/>
      <c r="AE391" s="0"/>
      <c r="AF391" s="0"/>
      <c r="AG391" s="0"/>
      <c r="AH391" s="0"/>
      <c r="AI391" s="0"/>
      <c r="AJ391" s="0"/>
      <c r="AK391" s="0"/>
      <c r="AL391" s="0"/>
      <c r="AM391" s="0"/>
      <c r="AN391" s="0"/>
      <c r="AO391" s="0"/>
      <c r="AP391" s="0"/>
      <c r="AQ391" s="0"/>
      <c r="AR391" s="0"/>
      <c r="AS391" s="0"/>
      <c r="AT391" s="0"/>
      <c r="AU391" s="0"/>
      <c r="AV391" s="0"/>
      <c r="AW391" s="0"/>
      <c r="AX391" s="0"/>
      <c r="AY391" s="0"/>
      <c r="AZ391" s="0"/>
      <c r="BA391" s="0"/>
      <c r="BB391" s="0"/>
      <c r="BC391" s="0"/>
      <c r="BD391" s="0"/>
      <c r="BE391" s="0"/>
      <c r="BF391" s="0"/>
      <c r="BG391" s="0"/>
      <c r="BH391" s="0"/>
      <c r="BI391" s="0"/>
      <c r="BJ391" s="0"/>
      <c r="BK391" s="0"/>
      <c r="BL391" s="0"/>
      <c r="BM391" s="0"/>
      <c r="BN391" s="0"/>
      <c r="BO391" s="0"/>
      <c r="BP391" s="0"/>
      <c r="BQ391" s="0"/>
      <c r="BR391" s="0"/>
      <c r="BS391" s="0"/>
      <c r="BT391" s="0"/>
      <c r="BU391" s="0"/>
      <c r="BV391" s="0"/>
      <c r="BW391" s="0"/>
      <c r="BX391" s="0"/>
      <c r="BY391" s="0"/>
      <c r="BZ391" s="0"/>
      <c r="CA391" s="0"/>
      <c r="CB391" s="0"/>
      <c r="CC391" s="0"/>
      <c r="CD391" s="0"/>
      <c r="CE391" s="0"/>
      <c r="CF391" s="0"/>
      <c r="CG391" s="0"/>
      <c r="CH391" s="0"/>
      <c r="CI391" s="0"/>
      <c r="CJ391" s="0"/>
      <c r="CK391" s="0"/>
      <c r="CL391" s="0"/>
      <c r="CM391" s="0"/>
      <c r="CN391" s="0"/>
      <c r="CO391" s="0"/>
      <c r="CP391" s="0"/>
      <c r="CQ391" s="0"/>
      <c r="CR391" s="0"/>
      <c r="CS391" s="0"/>
      <c r="CT391" s="0"/>
      <c r="CU391" s="0"/>
      <c r="CV391" s="0"/>
      <c r="CW391" s="0"/>
      <c r="CX391" s="0"/>
    </row>
    <row r="392">
      <c r="A392" s="0" t="inlineStr">
        <is>
          <t xml:space="preserve">Running t-stat</t>
        </is>
      </c>
      <c r="B392" s="0" t="inlineStr">
        <is>
          <t xml:space="preserve">Retail Attention Overnight</t>
        </is>
      </c>
      <c r="C392" s="0"/>
      <c r="D392" s="0"/>
      <c r="E392" s="0"/>
      <c r="F392" s="0"/>
      <c r="G392" s="0"/>
      <c r="H392" s="0"/>
      <c r="I392" s="0"/>
      <c r="J392" s="0"/>
      <c r="K392" s="0"/>
      <c r="L392" s="0"/>
      <c r="M392" s="0"/>
      <c r="N392" s="0"/>
      <c r="O392" s="0"/>
      <c r="P392" s="0"/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AB392" s="0"/>
      <c r="AC392" s="0"/>
      <c r="AD392" s="0"/>
      <c r="AE392" s="0"/>
      <c r="AF392" s="0"/>
      <c r="AG392" s="0"/>
      <c r="AH392" s="0"/>
      <c r="AI392" s="0"/>
      <c r="AJ392" s="0"/>
      <c r="AK392" s="0"/>
      <c r="AL392" s="0"/>
      <c r="AM392" s="0"/>
      <c r="AN392" s="0"/>
      <c r="AO392" s="0"/>
      <c r="AP392" s="0"/>
      <c r="AQ392" s="0"/>
      <c r="AR392" s="0"/>
      <c r="AS392" s="0"/>
      <c r="AT392" s="0"/>
      <c r="AU392" s="0"/>
      <c r="AV392" s="0"/>
      <c r="AW392" s="0"/>
      <c r="AX392" s="0"/>
      <c r="AY392" s="0"/>
      <c r="AZ392" s="0"/>
      <c r="BA392" s="0"/>
      <c r="BB392" s="0"/>
      <c r="BC392" s="0"/>
      <c r="BD392" s="0"/>
      <c r="BE392" s="0"/>
      <c r="BF392" s="0"/>
      <c r="BG392" s="0"/>
      <c r="BH392" s="0"/>
      <c r="BI392" s="0"/>
      <c r="BJ392" s="0"/>
      <c r="BK392" s="0"/>
      <c r="BL392" s="0"/>
      <c r="BM392" s="0"/>
      <c r="BN392" s="0"/>
      <c r="BO392" s="0"/>
      <c r="BP392" s="0"/>
      <c r="BQ392" s="0"/>
      <c r="BR392" s="0"/>
      <c r="BS392" s="0"/>
      <c r="BT392" s="0"/>
      <c r="BU392" s="0"/>
      <c r="BV392" s="0"/>
      <c r="BW392" s="0"/>
      <c r="BX392" s="0"/>
      <c r="BY392" s="0"/>
      <c r="BZ392" s="0"/>
      <c r="CA392" s="0"/>
      <c r="CB392" s="0"/>
      <c r="CC392" s="0"/>
      <c r="CD392" s="0"/>
      <c r="CE392" s="0"/>
      <c r="CF392" s="0"/>
      <c r="CG392" s="0"/>
      <c r="CH392" s="0"/>
      <c r="CI392" s="0"/>
      <c r="CJ392" s="0"/>
      <c r="CK392" s="0"/>
      <c r="CL392" s="0"/>
      <c r="CM392" s="0"/>
      <c r="CN392" s="0"/>
      <c r="CO392" s="0"/>
      <c r="CP392" s="0"/>
      <c r="CQ392" s="0"/>
      <c r="CR392" s="0"/>
      <c r="CS392" s="0"/>
      <c r="CT392" s="0"/>
      <c r="CU392" s="0"/>
      <c r="CV392" s="0"/>
      <c r="CW392" s="0"/>
      <c r="CX392" s="0"/>
    </row>
    <row r="393">
      <c r="A393" s="0" t="inlineStr">
        <is>
          <t xml:space="preserve">Running t-stat</t>
        </is>
      </c>
      <c r="B393" s="0" t="inlineStr">
        <is>
          <t xml:space="preserve">Post-Earnings Drift, Overnight Leg</t>
        </is>
      </c>
      <c r="C393" s="0"/>
      <c r="D393" s="0"/>
      <c r="E393" s="0"/>
      <c r="F393" s="0"/>
      <c r="G393" s="0"/>
      <c r="H393" s="0"/>
      <c r="I393" s="0"/>
      <c r="J393" s="0"/>
      <c r="K393" s="0"/>
      <c r="L393" s="0"/>
      <c r="M393" s="0"/>
      <c r="N393" s="0"/>
      <c r="O393" s="0"/>
      <c r="P393" s="0"/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AB393" s="0"/>
      <c r="AC393" s="0"/>
      <c r="AD393" s="0"/>
      <c r="AE393" s="0"/>
      <c r="AF393" s="0"/>
      <c r="AG393" s="0"/>
      <c r="AH393" s="0"/>
      <c r="AI393" s="0"/>
      <c r="AJ393" s="0"/>
      <c r="AK393" s="0"/>
      <c r="AL393" s="0"/>
      <c r="AM393" s="0"/>
      <c r="AN393" s="0"/>
      <c r="AO393" s="0"/>
      <c r="AP393" s="0"/>
      <c r="AQ393" s="0"/>
      <c r="AR393" s="0"/>
      <c r="AS393" s="0"/>
      <c r="AT393" s="0"/>
      <c r="AU393" s="0"/>
      <c r="AV393" s="0"/>
      <c r="AW393" s="0"/>
      <c r="AX393" s="0"/>
      <c r="AY393" s="0"/>
      <c r="AZ393" s="0"/>
      <c r="BA393" s="0"/>
      <c r="BB393" s="0"/>
      <c r="BC393" s="0"/>
      <c r="BD393" s="0"/>
      <c r="BE393" s="0"/>
      <c r="BF393" s="0"/>
      <c r="BG393" s="0"/>
      <c r="BH393" s="0"/>
      <c r="BI393" s="0"/>
      <c r="BJ393" s="0"/>
      <c r="BK393" s="0"/>
      <c r="BL393" s="0"/>
      <c r="BM393" s="0"/>
      <c r="BN393" s="0"/>
      <c r="BO393" s="0"/>
      <c r="BP393" s="0"/>
      <c r="BQ393" s="0"/>
      <c r="BR393" s="0"/>
      <c r="BS393" s="0"/>
      <c r="BT393" s="0"/>
      <c r="BU393" s="0"/>
      <c r="BV393" s="0"/>
      <c r="BW393" s="0"/>
      <c r="BX393" s="0"/>
      <c r="BY393" s="0"/>
      <c r="BZ393" s="0"/>
      <c r="CA393" s="0"/>
      <c r="CB393" s="0"/>
      <c r="CC393" s="0"/>
      <c r="CD393" s="0"/>
      <c r="CE393" s="0"/>
      <c r="CF393" s="0"/>
      <c r="CG393" s="0"/>
      <c r="CH393" s="0"/>
      <c r="CI393" s="0"/>
      <c r="CJ393" s="0"/>
      <c r="CK393" s="0"/>
      <c r="CL393" s="0"/>
      <c r="CM393" s="0"/>
      <c r="CN393" s="0"/>
      <c r="CO393" s="0"/>
      <c r="CP393" s="0"/>
      <c r="CQ393" s="0"/>
      <c r="CR393" s="0"/>
      <c r="CS393" s="0"/>
      <c r="CT393" s="0"/>
      <c r="CU393" s="0"/>
      <c r="CV393" s="0"/>
      <c r="CW393" s="0"/>
      <c r="CX393" s="0"/>
    </row>
    <row r="394">
      <c r="A394" s="0" t="inlineStr">
        <is>
          <t xml:space="preserve">Running t-stat</t>
        </is>
      </c>
      <c r="B394" s="0" t="inlineStr">
        <is>
          <t xml:space="preserve">Intraday-to-Overnight Reversal</t>
        </is>
      </c>
      <c r="C394" s="0"/>
      <c r="D394" s="0"/>
      <c r="E394" s="0"/>
      <c r="F394" s="0"/>
      <c r="G394" s="0"/>
      <c r="H394" s="0"/>
      <c r="I394" s="0"/>
      <c r="J394" s="0"/>
      <c r="K394" s="0"/>
      <c r="L394" s="0"/>
      <c r="M394" s="0"/>
      <c r="N394" s="0"/>
      <c r="O394" s="0"/>
      <c r="P394" s="0"/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AB394" s="0"/>
      <c r="AC394" s="0"/>
      <c r="AD394" s="0"/>
      <c r="AE394" s="0"/>
      <c r="AF394" s="0"/>
      <c r="AG394" s="0"/>
      <c r="AH394" s="0"/>
      <c r="AI394" s="0"/>
      <c r="AJ394" s="0"/>
      <c r="AK394" s="0"/>
      <c r="AL394" s="0"/>
      <c r="AM394" s="0"/>
      <c r="AN394" s="0"/>
      <c r="AO394" s="0"/>
      <c r="AP394" s="0"/>
      <c r="AQ394" s="0"/>
      <c r="AR394" s="0"/>
      <c r="AS394" s="0"/>
      <c r="AT394" s="0"/>
      <c r="AU394" s="0"/>
      <c r="AV394" s="0"/>
      <c r="AW394" s="0"/>
      <c r="AX394" s="0"/>
      <c r="AY394" s="0"/>
      <c r="AZ394" s="0"/>
      <c r="BA394" s="0"/>
      <c r="BB394" s="0"/>
      <c r="BC394" s="0"/>
      <c r="BD394" s="0"/>
      <c r="BE394" s="0"/>
      <c r="BF394" s="0"/>
      <c r="BG394" s="0"/>
      <c r="BH394" s="0"/>
      <c r="BI394" s="0"/>
      <c r="BJ394" s="0"/>
      <c r="BK394" s="0"/>
      <c r="BL394" s="0"/>
      <c r="BM394" s="0"/>
      <c r="BN394" s="0"/>
      <c r="BO394" s="0"/>
      <c r="BP394" s="0"/>
      <c r="BQ394" s="0"/>
      <c r="BR394" s="0"/>
      <c r="BS394" s="0"/>
      <c r="BT394" s="0"/>
      <c r="BU394" s="0"/>
      <c r="BV394" s="0"/>
      <c r="BW394" s="0"/>
      <c r="BX394" s="0"/>
      <c r="BY394" s="0"/>
      <c r="BZ394" s="0"/>
      <c r="CA394" s="0"/>
      <c r="CB394" s="0"/>
      <c r="CC394" s="0"/>
      <c r="CD394" s="0"/>
      <c r="CE394" s="0"/>
      <c r="CF394" s="0"/>
      <c r="CG394" s="0"/>
      <c r="CH394" s="0"/>
      <c r="CI394" s="0"/>
      <c r="CJ394" s="0"/>
      <c r="CK394" s="0"/>
      <c r="CL394" s="0"/>
      <c r="CM394" s="0"/>
      <c r="CN394" s="0"/>
      <c r="CO394" s="0"/>
      <c r="CP394" s="0"/>
      <c r="CQ394" s="0"/>
      <c r="CR394" s="0"/>
      <c r="CS394" s="0"/>
      <c r="CT394" s="0"/>
      <c r="CU394" s="0"/>
      <c r="CV394" s="0"/>
      <c r="CW394" s="0"/>
      <c r="CX394" s="0"/>
    </row>
    <row r="395">
      <c r="A395" s="0" t="inlineStr">
        <is>
          <t xml:space="preserve">Running t-stat</t>
        </is>
      </c>
      <c r="B395" s="0" t="inlineStr">
        <is>
          <t xml:space="preserve">Analyst Revision Momentum</t>
        </is>
      </c>
      <c r="C395" s="0"/>
      <c r="D395" s="0"/>
      <c r="E395" s="0"/>
      <c r="F395" s="0"/>
      <c r="G395" s="0"/>
      <c r="H395" s="0"/>
      <c r="I395" s="0"/>
      <c r="J395" s="0"/>
      <c r="K395" s="0"/>
      <c r="L395" s="0"/>
      <c r="M395" s="0"/>
      <c r="N395" s="0"/>
      <c r="O395" s="0"/>
      <c r="P395" s="0"/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AB395" s="0"/>
      <c r="AC395" s="0"/>
      <c r="AD395" s="0"/>
      <c r="AE395" s="0"/>
      <c r="AF395" s="0"/>
      <c r="AG395" s="0"/>
      <c r="AH395" s="0"/>
      <c r="AI395" s="0"/>
      <c r="AJ395" s="0"/>
      <c r="AK395" s="0"/>
      <c r="AL395" s="0"/>
      <c r="AM395" s="0"/>
      <c r="AN395" s="0"/>
      <c r="AO395" s="0"/>
      <c r="AP395" s="0"/>
      <c r="AQ395" s="0"/>
      <c r="AR395" s="0"/>
      <c r="AS395" s="0"/>
      <c r="AT395" s="0"/>
      <c r="AU395" s="0"/>
      <c r="AV395" s="0"/>
      <c r="AW395" s="0"/>
      <c r="AX395" s="0"/>
      <c r="AY395" s="0"/>
      <c r="AZ395" s="0"/>
      <c r="BA395" s="0"/>
      <c r="BB395" s="0"/>
      <c r="BC395" s="0"/>
      <c r="BD395" s="0"/>
      <c r="BE395" s="0"/>
      <c r="BF395" s="0"/>
      <c r="BG395" s="0"/>
      <c r="BH395" s="0"/>
      <c r="BI395" s="0"/>
      <c r="BJ395" s="0"/>
      <c r="BK395" s="0"/>
      <c r="BL395" s="0"/>
      <c r="BM395" s="0"/>
      <c r="BN395" s="0"/>
      <c r="BO395" s="0"/>
      <c r="BP395" s="0"/>
      <c r="BQ395" s="0"/>
      <c r="BR395" s="0"/>
      <c r="BS395" s="0"/>
      <c r="BT395" s="0"/>
      <c r="BU395" s="0"/>
      <c r="BV395" s="0"/>
      <c r="BW395" s="0"/>
      <c r="BX395" s="0"/>
      <c r="BY395" s="0"/>
      <c r="BZ395" s="0"/>
      <c r="CA395" s="0"/>
      <c r="CB395" s="0"/>
      <c r="CC395" s="0"/>
      <c r="CD395" s="0"/>
      <c r="CE395" s="0"/>
      <c r="CF395" s="0"/>
      <c r="CG395" s="0"/>
      <c r="CH395" s="0"/>
      <c r="CI395" s="0"/>
      <c r="CJ395" s="0"/>
      <c r="CK395" s="0"/>
      <c r="CL395" s="0"/>
      <c r="CM395" s="0"/>
      <c r="CN395" s="0"/>
      <c r="CO395" s="0"/>
      <c r="CP395" s="0"/>
      <c r="CQ395" s="0"/>
      <c r="CR395" s="0"/>
      <c r="CS395" s="0"/>
      <c r="CT395" s="0"/>
      <c r="CU395" s="0"/>
      <c r="CV395" s="0"/>
      <c r="CW395" s="0"/>
      <c r="CX395" s="0"/>
    </row>
    <row r="396">
      <c r="A396" s="0" t="inlineStr">
        <is>
          <t xml:space="preserve">Running t-stat</t>
        </is>
      </c>
      <c r="B396" s="0" t="inlineStr">
        <is>
          <t xml:space="preserve">Clustered Insider Buying</t>
        </is>
      </c>
      <c r="C396" s="0"/>
      <c r="D396" s="0"/>
      <c r="E396" s="0"/>
      <c r="F396" s="0"/>
      <c r="G396" s="0"/>
      <c r="H396" s="0"/>
      <c r="I396" s="0"/>
      <c r="J396" s="0"/>
      <c r="K396" s="0"/>
      <c r="L396" s="0"/>
      <c r="M396" s="0"/>
      <c r="N396" s="0"/>
      <c r="O396" s="0"/>
      <c r="P396" s="0"/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AB396" s="0"/>
      <c r="AC396" s="0"/>
      <c r="AD396" s="0"/>
      <c r="AE396" s="0"/>
      <c r="AF396" s="0"/>
      <c r="AG396" s="0"/>
      <c r="AH396" s="0"/>
      <c r="AI396" s="0"/>
      <c r="AJ396" s="0"/>
      <c r="AK396" s="0"/>
      <c r="AL396" s="0"/>
      <c r="AM396" s="0"/>
      <c r="AN396" s="0"/>
      <c r="AO396" s="0"/>
      <c r="AP396" s="0"/>
      <c r="AQ396" s="0"/>
      <c r="AR396" s="0"/>
      <c r="AS396" s="0"/>
      <c r="AT396" s="0"/>
      <c r="AU396" s="0"/>
      <c r="AV396" s="0"/>
      <c r="AW396" s="0"/>
      <c r="AX396" s="0"/>
      <c r="AY396" s="0"/>
      <c r="AZ396" s="0"/>
      <c r="BA396" s="0"/>
      <c r="BB396" s="0"/>
      <c r="BC396" s="0"/>
      <c r="BD396" s="0"/>
      <c r="BE396" s="0"/>
      <c r="BF396" s="0"/>
      <c r="BG396" s="0"/>
      <c r="BH396" s="0"/>
      <c r="BI396" s="0"/>
      <c r="BJ396" s="0"/>
      <c r="BK396" s="0"/>
      <c r="BL396" s="0"/>
      <c r="BM396" s="0"/>
      <c r="BN396" s="0"/>
      <c r="BO396" s="0"/>
      <c r="BP396" s="0"/>
      <c r="BQ396" s="0"/>
      <c r="BR396" s="0"/>
      <c r="BS396" s="0"/>
      <c r="BT396" s="0"/>
      <c r="BU396" s="0"/>
      <c r="BV396" s="0"/>
      <c r="BW396" s="0"/>
      <c r="BX396" s="0"/>
      <c r="BY396" s="0"/>
      <c r="BZ396" s="0"/>
      <c r="CA396" s="0"/>
      <c r="CB396" s="0"/>
      <c r="CC396" s="0"/>
      <c r="CD396" s="0"/>
      <c r="CE396" s="0"/>
      <c r="CF396" s="0"/>
      <c r="CG396" s="0"/>
      <c r="CH396" s="0"/>
      <c r="CI396" s="0"/>
      <c r="CJ396" s="0"/>
      <c r="CK396" s="0"/>
      <c r="CL396" s="0"/>
      <c r="CM396" s="0"/>
      <c r="CN396" s="0"/>
      <c r="CO396" s="0"/>
      <c r="CP396" s="0"/>
      <c r="CQ396" s="0"/>
      <c r="CR396" s="0"/>
      <c r="CS396" s="0"/>
      <c r="CT396" s="0"/>
      <c r="CU396" s="0"/>
      <c r="CV396" s="0"/>
      <c r="CW396" s="0"/>
      <c r="CX396" s="0"/>
    </row>
    <row r="397">
      <c r="A397" s="0" t="inlineStr">
        <is>
          <t xml:space="preserve">Running t-stat</t>
        </is>
      </c>
      <c r="B397" s="0" t="inlineStr">
        <is>
          <t xml:space="preserve">Same-Month Seasonality</t>
        </is>
      </c>
      <c r="C397" s="0"/>
      <c r="D397" s="0"/>
      <c r="E397" s="0"/>
      <c r="F397" s="0"/>
      <c r="G397" s="0"/>
      <c r="H397" s="0"/>
      <c r="I397" s="0"/>
      <c r="J397" s="0"/>
      <c r="K397" s="0"/>
      <c r="L397" s="0"/>
      <c r="M397" s="0"/>
      <c r="N397" s="0"/>
      <c r="O397" s="0"/>
      <c r="P397" s="0"/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AB397" s="0"/>
      <c r="AC397" s="0"/>
      <c r="AD397" s="0"/>
      <c r="AE397" s="0"/>
      <c r="AF397" s="0"/>
      <c r="AG397" s="0"/>
      <c r="AH397" s="0"/>
      <c r="AI397" s="0"/>
      <c r="AJ397" s="0"/>
      <c r="AK397" s="0"/>
      <c r="AL397" s="0"/>
      <c r="AM397" s="0"/>
      <c r="AN397" s="0"/>
      <c r="AO397" s="0"/>
      <c r="AP397" s="0"/>
      <c r="AQ397" s="0"/>
      <c r="AR397" s="0"/>
      <c r="AS397" s="0"/>
      <c r="AT397" s="0"/>
      <c r="AU397" s="0"/>
      <c r="AV397" s="0"/>
      <c r="AW397" s="0"/>
      <c r="AX397" s="0"/>
      <c r="AY397" s="0"/>
      <c r="AZ397" s="0"/>
      <c r="BA397" s="0"/>
      <c r="BB397" s="0"/>
      <c r="BC397" s="0"/>
      <c r="BD397" s="0"/>
      <c r="BE397" s="0"/>
      <c r="BF397" s="0"/>
      <c r="BG397" s="0"/>
      <c r="BH397" s="0"/>
      <c r="BI397" s="0"/>
      <c r="BJ397" s="0"/>
      <c r="BK397" s="0"/>
      <c r="BL397" s="0"/>
      <c r="BM397" s="0"/>
      <c r="BN397" s="0"/>
      <c r="BO397" s="0"/>
      <c r="BP397" s="0"/>
      <c r="BQ397" s="0"/>
      <c r="BR397" s="0"/>
      <c r="BS397" s="0"/>
      <c r="BT397" s="0"/>
      <c r="BU397" s="0"/>
      <c r="BV397" s="0"/>
      <c r="BW397" s="0"/>
      <c r="BX397" s="0"/>
      <c r="BY397" s="0"/>
      <c r="BZ397" s="0"/>
      <c r="CA397" s="0"/>
      <c r="CB397" s="0"/>
      <c r="CC397" s="0"/>
      <c r="CD397" s="0"/>
      <c r="CE397" s="0"/>
      <c r="CF397" s="0"/>
      <c r="CG397" s="0"/>
      <c r="CH397" s="0"/>
      <c r="CI397" s="0"/>
      <c r="CJ397" s="0"/>
      <c r="CK397" s="0"/>
      <c r="CL397" s="0"/>
      <c r="CM397" s="0"/>
      <c r="CN397" s="0"/>
      <c r="CO397" s="0"/>
      <c r="CP397" s="0"/>
      <c r="CQ397" s="0"/>
      <c r="CR397" s="0"/>
      <c r="CS397" s="0"/>
      <c r="CT397" s="0"/>
      <c r="CU397" s="0"/>
      <c r="CV397" s="0"/>
      <c r="CW397" s="0"/>
      <c r="CX397" s="0"/>
    </row>
    <row r="398">
      <c r="A398" s="0" t="inlineStr">
        <is>
          <t xml:space="preserve">Running t-stat</t>
        </is>
      </c>
      <c r="B398" s="0" t="inlineStr">
        <is>
          <t xml:space="preserve">Quality at a Reasonable Price</t>
        </is>
      </c>
      <c r="C398" s="0"/>
      <c r="D398" s="0"/>
      <c r="E398" s="0"/>
      <c r="F398" s="0"/>
      <c r="G398" s="0"/>
      <c r="H398" s="0"/>
      <c r="I398" s="0"/>
      <c r="J398" s="0"/>
      <c r="K398" s="0"/>
      <c r="L398" s="0"/>
      <c r="M398" s="0"/>
      <c r="N398" s="0"/>
      <c r="O398" s="0"/>
      <c r="P398" s="0"/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AB398" s="0"/>
      <c r="AC398" s="0"/>
      <c r="AD398" s="0"/>
      <c r="AE398" s="0"/>
      <c r="AF398" s="0"/>
      <c r="AG398" s="0"/>
      <c r="AH398" s="0"/>
      <c r="AI398" s="0"/>
      <c r="AJ398" s="0"/>
      <c r="AK398" s="0"/>
      <c r="AL398" s="0"/>
      <c r="AM398" s="0"/>
      <c r="AN398" s="0"/>
      <c r="AO398" s="0"/>
      <c r="AP398" s="0"/>
      <c r="AQ398" s="0"/>
      <c r="AR398" s="0"/>
      <c r="AS398" s="0"/>
      <c r="AT398" s="0"/>
      <c r="AU398" s="0"/>
      <c r="AV398" s="0"/>
      <c r="AW398" s="0"/>
      <c r="AX398" s="0"/>
      <c r="AY398" s="0"/>
      <c r="AZ398" s="0"/>
      <c r="BA398" s="0"/>
      <c r="BB398" s="0"/>
      <c r="BC398" s="0"/>
      <c r="BD398" s="0"/>
      <c r="BE398" s="0"/>
      <c r="BF398" s="0"/>
      <c r="BG398" s="0"/>
      <c r="BH398" s="0"/>
      <c r="BI398" s="0"/>
      <c r="BJ398" s="0"/>
      <c r="BK398" s="0"/>
      <c r="BL398" s="0"/>
      <c r="BM398" s="0"/>
      <c r="BN398" s="0"/>
      <c r="BO398" s="0"/>
      <c r="BP398" s="0"/>
      <c r="BQ398" s="0"/>
      <c r="BR398" s="0"/>
      <c r="BS398" s="0"/>
      <c r="BT398" s="0"/>
      <c r="BU398" s="0"/>
      <c r="BV398" s="0"/>
      <c r="BW398" s="0"/>
      <c r="BX398" s="0"/>
      <c r="BY398" s="0"/>
      <c r="BZ398" s="0"/>
      <c r="CA398" s="0"/>
      <c r="CB398" s="0"/>
      <c r="CC398" s="0"/>
      <c r="CD398" s="0"/>
      <c r="CE398" s="0"/>
      <c r="CF398" s="0"/>
      <c r="CG398" s="0"/>
      <c r="CH398" s="0"/>
      <c r="CI398" s="0"/>
      <c r="CJ398" s="0"/>
      <c r="CK398" s="0"/>
      <c r="CL398" s="0"/>
      <c r="CM398" s="0"/>
      <c r="CN398" s="0"/>
      <c r="CO398" s="0"/>
      <c r="CP398" s="0"/>
      <c r="CQ398" s="0"/>
      <c r="CR398" s="0"/>
      <c r="CS398" s="0"/>
      <c r="CT398" s="0"/>
      <c r="CU398" s="0"/>
      <c r="CV398" s="0"/>
      <c r="CW398" s="0"/>
      <c r="CX398" s="0"/>
    </row>
    <row r="399">
      <c r="A399" s="0" t="inlineStr">
        <is>
          <t xml:space="preserve">Running t-stat</t>
        </is>
      </c>
      <c r="B399" s="0" t="inlineStr">
        <is>
          <t xml:space="preserve">Residual Momentum</t>
        </is>
      </c>
      <c r="C399" s="0"/>
      <c r="D399" s="0"/>
      <c r="E399" s="0"/>
      <c r="F399" s="0"/>
      <c r="G399" s="0"/>
      <c r="H399" s="0"/>
      <c r="I399" s="0"/>
      <c r="J399" s="0"/>
      <c r="K399" s="0"/>
      <c r="L399" s="0"/>
      <c r="M399" s="0"/>
      <c r="N399" s="0"/>
      <c r="O399" s="0"/>
      <c r="P399" s="0"/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AB399" s="0"/>
      <c r="AC399" s="0"/>
      <c r="AD399" s="0"/>
      <c r="AE399" s="0"/>
      <c r="AF399" s="0"/>
      <c r="AG399" s="0"/>
      <c r="AH399" s="0"/>
      <c r="AI399" s="0"/>
      <c r="AJ399" s="0"/>
      <c r="AK399" s="0"/>
      <c r="AL399" s="0"/>
      <c r="AM399" s="0"/>
      <c r="AN399" s="0"/>
      <c r="AO399" s="0"/>
      <c r="AP399" s="0"/>
      <c r="AQ399" s="0"/>
      <c r="AR399" s="0"/>
      <c r="AS399" s="0"/>
      <c r="AT399" s="0"/>
      <c r="AU399" s="0"/>
      <c r="AV399" s="0"/>
      <c r="AW399" s="0"/>
      <c r="AX399" s="0"/>
      <c r="AY399" s="0"/>
      <c r="AZ399" s="0"/>
      <c r="BA399" s="0"/>
      <c r="BB399" s="0"/>
      <c r="BC399" s="0"/>
      <c r="BD399" s="0"/>
      <c r="BE399" s="0"/>
      <c r="BF399" s="0"/>
      <c r="BG399" s="0"/>
      <c r="BH399" s="0"/>
      <c r="BI399" s="0"/>
      <c r="BJ399" s="0"/>
      <c r="BK399" s="0"/>
      <c r="BL399" s="0"/>
      <c r="BM399" s="0"/>
      <c r="BN399" s="0"/>
      <c r="BO399" s="0"/>
      <c r="BP399" s="0"/>
      <c r="BQ399" s="0"/>
      <c r="BR399" s="0"/>
      <c r="BS399" s="0"/>
      <c r="BT399" s="0"/>
      <c r="BU399" s="0"/>
      <c r="BV399" s="0"/>
      <c r="BW399" s="0"/>
      <c r="BX399" s="0"/>
      <c r="BY399" s="0"/>
      <c r="BZ399" s="0"/>
      <c r="CA399" s="0"/>
      <c r="CB399" s="0"/>
      <c r="CC399" s="0"/>
      <c r="CD399" s="0"/>
      <c r="CE399" s="0"/>
      <c r="CF399" s="0"/>
      <c r="CG399" s="0"/>
      <c r="CH399" s="0"/>
      <c r="CI399" s="0"/>
      <c r="CJ399" s="0"/>
      <c r="CK399" s="0"/>
      <c r="CL399" s="0"/>
      <c r="CM399" s="0"/>
      <c r="CN399" s="0"/>
      <c r="CO399" s="0"/>
      <c r="CP399" s="0"/>
      <c r="CQ399" s="0"/>
      <c r="CR399" s="0"/>
      <c r="CS399" s="0"/>
      <c r="CT399" s="0"/>
      <c r="CU399" s="0"/>
      <c r="CV399" s="0"/>
      <c r="CW399" s="0"/>
      <c r="CX399" s="0"/>
    </row>
    <row r="400">
      <c r="A400" s="0" t="inlineStr">
        <is>
          <t xml:space="preserve">Running t-stat</t>
        </is>
      </c>
      <c r="B400" s="0" t="inlineStr">
        <is>
          <t xml:space="preserve">Overnight Return Persistence</t>
        </is>
      </c>
      <c r="C400" s="0"/>
      <c r="D400" s="0"/>
      <c r="E400" s="0"/>
      <c r="F400" s="0"/>
      <c r="G400" s="0"/>
      <c r="H400" s="0"/>
      <c r="I400" s="0"/>
      <c r="J400" s="0"/>
      <c r="K400" s="0"/>
      <c r="L400" s="0"/>
      <c r="M400" s="0"/>
      <c r="N400" s="0"/>
      <c r="O400" s="0"/>
      <c r="P400" s="0"/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AB400" s="0"/>
      <c r="AC400" s="0"/>
      <c r="AD400" s="0"/>
      <c r="AE400" s="0"/>
      <c r="AF400" s="0"/>
      <c r="AG400" s="0"/>
      <c r="AH400" s="0"/>
      <c r="AI400" s="0"/>
      <c r="AJ400" s="0"/>
      <c r="AK400" s="0"/>
      <c r="AL400" s="0"/>
      <c r="AM400" s="0"/>
      <c r="AN400" s="0"/>
      <c r="AO400" s="0"/>
      <c r="AP400" s="0"/>
      <c r="AQ400" s="0"/>
      <c r="AR400" s="0"/>
      <c r="AS400" s="0"/>
      <c r="AT400" s="0"/>
      <c r="AU400" s="0"/>
      <c r="AV400" s="0"/>
      <c r="AW400" s="0"/>
      <c r="AX400" s="0"/>
      <c r="AY400" s="0"/>
      <c r="AZ400" s="0"/>
      <c r="BA400" s="0"/>
      <c r="BB400" s="0"/>
      <c r="BC400" s="0"/>
      <c r="BD400" s="0"/>
      <c r="BE400" s="0"/>
      <c r="BF400" s="0"/>
      <c r="BG400" s="0"/>
      <c r="BH400" s="0"/>
      <c r="BI400" s="0"/>
      <c r="BJ400" s="0"/>
      <c r="BK400" s="0"/>
      <c r="BL400" s="0"/>
      <c r="BM400" s="0"/>
      <c r="BN400" s="0"/>
      <c r="BO400" s="0"/>
      <c r="BP400" s="0"/>
      <c r="BQ400" s="0"/>
      <c r="BR400" s="0"/>
      <c r="BS400" s="0"/>
      <c r="BT400" s="0"/>
      <c r="BU400" s="0"/>
      <c r="BV400" s="0"/>
      <c r="BW400" s="0"/>
      <c r="BX400" s="0"/>
      <c r="BY400" s="0"/>
      <c r="BZ400" s="0"/>
      <c r="CA400" s="0"/>
      <c r="CB400" s="0"/>
      <c r="CC400" s="0"/>
      <c r="CD400" s="0"/>
      <c r="CE400" s="0"/>
      <c r="CF400" s="0"/>
      <c r="CG400" s="0"/>
      <c r="CH400" s="0"/>
      <c r="CI400" s="0"/>
      <c r="CJ400" s="0"/>
      <c r="CK400" s="0"/>
      <c r="CL400" s="0"/>
      <c r="CM400" s="0"/>
      <c r="CN400" s="0"/>
      <c r="CO400" s="0"/>
      <c r="CP400" s="0"/>
      <c r="CQ400" s="0"/>
      <c r="CR400" s="0"/>
      <c r="CS400" s="0"/>
      <c r="CT400" s="0"/>
      <c r="CU400" s="0"/>
      <c r="CV400" s="0"/>
      <c r="CW400" s="0"/>
      <c r="CX400" s="0"/>
    </row>
    <row r="401">
      <c r="A401" s="0" t="inlineStr">
        <is>
          <t xml:space="preserve">Running t-stat</t>
        </is>
      </c>
      <c r="B401" s="0" t="inlineStr">
        <is>
          <t xml:space="preserve">52-Week-High Anchoring</t>
        </is>
      </c>
      <c r="C401" s="0"/>
      <c r="D401" s="0"/>
      <c r="E401" s="0"/>
      <c r="F401" s="0"/>
      <c r="G401" s="0"/>
      <c r="H401" s="0"/>
      <c r="I401" s="0"/>
      <c r="J401" s="0"/>
      <c r="K401" s="0"/>
      <c r="L401" s="0"/>
      <c r="M401" s="0"/>
      <c r="N401" s="0"/>
      <c r="O401" s="0"/>
      <c r="P401" s="0"/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AB401" s="0"/>
      <c r="AC401" s="0"/>
      <c r="AD401" s="0"/>
      <c r="AE401" s="0"/>
      <c r="AF401" s="0"/>
      <c r="AG401" s="0"/>
      <c r="AH401" s="0"/>
      <c r="AI401" s="0"/>
      <c r="AJ401" s="0"/>
      <c r="AK401" s="0"/>
      <c r="AL401" s="0"/>
      <c r="AM401" s="0"/>
      <c r="AN401" s="0"/>
      <c r="AO401" s="0"/>
      <c r="AP401" s="0"/>
      <c r="AQ401" s="0"/>
      <c r="AR401" s="0"/>
      <c r="AS401" s="0"/>
      <c r="AT401" s="0"/>
      <c r="AU401" s="0"/>
      <c r="AV401" s="0"/>
      <c r="AW401" s="0"/>
      <c r="AX401" s="0"/>
      <c r="AY401" s="0"/>
      <c r="AZ401" s="0"/>
      <c r="BA401" s="0"/>
      <c r="BB401" s="0"/>
      <c r="BC401" s="0"/>
      <c r="BD401" s="0"/>
      <c r="BE401" s="0"/>
      <c r="BF401" s="0"/>
      <c r="BG401" s="0"/>
      <c r="BH401" s="0"/>
      <c r="BI401" s="0"/>
      <c r="BJ401" s="0"/>
      <c r="BK401" s="0"/>
      <c r="BL401" s="0"/>
      <c r="BM401" s="0"/>
      <c r="BN401" s="0"/>
      <c r="BO401" s="0"/>
      <c r="BP401" s="0"/>
      <c r="BQ401" s="0"/>
      <c r="BR401" s="0"/>
      <c r="BS401" s="0"/>
      <c r="BT401" s="0"/>
      <c r="BU401" s="0"/>
      <c r="BV401" s="0"/>
      <c r="BW401" s="0"/>
      <c r="BX401" s="0"/>
      <c r="BY401" s="0"/>
      <c r="BZ401" s="0"/>
      <c r="CA401" s="0"/>
      <c r="CB401" s="0"/>
      <c r="CC401" s="0"/>
      <c r="CD401" s="0"/>
      <c r="CE401" s="0"/>
      <c r="CF401" s="0"/>
      <c r="CG401" s="0"/>
      <c r="CH401" s="0"/>
      <c r="CI401" s="0"/>
      <c r="CJ401" s="0"/>
      <c r="CK401" s="0"/>
      <c r="CL401" s="0"/>
      <c r="CM401" s="0"/>
      <c r="CN401" s="0"/>
      <c r="CO401" s="0"/>
      <c r="CP401" s="0"/>
      <c r="CQ401" s="0"/>
      <c r="CR401" s="0"/>
      <c r="CS401" s="0"/>
      <c r="CT401" s="0"/>
      <c r="CU401" s="0"/>
      <c r="CV401" s="0"/>
      <c r="CW401" s="0"/>
      <c r="CX401" s="0"/>
    </row>
    <row r="402">
      <c r="A402" s="0" t="inlineStr">
        <is>
          <t xml:space="preserve">Running t-stat</t>
        </is>
      </c>
      <c r="B402" s="0" t="inlineStr">
        <is>
          <t xml:space="preserve">Random 1</t>
        </is>
      </c>
      <c r="C402" s="0"/>
      <c r="D402" s="0"/>
      <c r="E402" s="0"/>
      <c r="F402" s="0"/>
      <c r="G402" s="0"/>
      <c r="H402" s="0"/>
      <c r="I402" s="0"/>
      <c r="J402" s="0"/>
      <c r="K402" s="0"/>
      <c r="L402" s="0"/>
      <c r="M402" s="0"/>
      <c r="N402" s="0"/>
      <c r="O402" s="0"/>
      <c r="P402" s="0"/>
      <c r="Q402" s="0"/>
      <c r="R402" s="0"/>
      <c r="S402" s="0"/>
      <c r="T402" s="0"/>
      <c r="U402" s="0"/>
      <c r="V402" s="0"/>
      <c r="W402" s="0"/>
      <c r="X402" s="0"/>
      <c r="Y402" s="0"/>
      <c r="Z402" s="0"/>
      <c r="AA402" s="0"/>
      <c r="AB402" s="0"/>
      <c r="AC402" s="0"/>
      <c r="AD402" s="0"/>
      <c r="AE402" s="0"/>
      <c r="AF402" s="0"/>
      <c r="AG402" s="0"/>
      <c r="AH402" s="0"/>
      <c r="AI402" s="0"/>
      <c r="AJ402" s="0"/>
      <c r="AK402" s="0"/>
      <c r="AL402" s="0"/>
      <c r="AM402" s="0"/>
      <c r="AN402" s="0"/>
      <c r="AO402" s="0"/>
      <c r="AP402" s="0"/>
      <c r="AQ402" s="0"/>
      <c r="AR402" s="0"/>
      <c r="AS402" s="0"/>
      <c r="AT402" s="0"/>
      <c r="AU402" s="0"/>
      <c r="AV402" s="0"/>
      <c r="AW402" s="0"/>
      <c r="AX402" s="0"/>
      <c r="AY402" s="0"/>
      <c r="AZ402" s="0"/>
      <c r="BA402" s="0"/>
      <c r="BB402" s="0"/>
      <c r="BC402" s="0"/>
      <c r="BD402" s="0"/>
      <c r="BE402" s="0"/>
      <c r="BF402" s="0"/>
      <c r="BG402" s="0"/>
      <c r="BH402" s="0"/>
      <c r="BI402" s="0"/>
      <c r="BJ402" s="0"/>
      <c r="BK402" s="0"/>
      <c r="BL402" s="0"/>
      <c r="BM402" s="0"/>
      <c r="BN402" s="0"/>
      <c r="BO402" s="0"/>
      <c r="BP402" s="0"/>
      <c r="BQ402" s="0"/>
      <c r="BR402" s="0"/>
      <c r="BS402" s="0"/>
      <c r="BT402" s="0"/>
      <c r="BU402" s="0"/>
      <c r="BV402" s="0"/>
      <c r="BW402" s="0"/>
      <c r="BX402" s="0"/>
      <c r="BY402" s="0"/>
      <c r="BZ402" s="0"/>
      <c r="CA402" s="0"/>
      <c r="CB402" s="0"/>
      <c r="CC402" s="0"/>
      <c r="CD402" s="0"/>
      <c r="CE402" s="0"/>
      <c r="CF402" s="0"/>
      <c r="CG402" s="0"/>
      <c r="CH402" s="0"/>
      <c r="CI402" s="0"/>
      <c r="CJ402" s="0"/>
      <c r="CK402" s="0"/>
      <c r="CL402" s="0"/>
      <c r="CM402" s="0"/>
      <c r="CN402" s="0"/>
      <c r="CO402" s="0"/>
      <c r="CP402" s="0"/>
      <c r="CQ402" s="0"/>
      <c r="CR402" s="0"/>
      <c r="CS402" s="0"/>
      <c r="CT402" s="0"/>
      <c r="CU402" s="0"/>
      <c r="CV402" s="0"/>
      <c r="CW402" s="0"/>
      <c r="CX402" s="0"/>
    </row>
    <row r="403">
      <c r="A403" s="0" t="inlineStr">
        <is>
          <t xml:space="preserve">Running t-stat</t>
        </is>
      </c>
      <c r="B403" s="0" t="inlineStr">
        <is>
          <t xml:space="preserve">Random 2</t>
        </is>
      </c>
      <c r="C403" s="0"/>
      <c r="D403" s="0"/>
      <c r="E403" s="0"/>
      <c r="F403" s="0"/>
      <c r="G403" s="0"/>
      <c r="H403" s="0"/>
      <c r="I403" s="0"/>
      <c r="J403" s="0"/>
      <c r="K403" s="0"/>
      <c r="L403" s="0"/>
      <c r="M403" s="0"/>
      <c r="N403" s="0"/>
      <c r="O403" s="0"/>
      <c r="P403" s="0"/>
      <c r="Q403" s="0"/>
      <c r="R403" s="0"/>
      <c r="S403" s="0"/>
      <c r="T403" s="0"/>
      <c r="U403" s="0"/>
      <c r="V403" s="0"/>
      <c r="W403" s="0"/>
      <c r="X403" s="0"/>
      <c r="Y403" s="0"/>
      <c r="Z403" s="0"/>
      <c r="AA403" s="0"/>
      <c r="AB403" s="0"/>
      <c r="AC403" s="0"/>
      <c r="AD403" s="0"/>
      <c r="AE403" s="0"/>
      <c r="AF403" s="0"/>
      <c r="AG403" s="0"/>
      <c r="AH403" s="0"/>
      <c r="AI403" s="0"/>
      <c r="AJ403" s="0"/>
      <c r="AK403" s="0"/>
      <c r="AL403" s="0"/>
      <c r="AM403" s="0"/>
      <c r="AN403" s="0"/>
      <c r="AO403" s="0"/>
      <c r="AP403" s="0"/>
      <c r="AQ403" s="0"/>
      <c r="AR403" s="0"/>
      <c r="AS403" s="0"/>
      <c r="AT403" s="0"/>
      <c r="AU403" s="0"/>
      <c r="AV403" s="0"/>
      <c r="AW403" s="0"/>
      <c r="AX403" s="0"/>
      <c r="AY403" s="0"/>
      <c r="AZ403" s="0"/>
      <c r="BA403" s="0"/>
      <c r="BB403" s="0"/>
      <c r="BC403" s="0"/>
      <c r="BD403" s="0"/>
      <c r="BE403" s="0"/>
      <c r="BF403" s="0"/>
      <c r="BG403" s="0"/>
      <c r="BH403" s="0"/>
      <c r="BI403" s="0"/>
      <c r="BJ403" s="0"/>
      <c r="BK403" s="0"/>
      <c r="BL403" s="0"/>
      <c r="BM403" s="0"/>
      <c r="BN403" s="0"/>
      <c r="BO403" s="0"/>
      <c r="BP403" s="0"/>
      <c r="BQ403" s="0"/>
      <c r="BR403" s="0"/>
      <c r="BS403" s="0"/>
      <c r="BT403" s="0"/>
      <c r="BU403" s="0"/>
      <c r="BV403" s="0"/>
      <c r="BW403" s="0"/>
      <c r="BX403" s="0"/>
      <c r="BY403" s="0"/>
      <c r="BZ403" s="0"/>
      <c r="CA403" s="0"/>
      <c r="CB403" s="0"/>
      <c r="CC403" s="0"/>
      <c r="CD403" s="0"/>
      <c r="CE403" s="0"/>
      <c r="CF403" s="0"/>
      <c r="CG403" s="0"/>
      <c r="CH403" s="0"/>
      <c r="CI403" s="0"/>
      <c r="CJ403" s="0"/>
      <c r="CK403" s="0"/>
      <c r="CL403" s="0"/>
      <c r="CM403" s="0"/>
      <c r="CN403" s="0"/>
      <c r="CO403" s="0"/>
      <c r="CP403" s="0"/>
      <c r="CQ403" s="0"/>
      <c r="CR403" s="0"/>
      <c r="CS403" s="0"/>
      <c r="CT403" s="0"/>
      <c r="CU403" s="0"/>
      <c r="CV403" s="0"/>
      <c r="CW403" s="0"/>
      <c r="CX403" s="0"/>
    </row>
    <row r="404">
      <c r="A404" s="0" t="inlineStr">
        <is>
          <t xml:space="preserve">Running t-stat</t>
        </is>
      </c>
      <c r="B404" s="0" t="inlineStr">
        <is>
          <t xml:space="preserve">Random 3</t>
        </is>
      </c>
      <c r="C404" s="0"/>
      <c r="D404" s="0"/>
      <c r="E404" s="0"/>
      <c r="F404" s="0"/>
      <c r="G404" s="0"/>
      <c r="H404" s="0"/>
      <c r="I404" s="0"/>
      <c r="J404" s="0"/>
      <c r="K404" s="0"/>
      <c r="L404" s="0"/>
      <c r="M404" s="0"/>
      <c r="N404" s="0"/>
      <c r="O404" s="0"/>
      <c r="P404" s="0"/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AB404" s="0"/>
      <c r="AC404" s="0"/>
      <c r="AD404" s="0"/>
      <c r="AE404" s="0"/>
      <c r="AF404" s="0"/>
      <c r="AG404" s="0"/>
      <c r="AH404" s="0"/>
      <c r="AI404" s="0"/>
      <c r="AJ404" s="0"/>
      <c r="AK404" s="0"/>
      <c r="AL404" s="0"/>
      <c r="AM404" s="0"/>
      <c r="AN404" s="0"/>
      <c r="AO404" s="0"/>
      <c r="AP404" s="0"/>
      <c r="AQ404" s="0"/>
      <c r="AR404" s="0"/>
      <c r="AS404" s="0"/>
      <c r="AT404" s="0"/>
      <c r="AU404" s="0"/>
      <c r="AV404" s="0"/>
      <c r="AW404" s="0"/>
      <c r="AX404" s="0"/>
      <c r="AY404" s="0"/>
      <c r="AZ404" s="0"/>
      <c r="BA404" s="0"/>
      <c r="BB404" s="0"/>
      <c r="BC404" s="0"/>
      <c r="BD404" s="0"/>
      <c r="BE404" s="0"/>
      <c r="BF404" s="0"/>
      <c r="BG404" s="0"/>
      <c r="BH404" s="0"/>
      <c r="BI404" s="0"/>
      <c r="BJ404" s="0"/>
      <c r="BK404" s="0"/>
      <c r="BL404" s="0"/>
      <c r="BM404" s="0"/>
      <c r="BN404" s="0"/>
      <c r="BO404" s="0"/>
      <c r="BP404" s="0"/>
      <c r="BQ404" s="0"/>
      <c r="BR404" s="0"/>
      <c r="BS404" s="0"/>
      <c r="BT404" s="0"/>
      <c r="BU404" s="0"/>
      <c r="BV404" s="0"/>
      <c r="BW404" s="0"/>
      <c r="BX404" s="0"/>
      <c r="BY404" s="0"/>
      <c r="BZ404" s="0"/>
      <c r="CA404" s="0"/>
      <c r="CB404" s="0"/>
      <c r="CC404" s="0"/>
      <c r="CD404" s="0"/>
      <c r="CE404" s="0"/>
      <c r="CF404" s="0"/>
      <c r="CG404" s="0"/>
      <c r="CH404" s="0"/>
      <c r="CI404" s="0"/>
      <c r="CJ404" s="0"/>
      <c r="CK404" s="0"/>
      <c r="CL404" s="0"/>
      <c r="CM404" s="0"/>
      <c r="CN404" s="0"/>
      <c r="CO404" s="0"/>
      <c r="CP404" s="0"/>
      <c r="CQ404" s="0"/>
      <c r="CR404" s="0"/>
      <c r="CS404" s="0"/>
      <c r="CT404" s="0"/>
      <c r="CU404" s="0"/>
      <c r="CV404" s="0"/>
      <c r="CW404" s="0"/>
      <c r="CX404" s="0"/>
    </row>
    <row r="405">
      <c r="A405" s="0" t="inlineStr">
        <is>
          <t xml:space="preserve">Running t-stat</t>
        </is>
      </c>
      <c r="B405" s="0" t="inlineStr">
        <is>
          <t xml:space="preserve">Random 4</t>
        </is>
      </c>
      <c r="C405" s="0"/>
      <c r="D405" s="0"/>
      <c r="E405" s="0"/>
      <c r="F405" s="0"/>
      <c r="G405" s="0"/>
      <c r="H405" s="0"/>
      <c r="I405" s="0"/>
      <c r="J405" s="0"/>
      <c r="K405" s="0"/>
      <c r="L405" s="0"/>
      <c r="M405" s="0"/>
      <c r="N405" s="0"/>
      <c r="O405" s="0"/>
      <c r="P405" s="0"/>
      <c r="Q405" s="0"/>
      <c r="R405" s="0"/>
      <c r="S405" s="0"/>
      <c r="T405" s="0"/>
      <c r="U405" s="0"/>
      <c r="V405" s="0"/>
      <c r="W405" s="0"/>
      <c r="X405" s="0"/>
      <c r="Y405" s="0"/>
      <c r="Z405" s="0"/>
      <c r="AA405" s="0"/>
      <c r="AB405" s="0"/>
      <c r="AC405" s="0"/>
      <c r="AD405" s="0"/>
      <c r="AE405" s="0"/>
      <c r="AF405" s="0"/>
      <c r="AG405" s="0"/>
      <c r="AH405" s="0"/>
      <c r="AI405" s="0"/>
      <c r="AJ405" s="0"/>
      <c r="AK405" s="0"/>
      <c r="AL405" s="0"/>
      <c r="AM405" s="0"/>
      <c r="AN405" s="0"/>
      <c r="AO405" s="0"/>
      <c r="AP405" s="0"/>
      <c r="AQ405" s="0"/>
      <c r="AR405" s="0"/>
      <c r="AS405" s="0"/>
      <c r="AT405" s="0"/>
      <c r="AU405" s="0"/>
      <c r="AV405" s="0"/>
      <c r="AW405" s="0"/>
      <c r="AX405" s="0"/>
      <c r="AY405" s="0"/>
      <c r="AZ405" s="0"/>
      <c r="BA405" s="0"/>
      <c r="BB405" s="0"/>
      <c r="BC405" s="0"/>
      <c r="BD405" s="0"/>
      <c r="BE405" s="0"/>
      <c r="BF405" s="0"/>
      <c r="BG405" s="0"/>
      <c r="BH405" s="0"/>
      <c r="BI405" s="0"/>
      <c r="BJ405" s="0"/>
      <c r="BK405" s="0"/>
      <c r="BL405" s="0"/>
      <c r="BM405" s="0"/>
      <c r="BN405" s="0"/>
      <c r="BO405" s="0"/>
      <c r="BP405" s="0"/>
      <c r="BQ405" s="0"/>
      <c r="BR405" s="0"/>
      <c r="BS405" s="0"/>
      <c r="BT405" s="0"/>
      <c r="BU405" s="0"/>
      <c r="BV405" s="0"/>
      <c r="BW405" s="0"/>
      <c r="BX405" s="0"/>
      <c r="BY405" s="0"/>
      <c r="BZ405" s="0"/>
      <c r="CA405" s="0"/>
      <c r="CB405" s="0"/>
      <c r="CC405" s="0"/>
      <c r="CD405" s="0"/>
      <c r="CE405" s="0"/>
      <c r="CF405" s="0"/>
      <c r="CG405" s="0"/>
      <c r="CH405" s="0"/>
      <c r="CI405" s="0"/>
      <c r="CJ405" s="0"/>
      <c r="CK405" s="0"/>
      <c r="CL405" s="0"/>
      <c r="CM405" s="0"/>
      <c r="CN405" s="0"/>
      <c r="CO405" s="0"/>
      <c r="CP405" s="0"/>
      <c r="CQ405" s="0"/>
      <c r="CR405" s="0"/>
      <c r="CS405" s="0"/>
      <c r="CT405" s="0"/>
      <c r="CU405" s="0"/>
      <c r="CV405" s="0"/>
      <c r="CW405" s="0"/>
      <c r="CX405" s="0"/>
    </row>
    <row r="406">
      <c r="A406" s="0" t="inlineStr">
        <is>
          <t xml:space="preserve">Running t-stat</t>
        </is>
      </c>
      <c r="B406" s="0" t="inlineStr">
        <is>
          <t xml:space="preserve">Random 5</t>
        </is>
      </c>
      <c r="C406" s="0"/>
      <c r="D406" s="0"/>
      <c r="E406" s="0"/>
      <c r="F406" s="0"/>
      <c r="G406" s="0"/>
      <c r="H406" s="0"/>
      <c r="I406" s="0"/>
      <c r="J406" s="0"/>
      <c r="K406" s="0"/>
      <c r="L406" s="0"/>
      <c r="M406" s="0"/>
      <c r="N406" s="0"/>
      <c r="O406" s="0"/>
      <c r="P406" s="0"/>
      <c r="Q406" s="0"/>
      <c r="R406" s="0"/>
      <c r="S406" s="0"/>
      <c r="T406" s="0"/>
      <c r="U406" s="0"/>
      <c r="V406" s="0"/>
      <c r="W406" s="0"/>
      <c r="X406" s="0"/>
      <c r="Y406" s="0"/>
      <c r="Z406" s="0"/>
      <c r="AA406" s="0"/>
      <c r="AB406" s="0"/>
      <c r="AC406" s="0"/>
      <c r="AD406" s="0"/>
      <c r="AE406" s="0"/>
      <c r="AF406" s="0"/>
      <c r="AG406" s="0"/>
      <c r="AH406" s="0"/>
      <c r="AI406" s="0"/>
      <c r="AJ406" s="0"/>
      <c r="AK406" s="0"/>
      <c r="AL406" s="0"/>
      <c r="AM406" s="0"/>
      <c r="AN406" s="0"/>
      <c r="AO406" s="0"/>
      <c r="AP406" s="0"/>
      <c r="AQ406" s="0"/>
      <c r="AR406" s="0"/>
      <c r="AS406" s="0"/>
      <c r="AT406" s="0"/>
      <c r="AU406" s="0"/>
      <c r="AV406" s="0"/>
      <c r="AW406" s="0"/>
      <c r="AX406" s="0"/>
      <c r="AY406" s="0"/>
      <c r="AZ406" s="0"/>
      <c r="BA406" s="0"/>
      <c r="BB406" s="0"/>
      <c r="BC406" s="0"/>
      <c r="BD406" s="0"/>
      <c r="BE406" s="0"/>
      <c r="BF406" s="0"/>
      <c r="BG406" s="0"/>
      <c r="BH406" s="0"/>
      <c r="BI406" s="0"/>
      <c r="BJ406" s="0"/>
      <c r="BK406" s="0"/>
      <c r="BL406" s="0"/>
      <c r="BM406" s="0"/>
      <c r="BN406" s="0"/>
      <c r="BO406" s="0"/>
      <c r="BP406" s="0"/>
      <c r="BQ406" s="0"/>
      <c r="BR406" s="0"/>
      <c r="BS406" s="0"/>
      <c r="BT406" s="0"/>
      <c r="BU406" s="0"/>
      <c r="BV406" s="0"/>
      <c r="BW406" s="0"/>
      <c r="BX406" s="0"/>
      <c r="BY406" s="0"/>
      <c r="BZ406" s="0"/>
      <c r="CA406" s="0"/>
      <c r="CB406" s="0"/>
      <c r="CC406" s="0"/>
      <c r="CD406" s="0"/>
      <c r="CE406" s="0"/>
      <c r="CF406" s="0"/>
      <c r="CG406" s="0"/>
      <c r="CH406" s="0"/>
      <c r="CI406" s="0"/>
      <c r="CJ406" s="0"/>
      <c r="CK406" s="0"/>
      <c r="CL406" s="0"/>
      <c r="CM406" s="0"/>
      <c r="CN406" s="0"/>
      <c r="CO406" s="0"/>
      <c r="CP406" s="0"/>
      <c r="CQ406" s="0"/>
      <c r="CR406" s="0"/>
      <c r="CS406" s="0"/>
      <c r="CT406" s="0"/>
      <c r="CU406" s="0"/>
      <c r="CV406" s="0"/>
      <c r="CW406" s="0"/>
      <c r="CX406" s="0"/>
    </row>
    <row r="407">
      <c r="A407" s="0" t="inlineStr">
        <is>
          <t xml:space="preserve">Running t-stat</t>
        </is>
      </c>
      <c r="B407" s="0" t="inlineStr">
        <is>
          <t xml:space="preserve">Random 6</t>
        </is>
      </c>
      <c r="C407" s="0"/>
      <c r="D407" s="0"/>
      <c r="E407" s="0"/>
      <c r="F407" s="0"/>
      <c r="G407" s="0"/>
      <c r="H407" s="0"/>
      <c r="I407" s="0"/>
      <c r="J407" s="0"/>
      <c r="K407" s="0"/>
      <c r="L407" s="0"/>
      <c r="M407" s="0"/>
      <c r="N407" s="0"/>
      <c r="O407" s="0"/>
      <c r="P407" s="0"/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AB407" s="0"/>
      <c r="AC407" s="0"/>
      <c r="AD407" s="0"/>
      <c r="AE407" s="0"/>
      <c r="AF407" s="0"/>
      <c r="AG407" s="0"/>
      <c r="AH407" s="0"/>
      <c r="AI407" s="0"/>
      <c r="AJ407" s="0"/>
      <c r="AK407" s="0"/>
      <c r="AL407" s="0"/>
      <c r="AM407" s="0"/>
      <c r="AN407" s="0"/>
      <c r="AO407" s="0"/>
      <c r="AP407" s="0"/>
      <c r="AQ407" s="0"/>
      <c r="AR407" s="0"/>
      <c r="AS407" s="0"/>
      <c r="AT407" s="0"/>
      <c r="AU407" s="0"/>
      <c r="AV407" s="0"/>
      <c r="AW407" s="0"/>
      <c r="AX407" s="0"/>
      <c r="AY407" s="0"/>
      <c r="AZ407" s="0"/>
      <c r="BA407" s="0"/>
      <c r="BB407" s="0"/>
      <c r="BC407" s="0"/>
      <c r="BD407" s="0"/>
      <c r="BE407" s="0"/>
      <c r="BF407" s="0"/>
      <c r="BG407" s="0"/>
      <c r="BH407" s="0"/>
      <c r="BI407" s="0"/>
      <c r="BJ407" s="0"/>
      <c r="BK407" s="0"/>
      <c r="BL407" s="0"/>
      <c r="BM407" s="0"/>
      <c r="BN407" s="0"/>
      <c r="BO407" s="0"/>
      <c r="BP407" s="0"/>
      <c r="BQ407" s="0"/>
      <c r="BR407" s="0"/>
      <c r="BS407" s="0"/>
      <c r="BT407" s="0"/>
      <c r="BU407" s="0"/>
      <c r="BV407" s="0"/>
      <c r="BW407" s="0"/>
      <c r="BX407" s="0"/>
      <c r="BY407" s="0"/>
      <c r="BZ407" s="0"/>
      <c r="CA407" s="0"/>
      <c r="CB407" s="0"/>
      <c r="CC407" s="0"/>
      <c r="CD407" s="0"/>
      <c r="CE407" s="0"/>
      <c r="CF407" s="0"/>
      <c r="CG407" s="0"/>
      <c r="CH407" s="0"/>
      <c r="CI407" s="0"/>
      <c r="CJ407" s="0"/>
      <c r="CK407" s="0"/>
      <c r="CL407" s="0"/>
      <c r="CM407" s="0"/>
      <c r="CN407" s="0"/>
      <c r="CO407" s="0"/>
      <c r="CP407" s="0"/>
      <c r="CQ407" s="0"/>
      <c r="CR407" s="0"/>
      <c r="CS407" s="0"/>
      <c r="CT407" s="0"/>
      <c r="CU407" s="0"/>
      <c r="CV407" s="0"/>
      <c r="CW407" s="0"/>
      <c r="CX407" s="0"/>
    </row>
    <row r="408">
      <c r="A408" s="0" t="inlineStr">
        <is>
          <t xml:space="preserve">Running t-stat</t>
        </is>
      </c>
      <c r="B408" s="0" t="inlineStr">
        <is>
          <t xml:space="preserve">Random 7</t>
        </is>
      </c>
      <c r="C408" s="0"/>
      <c r="D408" s="0"/>
      <c r="E408" s="0"/>
      <c r="F408" s="0"/>
      <c r="G408" s="0"/>
      <c r="H408" s="0"/>
      <c r="I408" s="0"/>
      <c r="J408" s="0"/>
      <c r="K408" s="0"/>
      <c r="L408" s="0"/>
      <c r="M408" s="0"/>
      <c r="N408" s="0"/>
      <c r="O408" s="0"/>
      <c r="P408" s="0"/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AB408" s="0"/>
      <c r="AC408" s="0"/>
      <c r="AD408" s="0"/>
      <c r="AE408" s="0"/>
      <c r="AF408" s="0"/>
      <c r="AG408" s="0"/>
      <c r="AH408" s="0"/>
      <c r="AI408" s="0"/>
      <c r="AJ408" s="0"/>
      <c r="AK408" s="0"/>
      <c r="AL408" s="0"/>
      <c r="AM408" s="0"/>
      <c r="AN408" s="0"/>
      <c r="AO408" s="0"/>
      <c r="AP408" s="0"/>
      <c r="AQ408" s="0"/>
      <c r="AR408" s="0"/>
      <c r="AS408" s="0"/>
      <c r="AT408" s="0"/>
      <c r="AU408" s="0"/>
      <c r="AV408" s="0"/>
      <c r="AW408" s="0"/>
      <c r="AX408" s="0"/>
      <c r="AY408" s="0"/>
      <c r="AZ408" s="0"/>
      <c r="BA408" s="0"/>
      <c r="BB408" s="0"/>
      <c r="BC408" s="0"/>
      <c r="BD408" s="0"/>
      <c r="BE408" s="0"/>
      <c r="BF408" s="0"/>
      <c r="BG408" s="0"/>
      <c r="BH408" s="0"/>
      <c r="BI408" s="0"/>
      <c r="BJ408" s="0"/>
      <c r="BK408" s="0"/>
      <c r="BL408" s="0"/>
      <c r="BM408" s="0"/>
      <c r="BN408" s="0"/>
      <c r="BO408" s="0"/>
      <c r="BP408" s="0"/>
      <c r="BQ408" s="0"/>
      <c r="BR408" s="0"/>
      <c r="BS408" s="0"/>
      <c r="BT408" s="0"/>
      <c r="BU408" s="0"/>
      <c r="BV408" s="0"/>
      <c r="BW408" s="0"/>
      <c r="BX408" s="0"/>
      <c r="BY408" s="0"/>
      <c r="BZ408" s="0"/>
      <c r="CA408" s="0"/>
      <c r="CB408" s="0"/>
      <c r="CC408" s="0"/>
      <c r="CD408" s="0"/>
      <c r="CE408" s="0"/>
      <c r="CF408" s="0"/>
      <c r="CG408" s="0"/>
      <c r="CH408" s="0"/>
      <c r="CI408" s="0"/>
      <c r="CJ408" s="0"/>
      <c r="CK408" s="0"/>
      <c r="CL408" s="0"/>
      <c r="CM408" s="0"/>
      <c r="CN408" s="0"/>
      <c r="CO408" s="0"/>
      <c r="CP408" s="0"/>
      <c r="CQ408" s="0"/>
      <c r="CR408" s="0"/>
      <c r="CS408" s="0"/>
      <c r="CT408" s="0"/>
      <c r="CU408" s="0"/>
      <c r="CV408" s="0"/>
      <c r="CW408" s="0"/>
      <c r="CX408" s="0"/>
    </row>
    <row r="409">
      <c r="A409" s="0" t="inlineStr">
        <is>
          <t xml:space="preserve">Running t-stat</t>
        </is>
      </c>
      <c r="B409" s="0" t="inlineStr">
        <is>
          <t xml:space="preserve">Random 8</t>
        </is>
      </c>
      <c r="C409" s="0"/>
      <c r="D409" s="0"/>
      <c r="E409" s="0"/>
      <c r="F409" s="0"/>
      <c r="G409" s="0"/>
      <c r="H409" s="0"/>
      <c r="I409" s="0"/>
      <c r="J409" s="0"/>
      <c r="K409" s="0"/>
      <c r="L409" s="0"/>
      <c r="M409" s="0"/>
      <c r="N409" s="0"/>
      <c r="O409" s="0"/>
      <c r="P409" s="0"/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AB409" s="0"/>
      <c r="AC409" s="0"/>
      <c r="AD409" s="0"/>
      <c r="AE409" s="0"/>
      <c r="AF409" s="0"/>
      <c r="AG409" s="0"/>
      <c r="AH409" s="0"/>
      <c r="AI409" s="0"/>
      <c r="AJ409" s="0"/>
      <c r="AK409" s="0"/>
      <c r="AL409" s="0"/>
      <c r="AM409" s="0"/>
      <c r="AN409" s="0"/>
      <c r="AO409" s="0"/>
      <c r="AP409" s="0"/>
      <c r="AQ409" s="0"/>
      <c r="AR409" s="0"/>
      <c r="AS409" s="0"/>
      <c r="AT409" s="0"/>
      <c r="AU409" s="0"/>
      <c r="AV409" s="0"/>
      <c r="AW409" s="0"/>
      <c r="AX409" s="0"/>
      <c r="AY409" s="0"/>
      <c r="AZ409" s="0"/>
      <c r="BA409" s="0"/>
      <c r="BB409" s="0"/>
      <c r="BC409" s="0"/>
      <c r="BD409" s="0"/>
      <c r="BE409" s="0"/>
      <c r="BF409" s="0"/>
      <c r="BG409" s="0"/>
      <c r="BH409" s="0"/>
      <c r="BI409" s="0"/>
      <c r="BJ409" s="0"/>
      <c r="BK409" s="0"/>
      <c r="BL409" s="0"/>
      <c r="BM409" s="0"/>
      <c r="BN409" s="0"/>
      <c r="BO409" s="0"/>
      <c r="BP409" s="0"/>
      <c r="BQ409" s="0"/>
      <c r="BR409" s="0"/>
      <c r="BS409" s="0"/>
      <c r="BT409" s="0"/>
      <c r="BU409" s="0"/>
      <c r="BV409" s="0"/>
      <c r="BW409" s="0"/>
      <c r="BX409" s="0"/>
      <c r="BY409" s="0"/>
      <c r="BZ409" s="0"/>
      <c r="CA409" s="0"/>
      <c r="CB409" s="0"/>
      <c r="CC409" s="0"/>
      <c r="CD409" s="0"/>
      <c r="CE409" s="0"/>
      <c r="CF409" s="0"/>
      <c r="CG409" s="0"/>
      <c r="CH409" s="0"/>
      <c r="CI409" s="0"/>
      <c r="CJ409" s="0"/>
      <c r="CK409" s="0"/>
      <c r="CL409" s="0"/>
      <c r="CM409" s="0"/>
      <c r="CN409" s="0"/>
      <c r="CO409" s="0"/>
      <c r="CP409" s="0"/>
      <c r="CQ409" s="0"/>
      <c r="CR409" s="0"/>
      <c r="CS409" s="0"/>
      <c r="CT409" s="0"/>
      <c r="CU409" s="0"/>
      <c r="CV409" s="0"/>
      <c r="CW409" s="0"/>
      <c r="CX409" s="0"/>
    </row>
    <row r="410">
      <c r="A410" s="0" t="inlineStr">
        <is>
          <t xml:space="preserve">Running t-stat</t>
        </is>
      </c>
      <c r="B410" s="0" t="inlineStr">
        <is>
          <t xml:space="preserve">Random 9</t>
        </is>
      </c>
      <c r="C410" s="0"/>
      <c r="D410" s="0"/>
      <c r="E410" s="0"/>
      <c r="F410" s="0"/>
      <c r="G410" s="0"/>
      <c r="H410" s="0"/>
      <c r="I410" s="0"/>
      <c r="J410" s="0"/>
      <c r="K410" s="0"/>
      <c r="L410" s="0"/>
      <c r="M410" s="0"/>
      <c r="N410" s="0"/>
      <c r="O410" s="0"/>
      <c r="P410" s="0"/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AB410" s="0"/>
      <c r="AC410" s="0"/>
      <c r="AD410" s="0"/>
      <c r="AE410" s="0"/>
      <c r="AF410" s="0"/>
      <c r="AG410" s="0"/>
      <c r="AH410" s="0"/>
      <c r="AI410" s="0"/>
      <c r="AJ410" s="0"/>
      <c r="AK410" s="0"/>
      <c r="AL410" s="0"/>
      <c r="AM410" s="0"/>
      <c r="AN410" s="0"/>
      <c r="AO410" s="0"/>
      <c r="AP410" s="0"/>
      <c r="AQ410" s="0"/>
      <c r="AR410" s="0"/>
      <c r="AS410" s="0"/>
      <c r="AT410" s="0"/>
      <c r="AU410" s="0"/>
      <c r="AV410" s="0"/>
      <c r="AW410" s="0"/>
      <c r="AX410" s="0"/>
      <c r="AY410" s="0"/>
      <c r="AZ410" s="0"/>
      <c r="BA410" s="0"/>
      <c r="BB410" s="0"/>
      <c r="BC410" s="0"/>
      <c r="BD410" s="0"/>
      <c r="BE410" s="0"/>
      <c r="BF410" s="0"/>
      <c r="BG410" s="0"/>
      <c r="BH410" s="0"/>
      <c r="BI410" s="0"/>
      <c r="BJ410" s="0"/>
      <c r="BK410" s="0"/>
      <c r="BL410" s="0"/>
      <c r="BM410" s="0"/>
      <c r="BN410" s="0"/>
      <c r="BO410" s="0"/>
      <c r="BP410" s="0"/>
      <c r="BQ410" s="0"/>
      <c r="BR410" s="0"/>
      <c r="BS410" s="0"/>
      <c r="BT410" s="0"/>
      <c r="BU410" s="0"/>
      <c r="BV410" s="0"/>
      <c r="BW410" s="0"/>
      <c r="BX410" s="0"/>
      <c r="BY410" s="0"/>
      <c r="BZ410" s="0"/>
      <c r="CA410" s="0"/>
      <c r="CB410" s="0"/>
      <c r="CC410" s="0"/>
      <c r="CD410" s="0"/>
      <c r="CE410" s="0"/>
      <c r="CF410" s="0"/>
      <c r="CG410" s="0"/>
      <c r="CH410" s="0"/>
      <c r="CI410" s="0"/>
      <c r="CJ410" s="0"/>
      <c r="CK410" s="0"/>
      <c r="CL410" s="0"/>
      <c r="CM410" s="0"/>
      <c r="CN410" s="0"/>
      <c r="CO410" s="0"/>
      <c r="CP410" s="0"/>
      <c r="CQ410" s="0"/>
      <c r="CR410" s="0"/>
      <c r="CS410" s="0"/>
      <c r="CT410" s="0"/>
      <c r="CU410" s="0"/>
      <c r="CV410" s="0"/>
      <c r="CW410" s="0"/>
      <c r="CX410" s="0"/>
    </row>
    <row r="411">
      <c r="A411" s="0" t="inlineStr">
        <is>
          <t xml:space="preserve">Running t-stat</t>
        </is>
      </c>
      <c r="B411" s="0" t="inlineStr">
        <is>
          <t xml:space="preserve">Random 10</t>
        </is>
      </c>
      <c r="C411" s="0"/>
      <c r="D411" s="0"/>
      <c r="E411" s="0"/>
      <c r="F411" s="0"/>
      <c r="G411" s="0"/>
      <c r="H411" s="0"/>
      <c r="I411" s="0"/>
      <c r="J411" s="0"/>
      <c r="K411" s="0"/>
      <c r="L411" s="0"/>
      <c r="M411" s="0"/>
      <c r="N411" s="0"/>
      <c r="O411" s="0"/>
      <c r="P411" s="0"/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AB411" s="0"/>
      <c r="AC411" s="0"/>
      <c r="AD411" s="0"/>
      <c r="AE411" s="0"/>
      <c r="AF411" s="0"/>
      <c r="AG411" s="0"/>
      <c r="AH411" s="0"/>
      <c r="AI411" s="0"/>
      <c r="AJ411" s="0"/>
      <c r="AK411" s="0"/>
      <c r="AL411" s="0"/>
      <c r="AM411" s="0"/>
      <c r="AN411" s="0"/>
      <c r="AO411" s="0"/>
      <c r="AP411" s="0"/>
      <c r="AQ411" s="0"/>
      <c r="AR411" s="0"/>
      <c r="AS411" s="0"/>
      <c r="AT411" s="0"/>
      <c r="AU411" s="0"/>
      <c r="AV411" s="0"/>
      <c r="AW411" s="0"/>
      <c r="AX411" s="0"/>
      <c r="AY411" s="0"/>
      <c r="AZ411" s="0"/>
      <c r="BA411" s="0"/>
      <c r="BB411" s="0"/>
      <c r="BC411" s="0"/>
      <c r="BD411" s="0"/>
      <c r="BE411" s="0"/>
      <c r="BF411" s="0"/>
      <c r="BG411" s="0"/>
      <c r="BH411" s="0"/>
      <c r="BI411" s="0"/>
      <c r="BJ411" s="0"/>
      <c r="BK411" s="0"/>
      <c r="BL411" s="0"/>
      <c r="BM411" s="0"/>
      <c r="BN411" s="0"/>
      <c r="BO411" s="0"/>
      <c r="BP411" s="0"/>
      <c r="BQ411" s="0"/>
      <c r="BR411" s="0"/>
      <c r="BS411" s="0"/>
      <c r="BT411" s="0"/>
      <c r="BU411" s="0"/>
      <c r="BV411" s="0"/>
      <c r="BW411" s="0"/>
      <c r="BX411" s="0"/>
      <c r="BY411" s="0"/>
      <c r="BZ411" s="0"/>
      <c r="CA411" s="0"/>
      <c r="CB411" s="0"/>
      <c r="CC411" s="0"/>
      <c r="CD411" s="0"/>
      <c r="CE411" s="0"/>
      <c r="CF411" s="0"/>
      <c r="CG411" s="0"/>
      <c r="CH411" s="0"/>
      <c r="CI411" s="0"/>
      <c r="CJ411" s="0"/>
      <c r="CK411" s="0"/>
      <c r="CL411" s="0"/>
      <c r="CM411" s="0"/>
      <c r="CN411" s="0"/>
      <c r="CO411" s="0"/>
      <c r="CP411" s="0"/>
      <c r="CQ411" s="0"/>
      <c r="CR411" s="0"/>
      <c r="CS411" s="0"/>
      <c r="CT411" s="0"/>
      <c r="CU411" s="0"/>
      <c r="CV411" s="0"/>
      <c r="CW411" s="0"/>
      <c r="CX411" s="0"/>
    </row>
    <row r="412">
      <c r="A412" s="0" t="inlineStr">
        <is>
          <t xml:space="preserve">Running t-stat</t>
        </is>
      </c>
      <c r="B412" s="0" t="inlineStr">
        <is>
          <t xml:space="preserve">Random 11</t>
        </is>
      </c>
      <c r="C412" s="0"/>
      <c r="D412" s="0"/>
      <c r="E412" s="0"/>
      <c r="F412" s="0"/>
      <c r="G412" s="0"/>
      <c r="H412" s="0"/>
      <c r="I412" s="0"/>
      <c r="J412" s="0"/>
      <c r="K412" s="0"/>
      <c r="L412" s="0"/>
      <c r="M412" s="0"/>
      <c r="N412" s="0"/>
      <c r="O412" s="0"/>
      <c r="P412" s="0"/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AB412" s="0"/>
      <c r="AC412" s="0"/>
      <c r="AD412" s="0"/>
      <c r="AE412" s="0"/>
      <c r="AF412" s="0"/>
      <c r="AG412" s="0"/>
      <c r="AH412" s="0"/>
      <c r="AI412" s="0"/>
      <c r="AJ412" s="0"/>
      <c r="AK412" s="0"/>
      <c r="AL412" s="0"/>
      <c r="AM412" s="0"/>
      <c r="AN412" s="0"/>
      <c r="AO412" s="0"/>
      <c r="AP412" s="0"/>
      <c r="AQ412" s="0"/>
      <c r="AR412" s="0"/>
      <c r="AS412" s="0"/>
      <c r="AT412" s="0"/>
      <c r="AU412" s="0"/>
      <c r="AV412" s="0"/>
      <c r="AW412" s="0"/>
      <c r="AX412" s="0"/>
      <c r="AY412" s="0"/>
      <c r="AZ412" s="0"/>
      <c r="BA412" s="0"/>
      <c r="BB412" s="0"/>
      <c r="BC412" s="0"/>
      <c r="BD412" s="0"/>
      <c r="BE412" s="0"/>
      <c r="BF412" s="0"/>
      <c r="BG412" s="0"/>
      <c r="BH412" s="0"/>
      <c r="BI412" s="0"/>
      <c r="BJ412" s="0"/>
      <c r="BK412" s="0"/>
      <c r="BL412" s="0"/>
      <c r="BM412" s="0"/>
      <c r="BN412" s="0"/>
      <c r="BO412" s="0"/>
      <c r="BP412" s="0"/>
      <c r="BQ412" s="0"/>
      <c r="BR412" s="0"/>
      <c r="BS412" s="0"/>
      <c r="BT412" s="0"/>
      <c r="BU412" s="0"/>
      <c r="BV412" s="0"/>
      <c r="BW412" s="0"/>
      <c r="BX412" s="0"/>
      <c r="BY412" s="0"/>
      <c r="BZ412" s="0"/>
      <c r="CA412" s="0"/>
      <c r="CB412" s="0"/>
      <c r="CC412" s="0"/>
      <c r="CD412" s="0"/>
      <c r="CE412" s="0"/>
      <c r="CF412" s="0"/>
      <c r="CG412" s="0"/>
      <c r="CH412" s="0"/>
      <c r="CI412" s="0"/>
      <c r="CJ412" s="0"/>
      <c r="CK412" s="0"/>
      <c r="CL412" s="0"/>
      <c r="CM412" s="0"/>
      <c r="CN412" s="0"/>
      <c r="CO412" s="0"/>
      <c r="CP412" s="0"/>
      <c r="CQ412" s="0"/>
      <c r="CR412" s="0"/>
      <c r="CS412" s="0"/>
      <c r="CT412" s="0"/>
      <c r="CU412" s="0"/>
      <c r="CV412" s="0"/>
      <c r="CW412" s="0"/>
      <c r="CX412" s="0"/>
    </row>
    <row r="413">
      <c r="A413" s="0" t="inlineStr">
        <is>
          <t xml:space="preserve">Running t-stat</t>
        </is>
      </c>
      <c r="B413" s="0" t="inlineStr">
        <is>
          <t xml:space="preserve">Random 12</t>
        </is>
      </c>
      <c r="C413" s="0"/>
      <c r="D413" s="0"/>
      <c r="E413" s="0"/>
      <c r="F413" s="0"/>
      <c r="G413" s="0"/>
      <c r="H413" s="0"/>
      <c r="I413" s="0"/>
      <c r="J413" s="0"/>
      <c r="K413" s="0"/>
      <c r="L413" s="0"/>
      <c r="M413" s="0"/>
      <c r="N413" s="0"/>
      <c r="O413" s="0"/>
      <c r="P413" s="0"/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AB413" s="0"/>
      <c r="AC413" s="0"/>
      <c r="AD413" s="0"/>
      <c r="AE413" s="0"/>
      <c r="AF413" s="0"/>
      <c r="AG413" s="0"/>
      <c r="AH413" s="0"/>
      <c r="AI413" s="0"/>
      <c r="AJ413" s="0"/>
      <c r="AK413" s="0"/>
      <c r="AL413" s="0"/>
      <c r="AM413" s="0"/>
      <c r="AN413" s="0"/>
      <c r="AO413" s="0"/>
      <c r="AP413" s="0"/>
      <c r="AQ413" s="0"/>
      <c r="AR413" s="0"/>
      <c r="AS413" s="0"/>
      <c r="AT413" s="0"/>
      <c r="AU413" s="0"/>
      <c r="AV413" s="0"/>
      <c r="AW413" s="0"/>
      <c r="AX413" s="0"/>
      <c r="AY413" s="0"/>
      <c r="AZ413" s="0"/>
      <c r="BA413" s="0"/>
      <c r="BB413" s="0"/>
      <c r="BC413" s="0"/>
      <c r="BD413" s="0"/>
      <c r="BE413" s="0"/>
      <c r="BF413" s="0"/>
      <c r="BG413" s="0"/>
      <c r="BH413" s="0"/>
      <c r="BI413" s="0"/>
      <c r="BJ413" s="0"/>
      <c r="BK413" s="0"/>
      <c r="BL413" s="0"/>
      <c r="BM413" s="0"/>
      <c r="BN413" s="0"/>
      <c r="BO413" s="0"/>
      <c r="BP413" s="0"/>
      <c r="BQ413" s="0"/>
      <c r="BR413" s="0"/>
      <c r="BS413" s="0"/>
      <c r="BT413" s="0"/>
      <c r="BU413" s="0"/>
      <c r="BV413" s="0"/>
      <c r="BW413" s="0"/>
      <c r="BX413" s="0"/>
      <c r="BY413" s="0"/>
      <c r="BZ413" s="0"/>
      <c r="CA413" s="0"/>
      <c r="CB413" s="0"/>
      <c r="CC413" s="0"/>
      <c r="CD413" s="0"/>
      <c r="CE413" s="0"/>
      <c r="CF413" s="0"/>
      <c r="CG413" s="0"/>
      <c r="CH413" s="0"/>
      <c r="CI413" s="0"/>
      <c r="CJ413" s="0"/>
      <c r="CK413" s="0"/>
      <c r="CL413" s="0"/>
      <c r="CM413" s="0"/>
      <c r="CN413" s="0"/>
      <c r="CO413" s="0"/>
      <c r="CP413" s="0"/>
      <c r="CQ413" s="0"/>
      <c r="CR413" s="0"/>
      <c r="CS413" s="0"/>
      <c r="CT413" s="0"/>
      <c r="CU413" s="0"/>
      <c r="CV413" s="0"/>
      <c r="CW413" s="0"/>
      <c r="CX413" s="0"/>
    </row>
    <row r="414">
      <c r="A414" s="0" t="inlineStr">
        <is>
          <t xml:space="preserve">Running t-stat</t>
        </is>
      </c>
      <c r="B414" s="0" t="inlineStr">
        <is>
          <t xml:space="preserve">Random 13</t>
        </is>
      </c>
      <c r="C414" s="0"/>
      <c r="D414" s="0"/>
      <c r="E414" s="0"/>
      <c r="F414" s="0"/>
      <c r="G414" s="0"/>
      <c r="H414" s="0"/>
      <c r="I414" s="0"/>
      <c r="J414" s="0"/>
      <c r="K414" s="0"/>
      <c r="L414" s="0"/>
      <c r="M414" s="0"/>
      <c r="N414" s="0"/>
      <c r="O414" s="0"/>
      <c r="P414" s="0"/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AB414" s="0"/>
      <c r="AC414" s="0"/>
      <c r="AD414" s="0"/>
      <c r="AE414" s="0"/>
      <c r="AF414" s="0"/>
      <c r="AG414" s="0"/>
      <c r="AH414" s="0"/>
      <c r="AI414" s="0"/>
      <c r="AJ414" s="0"/>
      <c r="AK414" s="0"/>
      <c r="AL414" s="0"/>
      <c r="AM414" s="0"/>
      <c r="AN414" s="0"/>
      <c r="AO414" s="0"/>
      <c r="AP414" s="0"/>
      <c r="AQ414" s="0"/>
      <c r="AR414" s="0"/>
      <c r="AS414" s="0"/>
      <c r="AT414" s="0"/>
      <c r="AU414" s="0"/>
      <c r="AV414" s="0"/>
      <c r="AW414" s="0"/>
      <c r="AX414" s="0"/>
      <c r="AY414" s="0"/>
      <c r="AZ414" s="0"/>
      <c r="BA414" s="0"/>
      <c r="BB414" s="0"/>
      <c r="BC414" s="0"/>
      <c r="BD414" s="0"/>
      <c r="BE414" s="0"/>
      <c r="BF414" s="0"/>
      <c r="BG414" s="0"/>
      <c r="BH414" s="0"/>
      <c r="BI414" s="0"/>
      <c r="BJ414" s="0"/>
      <c r="BK414" s="0"/>
      <c r="BL414" s="0"/>
      <c r="BM414" s="0"/>
      <c r="BN414" s="0"/>
      <c r="BO414" s="0"/>
      <c r="BP414" s="0"/>
      <c r="BQ414" s="0"/>
      <c r="BR414" s="0"/>
      <c r="BS414" s="0"/>
      <c r="BT414" s="0"/>
      <c r="BU414" s="0"/>
      <c r="BV414" s="0"/>
      <c r="BW414" s="0"/>
      <c r="BX414" s="0"/>
      <c r="BY414" s="0"/>
      <c r="BZ414" s="0"/>
      <c r="CA414" s="0"/>
      <c r="CB414" s="0"/>
      <c r="CC414" s="0"/>
      <c r="CD414" s="0"/>
      <c r="CE414" s="0"/>
      <c r="CF414" s="0"/>
      <c r="CG414" s="0"/>
      <c r="CH414" s="0"/>
      <c r="CI414" s="0"/>
      <c r="CJ414" s="0"/>
      <c r="CK414" s="0"/>
      <c r="CL414" s="0"/>
      <c r="CM414" s="0"/>
      <c r="CN414" s="0"/>
      <c r="CO414" s="0"/>
      <c r="CP414" s="0"/>
      <c r="CQ414" s="0"/>
      <c r="CR414" s="0"/>
      <c r="CS414" s="0"/>
      <c r="CT414" s="0"/>
      <c r="CU414" s="0"/>
      <c r="CV414" s="0"/>
      <c r="CW414" s="0"/>
      <c r="CX414" s="0"/>
    </row>
    <row r="415">
      <c r="A415" s="0" t="inlineStr">
        <is>
          <t xml:space="preserve">Running t-stat</t>
        </is>
      </c>
      <c r="B415" s="0" t="inlineStr">
        <is>
          <t xml:space="preserve">Random 14</t>
        </is>
      </c>
      <c r="C415" s="0"/>
      <c r="D415" s="0"/>
      <c r="E415" s="0"/>
      <c r="F415" s="0"/>
      <c r="G415" s="0"/>
      <c r="H415" s="0"/>
      <c r="I415" s="0"/>
      <c r="J415" s="0"/>
      <c r="K415" s="0"/>
      <c r="L415" s="0"/>
      <c r="M415" s="0"/>
      <c r="N415" s="0"/>
      <c r="O415" s="0"/>
      <c r="P415" s="0"/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AB415" s="0"/>
      <c r="AC415" s="0"/>
      <c r="AD415" s="0"/>
      <c r="AE415" s="0"/>
      <c r="AF415" s="0"/>
      <c r="AG415" s="0"/>
      <c r="AH415" s="0"/>
      <c r="AI415" s="0"/>
      <c r="AJ415" s="0"/>
      <c r="AK415" s="0"/>
      <c r="AL415" s="0"/>
      <c r="AM415" s="0"/>
      <c r="AN415" s="0"/>
      <c r="AO415" s="0"/>
      <c r="AP415" s="0"/>
      <c r="AQ415" s="0"/>
      <c r="AR415" s="0"/>
      <c r="AS415" s="0"/>
      <c r="AT415" s="0"/>
      <c r="AU415" s="0"/>
      <c r="AV415" s="0"/>
      <c r="AW415" s="0"/>
      <c r="AX415" s="0"/>
      <c r="AY415" s="0"/>
      <c r="AZ415" s="0"/>
      <c r="BA415" s="0"/>
      <c r="BB415" s="0"/>
      <c r="BC415" s="0"/>
      <c r="BD415" s="0"/>
      <c r="BE415" s="0"/>
      <c r="BF415" s="0"/>
      <c r="BG415" s="0"/>
      <c r="BH415" s="0"/>
      <c r="BI415" s="0"/>
      <c r="BJ415" s="0"/>
      <c r="BK415" s="0"/>
      <c r="BL415" s="0"/>
      <c r="BM415" s="0"/>
      <c r="BN415" s="0"/>
      <c r="BO415" s="0"/>
      <c r="BP415" s="0"/>
      <c r="BQ415" s="0"/>
      <c r="BR415" s="0"/>
      <c r="BS415" s="0"/>
      <c r="BT415" s="0"/>
      <c r="BU415" s="0"/>
      <c r="BV415" s="0"/>
      <c r="BW415" s="0"/>
      <c r="BX415" s="0"/>
      <c r="BY415" s="0"/>
      <c r="BZ415" s="0"/>
      <c r="CA415" s="0"/>
      <c r="CB415" s="0"/>
      <c r="CC415" s="0"/>
      <c r="CD415" s="0"/>
      <c r="CE415" s="0"/>
      <c r="CF415" s="0"/>
      <c r="CG415" s="0"/>
      <c r="CH415" s="0"/>
      <c r="CI415" s="0"/>
      <c r="CJ415" s="0"/>
      <c r="CK415" s="0"/>
      <c r="CL415" s="0"/>
      <c r="CM415" s="0"/>
      <c r="CN415" s="0"/>
      <c r="CO415" s="0"/>
      <c r="CP415" s="0"/>
      <c r="CQ415" s="0"/>
      <c r="CR415" s="0"/>
      <c r="CS415" s="0"/>
      <c r="CT415" s="0"/>
      <c r="CU415" s="0"/>
      <c r="CV415" s="0"/>
      <c r="CW415" s="0"/>
      <c r="CX415" s="0"/>
    </row>
    <row r="416">
      <c r="A416" s="0" t="inlineStr">
        <is>
          <t xml:space="preserve">Running t-stat</t>
        </is>
      </c>
      <c r="B416" s="0" t="inlineStr">
        <is>
          <t xml:space="preserve">Random 15</t>
        </is>
      </c>
      <c r="C416" s="0"/>
      <c r="D416" s="0"/>
      <c r="E416" s="0"/>
      <c r="F416" s="0"/>
      <c r="G416" s="0"/>
      <c r="H416" s="0"/>
      <c r="I416" s="0"/>
      <c r="J416" s="0"/>
      <c r="K416" s="0"/>
      <c r="L416" s="0"/>
      <c r="M416" s="0"/>
      <c r="N416" s="0"/>
      <c r="O416" s="0"/>
      <c r="P416" s="0"/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AB416" s="0"/>
      <c r="AC416" s="0"/>
      <c r="AD416" s="0"/>
      <c r="AE416" s="0"/>
      <c r="AF416" s="0"/>
      <c r="AG416" s="0"/>
      <c r="AH416" s="0"/>
      <c r="AI416" s="0"/>
      <c r="AJ416" s="0"/>
      <c r="AK416" s="0"/>
      <c r="AL416" s="0"/>
      <c r="AM416" s="0"/>
      <c r="AN416" s="0"/>
      <c r="AO416" s="0"/>
      <c r="AP416" s="0"/>
      <c r="AQ416" s="0"/>
      <c r="AR416" s="0"/>
      <c r="AS416" s="0"/>
      <c r="AT416" s="0"/>
      <c r="AU416" s="0"/>
      <c r="AV416" s="0"/>
      <c r="AW416" s="0"/>
      <c r="AX416" s="0"/>
      <c r="AY416" s="0"/>
      <c r="AZ416" s="0"/>
      <c r="BA416" s="0"/>
      <c r="BB416" s="0"/>
      <c r="BC416" s="0"/>
      <c r="BD416" s="0"/>
      <c r="BE416" s="0"/>
      <c r="BF416" s="0"/>
      <c r="BG416" s="0"/>
      <c r="BH416" s="0"/>
      <c r="BI416" s="0"/>
      <c r="BJ416" s="0"/>
      <c r="BK416" s="0"/>
      <c r="BL416" s="0"/>
      <c r="BM416" s="0"/>
      <c r="BN416" s="0"/>
      <c r="BO416" s="0"/>
      <c r="BP416" s="0"/>
      <c r="BQ416" s="0"/>
      <c r="BR416" s="0"/>
      <c r="BS416" s="0"/>
      <c r="BT416" s="0"/>
      <c r="BU416" s="0"/>
      <c r="BV416" s="0"/>
      <c r="BW416" s="0"/>
      <c r="BX416" s="0"/>
      <c r="BY416" s="0"/>
      <c r="BZ416" s="0"/>
      <c r="CA416" s="0"/>
      <c r="CB416" s="0"/>
      <c r="CC416" s="0"/>
      <c r="CD416" s="0"/>
      <c r="CE416" s="0"/>
      <c r="CF416" s="0"/>
      <c r="CG416" s="0"/>
      <c r="CH416" s="0"/>
      <c r="CI416" s="0"/>
      <c r="CJ416" s="0"/>
      <c r="CK416" s="0"/>
      <c r="CL416" s="0"/>
      <c r="CM416" s="0"/>
      <c r="CN416" s="0"/>
      <c r="CO416" s="0"/>
      <c r="CP416" s="0"/>
      <c r="CQ416" s="0"/>
      <c r="CR416" s="0"/>
      <c r="CS416" s="0"/>
      <c r="CT416" s="0"/>
      <c r="CU416" s="0"/>
      <c r="CV416" s="0"/>
      <c r="CW416" s="0"/>
      <c r="CX416" s="0"/>
    </row>
    <row r="417">
      <c r="A417" s="0" t="inlineStr">
        <is>
          <t xml:space="preserve">Running t-stat</t>
        </is>
      </c>
      <c r="B417" s="0" t="inlineStr">
        <is>
          <t xml:space="preserve">Random 16</t>
        </is>
      </c>
      <c r="C417" s="0"/>
      <c r="D417" s="0"/>
      <c r="E417" s="0"/>
      <c r="F417" s="0"/>
      <c r="G417" s="0"/>
      <c r="H417" s="0"/>
      <c r="I417" s="0"/>
      <c r="J417" s="0"/>
      <c r="K417" s="0"/>
      <c r="L417" s="0"/>
      <c r="M417" s="0"/>
      <c r="N417" s="0"/>
      <c r="O417" s="0"/>
      <c r="P417" s="0"/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AB417" s="0"/>
      <c r="AC417" s="0"/>
      <c r="AD417" s="0"/>
      <c r="AE417" s="0"/>
      <c r="AF417" s="0"/>
      <c r="AG417" s="0"/>
      <c r="AH417" s="0"/>
      <c r="AI417" s="0"/>
      <c r="AJ417" s="0"/>
      <c r="AK417" s="0"/>
      <c r="AL417" s="0"/>
      <c r="AM417" s="0"/>
      <c r="AN417" s="0"/>
      <c r="AO417" s="0"/>
      <c r="AP417" s="0"/>
      <c r="AQ417" s="0"/>
      <c r="AR417" s="0"/>
      <c r="AS417" s="0"/>
      <c r="AT417" s="0"/>
      <c r="AU417" s="0"/>
      <c r="AV417" s="0"/>
      <c r="AW417" s="0"/>
      <c r="AX417" s="0"/>
      <c r="AY417" s="0"/>
      <c r="AZ417" s="0"/>
      <c r="BA417" s="0"/>
      <c r="BB417" s="0"/>
      <c r="BC417" s="0"/>
      <c r="BD417" s="0"/>
      <c r="BE417" s="0"/>
      <c r="BF417" s="0"/>
      <c r="BG417" s="0"/>
      <c r="BH417" s="0"/>
      <c r="BI417" s="0"/>
      <c r="BJ417" s="0"/>
      <c r="BK417" s="0"/>
      <c r="BL417" s="0"/>
      <c r="BM417" s="0"/>
      <c r="BN417" s="0"/>
      <c r="BO417" s="0"/>
      <c r="BP417" s="0"/>
      <c r="BQ417" s="0"/>
      <c r="BR417" s="0"/>
      <c r="BS417" s="0"/>
      <c r="BT417" s="0"/>
      <c r="BU417" s="0"/>
      <c r="BV417" s="0"/>
      <c r="BW417" s="0"/>
      <c r="BX417" s="0"/>
      <c r="BY417" s="0"/>
      <c r="BZ417" s="0"/>
      <c r="CA417" s="0"/>
      <c r="CB417" s="0"/>
      <c r="CC417" s="0"/>
      <c r="CD417" s="0"/>
      <c r="CE417" s="0"/>
      <c r="CF417" s="0"/>
      <c r="CG417" s="0"/>
      <c r="CH417" s="0"/>
      <c r="CI417" s="0"/>
      <c r="CJ417" s="0"/>
      <c r="CK417" s="0"/>
      <c r="CL417" s="0"/>
      <c r="CM417" s="0"/>
      <c r="CN417" s="0"/>
      <c r="CO417" s="0"/>
      <c r="CP417" s="0"/>
      <c r="CQ417" s="0"/>
      <c r="CR417" s="0"/>
      <c r="CS417" s="0"/>
      <c r="CT417" s="0"/>
      <c r="CU417" s="0"/>
      <c r="CV417" s="0"/>
      <c r="CW417" s="0"/>
      <c r="CX417" s="0"/>
    </row>
    <row r="418">
      <c r="A418" s="0" t="inlineStr">
        <is>
          <t xml:space="preserve">Running t-stat</t>
        </is>
      </c>
      <c r="B418" s="0" t="inlineStr">
        <is>
          <t xml:space="preserve">Random 17</t>
        </is>
      </c>
      <c r="C418" s="0"/>
      <c r="D418" s="0"/>
      <c r="E418" s="0"/>
      <c r="F418" s="0"/>
      <c r="G418" s="0"/>
      <c r="H418" s="0"/>
      <c r="I418" s="0"/>
      <c r="J418" s="0"/>
      <c r="K418" s="0"/>
      <c r="L418" s="0"/>
      <c r="M418" s="0"/>
      <c r="N418" s="0"/>
      <c r="O418" s="0"/>
      <c r="P418" s="0"/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AB418" s="0"/>
      <c r="AC418" s="0"/>
      <c r="AD418" s="0"/>
      <c r="AE418" s="0"/>
      <c r="AF418" s="0"/>
      <c r="AG418" s="0"/>
      <c r="AH418" s="0"/>
      <c r="AI418" s="0"/>
      <c r="AJ418" s="0"/>
      <c r="AK418" s="0"/>
      <c r="AL418" s="0"/>
      <c r="AM418" s="0"/>
      <c r="AN418" s="0"/>
      <c r="AO418" s="0"/>
      <c r="AP418" s="0"/>
      <c r="AQ418" s="0"/>
      <c r="AR418" s="0"/>
      <c r="AS418" s="0"/>
      <c r="AT418" s="0"/>
      <c r="AU418" s="0"/>
      <c r="AV418" s="0"/>
      <c r="AW418" s="0"/>
      <c r="AX418" s="0"/>
      <c r="AY418" s="0"/>
      <c r="AZ418" s="0"/>
      <c r="BA418" s="0"/>
      <c r="BB418" s="0"/>
      <c r="BC418" s="0"/>
      <c r="BD418" s="0"/>
      <c r="BE418" s="0"/>
      <c r="BF418" s="0"/>
      <c r="BG418" s="0"/>
      <c r="BH418" s="0"/>
      <c r="BI418" s="0"/>
      <c r="BJ418" s="0"/>
      <c r="BK418" s="0"/>
      <c r="BL418" s="0"/>
      <c r="BM418" s="0"/>
      <c r="BN418" s="0"/>
      <c r="BO418" s="0"/>
      <c r="BP418" s="0"/>
      <c r="BQ418" s="0"/>
      <c r="BR418" s="0"/>
      <c r="BS418" s="0"/>
      <c r="BT418" s="0"/>
      <c r="BU418" s="0"/>
      <c r="BV418" s="0"/>
      <c r="BW418" s="0"/>
      <c r="BX418" s="0"/>
      <c r="BY418" s="0"/>
      <c r="BZ418" s="0"/>
      <c r="CA418" s="0"/>
      <c r="CB418" s="0"/>
      <c r="CC418" s="0"/>
      <c r="CD418" s="0"/>
      <c r="CE418" s="0"/>
      <c r="CF418" s="0"/>
      <c r="CG418" s="0"/>
      <c r="CH418" s="0"/>
      <c r="CI418" s="0"/>
      <c r="CJ418" s="0"/>
      <c r="CK418" s="0"/>
      <c r="CL418" s="0"/>
      <c r="CM418" s="0"/>
      <c r="CN418" s="0"/>
      <c r="CO418" s="0"/>
      <c r="CP418" s="0"/>
      <c r="CQ418" s="0"/>
      <c r="CR418" s="0"/>
      <c r="CS418" s="0"/>
      <c r="CT418" s="0"/>
      <c r="CU418" s="0"/>
      <c r="CV418" s="0"/>
      <c r="CW418" s="0"/>
      <c r="CX418" s="0"/>
    </row>
    <row r="419">
      <c r="A419" s="0" t="inlineStr">
        <is>
          <t xml:space="preserve">Running t-stat</t>
        </is>
      </c>
      <c r="B419" s="0" t="inlineStr">
        <is>
          <t xml:space="preserve">Random 18</t>
        </is>
      </c>
      <c r="C419" s="0"/>
      <c r="D419" s="0"/>
      <c r="E419" s="0"/>
      <c r="F419" s="0"/>
      <c r="G419" s="0"/>
      <c r="H419" s="0"/>
      <c r="I419" s="0"/>
      <c r="J419" s="0"/>
      <c r="K419" s="0"/>
      <c r="L419" s="0"/>
      <c r="M419" s="0"/>
      <c r="N419" s="0"/>
      <c r="O419" s="0"/>
      <c r="P419" s="0"/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AB419" s="0"/>
      <c r="AC419" s="0"/>
      <c r="AD419" s="0"/>
      <c r="AE419" s="0"/>
      <c r="AF419" s="0"/>
      <c r="AG419" s="0"/>
      <c r="AH419" s="0"/>
      <c r="AI419" s="0"/>
      <c r="AJ419" s="0"/>
      <c r="AK419" s="0"/>
      <c r="AL419" s="0"/>
      <c r="AM419" s="0"/>
      <c r="AN419" s="0"/>
      <c r="AO419" s="0"/>
      <c r="AP419" s="0"/>
      <c r="AQ419" s="0"/>
      <c r="AR419" s="0"/>
      <c r="AS419" s="0"/>
      <c r="AT419" s="0"/>
      <c r="AU419" s="0"/>
      <c r="AV419" s="0"/>
      <c r="AW419" s="0"/>
      <c r="AX419" s="0"/>
      <c r="AY419" s="0"/>
      <c r="AZ419" s="0"/>
      <c r="BA419" s="0"/>
      <c r="BB419" s="0"/>
      <c r="BC419" s="0"/>
      <c r="BD419" s="0"/>
      <c r="BE419" s="0"/>
      <c r="BF419" s="0"/>
      <c r="BG419" s="0"/>
      <c r="BH419" s="0"/>
      <c r="BI419" s="0"/>
      <c r="BJ419" s="0"/>
      <c r="BK419" s="0"/>
      <c r="BL419" s="0"/>
      <c r="BM419" s="0"/>
      <c r="BN419" s="0"/>
      <c r="BO419" s="0"/>
      <c r="BP419" s="0"/>
      <c r="BQ419" s="0"/>
      <c r="BR419" s="0"/>
      <c r="BS419" s="0"/>
      <c r="BT419" s="0"/>
      <c r="BU419" s="0"/>
      <c r="BV419" s="0"/>
      <c r="BW419" s="0"/>
      <c r="BX419" s="0"/>
      <c r="BY419" s="0"/>
      <c r="BZ419" s="0"/>
      <c r="CA419" s="0"/>
      <c r="CB419" s="0"/>
      <c r="CC419" s="0"/>
      <c r="CD419" s="0"/>
      <c r="CE419" s="0"/>
      <c r="CF419" s="0"/>
      <c r="CG419" s="0"/>
      <c r="CH419" s="0"/>
      <c r="CI419" s="0"/>
      <c r="CJ419" s="0"/>
      <c r="CK419" s="0"/>
      <c r="CL419" s="0"/>
      <c r="CM419" s="0"/>
      <c r="CN419" s="0"/>
      <c r="CO419" s="0"/>
      <c r="CP419" s="0"/>
      <c r="CQ419" s="0"/>
      <c r="CR419" s="0"/>
      <c r="CS419" s="0"/>
      <c r="CT419" s="0"/>
      <c r="CU419" s="0"/>
      <c r="CV419" s="0"/>
      <c r="CW419" s="0"/>
      <c r="CX419" s="0"/>
    </row>
    <row r="420">
      <c r="A420" s="0" t="inlineStr">
        <is>
          <t xml:space="preserve">Running t-stat</t>
        </is>
      </c>
      <c r="B420" s="0" t="inlineStr">
        <is>
          <t xml:space="preserve">Random 19</t>
        </is>
      </c>
      <c r="C420" s="0"/>
      <c r="D420" s="0"/>
      <c r="E420" s="0"/>
      <c r="F420" s="0"/>
      <c r="G420" s="0"/>
      <c r="H420" s="0"/>
      <c r="I420" s="0"/>
      <c r="J420" s="0"/>
      <c r="K420" s="0"/>
      <c r="L420" s="0"/>
      <c r="M420" s="0"/>
      <c r="N420" s="0"/>
      <c r="O420" s="0"/>
      <c r="P420" s="0"/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AB420" s="0"/>
      <c r="AC420" s="0"/>
      <c r="AD420" s="0"/>
      <c r="AE420" s="0"/>
      <c r="AF420" s="0"/>
      <c r="AG420" s="0"/>
      <c r="AH420" s="0"/>
      <c r="AI420" s="0"/>
      <c r="AJ420" s="0"/>
      <c r="AK420" s="0"/>
      <c r="AL420" s="0"/>
      <c r="AM420" s="0"/>
      <c r="AN420" s="0"/>
      <c r="AO420" s="0"/>
      <c r="AP420" s="0"/>
      <c r="AQ420" s="0"/>
      <c r="AR420" s="0"/>
      <c r="AS420" s="0"/>
      <c r="AT420" s="0"/>
      <c r="AU420" s="0"/>
      <c r="AV420" s="0"/>
      <c r="AW420" s="0"/>
      <c r="AX420" s="0"/>
      <c r="AY420" s="0"/>
      <c r="AZ420" s="0"/>
      <c r="BA420" s="0"/>
      <c r="BB420" s="0"/>
      <c r="BC420" s="0"/>
      <c r="BD420" s="0"/>
      <c r="BE420" s="0"/>
      <c r="BF420" s="0"/>
      <c r="BG420" s="0"/>
      <c r="BH420" s="0"/>
      <c r="BI420" s="0"/>
      <c r="BJ420" s="0"/>
      <c r="BK420" s="0"/>
      <c r="BL420" s="0"/>
      <c r="BM420" s="0"/>
      <c r="BN420" s="0"/>
      <c r="BO420" s="0"/>
      <c r="BP420" s="0"/>
      <c r="BQ420" s="0"/>
      <c r="BR420" s="0"/>
      <c r="BS420" s="0"/>
      <c r="BT420" s="0"/>
      <c r="BU420" s="0"/>
      <c r="BV420" s="0"/>
      <c r="BW420" s="0"/>
      <c r="BX420" s="0"/>
      <c r="BY420" s="0"/>
      <c r="BZ420" s="0"/>
      <c r="CA420" s="0"/>
      <c r="CB420" s="0"/>
      <c r="CC420" s="0"/>
      <c r="CD420" s="0"/>
      <c r="CE420" s="0"/>
      <c r="CF420" s="0"/>
      <c r="CG420" s="0"/>
      <c r="CH420" s="0"/>
      <c r="CI420" s="0"/>
      <c r="CJ420" s="0"/>
      <c r="CK420" s="0"/>
      <c r="CL420" s="0"/>
      <c r="CM420" s="0"/>
      <c r="CN420" s="0"/>
      <c r="CO420" s="0"/>
      <c r="CP420" s="0"/>
      <c r="CQ420" s="0"/>
      <c r="CR420" s="0"/>
      <c r="CS420" s="0"/>
      <c r="CT420" s="0"/>
      <c r="CU420" s="0"/>
      <c r="CV420" s="0"/>
      <c r="CW420" s="0"/>
      <c r="CX420" s="0"/>
    </row>
    <row r="421">
      <c r="A421" s="0" t="inlineStr">
        <is>
          <t xml:space="preserve">Running t-stat</t>
        </is>
      </c>
      <c r="B421" s="0" t="inlineStr">
        <is>
          <t xml:space="preserve">Random 20</t>
        </is>
      </c>
      <c r="C421" s="0"/>
      <c r="D421" s="0"/>
      <c r="E421" s="0"/>
      <c r="F421" s="0"/>
      <c r="G421" s="0"/>
      <c r="H421" s="0"/>
      <c r="I421" s="0"/>
      <c r="J421" s="0"/>
      <c r="K421" s="0"/>
      <c r="L421" s="0"/>
      <c r="M421" s="0"/>
      <c r="N421" s="0"/>
      <c r="O421" s="0"/>
      <c r="P421" s="0"/>
      <c r="Q421" s="0"/>
      <c r="R421" s="0"/>
      <c r="S421" s="0"/>
      <c r="T421" s="0"/>
      <c r="U421" s="0"/>
      <c r="V421" s="0"/>
      <c r="W421" s="0"/>
      <c r="X421" s="0"/>
      <c r="Y421" s="0"/>
      <c r="Z421" s="0"/>
      <c r="AA421" s="0"/>
      <c r="AB421" s="0"/>
      <c r="AC421" s="0"/>
      <c r="AD421" s="0"/>
      <c r="AE421" s="0"/>
      <c r="AF421" s="0"/>
      <c r="AG421" s="0"/>
      <c r="AH421" s="0"/>
      <c r="AI421" s="0"/>
      <c r="AJ421" s="0"/>
      <c r="AK421" s="0"/>
      <c r="AL421" s="0"/>
      <c r="AM421" s="0"/>
      <c r="AN421" s="0"/>
      <c r="AO421" s="0"/>
      <c r="AP421" s="0"/>
      <c r="AQ421" s="0"/>
      <c r="AR421" s="0"/>
      <c r="AS421" s="0"/>
      <c r="AT421" s="0"/>
      <c r="AU421" s="0"/>
      <c r="AV421" s="0"/>
      <c r="AW421" s="0"/>
      <c r="AX421" s="0"/>
      <c r="AY421" s="0"/>
      <c r="AZ421" s="0"/>
      <c r="BA421" s="0"/>
      <c r="BB421" s="0"/>
      <c r="BC421" s="0"/>
      <c r="BD421" s="0"/>
      <c r="BE421" s="0"/>
      <c r="BF421" s="0"/>
      <c r="BG421" s="0"/>
      <c r="BH421" s="0"/>
      <c r="BI421" s="0"/>
      <c r="BJ421" s="0"/>
      <c r="BK421" s="0"/>
      <c r="BL421" s="0"/>
      <c r="BM421" s="0"/>
      <c r="BN421" s="0"/>
      <c r="BO421" s="0"/>
      <c r="BP421" s="0"/>
      <c r="BQ421" s="0"/>
      <c r="BR421" s="0"/>
      <c r="BS421" s="0"/>
      <c r="BT421" s="0"/>
      <c r="BU421" s="0"/>
      <c r="BV421" s="0"/>
      <c r="BW421" s="0"/>
      <c r="BX421" s="0"/>
      <c r="BY421" s="0"/>
      <c r="BZ421" s="0"/>
      <c r="CA421" s="0"/>
      <c r="CB421" s="0"/>
      <c r="CC421" s="0"/>
      <c r="CD421" s="0"/>
      <c r="CE421" s="0"/>
      <c r="CF421" s="0"/>
      <c r="CG421" s="0"/>
      <c r="CH421" s="0"/>
      <c r="CI421" s="0"/>
      <c r="CJ421" s="0"/>
      <c r="CK421" s="0"/>
      <c r="CL421" s="0"/>
      <c r="CM421" s="0"/>
      <c r="CN421" s="0"/>
      <c r="CO421" s="0"/>
      <c r="CP421" s="0"/>
      <c r="CQ421" s="0"/>
      <c r="CR421" s="0"/>
      <c r="CS421" s="0"/>
      <c r="CT421" s="0"/>
      <c r="CU421" s="0"/>
      <c r="CV421" s="0"/>
      <c r="CW421" s="0"/>
      <c r="CX421" s="0"/>
    </row>
    <row r="422">
      <c r="A422" s="0" t="inlineStr">
        <is>
          <t xml:space="preserve">Net P&amp;L on notional, $</t>
        </is>
      </c>
      <c r="B422" s="0" t="inlineStr">
        <is>
          <t xml:space="preserve">worst 100 by yesterday's close-to-close return</t>
        </is>
      </c>
      <c r="C422" s="8">
        <f>IF((1=1),((C72/10000)*'Assumptions (edit)'!B7),"")</f>
        <v>273.78999999999996</v>
      </c>
      <c r="D422" s="8">
        <f>IF((0=1),((D72/10000)*'Assumptions (edit)'!B7),"")</f>
      </c>
      <c r="E422" s="8">
        <f>IF((0=1),((E72/10000)*'Assumptions (edit)'!B7),"")</f>
      </c>
      <c r="F422" s="8">
        <f>IF((0=1),((F72/10000)*'Assumptions (edit)'!B7),"")</f>
      </c>
      <c r="G422" s="8">
        <f>IF((0=1),((G72/10000)*'Assumptions (edit)'!B7),"")</f>
      </c>
      <c r="H422" s="8">
        <f>IF((0=1),((H72/10000)*'Assumptions (edit)'!B7),"")</f>
      </c>
      <c r="I422" s="8">
        <f>IF((0=1),((I72/10000)*'Assumptions (edit)'!B7),"")</f>
      </c>
      <c r="J422" s="8">
        <f>IF((0=1),((J72/10000)*'Assumptions (edit)'!B7),"")</f>
      </c>
      <c r="K422" s="8">
        <f>IF((0=1),((K72/10000)*'Assumptions (edit)'!B7),"")</f>
      </c>
      <c r="L422" s="8">
        <f>IF((0=1),((L72/10000)*'Assumptions (edit)'!B7),"")</f>
      </c>
      <c r="M422" s="8">
        <f>IF((0=1),((M72/10000)*'Assumptions (edit)'!B7),"")</f>
      </c>
      <c r="N422" s="8">
        <f>IF((0=1),((N72/10000)*'Assumptions (edit)'!B7),"")</f>
      </c>
      <c r="O422" s="8">
        <f>IF((0=1),((O72/10000)*'Assumptions (edit)'!B7),"")</f>
      </c>
      <c r="P422" s="8">
        <f>IF((0=1),((P72/10000)*'Assumptions (edit)'!B7),"")</f>
      </c>
      <c r="Q422" s="8">
        <f>IF((0=1),((Q72/10000)*'Assumptions (edit)'!B7),"")</f>
      </c>
      <c r="R422" s="8">
        <f>IF((0=1),((R72/10000)*'Assumptions (edit)'!B7),"")</f>
      </c>
      <c r="S422" s="8">
        <f>IF((0=1),((S72/10000)*'Assumptions (edit)'!B7),"")</f>
      </c>
      <c r="T422" s="8">
        <f>IF((0=1),((T72/10000)*'Assumptions (edit)'!B7),"")</f>
      </c>
      <c r="U422" s="8">
        <f>IF((0=1),((U72/10000)*'Assumptions (edit)'!B7),"")</f>
      </c>
      <c r="V422" s="8">
        <f>IF((0=1),((V72/10000)*'Assumptions (edit)'!B7),"")</f>
      </c>
      <c r="W422" s="8">
        <f>IF((0=1),((W72/10000)*'Assumptions (edit)'!B7),"")</f>
      </c>
      <c r="X422" s="8">
        <f>IF((0=1),((X72/10000)*'Assumptions (edit)'!B7),"")</f>
      </c>
      <c r="Y422" s="8">
        <f>IF((0=1),((Y72/10000)*'Assumptions (edit)'!B7),"")</f>
      </c>
      <c r="Z422" s="8">
        <f>IF((0=1),((Z72/10000)*'Assumptions (edit)'!B7),"")</f>
      </c>
      <c r="AA422" s="8">
        <f>IF((0=1),((AA72/10000)*'Assumptions (edit)'!B7),"")</f>
      </c>
      <c r="AB422" s="8">
        <f>IF((0=1),((AB72/10000)*'Assumptions (edit)'!B7),"")</f>
      </c>
      <c r="AC422" s="8">
        <f>IF((0=1),((AC72/10000)*'Assumptions (edit)'!B7),"")</f>
      </c>
      <c r="AD422" s="8">
        <f>IF((0=1),((AD72/10000)*'Assumptions (edit)'!B7),"")</f>
      </c>
      <c r="AE422" s="8">
        <f>IF((0=1),((AE72/10000)*'Assumptions (edit)'!B7),"")</f>
      </c>
      <c r="AF422" s="8">
        <f>IF((0=1),((AF72/10000)*'Assumptions (edit)'!B7),"")</f>
      </c>
      <c r="AG422" s="8">
        <f>IF((0=1),((AG72/10000)*'Assumptions (edit)'!B7),"")</f>
      </c>
      <c r="AH422" s="8">
        <f>IF((0=1),((AH72/10000)*'Assumptions (edit)'!B7),"")</f>
      </c>
      <c r="AI422" s="8">
        <f>IF((0=1),((AI72/10000)*'Assumptions (edit)'!B7),"")</f>
      </c>
      <c r="AJ422" s="8">
        <f>IF((0=1),((AJ72/10000)*'Assumptions (edit)'!B7),"")</f>
      </c>
      <c r="AK422" s="8">
        <f>IF((0=1),((AK72/10000)*'Assumptions (edit)'!B7),"")</f>
      </c>
      <c r="AL422" s="8">
        <f>IF((0=1),((AL72/10000)*'Assumptions (edit)'!B7),"")</f>
      </c>
      <c r="AM422" s="8">
        <f>IF((0=1),((AM72/10000)*'Assumptions (edit)'!B7),"")</f>
      </c>
      <c r="AN422" s="8">
        <f>IF((0=1),((AN72/10000)*'Assumptions (edit)'!B7),"")</f>
      </c>
      <c r="AO422" s="8">
        <f>IF((0=1),((AO72/10000)*'Assumptions (edit)'!B7),"")</f>
      </c>
      <c r="AP422" s="8">
        <f>IF((0=1),((AP72/10000)*'Assumptions (edit)'!B7),"")</f>
      </c>
      <c r="AQ422" s="8">
        <f>IF((0=1),((AQ72/10000)*'Assumptions (edit)'!B7),"")</f>
      </c>
      <c r="AR422" s="8">
        <f>IF((0=1),((AR72/10000)*'Assumptions (edit)'!B7),"")</f>
      </c>
      <c r="AS422" s="8">
        <f>IF((0=1),((AS72/10000)*'Assumptions (edit)'!B7),"")</f>
      </c>
      <c r="AT422" s="8">
        <f>IF((0=1),((AT72/10000)*'Assumptions (edit)'!B7),"")</f>
      </c>
      <c r="AU422" s="8">
        <f>IF((0=1),((AU72/10000)*'Assumptions (edit)'!B7),"")</f>
      </c>
      <c r="AV422" s="8">
        <f>IF((0=1),((AV72/10000)*'Assumptions (edit)'!B7),"")</f>
      </c>
      <c r="AW422" s="8">
        <f>IF((0=1),((AW72/10000)*'Assumptions (edit)'!B7),"")</f>
      </c>
      <c r="AX422" s="8">
        <f>IF((0=1),((AX72/10000)*'Assumptions (edit)'!B7),"")</f>
      </c>
      <c r="AY422" s="8">
        <f>IF((0=1),((AY72/10000)*'Assumptions (edit)'!B7),"")</f>
      </c>
      <c r="AZ422" s="8">
        <f>IF((0=1),((AZ72/10000)*'Assumptions (edit)'!B7),"")</f>
      </c>
      <c r="BA422" s="8">
        <f>IF((0=1),((BA72/10000)*'Assumptions (edit)'!B7),"")</f>
      </c>
      <c r="BB422" s="8">
        <f>IF((0=1),((BB72/10000)*'Assumptions (edit)'!B7),"")</f>
      </c>
      <c r="BC422" s="8">
        <f>IF((0=1),((BC72/10000)*'Assumptions (edit)'!B7),"")</f>
      </c>
      <c r="BD422" s="8">
        <f>IF((0=1),((BD72/10000)*'Assumptions (edit)'!B7),"")</f>
      </c>
      <c r="BE422" s="8">
        <f>IF((0=1),((BE72/10000)*'Assumptions (edit)'!B7),"")</f>
      </c>
      <c r="BF422" s="8">
        <f>IF((0=1),((BF72/10000)*'Assumptions (edit)'!B7),"")</f>
      </c>
      <c r="BG422" s="8">
        <f>IF((0=1),((BG72/10000)*'Assumptions (edit)'!B7),"")</f>
      </c>
      <c r="BH422" s="8">
        <f>IF((0=1),((BH72/10000)*'Assumptions (edit)'!B7),"")</f>
      </c>
      <c r="BI422" s="8">
        <f>IF((0=1),((BI72/10000)*'Assumptions (edit)'!B7),"")</f>
      </c>
      <c r="BJ422" s="8">
        <f>IF((0=1),((BJ72/10000)*'Assumptions (edit)'!B7),"")</f>
      </c>
      <c r="BK422" s="8">
        <f>IF((0=1),((BK72/10000)*'Assumptions (edit)'!B7),"")</f>
      </c>
      <c r="BL422" s="8">
        <f>IF((0=1),((BL72/10000)*'Assumptions (edit)'!B7),"")</f>
      </c>
      <c r="BM422" s="8">
        <f>IF((0=1),((BM72/10000)*'Assumptions (edit)'!B7),"")</f>
      </c>
      <c r="BN422" s="8">
        <f>IF((0=1),((BN72/10000)*'Assumptions (edit)'!B7),"")</f>
      </c>
      <c r="BO422" s="8">
        <f>IF((0=1),((BO72/10000)*'Assumptions (edit)'!B7),"")</f>
      </c>
      <c r="BP422" s="8">
        <f>IF((0=1),((BP72/10000)*'Assumptions (edit)'!B7),"")</f>
      </c>
      <c r="BQ422" s="8">
        <f>IF((0=1),((BQ72/10000)*'Assumptions (edit)'!B7),"")</f>
      </c>
      <c r="BR422" s="8">
        <f>IF((0=1),((BR72/10000)*'Assumptions (edit)'!B7),"")</f>
      </c>
      <c r="BS422" s="8">
        <f>IF((0=1),((BS72/10000)*'Assumptions (edit)'!B7),"")</f>
      </c>
      <c r="BT422" s="8">
        <f>IF((0=1),((BT72/10000)*'Assumptions (edit)'!B7),"")</f>
      </c>
      <c r="BU422" s="8">
        <f>IF((0=1),((BU72/10000)*'Assumptions (edit)'!B7),"")</f>
      </c>
      <c r="BV422" s="8">
        <f>IF((0=1),((BV72/10000)*'Assumptions (edit)'!B7),"")</f>
      </c>
      <c r="BW422" s="8">
        <f>IF((0=1),((BW72/10000)*'Assumptions (edit)'!B7),"")</f>
      </c>
      <c r="BX422" s="8">
        <f>IF((0=1),((BX72/10000)*'Assumptions (edit)'!B7),"")</f>
      </c>
      <c r="BY422" s="8">
        <f>IF((0=1),((BY72/10000)*'Assumptions (edit)'!B7),"")</f>
      </c>
      <c r="BZ422" s="8">
        <f>IF((0=1),((BZ72/10000)*'Assumptions (edit)'!B7),"")</f>
      </c>
      <c r="CA422" s="8">
        <f>IF((0=1),((CA72/10000)*'Assumptions (edit)'!B7),"")</f>
      </c>
      <c r="CB422" s="8">
        <f>IF((0=1),((CB72/10000)*'Assumptions (edit)'!B7),"")</f>
      </c>
      <c r="CC422" s="8">
        <f>IF((0=1),((CC72/10000)*'Assumptions (edit)'!B7),"")</f>
      </c>
      <c r="CD422" s="8">
        <f>IF((0=1),((CD72/10000)*'Assumptions (edit)'!B7),"")</f>
      </c>
      <c r="CE422" s="8">
        <f>IF((0=1),((CE72/10000)*'Assumptions (edit)'!B7),"")</f>
      </c>
      <c r="CF422" s="8">
        <f>IF((0=1),((CF72/10000)*'Assumptions (edit)'!B7),"")</f>
      </c>
      <c r="CG422" s="8">
        <f>IF((0=1),((CG72/10000)*'Assumptions (edit)'!B7),"")</f>
      </c>
      <c r="CH422" s="8">
        <f>IF((0=1),((CH72/10000)*'Assumptions (edit)'!B7),"")</f>
      </c>
      <c r="CI422" s="8">
        <f>IF((0=1),((CI72/10000)*'Assumptions (edit)'!B7),"")</f>
      </c>
      <c r="CJ422" s="8">
        <f>IF((0=1),((CJ72/10000)*'Assumptions (edit)'!B7),"")</f>
      </c>
      <c r="CK422" s="8">
        <f>IF((0=1),((CK72/10000)*'Assumptions (edit)'!B7),"")</f>
      </c>
      <c r="CL422" s="8">
        <f>IF((0=1),((CL72/10000)*'Assumptions (edit)'!B7),"")</f>
      </c>
      <c r="CM422" s="8">
        <f>IF((0=1),((CM72/10000)*'Assumptions (edit)'!B7),"")</f>
      </c>
      <c r="CN422" s="8">
        <f>IF((0=1),((CN72/10000)*'Assumptions (edit)'!B7),"")</f>
      </c>
      <c r="CO422" s="8">
        <f>IF((0=1),((CO72/10000)*'Assumptions (edit)'!B7),"")</f>
      </c>
      <c r="CP422" s="8">
        <f>IF((0=1),((CP72/10000)*'Assumptions (edit)'!B7),"")</f>
      </c>
      <c r="CQ422" s="8">
        <f>IF((0=1),((CQ72/10000)*'Assumptions (edit)'!B7),"")</f>
      </c>
      <c r="CR422" s="8">
        <f>IF((0=1),((CR72/10000)*'Assumptions (edit)'!B7),"")</f>
      </c>
      <c r="CS422" s="8">
        <f>IF((0=1),((CS72/10000)*'Assumptions (edit)'!B7),"")</f>
      </c>
      <c r="CT422" s="8">
        <f>IF((0=1),((CT72/10000)*'Assumptions (edit)'!B7),"")</f>
      </c>
      <c r="CU422" s="8">
        <f>IF((0=1),((CU72/10000)*'Assumptions (edit)'!B7),"")</f>
      </c>
      <c r="CV422" s="8">
        <f>IF((0=1),((CV72/10000)*'Assumptions (edit)'!B7),"")</f>
      </c>
      <c r="CW422" s="8">
        <f>IF((0=1),((CW72/10000)*'Assumptions (edit)'!B7),"")</f>
      </c>
      <c r="CX422" s="8">
        <f>IF((0=1),((CX72/10000)*'Assumptions (edit)'!B7),"")</f>
      </c>
    </row>
    <row r="423">
      <c r="A423" s="0" t="inlineStr">
        <is>
          <t xml:space="preserve">Net P&amp;L on notional, $</t>
        </is>
      </c>
      <c r="B423" s="0" t="inlineStr">
        <is>
          <t xml:space="preserve">lowest 100 by 60-day volatility</t>
        </is>
      </c>
      <c r="C423" s="8">
        <f>IF((1=1),((C73/10000)*'Assumptions (edit)'!B7),"")</f>
        <v>-147.09</v>
      </c>
      <c r="D423" s="8">
        <f>IF((0=1),((D73/10000)*'Assumptions (edit)'!B7),"")</f>
      </c>
      <c r="E423" s="8">
        <f>IF((0=1),((E73/10000)*'Assumptions (edit)'!B7),"")</f>
      </c>
      <c r="F423" s="8">
        <f>IF((0=1),((F73/10000)*'Assumptions (edit)'!B7),"")</f>
      </c>
      <c r="G423" s="8">
        <f>IF((0=1),((G73/10000)*'Assumptions (edit)'!B7),"")</f>
      </c>
      <c r="H423" s="8">
        <f>IF((0=1),((H73/10000)*'Assumptions (edit)'!B7),"")</f>
      </c>
      <c r="I423" s="8">
        <f>IF((0=1),((I73/10000)*'Assumptions (edit)'!B7),"")</f>
      </c>
      <c r="J423" s="8">
        <f>IF((0=1),((J73/10000)*'Assumptions (edit)'!B7),"")</f>
      </c>
      <c r="K423" s="8">
        <f>IF((0=1),((K73/10000)*'Assumptions (edit)'!B7),"")</f>
      </c>
      <c r="L423" s="8">
        <f>IF((0=1),((L73/10000)*'Assumptions (edit)'!B7),"")</f>
      </c>
      <c r="M423" s="8">
        <f>IF((0=1),((M73/10000)*'Assumptions (edit)'!B7),"")</f>
      </c>
      <c r="N423" s="8">
        <f>IF((0=1),((N73/10000)*'Assumptions (edit)'!B7),"")</f>
      </c>
      <c r="O423" s="8">
        <f>IF((0=1),((O73/10000)*'Assumptions (edit)'!B7),"")</f>
      </c>
      <c r="P423" s="8">
        <f>IF((0=1),((P73/10000)*'Assumptions (edit)'!B7),"")</f>
      </c>
      <c r="Q423" s="8">
        <f>IF((0=1),((Q73/10000)*'Assumptions (edit)'!B7),"")</f>
      </c>
      <c r="R423" s="8">
        <f>IF((0=1),((R73/10000)*'Assumptions (edit)'!B7),"")</f>
      </c>
      <c r="S423" s="8">
        <f>IF((0=1),((S73/10000)*'Assumptions (edit)'!B7),"")</f>
      </c>
      <c r="T423" s="8">
        <f>IF((0=1),((T73/10000)*'Assumptions (edit)'!B7),"")</f>
      </c>
      <c r="U423" s="8">
        <f>IF((0=1),((U73/10000)*'Assumptions (edit)'!B7),"")</f>
      </c>
      <c r="V423" s="8">
        <f>IF((0=1),((V73/10000)*'Assumptions (edit)'!B7),"")</f>
      </c>
      <c r="W423" s="8">
        <f>IF((0=1),((W73/10000)*'Assumptions (edit)'!B7),"")</f>
      </c>
      <c r="X423" s="8">
        <f>IF((0=1),((X73/10000)*'Assumptions (edit)'!B7),"")</f>
      </c>
      <c r="Y423" s="8">
        <f>IF((0=1),((Y73/10000)*'Assumptions (edit)'!B7),"")</f>
      </c>
      <c r="Z423" s="8">
        <f>IF((0=1),((Z73/10000)*'Assumptions (edit)'!B7),"")</f>
      </c>
      <c r="AA423" s="8">
        <f>IF((0=1),((AA73/10000)*'Assumptions (edit)'!B7),"")</f>
      </c>
      <c r="AB423" s="8">
        <f>IF((0=1),((AB73/10000)*'Assumptions (edit)'!B7),"")</f>
      </c>
      <c r="AC423" s="8">
        <f>IF((0=1),((AC73/10000)*'Assumptions (edit)'!B7),"")</f>
      </c>
      <c r="AD423" s="8">
        <f>IF((0=1),((AD73/10000)*'Assumptions (edit)'!B7),"")</f>
      </c>
      <c r="AE423" s="8">
        <f>IF((0=1),((AE73/10000)*'Assumptions (edit)'!B7),"")</f>
      </c>
      <c r="AF423" s="8">
        <f>IF((0=1),((AF73/10000)*'Assumptions (edit)'!B7),"")</f>
      </c>
      <c r="AG423" s="8">
        <f>IF((0=1),((AG73/10000)*'Assumptions (edit)'!B7),"")</f>
      </c>
      <c r="AH423" s="8">
        <f>IF((0=1),((AH73/10000)*'Assumptions (edit)'!B7),"")</f>
      </c>
      <c r="AI423" s="8">
        <f>IF((0=1),((AI73/10000)*'Assumptions (edit)'!B7),"")</f>
      </c>
      <c r="AJ423" s="8">
        <f>IF((0=1),((AJ73/10000)*'Assumptions (edit)'!B7),"")</f>
      </c>
      <c r="AK423" s="8">
        <f>IF((0=1),((AK73/10000)*'Assumptions (edit)'!B7),"")</f>
      </c>
      <c r="AL423" s="8">
        <f>IF((0=1),((AL73/10000)*'Assumptions (edit)'!B7),"")</f>
      </c>
      <c r="AM423" s="8">
        <f>IF((0=1),((AM73/10000)*'Assumptions (edit)'!B7),"")</f>
      </c>
      <c r="AN423" s="8">
        <f>IF((0=1),((AN73/10000)*'Assumptions (edit)'!B7),"")</f>
      </c>
      <c r="AO423" s="8">
        <f>IF((0=1),((AO73/10000)*'Assumptions (edit)'!B7),"")</f>
      </c>
      <c r="AP423" s="8">
        <f>IF((0=1),((AP73/10000)*'Assumptions (edit)'!B7),"")</f>
      </c>
      <c r="AQ423" s="8">
        <f>IF((0=1),((AQ73/10000)*'Assumptions (edit)'!B7),"")</f>
      </c>
      <c r="AR423" s="8">
        <f>IF((0=1),((AR73/10000)*'Assumptions (edit)'!B7),"")</f>
      </c>
      <c r="AS423" s="8">
        <f>IF((0=1),((AS73/10000)*'Assumptions (edit)'!B7),"")</f>
      </c>
      <c r="AT423" s="8">
        <f>IF((0=1),((AT73/10000)*'Assumptions (edit)'!B7),"")</f>
      </c>
      <c r="AU423" s="8">
        <f>IF((0=1),((AU73/10000)*'Assumptions (edit)'!B7),"")</f>
      </c>
      <c r="AV423" s="8">
        <f>IF((0=1),((AV73/10000)*'Assumptions (edit)'!B7),"")</f>
      </c>
      <c r="AW423" s="8">
        <f>IF((0=1),((AW73/10000)*'Assumptions (edit)'!B7),"")</f>
      </c>
      <c r="AX423" s="8">
        <f>IF((0=1),((AX73/10000)*'Assumptions (edit)'!B7),"")</f>
      </c>
      <c r="AY423" s="8">
        <f>IF((0=1),((AY73/10000)*'Assumptions (edit)'!B7),"")</f>
      </c>
      <c r="AZ423" s="8">
        <f>IF((0=1),((AZ73/10000)*'Assumptions (edit)'!B7),"")</f>
      </c>
      <c r="BA423" s="8">
        <f>IF((0=1),((BA73/10000)*'Assumptions (edit)'!B7),"")</f>
      </c>
      <c r="BB423" s="8">
        <f>IF((0=1),((BB73/10000)*'Assumptions (edit)'!B7),"")</f>
      </c>
      <c r="BC423" s="8">
        <f>IF((0=1),((BC73/10000)*'Assumptions (edit)'!B7),"")</f>
      </c>
      <c r="BD423" s="8">
        <f>IF((0=1),((BD73/10000)*'Assumptions (edit)'!B7),"")</f>
      </c>
      <c r="BE423" s="8">
        <f>IF((0=1),((BE73/10000)*'Assumptions (edit)'!B7),"")</f>
      </c>
      <c r="BF423" s="8">
        <f>IF((0=1),((BF73/10000)*'Assumptions (edit)'!B7),"")</f>
      </c>
      <c r="BG423" s="8">
        <f>IF((0=1),((BG73/10000)*'Assumptions (edit)'!B7),"")</f>
      </c>
      <c r="BH423" s="8">
        <f>IF((0=1),((BH73/10000)*'Assumptions (edit)'!B7),"")</f>
      </c>
      <c r="BI423" s="8">
        <f>IF((0=1),((BI73/10000)*'Assumptions (edit)'!B7),"")</f>
      </c>
      <c r="BJ423" s="8">
        <f>IF((0=1),((BJ73/10000)*'Assumptions (edit)'!B7),"")</f>
      </c>
      <c r="BK423" s="8">
        <f>IF((0=1),((BK73/10000)*'Assumptions (edit)'!B7),"")</f>
      </c>
      <c r="BL423" s="8">
        <f>IF((0=1),((BL73/10000)*'Assumptions (edit)'!B7),"")</f>
      </c>
      <c r="BM423" s="8">
        <f>IF((0=1),((BM73/10000)*'Assumptions (edit)'!B7),"")</f>
      </c>
      <c r="BN423" s="8">
        <f>IF((0=1),((BN73/10000)*'Assumptions (edit)'!B7),"")</f>
      </c>
      <c r="BO423" s="8">
        <f>IF((0=1),((BO73/10000)*'Assumptions (edit)'!B7),"")</f>
      </c>
      <c r="BP423" s="8">
        <f>IF((0=1),((BP73/10000)*'Assumptions (edit)'!B7),"")</f>
      </c>
      <c r="BQ423" s="8">
        <f>IF((0=1),((BQ73/10000)*'Assumptions (edit)'!B7),"")</f>
      </c>
      <c r="BR423" s="8">
        <f>IF((0=1),((BR73/10000)*'Assumptions (edit)'!B7),"")</f>
      </c>
      <c r="BS423" s="8">
        <f>IF((0=1),((BS73/10000)*'Assumptions (edit)'!B7),"")</f>
      </c>
      <c r="BT423" s="8">
        <f>IF((0=1),((BT73/10000)*'Assumptions (edit)'!B7),"")</f>
      </c>
      <c r="BU423" s="8">
        <f>IF((0=1),((BU73/10000)*'Assumptions (edit)'!B7),"")</f>
      </c>
      <c r="BV423" s="8">
        <f>IF((0=1),((BV73/10000)*'Assumptions (edit)'!B7),"")</f>
      </c>
      <c r="BW423" s="8">
        <f>IF((0=1),((BW73/10000)*'Assumptions (edit)'!B7),"")</f>
      </c>
      <c r="BX423" s="8">
        <f>IF((0=1),((BX73/10000)*'Assumptions (edit)'!B7),"")</f>
      </c>
      <c r="BY423" s="8">
        <f>IF((0=1),((BY73/10000)*'Assumptions (edit)'!B7),"")</f>
      </c>
      <c r="BZ423" s="8">
        <f>IF((0=1),((BZ73/10000)*'Assumptions (edit)'!B7),"")</f>
      </c>
      <c r="CA423" s="8">
        <f>IF((0=1),((CA73/10000)*'Assumptions (edit)'!B7),"")</f>
      </c>
      <c r="CB423" s="8">
        <f>IF((0=1),((CB73/10000)*'Assumptions (edit)'!B7),"")</f>
      </c>
      <c r="CC423" s="8">
        <f>IF((0=1),((CC73/10000)*'Assumptions (edit)'!B7),"")</f>
      </c>
      <c r="CD423" s="8">
        <f>IF((0=1),((CD73/10000)*'Assumptions (edit)'!B7),"")</f>
      </c>
      <c r="CE423" s="8">
        <f>IF((0=1),((CE73/10000)*'Assumptions (edit)'!B7),"")</f>
      </c>
      <c r="CF423" s="8">
        <f>IF((0=1),((CF73/10000)*'Assumptions (edit)'!B7),"")</f>
      </c>
      <c r="CG423" s="8">
        <f>IF((0=1),((CG73/10000)*'Assumptions (edit)'!B7),"")</f>
      </c>
      <c r="CH423" s="8">
        <f>IF((0=1),((CH73/10000)*'Assumptions (edit)'!B7),"")</f>
      </c>
      <c r="CI423" s="8">
        <f>IF((0=1),((CI73/10000)*'Assumptions (edit)'!B7),"")</f>
      </c>
      <c r="CJ423" s="8">
        <f>IF((0=1),((CJ73/10000)*'Assumptions (edit)'!B7),"")</f>
      </c>
      <c r="CK423" s="8">
        <f>IF((0=1),((CK73/10000)*'Assumptions (edit)'!B7),"")</f>
      </c>
      <c r="CL423" s="8">
        <f>IF((0=1),((CL73/10000)*'Assumptions (edit)'!B7),"")</f>
      </c>
      <c r="CM423" s="8">
        <f>IF((0=1),((CM73/10000)*'Assumptions (edit)'!B7),"")</f>
      </c>
      <c r="CN423" s="8">
        <f>IF((0=1),((CN73/10000)*'Assumptions (edit)'!B7),"")</f>
      </c>
      <c r="CO423" s="8">
        <f>IF((0=1),((CO73/10000)*'Assumptions (edit)'!B7),"")</f>
      </c>
      <c r="CP423" s="8">
        <f>IF((0=1),((CP73/10000)*'Assumptions (edit)'!B7),"")</f>
      </c>
      <c r="CQ423" s="8">
        <f>IF((0=1),((CQ73/10000)*'Assumptions (edit)'!B7),"")</f>
      </c>
      <c r="CR423" s="8">
        <f>IF((0=1),((CR73/10000)*'Assumptions (edit)'!B7),"")</f>
      </c>
      <c r="CS423" s="8">
        <f>IF((0=1),((CS73/10000)*'Assumptions (edit)'!B7),"")</f>
      </c>
      <c r="CT423" s="8">
        <f>IF((0=1),((CT73/10000)*'Assumptions (edit)'!B7),"")</f>
      </c>
      <c r="CU423" s="8">
        <f>IF((0=1),((CU73/10000)*'Assumptions (edit)'!B7),"")</f>
      </c>
      <c r="CV423" s="8">
        <f>IF((0=1),((CV73/10000)*'Assumptions (edit)'!B7),"")</f>
      </c>
      <c r="CW423" s="8">
        <f>IF((0=1),((CW73/10000)*'Assumptions (edit)'!B7),"")</f>
      </c>
      <c r="CX423" s="8">
        <f>IF((0=1),((CX73/10000)*'Assumptions (edit)'!B7),"")</f>
      </c>
    </row>
    <row r="424">
      <c r="A424" s="0" t="inlineStr">
        <is>
          <t xml:space="preserve">Net P&amp;L on notional, $</t>
        </is>
      </c>
      <c r="B424" s="0" t="inlineStr">
        <is>
          <t xml:space="preserve">largest 100 by market cap</t>
        </is>
      </c>
      <c r="C424" s="8">
        <f>IF((1=1),((C74/10000)*'Assumptions (edit)'!B7),"")</f>
        <v>49.64</v>
      </c>
      <c r="D424" s="8">
        <f>IF((0=1),((D74/10000)*'Assumptions (edit)'!B7),"")</f>
      </c>
      <c r="E424" s="8">
        <f>IF((0=1),((E74/10000)*'Assumptions (edit)'!B7),"")</f>
      </c>
      <c r="F424" s="8">
        <f>IF((0=1),((F74/10000)*'Assumptions (edit)'!B7),"")</f>
      </c>
      <c r="G424" s="8">
        <f>IF((0=1),((G74/10000)*'Assumptions (edit)'!B7),"")</f>
      </c>
      <c r="H424" s="8">
        <f>IF((0=1),((H74/10000)*'Assumptions (edit)'!B7),"")</f>
      </c>
      <c r="I424" s="8">
        <f>IF((0=1),((I74/10000)*'Assumptions (edit)'!B7),"")</f>
      </c>
      <c r="J424" s="8">
        <f>IF((0=1),((J74/10000)*'Assumptions (edit)'!B7),"")</f>
      </c>
      <c r="K424" s="8">
        <f>IF((0=1),((K74/10000)*'Assumptions (edit)'!B7),"")</f>
      </c>
      <c r="L424" s="8">
        <f>IF((0=1),((L74/10000)*'Assumptions (edit)'!B7),"")</f>
      </c>
      <c r="M424" s="8">
        <f>IF((0=1),((M74/10000)*'Assumptions (edit)'!B7),"")</f>
      </c>
      <c r="N424" s="8">
        <f>IF((0=1),((N74/10000)*'Assumptions (edit)'!B7),"")</f>
      </c>
      <c r="O424" s="8">
        <f>IF((0=1),((O74/10000)*'Assumptions (edit)'!B7),"")</f>
      </c>
      <c r="P424" s="8">
        <f>IF((0=1),((P74/10000)*'Assumptions (edit)'!B7),"")</f>
      </c>
      <c r="Q424" s="8">
        <f>IF((0=1),((Q74/10000)*'Assumptions (edit)'!B7),"")</f>
      </c>
      <c r="R424" s="8">
        <f>IF((0=1),((R74/10000)*'Assumptions (edit)'!B7),"")</f>
      </c>
      <c r="S424" s="8">
        <f>IF((0=1),((S74/10000)*'Assumptions (edit)'!B7),"")</f>
      </c>
      <c r="T424" s="8">
        <f>IF((0=1),((T74/10000)*'Assumptions (edit)'!B7),"")</f>
      </c>
      <c r="U424" s="8">
        <f>IF((0=1),((U74/10000)*'Assumptions (edit)'!B7),"")</f>
      </c>
      <c r="V424" s="8">
        <f>IF((0=1),((V74/10000)*'Assumptions (edit)'!B7),"")</f>
      </c>
      <c r="W424" s="8">
        <f>IF((0=1),((W74/10000)*'Assumptions (edit)'!B7),"")</f>
      </c>
      <c r="X424" s="8">
        <f>IF((0=1),((X74/10000)*'Assumptions (edit)'!B7),"")</f>
      </c>
      <c r="Y424" s="8">
        <f>IF((0=1),((Y74/10000)*'Assumptions (edit)'!B7),"")</f>
      </c>
      <c r="Z424" s="8">
        <f>IF((0=1),((Z74/10000)*'Assumptions (edit)'!B7),"")</f>
      </c>
      <c r="AA424" s="8">
        <f>IF((0=1),((AA74/10000)*'Assumptions (edit)'!B7),"")</f>
      </c>
      <c r="AB424" s="8">
        <f>IF((0=1),((AB74/10000)*'Assumptions (edit)'!B7),"")</f>
      </c>
      <c r="AC424" s="8">
        <f>IF((0=1),((AC74/10000)*'Assumptions (edit)'!B7),"")</f>
      </c>
      <c r="AD424" s="8">
        <f>IF((0=1),((AD74/10000)*'Assumptions (edit)'!B7),"")</f>
      </c>
      <c r="AE424" s="8">
        <f>IF((0=1),((AE74/10000)*'Assumptions (edit)'!B7),"")</f>
      </c>
      <c r="AF424" s="8">
        <f>IF((0=1),((AF74/10000)*'Assumptions (edit)'!B7),"")</f>
      </c>
      <c r="AG424" s="8">
        <f>IF((0=1),((AG74/10000)*'Assumptions (edit)'!B7),"")</f>
      </c>
      <c r="AH424" s="8">
        <f>IF((0=1),((AH74/10000)*'Assumptions (edit)'!B7),"")</f>
      </c>
      <c r="AI424" s="8">
        <f>IF((0=1),((AI74/10000)*'Assumptions (edit)'!B7),"")</f>
      </c>
      <c r="AJ424" s="8">
        <f>IF((0=1),((AJ74/10000)*'Assumptions (edit)'!B7),"")</f>
      </c>
      <c r="AK424" s="8">
        <f>IF((0=1),((AK74/10000)*'Assumptions (edit)'!B7),"")</f>
      </c>
      <c r="AL424" s="8">
        <f>IF((0=1),((AL74/10000)*'Assumptions (edit)'!B7),"")</f>
      </c>
      <c r="AM424" s="8">
        <f>IF((0=1),((AM74/10000)*'Assumptions (edit)'!B7),"")</f>
      </c>
      <c r="AN424" s="8">
        <f>IF((0=1),((AN74/10000)*'Assumptions (edit)'!B7),"")</f>
      </c>
      <c r="AO424" s="8">
        <f>IF((0=1),((AO74/10000)*'Assumptions (edit)'!B7),"")</f>
      </c>
      <c r="AP424" s="8">
        <f>IF((0=1),((AP74/10000)*'Assumptions (edit)'!B7),"")</f>
      </c>
      <c r="AQ424" s="8">
        <f>IF((0=1),((AQ74/10000)*'Assumptions (edit)'!B7),"")</f>
      </c>
      <c r="AR424" s="8">
        <f>IF((0=1),((AR74/10000)*'Assumptions (edit)'!B7),"")</f>
      </c>
      <c r="AS424" s="8">
        <f>IF((0=1),((AS74/10000)*'Assumptions (edit)'!B7),"")</f>
      </c>
      <c r="AT424" s="8">
        <f>IF((0=1),((AT74/10000)*'Assumptions (edit)'!B7),"")</f>
      </c>
      <c r="AU424" s="8">
        <f>IF((0=1),((AU74/10000)*'Assumptions (edit)'!B7),"")</f>
      </c>
      <c r="AV424" s="8">
        <f>IF((0=1),((AV74/10000)*'Assumptions (edit)'!B7),"")</f>
      </c>
      <c r="AW424" s="8">
        <f>IF((0=1),((AW74/10000)*'Assumptions (edit)'!B7),"")</f>
      </c>
      <c r="AX424" s="8">
        <f>IF((0=1),((AX74/10000)*'Assumptions (edit)'!B7),"")</f>
      </c>
      <c r="AY424" s="8">
        <f>IF((0=1),((AY74/10000)*'Assumptions (edit)'!B7),"")</f>
      </c>
      <c r="AZ424" s="8">
        <f>IF((0=1),((AZ74/10000)*'Assumptions (edit)'!B7),"")</f>
      </c>
      <c r="BA424" s="8">
        <f>IF((0=1),((BA74/10000)*'Assumptions (edit)'!B7),"")</f>
      </c>
      <c r="BB424" s="8">
        <f>IF((0=1),((BB74/10000)*'Assumptions (edit)'!B7),"")</f>
      </c>
      <c r="BC424" s="8">
        <f>IF((0=1),((BC74/10000)*'Assumptions (edit)'!B7),"")</f>
      </c>
      <c r="BD424" s="8">
        <f>IF((0=1),((BD74/10000)*'Assumptions (edit)'!B7),"")</f>
      </c>
      <c r="BE424" s="8">
        <f>IF((0=1),((BE74/10000)*'Assumptions (edit)'!B7),"")</f>
      </c>
      <c r="BF424" s="8">
        <f>IF((0=1),((BF74/10000)*'Assumptions (edit)'!B7),"")</f>
      </c>
      <c r="BG424" s="8">
        <f>IF((0=1),((BG74/10000)*'Assumptions (edit)'!B7),"")</f>
      </c>
      <c r="BH424" s="8">
        <f>IF((0=1),((BH74/10000)*'Assumptions (edit)'!B7),"")</f>
      </c>
      <c r="BI424" s="8">
        <f>IF((0=1),((BI74/10000)*'Assumptions (edit)'!B7),"")</f>
      </c>
      <c r="BJ424" s="8">
        <f>IF((0=1),((BJ74/10000)*'Assumptions (edit)'!B7),"")</f>
      </c>
      <c r="BK424" s="8">
        <f>IF((0=1),((BK74/10000)*'Assumptions (edit)'!B7),"")</f>
      </c>
      <c r="BL424" s="8">
        <f>IF((0=1),((BL74/10000)*'Assumptions (edit)'!B7),"")</f>
      </c>
      <c r="BM424" s="8">
        <f>IF((0=1),((BM74/10000)*'Assumptions (edit)'!B7),"")</f>
      </c>
      <c r="BN424" s="8">
        <f>IF((0=1),((BN74/10000)*'Assumptions (edit)'!B7),"")</f>
      </c>
      <c r="BO424" s="8">
        <f>IF((0=1),((BO74/10000)*'Assumptions (edit)'!B7),"")</f>
      </c>
      <c r="BP424" s="8">
        <f>IF((0=1),((BP74/10000)*'Assumptions (edit)'!B7),"")</f>
      </c>
      <c r="BQ424" s="8">
        <f>IF((0=1),((BQ74/10000)*'Assumptions (edit)'!B7),"")</f>
      </c>
      <c r="BR424" s="8">
        <f>IF((0=1),((BR74/10000)*'Assumptions (edit)'!B7),"")</f>
      </c>
      <c r="BS424" s="8">
        <f>IF((0=1),((BS74/10000)*'Assumptions (edit)'!B7),"")</f>
      </c>
      <c r="BT424" s="8">
        <f>IF((0=1),((BT74/10000)*'Assumptions (edit)'!B7),"")</f>
      </c>
      <c r="BU424" s="8">
        <f>IF((0=1),((BU74/10000)*'Assumptions (edit)'!B7),"")</f>
      </c>
      <c r="BV424" s="8">
        <f>IF((0=1),((BV74/10000)*'Assumptions (edit)'!B7),"")</f>
      </c>
      <c r="BW424" s="8">
        <f>IF((0=1),((BW74/10000)*'Assumptions (edit)'!B7),"")</f>
      </c>
      <c r="BX424" s="8">
        <f>IF((0=1),((BX74/10000)*'Assumptions (edit)'!B7),"")</f>
      </c>
      <c r="BY424" s="8">
        <f>IF((0=1),((BY74/10000)*'Assumptions (edit)'!B7),"")</f>
      </c>
      <c r="BZ424" s="8">
        <f>IF((0=1),((BZ74/10000)*'Assumptions (edit)'!B7),"")</f>
      </c>
      <c r="CA424" s="8">
        <f>IF((0=1),((CA74/10000)*'Assumptions (edit)'!B7),"")</f>
      </c>
      <c r="CB424" s="8">
        <f>IF((0=1),((CB74/10000)*'Assumptions (edit)'!B7),"")</f>
      </c>
      <c r="CC424" s="8">
        <f>IF((0=1),((CC74/10000)*'Assumptions (edit)'!B7),"")</f>
      </c>
      <c r="CD424" s="8">
        <f>IF((0=1),((CD74/10000)*'Assumptions (edit)'!B7),"")</f>
      </c>
      <c r="CE424" s="8">
        <f>IF((0=1),((CE74/10000)*'Assumptions (edit)'!B7),"")</f>
      </c>
      <c r="CF424" s="8">
        <f>IF((0=1),((CF74/10000)*'Assumptions (edit)'!B7),"")</f>
      </c>
      <c r="CG424" s="8">
        <f>IF((0=1),((CG74/10000)*'Assumptions (edit)'!B7),"")</f>
      </c>
      <c r="CH424" s="8">
        <f>IF((0=1),((CH74/10000)*'Assumptions (edit)'!B7),"")</f>
      </c>
      <c r="CI424" s="8">
        <f>IF((0=1),((CI74/10000)*'Assumptions (edit)'!B7),"")</f>
      </c>
      <c r="CJ424" s="8">
        <f>IF((0=1),((CJ74/10000)*'Assumptions (edit)'!B7),"")</f>
      </c>
      <c r="CK424" s="8">
        <f>IF((0=1),((CK74/10000)*'Assumptions (edit)'!B7),"")</f>
      </c>
      <c r="CL424" s="8">
        <f>IF((0=1),((CL74/10000)*'Assumptions (edit)'!B7),"")</f>
      </c>
      <c r="CM424" s="8">
        <f>IF((0=1),((CM74/10000)*'Assumptions (edit)'!B7),"")</f>
      </c>
      <c r="CN424" s="8">
        <f>IF((0=1),((CN74/10000)*'Assumptions (edit)'!B7),"")</f>
      </c>
      <c r="CO424" s="8">
        <f>IF((0=1),((CO74/10000)*'Assumptions (edit)'!B7),"")</f>
      </c>
      <c r="CP424" s="8">
        <f>IF((0=1),((CP74/10000)*'Assumptions (edit)'!B7),"")</f>
      </c>
      <c r="CQ424" s="8">
        <f>IF((0=1),((CQ74/10000)*'Assumptions (edit)'!B7),"")</f>
      </c>
      <c r="CR424" s="8">
        <f>IF((0=1),((CR74/10000)*'Assumptions (edit)'!B7),"")</f>
      </c>
      <c r="CS424" s="8">
        <f>IF((0=1),((CS74/10000)*'Assumptions (edit)'!B7),"")</f>
      </c>
      <c r="CT424" s="8">
        <f>IF((0=1),((CT74/10000)*'Assumptions (edit)'!B7),"")</f>
      </c>
      <c r="CU424" s="8">
        <f>IF((0=1),((CU74/10000)*'Assumptions (edit)'!B7),"")</f>
      </c>
      <c r="CV424" s="8">
        <f>IF((0=1),((CV74/10000)*'Assumptions (edit)'!B7),"")</f>
      </c>
      <c r="CW424" s="8">
        <f>IF((0=1),((CW74/10000)*'Assumptions (edit)'!B7),"")</f>
      </c>
      <c r="CX424" s="8">
        <f>IF((0=1),((CX74/10000)*'Assumptions (edit)'!B7),"")</f>
      </c>
    </row>
    <row r="425">
      <c r="A425" s="0" t="inlineStr">
        <is>
          <t xml:space="preserve">Net P&amp;L on notional, $</t>
        </is>
      </c>
      <c r="B425" s="0" t="inlineStr">
        <is>
          <t xml:space="preserve">top 100 by 12-1 month return</t>
        </is>
      </c>
      <c r="C425" s="8">
        <f>IF((1=1),((C75/10000)*'Assumptions (edit)'!B7),"")</f>
        <v>-126.03</v>
      </c>
      <c r="D425" s="8">
        <f>IF((0=1),((D75/10000)*'Assumptions (edit)'!B7),"")</f>
      </c>
      <c r="E425" s="8">
        <f>IF((0=1),((E75/10000)*'Assumptions (edit)'!B7),"")</f>
      </c>
      <c r="F425" s="8">
        <f>IF((0=1),((F75/10000)*'Assumptions (edit)'!B7),"")</f>
      </c>
      <c r="G425" s="8">
        <f>IF((0=1),((G75/10000)*'Assumptions (edit)'!B7),"")</f>
      </c>
      <c r="H425" s="8">
        <f>IF((0=1),((H75/10000)*'Assumptions (edit)'!B7),"")</f>
      </c>
      <c r="I425" s="8">
        <f>IF((0=1),((I75/10000)*'Assumptions (edit)'!B7),"")</f>
      </c>
      <c r="J425" s="8">
        <f>IF((0=1),((J75/10000)*'Assumptions (edit)'!B7),"")</f>
      </c>
      <c r="K425" s="8">
        <f>IF((0=1),((K75/10000)*'Assumptions (edit)'!B7),"")</f>
      </c>
      <c r="L425" s="8">
        <f>IF((0=1),((L75/10000)*'Assumptions (edit)'!B7),"")</f>
      </c>
      <c r="M425" s="8">
        <f>IF((0=1),((M75/10000)*'Assumptions (edit)'!B7),"")</f>
      </c>
      <c r="N425" s="8">
        <f>IF((0=1),((N75/10000)*'Assumptions (edit)'!B7),"")</f>
      </c>
      <c r="O425" s="8">
        <f>IF((0=1),((O75/10000)*'Assumptions (edit)'!B7),"")</f>
      </c>
      <c r="P425" s="8">
        <f>IF((0=1),((P75/10000)*'Assumptions (edit)'!B7),"")</f>
      </c>
      <c r="Q425" s="8">
        <f>IF((0=1),((Q75/10000)*'Assumptions (edit)'!B7),"")</f>
      </c>
      <c r="R425" s="8">
        <f>IF((0=1),((R75/10000)*'Assumptions (edit)'!B7),"")</f>
      </c>
      <c r="S425" s="8">
        <f>IF((0=1),((S75/10000)*'Assumptions (edit)'!B7),"")</f>
      </c>
      <c r="T425" s="8">
        <f>IF((0=1),((T75/10000)*'Assumptions (edit)'!B7),"")</f>
      </c>
      <c r="U425" s="8">
        <f>IF((0=1),((U75/10000)*'Assumptions (edit)'!B7),"")</f>
      </c>
      <c r="V425" s="8">
        <f>IF((0=1),((V75/10000)*'Assumptions (edit)'!B7),"")</f>
      </c>
      <c r="W425" s="8">
        <f>IF((0=1),((W75/10000)*'Assumptions (edit)'!B7),"")</f>
      </c>
      <c r="X425" s="8">
        <f>IF((0=1),((X75/10000)*'Assumptions (edit)'!B7),"")</f>
      </c>
      <c r="Y425" s="8">
        <f>IF((0=1),((Y75/10000)*'Assumptions (edit)'!B7),"")</f>
      </c>
      <c r="Z425" s="8">
        <f>IF((0=1),((Z75/10000)*'Assumptions (edit)'!B7),"")</f>
      </c>
      <c r="AA425" s="8">
        <f>IF((0=1),((AA75/10000)*'Assumptions (edit)'!B7),"")</f>
      </c>
      <c r="AB425" s="8">
        <f>IF((0=1),((AB75/10000)*'Assumptions (edit)'!B7),"")</f>
      </c>
      <c r="AC425" s="8">
        <f>IF((0=1),((AC75/10000)*'Assumptions (edit)'!B7),"")</f>
      </c>
      <c r="AD425" s="8">
        <f>IF((0=1),((AD75/10000)*'Assumptions (edit)'!B7),"")</f>
      </c>
      <c r="AE425" s="8">
        <f>IF((0=1),((AE75/10000)*'Assumptions (edit)'!B7),"")</f>
      </c>
      <c r="AF425" s="8">
        <f>IF((0=1),((AF75/10000)*'Assumptions (edit)'!B7),"")</f>
      </c>
      <c r="AG425" s="8">
        <f>IF((0=1),((AG75/10000)*'Assumptions (edit)'!B7),"")</f>
      </c>
      <c r="AH425" s="8">
        <f>IF((0=1),((AH75/10000)*'Assumptions (edit)'!B7),"")</f>
      </c>
      <c r="AI425" s="8">
        <f>IF((0=1),((AI75/10000)*'Assumptions (edit)'!B7),"")</f>
      </c>
      <c r="AJ425" s="8">
        <f>IF((0=1),((AJ75/10000)*'Assumptions (edit)'!B7),"")</f>
      </c>
      <c r="AK425" s="8">
        <f>IF((0=1),((AK75/10000)*'Assumptions (edit)'!B7),"")</f>
      </c>
      <c r="AL425" s="8">
        <f>IF((0=1),((AL75/10000)*'Assumptions (edit)'!B7),"")</f>
      </c>
      <c r="AM425" s="8">
        <f>IF((0=1),((AM75/10000)*'Assumptions (edit)'!B7),"")</f>
      </c>
      <c r="AN425" s="8">
        <f>IF((0=1),((AN75/10000)*'Assumptions (edit)'!B7),"")</f>
      </c>
      <c r="AO425" s="8">
        <f>IF((0=1),((AO75/10000)*'Assumptions (edit)'!B7),"")</f>
      </c>
      <c r="AP425" s="8">
        <f>IF((0=1),((AP75/10000)*'Assumptions (edit)'!B7),"")</f>
      </c>
      <c r="AQ425" s="8">
        <f>IF((0=1),((AQ75/10000)*'Assumptions (edit)'!B7),"")</f>
      </c>
      <c r="AR425" s="8">
        <f>IF((0=1),((AR75/10000)*'Assumptions (edit)'!B7),"")</f>
      </c>
      <c r="AS425" s="8">
        <f>IF((0=1),((AS75/10000)*'Assumptions (edit)'!B7),"")</f>
      </c>
      <c r="AT425" s="8">
        <f>IF((0=1),((AT75/10000)*'Assumptions (edit)'!B7),"")</f>
      </c>
      <c r="AU425" s="8">
        <f>IF((0=1),((AU75/10000)*'Assumptions (edit)'!B7),"")</f>
      </c>
      <c r="AV425" s="8">
        <f>IF((0=1),((AV75/10000)*'Assumptions (edit)'!B7),"")</f>
      </c>
      <c r="AW425" s="8">
        <f>IF((0=1),((AW75/10000)*'Assumptions (edit)'!B7),"")</f>
      </c>
      <c r="AX425" s="8">
        <f>IF((0=1),((AX75/10000)*'Assumptions (edit)'!B7),"")</f>
      </c>
      <c r="AY425" s="8">
        <f>IF((0=1),((AY75/10000)*'Assumptions (edit)'!B7),"")</f>
      </c>
      <c r="AZ425" s="8">
        <f>IF((0=1),((AZ75/10000)*'Assumptions (edit)'!B7),"")</f>
      </c>
      <c r="BA425" s="8">
        <f>IF((0=1),((BA75/10000)*'Assumptions (edit)'!B7),"")</f>
      </c>
      <c r="BB425" s="8">
        <f>IF((0=1),((BB75/10000)*'Assumptions (edit)'!B7),"")</f>
      </c>
      <c r="BC425" s="8">
        <f>IF((0=1),((BC75/10000)*'Assumptions (edit)'!B7),"")</f>
      </c>
      <c r="BD425" s="8">
        <f>IF((0=1),((BD75/10000)*'Assumptions (edit)'!B7),"")</f>
      </c>
      <c r="BE425" s="8">
        <f>IF((0=1),((BE75/10000)*'Assumptions (edit)'!B7),"")</f>
      </c>
      <c r="BF425" s="8">
        <f>IF((0=1),((BF75/10000)*'Assumptions (edit)'!B7),"")</f>
      </c>
      <c r="BG425" s="8">
        <f>IF((0=1),((BG75/10000)*'Assumptions (edit)'!B7),"")</f>
      </c>
      <c r="BH425" s="8">
        <f>IF((0=1),((BH75/10000)*'Assumptions (edit)'!B7),"")</f>
      </c>
      <c r="BI425" s="8">
        <f>IF((0=1),((BI75/10000)*'Assumptions (edit)'!B7),"")</f>
      </c>
      <c r="BJ425" s="8">
        <f>IF((0=1),((BJ75/10000)*'Assumptions (edit)'!B7),"")</f>
      </c>
      <c r="BK425" s="8">
        <f>IF((0=1),((BK75/10000)*'Assumptions (edit)'!B7),"")</f>
      </c>
      <c r="BL425" s="8">
        <f>IF((0=1),((BL75/10000)*'Assumptions (edit)'!B7),"")</f>
      </c>
      <c r="BM425" s="8">
        <f>IF((0=1),((BM75/10000)*'Assumptions (edit)'!B7),"")</f>
      </c>
      <c r="BN425" s="8">
        <f>IF((0=1),((BN75/10000)*'Assumptions (edit)'!B7),"")</f>
      </c>
      <c r="BO425" s="8">
        <f>IF((0=1),((BO75/10000)*'Assumptions (edit)'!B7),"")</f>
      </c>
      <c r="BP425" s="8">
        <f>IF((0=1),((BP75/10000)*'Assumptions (edit)'!B7),"")</f>
      </c>
      <c r="BQ425" s="8">
        <f>IF((0=1),((BQ75/10000)*'Assumptions (edit)'!B7),"")</f>
      </c>
      <c r="BR425" s="8">
        <f>IF((0=1),((BR75/10000)*'Assumptions (edit)'!B7),"")</f>
      </c>
      <c r="BS425" s="8">
        <f>IF((0=1),((BS75/10000)*'Assumptions (edit)'!B7),"")</f>
      </c>
      <c r="BT425" s="8">
        <f>IF((0=1),((BT75/10000)*'Assumptions (edit)'!B7),"")</f>
      </c>
      <c r="BU425" s="8">
        <f>IF((0=1),((BU75/10000)*'Assumptions (edit)'!B7),"")</f>
      </c>
      <c r="BV425" s="8">
        <f>IF((0=1),((BV75/10000)*'Assumptions (edit)'!B7),"")</f>
      </c>
      <c r="BW425" s="8">
        <f>IF((0=1),((BW75/10000)*'Assumptions (edit)'!B7),"")</f>
      </c>
      <c r="BX425" s="8">
        <f>IF((0=1),((BX75/10000)*'Assumptions (edit)'!B7),"")</f>
      </c>
      <c r="BY425" s="8">
        <f>IF((0=1),((BY75/10000)*'Assumptions (edit)'!B7),"")</f>
      </c>
      <c r="BZ425" s="8">
        <f>IF((0=1),((BZ75/10000)*'Assumptions (edit)'!B7),"")</f>
      </c>
      <c r="CA425" s="8">
        <f>IF((0=1),((CA75/10000)*'Assumptions (edit)'!B7),"")</f>
      </c>
      <c r="CB425" s="8">
        <f>IF((0=1),((CB75/10000)*'Assumptions (edit)'!B7),"")</f>
      </c>
      <c r="CC425" s="8">
        <f>IF((0=1),((CC75/10000)*'Assumptions (edit)'!B7),"")</f>
      </c>
      <c r="CD425" s="8">
        <f>IF((0=1),((CD75/10000)*'Assumptions (edit)'!B7),"")</f>
      </c>
      <c r="CE425" s="8">
        <f>IF((0=1),((CE75/10000)*'Assumptions (edit)'!B7),"")</f>
      </c>
      <c r="CF425" s="8">
        <f>IF((0=1),((CF75/10000)*'Assumptions (edit)'!B7),"")</f>
      </c>
      <c r="CG425" s="8">
        <f>IF((0=1),((CG75/10000)*'Assumptions (edit)'!B7),"")</f>
      </c>
      <c r="CH425" s="8">
        <f>IF((0=1),((CH75/10000)*'Assumptions (edit)'!B7),"")</f>
      </c>
      <c r="CI425" s="8">
        <f>IF((0=1),((CI75/10000)*'Assumptions (edit)'!B7),"")</f>
      </c>
      <c r="CJ425" s="8">
        <f>IF((0=1),((CJ75/10000)*'Assumptions (edit)'!B7),"")</f>
      </c>
      <c r="CK425" s="8">
        <f>IF((0=1),((CK75/10000)*'Assumptions (edit)'!B7),"")</f>
      </c>
      <c r="CL425" s="8">
        <f>IF((0=1),((CL75/10000)*'Assumptions (edit)'!B7),"")</f>
      </c>
      <c r="CM425" s="8">
        <f>IF((0=1),((CM75/10000)*'Assumptions (edit)'!B7),"")</f>
      </c>
      <c r="CN425" s="8">
        <f>IF((0=1),((CN75/10000)*'Assumptions (edit)'!B7),"")</f>
      </c>
      <c r="CO425" s="8">
        <f>IF((0=1),((CO75/10000)*'Assumptions (edit)'!B7),"")</f>
      </c>
      <c r="CP425" s="8">
        <f>IF((0=1),((CP75/10000)*'Assumptions (edit)'!B7),"")</f>
      </c>
      <c r="CQ425" s="8">
        <f>IF((0=1),((CQ75/10000)*'Assumptions (edit)'!B7),"")</f>
      </c>
      <c r="CR425" s="8">
        <f>IF((0=1),((CR75/10000)*'Assumptions (edit)'!B7),"")</f>
      </c>
      <c r="CS425" s="8">
        <f>IF((0=1),((CS75/10000)*'Assumptions (edit)'!B7),"")</f>
      </c>
      <c r="CT425" s="8">
        <f>IF((0=1),((CT75/10000)*'Assumptions (edit)'!B7),"")</f>
      </c>
      <c r="CU425" s="8">
        <f>IF((0=1),((CU75/10000)*'Assumptions (edit)'!B7),"")</f>
      </c>
      <c r="CV425" s="8">
        <f>IF((0=1),((CV75/10000)*'Assumptions (edit)'!B7),"")</f>
      </c>
      <c r="CW425" s="8">
        <f>IF((0=1),((CW75/10000)*'Assumptions (edit)'!B7),"")</f>
      </c>
      <c r="CX425" s="8">
        <f>IF((0=1),((CX75/10000)*'Assumptions (edit)'!B7),"")</f>
      </c>
    </row>
    <row r="426">
      <c r="A426" s="0" t="inlineStr">
        <is>
          <t xml:space="preserve">Net P&amp;L on notional, $</t>
        </is>
      </c>
      <c r="B426" s="0" t="inlineStr">
        <is>
          <t xml:space="preserve">best 100 by yesterday's close-to-close return</t>
        </is>
      </c>
      <c r="C426" s="8">
        <f>IF((1=1),((C76/10000)*'Assumptions (edit)'!B7),"")</f>
        <v>-56.7</v>
      </c>
      <c r="D426" s="8">
        <f>IF((0=1),((D76/10000)*'Assumptions (edit)'!B7),"")</f>
      </c>
      <c r="E426" s="8">
        <f>IF((0=1),((E76/10000)*'Assumptions (edit)'!B7),"")</f>
      </c>
      <c r="F426" s="8">
        <f>IF((0=1),((F76/10000)*'Assumptions (edit)'!B7),"")</f>
      </c>
      <c r="G426" s="8">
        <f>IF((0=1),((G76/10000)*'Assumptions (edit)'!B7),"")</f>
      </c>
      <c r="H426" s="8">
        <f>IF((0=1),((H76/10000)*'Assumptions (edit)'!B7),"")</f>
      </c>
      <c r="I426" s="8">
        <f>IF((0=1),((I76/10000)*'Assumptions (edit)'!B7),"")</f>
      </c>
      <c r="J426" s="8">
        <f>IF((0=1),((J76/10000)*'Assumptions (edit)'!B7),"")</f>
      </c>
      <c r="K426" s="8">
        <f>IF((0=1),((K76/10000)*'Assumptions (edit)'!B7),"")</f>
      </c>
      <c r="L426" s="8">
        <f>IF((0=1),((L76/10000)*'Assumptions (edit)'!B7),"")</f>
      </c>
      <c r="M426" s="8">
        <f>IF((0=1),((M76/10000)*'Assumptions (edit)'!B7),"")</f>
      </c>
      <c r="N426" s="8">
        <f>IF((0=1),((N76/10000)*'Assumptions (edit)'!B7),"")</f>
      </c>
      <c r="O426" s="8">
        <f>IF((0=1),((O76/10000)*'Assumptions (edit)'!B7),"")</f>
      </c>
      <c r="P426" s="8">
        <f>IF((0=1),((P76/10000)*'Assumptions (edit)'!B7),"")</f>
      </c>
      <c r="Q426" s="8">
        <f>IF((0=1),((Q76/10000)*'Assumptions (edit)'!B7),"")</f>
      </c>
      <c r="R426" s="8">
        <f>IF((0=1),((R76/10000)*'Assumptions (edit)'!B7),"")</f>
      </c>
      <c r="S426" s="8">
        <f>IF((0=1),((S76/10000)*'Assumptions (edit)'!B7),"")</f>
      </c>
      <c r="T426" s="8">
        <f>IF((0=1),((T76/10000)*'Assumptions (edit)'!B7),"")</f>
      </c>
      <c r="U426" s="8">
        <f>IF((0=1),((U76/10000)*'Assumptions (edit)'!B7),"")</f>
      </c>
      <c r="V426" s="8">
        <f>IF((0=1),((V76/10000)*'Assumptions (edit)'!B7),"")</f>
      </c>
      <c r="W426" s="8">
        <f>IF((0=1),((W76/10000)*'Assumptions (edit)'!B7),"")</f>
      </c>
      <c r="X426" s="8">
        <f>IF((0=1),((X76/10000)*'Assumptions (edit)'!B7),"")</f>
      </c>
      <c r="Y426" s="8">
        <f>IF((0=1),((Y76/10000)*'Assumptions (edit)'!B7),"")</f>
      </c>
      <c r="Z426" s="8">
        <f>IF((0=1),((Z76/10000)*'Assumptions (edit)'!B7),"")</f>
      </c>
      <c r="AA426" s="8">
        <f>IF((0=1),((AA76/10000)*'Assumptions (edit)'!B7),"")</f>
      </c>
      <c r="AB426" s="8">
        <f>IF((0=1),((AB76/10000)*'Assumptions (edit)'!B7),"")</f>
      </c>
      <c r="AC426" s="8">
        <f>IF((0=1),((AC76/10000)*'Assumptions (edit)'!B7),"")</f>
      </c>
      <c r="AD426" s="8">
        <f>IF((0=1),((AD76/10000)*'Assumptions (edit)'!B7),"")</f>
      </c>
      <c r="AE426" s="8">
        <f>IF((0=1),((AE76/10000)*'Assumptions (edit)'!B7),"")</f>
      </c>
      <c r="AF426" s="8">
        <f>IF((0=1),((AF76/10000)*'Assumptions (edit)'!B7),"")</f>
      </c>
      <c r="AG426" s="8">
        <f>IF((0=1),((AG76/10000)*'Assumptions (edit)'!B7),"")</f>
      </c>
      <c r="AH426" s="8">
        <f>IF((0=1),((AH76/10000)*'Assumptions (edit)'!B7),"")</f>
      </c>
      <c r="AI426" s="8">
        <f>IF((0=1),((AI76/10000)*'Assumptions (edit)'!B7),"")</f>
      </c>
      <c r="AJ426" s="8">
        <f>IF((0=1),((AJ76/10000)*'Assumptions (edit)'!B7),"")</f>
      </c>
      <c r="AK426" s="8">
        <f>IF((0=1),((AK76/10000)*'Assumptions (edit)'!B7),"")</f>
      </c>
      <c r="AL426" s="8">
        <f>IF((0=1),((AL76/10000)*'Assumptions (edit)'!B7),"")</f>
      </c>
      <c r="AM426" s="8">
        <f>IF((0=1),((AM76/10000)*'Assumptions (edit)'!B7),"")</f>
      </c>
      <c r="AN426" s="8">
        <f>IF((0=1),((AN76/10000)*'Assumptions (edit)'!B7),"")</f>
      </c>
      <c r="AO426" s="8">
        <f>IF((0=1),((AO76/10000)*'Assumptions (edit)'!B7),"")</f>
      </c>
      <c r="AP426" s="8">
        <f>IF((0=1),((AP76/10000)*'Assumptions (edit)'!B7),"")</f>
      </c>
      <c r="AQ426" s="8">
        <f>IF((0=1),((AQ76/10000)*'Assumptions (edit)'!B7),"")</f>
      </c>
      <c r="AR426" s="8">
        <f>IF((0=1),((AR76/10000)*'Assumptions (edit)'!B7),"")</f>
      </c>
      <c r="AS426" s="8">
        <f>IF((0=1),((AS76/10000)*'Assumptions (edit)'!B7),"")</f>
      </c>
      <c r="AT426" s="8">
        <f>IF((0=1),((AT76/10000)*'Assumptions (edit)'!B7),"")</f>
      </c>
      <c r="AU426" s="8">
        <f>IF((0=1),((AU76/10000)*'Assumptions (edit)'!B7),"")</f>
      </c>
      <c r="AV426" s="8">
        <f>IF((0=1),((AV76/10000)*'Assumptions (edit)'!B7),"")</f>
      </c>
      <c r="AW426" s="8">
        <f>IF((0=1),((AW76/10000)*'Assumptions (edit)'!B7),"")</f>
      </c>
      <c r="AX426" s="8">
        <f>IF((0=1),((AX76/10000)*'Assumptions (edit)'!B7),"")</f>
      </c>
      <c r="AY426" s="8">
        <f>IF((0=1),((AY76/10000)*'Assumptions (edit)'!B7),"")</f>
      </c>
      <c r="AZ426" s="8">
        <f>IF((0=1),((AZ76/10000)*'Assumptions (edit)'!B7),"")</f>
      </c>
      <c r="BA426" s="8">
        <f>IF((0=1),((BA76/10000)*'Assumptions (edit)'!B7),"")</f>
      </c>
      <c r="BB426" s="8">
        <f>IF((0=1),((BB76/10000)*'Assumptions (edit)'!B7),"")</f>
      </c>
      <c r="BC426" s="8">
        <f>IF((0=1),((BC76/10000)*'Assumptions (edit)'!B7),"")</f>
      </c>
      <c r="BD426" s="8">
        <f>IF((0=1),((BD76/10000)*'Assumptions (edit)'!B7),"")</f>
      </c>
      <c r="BE426" s="8">
        <f>IF((0=1),((BE76/10000)*'Assumptions (edit)'!B7),"")</f>
      </c>
      <c r="BF426" s="8">
        <f>IF((0=1),((BF76/10000)*'Assumptions (edit)'!B7),"")</f>
      </c>
      <c r="BG426" s="8">
        <f>IF((0=1),((BG76/10000)*'Assumptions (edit)'!B7),"")</f>
      </c>
      <c r="BH426" s="8">
        <f>IF((0=1),((BH76/10000)*'Assumptions (edit)'!B7),"")</f>
      </c>
      <c r="BI426" s="8">
        <f>IF((0=1),((BI76/10000)*'Assumptions (edit)'!B7),"")</f>
      </c>
      <c r="BJ426" s="8">
        <f>IF((0=1),((BJ76/10000)*'Assumptions (edit)'!B7),"")</f>
      </c>
      <c r="BK426" s="8">
        <f>IF((0=1),((BK76/10000)*'Assumptions (edit)'!B7),"")</f>
      </c>
      <c r="BL426" s="8">
        <f>IF((0=1),((BL76/10000)*'Assumptions (edit)'!B7),"")</f>
      </c>
      <c r="BM426" s="8">
        <f>IF((0=1),((BM76/10000)*'Assumptions (edit)'!B7),"")</f>
      </c>
      <c r="BN426" s="8">
        <f>IF((0=1),((BN76/10000)*'Assumptions (edit)'!B7),"")</f>
      </c>
      <c r="BO426" s="8">
        <f>IF((0=1),((BO76/10000)*'Assumptions (edit)'!B7),"")</f>
      </c>
      <c r="BP426" s="8">
        <f>IF((0=1),((BP76/10000)*'Assumptions (edit)'!B7),"")</f>
      </c>
      <c r="BQ426" s="8">
        <f>IF((0=1),((BQ76/10000)*'Assumptions (edit)'!B7),"")</f>
      </c>
      <c r="BR426" s="8">
        <f>IF((0=1),((BR76/10000)*'Assumptions (edit)'!B7),"")</f>
      </c>
      <c r="BS426" s="8">
        <f>IF((0=1),((BS76/10000)*'Assumptions (edit)'!B7),"")</f>
      </c>
      <c r="BT426" s="8">
        <f>IF((0=1),((BT76/10000)*'Assumptions (edit)'!B7),"")</f>
      </c>
      <c r="BU426" s="8">
        <f>IF((0=1),((BU76/10000)*'Assumptions (edit)'!B7),"")</f>
      </c>
      <c r="BV426" s="8">
        <f>IF((0=1),((BV76/10000)*'Assumptions (edit)'!B7),"")</f>
      </c>
      <c r="BW426" s="8">
        <f>IF((0=1),((BW76/10000)*'Assumptions (edit)'!B7),"")</f>
      </c>
      <c r="BX426" s="8">
        <f>IF((0=1),((BX76/10000)*'Assumptions (edit)'!B7),"")</f>
      </c>
      <c r="BY426" s="8">
        <f>IF((0=1),((BY76/10000)*'Assumptions (edit)'!B7),"")</f>
      </c>
      <c r="BZ426" s="8">
        <f>IF((0=1),((BZ76/10000)*'Assumptions (edit)'!B7),"")</f>
      </c>
      <c r="CA426" s="8">
        <f>IF((0=1),((CA76/10000)*'Assumptions (edit)'!B7),"")</f>
      </c>
      <c r="CB426" s="8">
        <f>IF((0=1),((CB76/10000)*'Assumptions (edit)'!B7),"")</f>
      </c>
      <c r="CC426" s="8">
        <f>IF((0=1),((CC76/10000)*'Assumptions (edit)'!B7),"")</f>
      </c>
      <c r="CD426" s="8">
        <f>IF((0=1),((CD76/10000)*'Assumptions (edit)'!B7),"")</f>
      </c>
      <c r="CE426" s="8">
        <f>IF((0=1),((CE76/10000)*'Assumptions (edit)'!B7),"")</f>
      </c>
      <c r="CF426" s="8">
        <f>IF((0=1),((CF76/10000)*'Assumptions (edit)'!B7),"")</f>
      </c>
      <c r="CG426" s="8">
        <f>IF((0=1),((CG76/10000)*'Assumptions (edit)'!B7),"")</f>
      </c>
      <c r="CH426" s="8">
        <f>IF((0=1),((CH76/10000)*'Assumptions (edit)'!B7),"")</f>
      </c>
      <c r="CI426" s="8">
        <f>IF((0=1),((CI76/10000)*'Assumptions (edit)'!B7),"")</f>
      </c>
      <c r="CJ426" s="8">
        <f>IF((0=1),((CJ76/10000)*'Assumptions (edit)'!B7),"")</f>
      </c>
      <c r="CK426" s="8">
        <f>IF((0=1),((CK76/10000)*'Assumptions (edit)'!B7),"")</f>
      </c>
      <c r="CL426" s="8">
        <f>IF((0=1),((CL76/10000)*'Assumptions (edit)'!B7),"")</f>
      </c>
      <c r="CM426" s="8">
        <f>IF((0=1),((CM76/10000)*'Assumptions (edit)'!B7),"")</f>
      </c>
      <c r="CN426" s="8">
        <f>IF((0=1),((CN76/10000)*'Assumptions (edit)'!B7),"")</f>
      </c>
      <c r="CO426" s="8">
        <f>IF((0=1),((CO76/10000)*'Assumptions (edit)'!B7),"")</f>
      </c>
      <c r="CP426" s="8">
        <f>IF((0=1),((CP76/10000)*'Assumptions (edit)'!B7),"")</f>
      </c>
      <c r="CQ426" s="8">
        <f>IF((0=1),((CQ76/10000)*'Assumptions (edit)'!B7),"")</f>
      </c>
      <c r="CR426" s="8">
        <f>IF((0=1),((CR76/10000)*'Assumptions (edit)'!B7),"")</f>
      </c>
      <c r="CS426" s="8">
        <f>IF((0=1),((CS76/10000)*'Assumptions (edit)'!B7),"")</f>
      </c>
      <c r="CT426" s="8">
        <f>IF((0=1),((CT76/10000)*'Assumptions (edit)'!B7),"")</f>
      </c>
      <c r="CU426" s="8">
        <f>IF((0=1),((CU76/10000)*'Assumptions (edit)'!B7),"")</f>
      </c>
      <c r="CV426" s="8">
        <f>IF((0=1),((CV76/10000)*'Assumptions (edit)'!B7),"")</f>
      </c>
      <c r="CW426" s="8">
        <f>IF((0=1),((CW76/10000)*'Assumptions (edit)'!B7),"")</f>
      </c>
      <c r="CX426" s="8">
        <f>IF((0=1),((CX76/10000)*'Assumptions (edit)'!B7),"")</f>
      </c>
    </row>
    <row r="427">
      <c r="A427" s="0" t="inlineStr">
        <is>
          <t xml:space="preserve">Net P&amp;L on notional, $</t>
        </is>
      </c>
      <c r="B427" s="0" t="inlineStr">
        <is>
          <t xml:space="preserve">Retail Attention Overnight</t>
        </is>
      </c>
      <c r="C427" s="8">
        <f>IF((1=1),((C77/10000)*'Assumptions (edit)'!B7),"")</f>
        <v>-272.27000000000004</v>
      </c>
      <c r="D427" s="8">
        <f>IF((0=1),((D77/10000)*'Assumptions (edit)'!B7),"")</f>
      </c>
      <c r="E427" s="8">
        <f>IF((0=1),((E77/10000)*'Assumptions (edit)'!B7),"")</f>
      </c>
      <c r="F427" s="8">
        <f>IF((0=1),((F77/10000)*'Assumptions (edit)'!B7),"")</f>
      </c>
      <c r="G427" s="8">
        <f>IF((0=1),((G77/10000)*'Assumptions (edit)'!B7),"")</f>
      </c>
      <c r="H427" s="8">
        <f>IF((0=1),((H77/10000)*'Assumptions (edit)'!B7),"")</f>
      </c>
      <c r="I427" s="8">
        <f>IF((0=1),((I77/10000)*'Assumptions (edit)'!B7),"")</f>
      </c>
      <c r="J427" s="8">
        <f>IF((0=1),((J77/10000)*'Assumptions (edit)'!B7),"")</f>
      </c>
      <c r="K427" s="8">
        <f>IF((0=1),((K77/10000)*'Assumptions (edit)'!B7),"")</f>
      </c>
      <c r="L427" s="8">
        <f>IF((0=1),((L77/10000)*'Assumptions (edit)'!B7),"")</f>
      </c>
      <c r="M427" s="8">
        <f>IF((0=1),((M77/10000)*'Assumptions (edit)'!B7),"")</f>
      </c>
      <c r="N427" s="8">
        <f>IF((0=1),((N77/10000)*'Assumptions (edit)'!B7),"")</f>
      </c>
      <c r="O427" s="8">
        <f>IF((0=1),((O77/10000)*'Assumptions (edit)'!B7),"")</f>
      </c>
      <c r="P427" s="8">
        <f>IF((0=1),((P77/10000)*'Assumptions (edit)'!B7),"")</f>
      </c>
      <c r="Q427" s="8">
        <f>IF((0=1),((Q77/10000)*'Assumptions (edit)'!B7),"")</f>
      </c>
      <c r="R427" s="8">
        <f>IF((0=1),((R77/10000)*'Assumptions (edit)'!B7),"")</f>
      </c>
      <c r="S427" s="8">
        <f>IF((0=1),((S77/10000)*'Assumptions (edit)'!B7),"")</f>
      </c>
      <c r="T427" s="8">
        <f>IF((0=1),((T77/10000)*'Assumptions (edit)'!B7),"")</f>
      </c>
      <c r="U427" s="8">
        <f>IF((0=1),((U77/10000)*'Assumptions (edit)'!B7),"")</f>
      </c>
      <c r="V427" s="8">
        <f>IF((0=1),((V77/10000)*'Assumptions (edit)'!B7),"")</f>
      </c>
      <c r="W427" s="8">
        <f>IF((0=1),((W77/10000)*'Assumptions (edit)'!B7),"")</f>
      </c>
      <c r="X427" s="8">
        <f>IF((0=1),((X77/10000)*'Assumptions (edit)'!B7),"")</f>
      </c>
      <c r="Y427" s="8">
        <f>IF((0=1),((Y77/10000)*'Assumptions (edit)'!B7),"")</f>
      </c>
      <c r="Z427" s="8">
        <f>IF((0=1),((Z77/10000)*'Assumptions (edit)'!B7),"")</f>
      </c>
      <c r="AA427" s="8">
        <f>IF((0=1),((AA77/10000)*'Assumptions (edit)'!B7),"")</f>
      </c>
      <c r="AB427" s="8">
        <f>IF((0=1),((AB77/10000)*'Assumptions (edit)'!B7),"")</f>
      </c>
      <c r="AC427" s="8">
        <f>IF((0=1),((AC77/10000)*'Assumptions (edit)'!B7),"")</f>
      </c>
      <c r="AD427" s="8">
        <f>IF((0=1),((AD77/10000)*'Assumptions (edit)'!B7),"")</f>
      </c>
      <c r="AE427" s="8">
        <f>IF((0=1),((AE77/10000)*'Assumptions (edit)'!B7),"")</f>
      </c>
      <c r="AF427" s="8">
        <f>IF((0=1),((AF77/10000)*'Assumptions (edit)'!B7),"")</f>
      </c>
      <c r="AG427" s="8">
        <f>IF((0=1),((AG77/10000)*'Assumptions (edit)'!B7),"")</f>
      </c>
      <c r="AH427" s="8">
        <f>IF((0=1),((AH77/10000)*'Assumptions (edit)'!B7),"")</f>
      </c>
      <c r="AI427" s="8">
        <f>IF((0=1),((AI77/10000)*'Assumptions (edit)'!B7),"")</f>
      </c>
      <c r="AJ427" s="8">
        <f>IF((0=1),((AJ77/10000)*'Assumptions (edit)'!B7),"")</f>
      </c>
      <c r="AK427" s="8">
        <f>IF((0=1),((AK77/10000)*'Assumptions (edit)'!B7),"")</f>
      </c>
      <c r="AL427" s="8">
        <f>IF((0=1),((AL77/10000)*'Assumptions (edit)'!B7),"")</f>
      </c>
      <c r="AM427" s="8">
        <f>IF((0=1),((AM77/10000)*'Assumptions (edit)'!B7),"")</f>
      </c>
      <c r="AN427" s="8">
        <f>IF((0=1),((AN77/10000)*'Assumptions (edit)'!B7),"")</f>
      </c>
      <c r="AO427" s="8">
        <f>IF((0=1),((AO77/10000)*'Assumptions (edit)'!B7),"")</f>
      </c>
      <c r="AP427" s="8">
        <f>IF((0=1),((AP77/10000)*'Assumptions (edit)'!B7),"")</f>
      </c>
      <c r="AQ427" s="8">
        <f>IF((0=1),((AQ77/10000)*'Assumptions (edit)'!B7),"")</f>
      </c>
      <c r="AR427" s="8">
        <f>IF((0=1),((AR77/10000)*'Assumptions (edit)'!B7),"")</f>
      </c>
      <c r="AS427" s="8">
        <f>IF((0=1),((AS77/10000)*'Assumptions (edit)'!B7),"")</f>
      </c>
      <c r="AT427" s="8">
        <f>IF((0=1),((AT77/10000)*'Assumptions (edit)'!B7),"")</f>
      </c>
      <c r="AU427" s="8">
        <f>IF((0=1),((AU77/10000)*'Assumptions (edit)'!B7),"")</f>
      </c>
      <c r="AV427" s="8">
        <f>IF((0=1),((AV77/10000)*'Assumptions (edit)'!B7),"")</f>
      </c>
      <c r="AW427" s="8">
        <f>IF((0=1),((AW77/10000)*'Assumptions (edit)'!B7),"")</f>
      </c>
      <c r="AX427" s="8">
        <f>IF((0=1),((AX77/10000)*'Assumptions (edit)'!B7),"")</f>
      </c>
      <c r="AY427" s="8">
        <f>IF((0=1),((AY77/10000)*'Assumptions (edit)'!B7),"")</f>
      </c>
      <c r="AZ427" s="8">
        <f>IF((0=1),((AZ77/10000)*'Assumptions (edit)'!B7),"")</f>
      </c>
      <c r="BA427" s="8">
        <f>IF((0=1),((BA77/10000)*'Assumptions (edit)'!B7),"")</f>
      </c>
      <c r="BB427" s="8">
        <f>IF((0=1),((BB77/10000)*'Assumptions (edit)'!B7),"")</f>
      </c>
      <c r="BC427" s="8">
        <f>IF((0=1),((BC77/10000)*'Assumptions (edit)'!B7),"")</f>
      </c>
      <c r="BD427" s="8">
        <f>IF((0=1),((BD77/10000)*'Assumptions (edit)'!B7),"")</f>
      </c>
      <c r="BE427" s="8">
        <f>IF((0=1),((BE77/10000)*'Assumptions (edit)'!B7),"")</f>
      </c>
      <c r="BF427" s="8">
        <f>IF((0=1),((BF77/10000)*'Assumptions (edit)'!B7),"")</f>
      </c>
      <c r="BG427" s="8">
        <f>IF((0=1),((BG77/10000)*'Assumptions (edit)'!B7),"")</f>
      </c>
      <c r="BH427" s="8">
        <f>IF((0=1),((BH77/10000)*'Assumptions (edit)'!B7),"")</f>
      </c>
      <c r="BI427" s="8">
        <f>IF((0=1),((BI77/10000)*'Assumptions (edit)'!B7),"")</f>
      </c>
      <c r="BJ427" s="8">
        <f>IF((0=1),((BJ77/10000)*'Assumptions (edit)'!B7),"")</f>
      </c>
      <c r="BK427" s="8">
        <f>IF((0=1),((BK77/10000)*'Assumptions (edit)'!B7),"")</f>
      </c>
      <c r="BL427" s="8">
        <f>IF((0=1),((BL77/10000)*'Assumptions (edit)'!B7),"")</f>
      </c>
      <c r="BM427" s="8">
        <f>IF((0=1),((BM77/10000)*'Assumptions (edit)'!B7),"")</f>
      </c>
      <c r="BN427" s="8">
        <f>IF((0=1),((BN77/10000)*'Assumptions (edit)'!B7),"")</f>
      </c>
      <c r="BO427" s="8">
        <f>IF((0=1),((BO77/10000)*'Assumptions (edit)'!B7),"")</f>
      </c>
      <c r="BP427" s="8">
        <f>IF((0=1),((BP77/10000)*'Assumptions (edit)'!B7),"")</f>
      </c>
      <c r="BQ427" s="8">
        <f>IF((0=1),((BQ77/10000)*'Assumptions (edit)'!B7),"")</f>
      </c>
      <c r="BR427" s="8">
        <f>IF((0=1),((BR77/10000)*'Assumptions (edit)'!B7),"")</f>
      </c>
      <c r="BS427" s="8">
        <f>IF((0=1),((BS77/10000)*'Assumptions (edit)'!B7),"")</f>
      </c>
      <c r="BT427" s="8">
        <f>IF((0=1),((BT77/10000)*'Assumptions (edit)'!B7),"")</f>
      </c>
      <c r="BU427" s="8">
        <f>IF((0=1),((BU77/10000)*'Assumptions (edit)'!B7),"")</f>
      </c>
      <c r="BV427" s="8">
        <f>IF((0=1),((BV77/10000)*'Assumptions (edit)'!B7),"")</f>
      </c>
      <c r="BW427" s="8">
        <f>IF((0=1),((BW77/10000)*'Assumptions (edit)'!B7),"")</f>
      </c>
      <c r="BX427" s="8">
        <f>IF((0=1),((BX77/10000)*'Assumptions (edit)'!B7),"")</f>
      </c>
      <c r="BY427" s="8">
        <f>IF((0=1),((BY77/10000)*'Assumptions (edit)'!B7),"")</f>
      </c>
      <c r="BZ427" s="8">
        <f>IF((0=1),((BZ77/10000)*'Assumptions (edit)'!B7),"")</f>
      </c>
      <c r="CA427" s="8">
        <f>IF((0=1),((CA77/10000)*'Assumptions (edit)'!B7),"")</f>
      </c>
      <c r="CB427" s="8">
        <f>IF((0=1),((CB77/10000)*'Assumptions (edit)'!B7),"")</f>
      </c>
      <c r="CC427" s="8">
        <f>IF((0=1),((CC77/10000)*'Assumptions (edit)'!B7),"")</f>
      </c>
      <c r="CD427" s="8">
        <f>IF((0=1),((CD77/10000)*'Assumptions (edit)'!B7),"")</f>
      </c>
      <c r="CE427" s="8">
        <f>IF((0=1),((CE77/10000)*'Assumptions (edit)'!B7),"")</f>
      </c>
      <c r="CF427" s="8">
        <f>IF((0=1),((CF77/10000)*'Assumptions (edit)'!B7),"")</f>
      </c>
      <c r="CG427" s="8">
        <f>IF((0=1),((CG77/10000)*'Assumptions (edit)'!B7),"")</f>
      </c>
      <c r="CH427" s="8">
        <f>IF((0=1),((CH77/10000)*'Assumptions (edit)'!B7),"")</f>
      </c>
      <c r="CI427" s="8">
        <f>IF((0=1),((CI77/10000)*'Assumptions (edit)'!B7),"")</f>
      </c>
      <c r="CJ427" s="8">
        <f>IF((0=1),((CJ77/10000)*'Assumptions (edit)'!B7),"")</f>
      </c>
      <c r="CK427" s="8">
        <f>IF((0=1),((CK77/10000)*'Assumptions (edit)'!B7),"")</f>
      </c>
      <c r="CL427" s="8">
        <f>IF((0=1),((CL77/10000)*'Assumptions (edit)'!B7),"")</f>
      </c>
      <c r="CM427" s="8">
        <f>IF((0=1),((CM77/10000)*'Assumptions (edit)'!B7),"")</f>
      </c>
      <c r="CN427" s="8">
        <f>IF((0=1),((CN77/10000)*'Assumptions (edit)'!B7),"")</f>
      </c>
      <c r="CO427" s="8">
        <f>IF((0=1),((CO77/10000)*'Assumptions (edit)'!B7),"")</f>
      </c>
      <c r="CP427" s="8">
        <f>IF((0=1),((CP77/10000)*'Assumptions (edit)'!B7),"")</f>
      </c>
      <c r="CQ427" s="8">
        <f>IF((0=1),((CQ77/10000)*'Assumptions (edit)'!B7),"")</f>
      </c>
      <c r="CR427" s="8">
        <f>IF((0=1),((CR77/10000)*'Assumptions (edit)'!B7),"")</f>
      </c>
      <c r="CS427" s="8">
        <f>IF((0=1),((CS77/10000)*'Assumptions (edit)'!B7),"")</f>
      </c>
      <c r="CT427" s="8">
        <f>IF((0=1),((CT77/10000)*'Assumptions (edit)'!B7),"")</f>
      </c>
      <c r="CU427" s="8">
        <f>IF((0=1),((CU77/10000)*'Assumptions (edit)'!B7),"")</f>
      </c>
      <c r="CV427" s="8">
        <f>IF((0=1),((CV77/10000)*'Assumptions (edit)'!B7),"")</f>
      </c>
      <c r="CW427" s="8">
        <f>IF((0=1),((CW77/10000)*'Assumptions (edit)'!B7),"")</f>
      </c>
      <c r="CX427" s="8">
        <f>IF((0=1),((CX77/10000)*'Assumptions (edit)'!B7),"")</f>
      </c>
    </row>
    <row r="428">
      <c r="A428" s="0" t="inlineStr">
        <is>
          <t xml:space="preserve">Net P&amp;L on notional, $</t>
        </is>
      </c>
      <c r="B428" s="0" t="inlineStr">
        <is>
          <t xml:space="preserve">Post-Earnings Drift, Overnight Leg</t>
        </is>
      </c>
      <c r="C428" s="8">
        <f>IF((1=1),((C78/10000)*'Assumptions (edit)'!B7),"")</f>
        <v>52.29</v>
      </c>
      <c r="D428" s="8">
        <f>IF((0=1),((D78/10000)*'Assumptions (edit)'!B7),"")</f>
      </c>
      <c r="E428" s="8">
        <f>IF((0=1),((E78/10000)*'Assumptions (edit)'!B7),"")</f>
      </c>
      <c r="F428" s="8">
        <f>IF((0=1),((F78/10000)*'Assumptions (edit)'!B7),"")</f>
      </c>
      <c r="G428" s="8">
        <f>IF((0=1),((G78/10000)*'Assumptions (edit)'!B7),"")</f>
      </c>
      <c r="H428" s="8">
        <f>IF((0=1),((H78/10000)*'Assumptions (edit)'!B7),"")</f>
      </c>
      <c r="I428" s="8">
        <f>IF((0=1),((I78/10000)*'Assumptions (edit)'!B7),"")</f>
      </c>
      <c r="J428" s="8">
        <f>IF((0=1),((J78/10000)*'Assumptions (edit)'!B7),"")</f>
      </c>
      <c r="K428" s="8">
        <f>IF((0=1),((K78/10000)*'Assumptions (edit)'!B7),"")</f>
      </c>
      <c r="L428" s="8">
        <f>IF((0=1),((L78/10000)*'Assumptions (edit)'!B7),"")</f>
      </c>
      <c r="M428" s="8">
        <f>IF((0=1),((M78/10000)*'Assumptions (edit)'!B7),"")</f>
      </c>
      <c r="N428" s="8">
        <f>IF((0=1),((N78/10000)*'Assumptions (edit)'!B7),"")</f>
      </c>
      <c r="O428" s="8">
        <f>IF((0=1),((O78/10000)*'Assumptions (edit)'!B7),"")</f>
      </c>
      <c r="P428" s="8">
        <f>IF((0=1),((P78/10000)*'Assumptions (edit)'!B7),"")</f>
      </c>
      <c r="Q428" s="8">
        <f>IF((0=1),((Q78/10000)*'Assumptions (edit)'!B7),"")</f>
      </c>
      <c r="R428" s="8">
        <f>IF((0=1),((R78/10000)*'Assumptions (edit)'!B7),"")</f>
      </c>
      <c r="S428" s="8">
        <f>IF((0=1),((S78/10000)*'Assumptions (edit)'!B7),"")</f>
      </c>
      <c r="T428" s="8">
        <f>IF((0=1),((T78/10000)*'Assumptions (edit)'!B7),"")</f>
      </c>
      <c r="U428" s="8">
        <f>IF((0=1),((U78/10000)*'Assumptions (edit)'!B7),"")</f>
      </c>
      <c r="V428" s="8">
        <f>IF((0=1),((V78/10000)*'Assumptions (edit)'!B7),"")</f>
      </c>
      <c r="W428" s="8">
        <f>IF((0=1),((W78/10000)*'Assumptions (edit)'!B7),"")</f>
      </c>
      <c r="X428" s="8">
        <f>IF((0=1),((X78/10000)*'Assumptions (edit)'!B7),"")</f>
      </c>
      <c r="Y428" s="8">
        <f>IF((0=1),((Y78/10000)*'Assumptions (edit)'!B7),"")</f>
      </c>
      <c r="Z428" s="8">
        <f>IF((0=1),((Z78/10000)*'Assumptions (edit)'!B7),"")</f>
      </c>
      <c r="AA428" s="8">
        <f>IF((0=1),((AA78/10000)*'Assumptions (edit)'!B7),"")</f>
      </c>
      <c r="AB428" s="8">
        <f>IF((0=1),((AB78/10000)*'Assumptions (edit)'!B7),"")</f>
      </c>
      <c r="AC428" s="8">
        <f>IF((0=1),((AC78/10000)*'Assumptions (edit)'!B7),"")</f>
      </c>
      <c r="AD428" s="8">
        <f>IF((0=1),((AD78/10000)*'Assumptions (edit)'!B7),"")</f>
      </c>
      <c r="AE428" s="8">
        <f>IF((0=1),((AE78/10000)*'Assumptions (edit)'!B7),"")</f>
      </c>
      <c r="AF428" s="8">
        <f>IF((0=1),((AF78/10000)*'Assumptions (edit)'!B7),"")</f>
      </c>
      <c r="AG428" s="8">
        <f>IF((0=1),((AG78/10000)*'Assumptions (edit)'!B7),"")</f>
      </c>
      <c r="AH428" s="8">
        <f>IF((0=1),((AH78/10000)*'Assumptions (edit)'!B7),"")</f>
      </c>
      <c r="AI428" s="8">
        <f>IF((0=1),((AI78/10000)*'Assumptions (edit)'!B7),"")</f>
      </c>
      <c r="AJ428" s="8">
        <f>IF((0=1),((AJ78/10000)*'Assumptions (edit)'!B7),"")</f>
      </c>
      <c r="AK428" s="8">
        <f>IF((0=1),((AK78/10000)*'Assumptions (edit)'!B7),"")</f>
      </c>
      <c r="AL428" s="8">
        <f>IF((0=1),((AL78/10000)*'Assumptions (edit)'!B7),"")</f>
      </c>
      <c r="AM428" s="8">
        <f>IF((0=1),((AM78/10000)*'Assumptions (edit)'!B7),"")</f>
      </c>
      <c r="AN428" s="8">
        <f>IF((0=1),((AN78/10000)*'Assumptions (edit)'!B7),"")</f>
      </c>
      <c r="AO428" s="8">
        <f>IF((0=1),((AO78/10000)*'Assumptions (edit)'!B7),"")</f>
      </c>
      <c r="AP428" s="8">
        <f>IF((0=1),((AP78/10000)*'Assumptions (edit)'!B7),"")</f>
      </c>
      <c r="AQ428" s="8">
        <f>IF((0=1),((AQ78/10000)*'Assumptions (edit)'!B7),"")</f>
      </c>
      <c r="AR428" s="8">
        <f>IF((0=1),((AR78/10000)*'Assumptions (edit)'!B7),"")</f>
      </c>
      <c r="AS428" s="8">
        <f>IF((0=1),((AS78/10000)*'Assumptions (edit)'!B7),"")</f>
      </c>
      <c r="AT428" s="8">
        <f>IF((0=1),((AT78/10000)*'Assumptions (edit)'!B7),"")</f>
      </c>
      <c r="AU428" s="8">
        <f>IF((0=1),((AU78/10000)*'Assumptions (edit)'!B7),"")</f>
      </c>
      <c r="AV428" s="8">
        <f>IF((0=1),((AV78/10000)*'Assumptions (edit)'!B7),"")</f>
      </c>
      <c r="AW428" s="8">
        <f>IF((0=1),((AW78/10000)*'Assumptions (edit)'!B7),"")</f>
      </c>
      <c r="AX428" s="8">
        <f>IF((0=1),((AX78/10000)*'Assumptions (edit)'!B7),"")</f>
      </c>
      <c r="AY428" s="8">
        <f>IF((0=1),((AY78/10000)*'Assumptions (edit)'!B7),"")</f>
      </c>
      <c r="AZ428" s="8">
        <f>IF((0=1),((AZ78/10000)*'Assumptions (edit)'!B7),"")</f>
      </c>
      <c r="BA428" s="8">
        <f>IF((0=1),((BA78/10000)*'Assumptions (edit)'!B7),"")</f>
      </c>
      <c r="BB428" s="8">
        <f>IF((0=1),((BB78/10000)*'Assumptions (edit)'!B7),"")</f>
      </c>
      <c r="BC428" s="8">
        <f>IF((0=1),((BC78/10000)*'Assumptions (edit)'!B7),"")</f>
      </c>
      <c r="BD428" s="8">
        <f>IF((0=1),((BD78/10000)*'Assumptions (edit)'!B7),"")</f>
      </c>
      <c r="BE428" s="8">
        <f>IF((0=1),((BE78/10000)*'Assumptions (edit)'!B7),"")</f>
      </c>
      <c r="BF428" s="8">
        <f>IF((0=1),((BF78/10000)*'Assumptions (edit)'!B7),"")</f>
      </c>
      <c r="BG428" s="8">
        <f>IF((0=1),((BG78/10000)*'Assumptions (edit)'!B7),"")</f>
      </c>
      <c r="BH428" s="8">
        <f>IF((0=1),((BH78/10000)*'Assumptions (edit)'!B7),"")</f>
      </c>
      <c r="BI428" s="8">
        <f>IF((0=1),((BI78/10000)*'Assumptions (edit)'!B7),"")</f>
      </c>
      <c r="BJ428" s="8">
        <f>IF((0=1),((BJ78/10000)*'Assumptions (edit)'!B7),"")</f>
      </c>
      <c r="BK428" s="8">
        <f>IF((0=1),((BK78/10000)*'Assumptions (edit)'!B7),"")</f>
      </c>
      <c r="BL428" s="8">
        <f>IF((0=1),((BL78/10000)*'Assumptions (edit)'!B7),"")</f>
      </c>
      <c r="BM428" s="8">
        <f>IF((0=1),((BM78/10000)*'Assumptions (edit)'!B7),"")</f>
      </c>
      <c r="BN428" s="8">
        <f>IF((0=1),((BN78/10000)*'Assumptions (edit)'!B7),"")</f>
      </c>
      <c r="BO428" s="8">
        <f>IF((0=1),((BO78/10000)*'Assumptions (edit)'!B7),"")</f>
      </c>
      <c r="BP428" s="8">
        <f>IF((0=1),((BP78/10000)*'Assumptions (edit)'!B7),"")</f>
      </c>
      <c r="BQ428" s="8">
        <f>IF((0=1),((BQ78/10000)*'Assumptions (edit)'!B7),"")</f>
      </c>
      <c r="BR428" s="8">
        <f>IF((0=1),((BR78/10000)*'Assumptions (edit)'!B7),"")</f>
      </c>
      <c r="BS428" s="8">
        <f>IF((0=1),((BS78/10000)*'Assumptions (edit)'!B7),"")</f>
      </c>
      <c r="BT428" s="8">
        <f>IF((0=1),((BT78/10000)*'Assumptions (edit)'!B7),"")</f>
      </c>
      <c r="BU428" s="8">
        <f>IF((0=1),((BU78/10000)*'Assumptions (edit)'!B7),"")</f>
      </c>
      <c r="BV428" s="8">
        <f>IF((0=1),((BV78/10000)*'Assumptions (edit)'!B7),"")</f>
      </c>
      <c r="BW428" s="8">
        <f>IF((0=1),((BW78/10000)*'Assumptions (edit)'!B7),"")</f>
      </c>
      <c r="BX428" s="8">
        <f>IF((0=1),((BX78/10000)*'Assumptions (edit)'!B7),"")</f>
      </c>
      <c r="BY428" s="8">
        <f>IF((0=1),((BY78/10000)*'Assumptions (edit)'!B7),"")</f>
      </c>
      <c r="BZ428" s="8">
        <f>IF((0=1),((BZ78/10000)*'Assumptions (edit)'!B7),"")</f>
      </c>
      <c r="CA428" s="8">
        <f>IF((0=1),((CA78/10000)*'Assumptions (edit)'!B7),"")</f>
      </c>
      <c r="CB428" s="8">
        <f>IF((0=1),((CB78/10000)*'Assumptions (edit)'!B7),"")</f>
      </c>
      <c r="CC428" s="8">
        <f>IF((0=1),((CC78/10000)*'Assumptions (edit)'!B7),"")</f>
      </c>
      <c r="CD428" s="8">
        <f>IF((0=1),((CD78/10000)*'Assumptions (edit)'!B7),"")</f>
      </c>
      <c r="CE428" s="8">
        <f>IF((0=1),((CE78/10000)*'Assumptions (edit)'!B7),"")</f>
      </c>
      <c r="CF428" s="8">
        <f>IF((0=1),((CF78/10000)*'Assumptions (edit)'!B7),"")</f>
      </c>
      <c r="CG428" s="8">
        <f>IF((0=1),((CG78/10000)*'Assumptions (edit)'!B7),"")</f>
      </c>
      <c r="CH428" s="8">
        <f>IF((0=1),((CH78/10000)*'Assumptions (edit)'!B7),"")</f>
      </c>
      <c r="CI428" s="8">
        <f>IF((0=1),((CI78/10000)*'Assumptions (edit)'!B7),"")</f>
      </c>
      <c r="CJ428" s="8">
        <f>IF((0=1),((CJ78/10000)*'Assumptions (edit)'!B7),"")</f>
      </c>
      <c r="CK428" s="8">
        <f>IF((0=1),((CK78/10000)*'Assumptions (edit)'!B7),"")</f>
      </c>
      <c r="CL428" s="8">
        <f>IF((0=1),((CL78/10000)*'Assumptions (edit)'!B7),"")</f>
      </c>
      <c r="CM428" s="8">
        <f>IF((0=1),((CM78/10000)*'Assumptions (edit)'!B7),"")</f>
      </c>
      <c r="CN428" s="8">
        <f>IF((0=1),((CN78/10000)*'Assumptions (edit)'!B7),"")</f>
      </c>
      <c r="CO428" s="8">
        <f>IF((0=1),((CO78/10000)*'Assumptions (edit)'!B7),"")</f>
      </c>
      <c r="CP428" s="8">
        <f>IF((0=1),((CP78/10000)*'Assumptions (edit)'!B7),"")</f>
      </c>
      <c r="CQ428" s="8">
        <f>IF((0=1),((CQ78/10000)*'Assumptions (edit)'!B7),"")</f>
      </c>
      <c r="CR428" s="8">
        <f>IF((0=1),((CR78/10000)*'Assumptions (edit)'!B7),"")</f>
      </c>
      <c r="CS428" s="8">
        <f>IF((0=1),((CS78/10000)*'Assumptions (edit)'!B7),"")</f>
      </c>
      <c r="CT428" s="8">
        <f>IF((0=1),((CT78/10000)*'Assumptions (edit)'!B7),"")</f>
      </c>
      <c r="CU428" s="8">
        <f>IF((0=1),((CU78/10000)*'Assumptions (edit)'!B7),"")</f>
      </c>
      <c r="CV428" s="8">
        <f>IF((0=1),((CV78/10000)*'Assumptions (edit)'!B7),"")</f>
      </c>
      <c r="CW428" s="8">
        <f>IF((0=1),((CW78/10000)*'Assumptions (edit)'!B7),"")</f>
      </c>
      <c r="CX428" s="8">
        <f>IF((0=1),((CX78/10000)*'Assumptions (edit)'!B7),"")</f>
      </c>
    </row>
    <row r="429">
      <c r="A429" s="0" t="inlineStr">
        <is>
          <t xml:space="preserve">Net P&amp;L on notional, $</t>
        </is>
      </c>
      <c r="B429" s="0" t="inlineStr">
        <is>
          <t xml:space="preserve">Intraday-to-Overnight Reversal</t>
        </is>
      </c>
      <c r="C429" s="8">
        <f>IF((1=1),((C79/10000)*'Assumptions (edit)'!B7),"")</f>
        <v>-74.53</v>
      </c>
      <c r="D429" s="8">
        <f>IF((0=1),((D79/10000)*'Assumptions (edit)'!B7),"")</f>
      </c>
      <c r="E429" s="8">
        <f>IF((0=1),((E79/10000)*'Assumptions (edit)'!B7),"")</f>
      </c>
      <c r="F429" s="8">
        <f>IF((0=1),((F79/10000)*'Assumptions (edit)'!B7),"")</f>
      </c>
      <c r="G429" s="8">
        <f>IF((0=1),((G79/10000)*'Assumptions (edit)'!B7),"")</f>
      </c>
      <c r="H429" s="8">
        <f>IF((0=1),((H79/10000)*'Assumptions (edit)'!B7),"")</f>
      </c>
      <c r="I429" s="8">
        <f>IF((0=1),((I79/10000)*'Assumptions (edit)'!B7),"")</f>
      </c>
      <c r="J429" s="8">
        <f>IF((0=1),((J79/10000)*'Assumptions (edit)'!B7),"")</f>
      </c>
      <c r="K429" s="8">
        <f>IF((0=1),((K79/10000)*'Assumptions (edit)'!B7),"")</f>
      </c>
      <c r="L429" s="8">
        <f>IF((0=1),((L79/10000)*'Assumptions (edit)'!B7),"")</f>
      </c>
      <c r="M429" s="8">
        <f>IF((0=1),((M79/10000)*'Assumptions (edit)'!B7),"")</f>
      </c>
      <c r="N429" s="8">
        <f>IF((0=1),((N79/10000)*'Assumptions (edit)'!B7),"")</f>
      </c>
      <c r="O429" s="8">
        <f>IF((0=1),((O79/10000)*'Assumptions (edit)'!B7),"")</f>
      </c>
      <c r="P429" s="8">
        <f>IF((0=1),((P79/10000)*'Assumptions (edit)'!B7),"")</f>
      </c>
      <c r="Q429" s="8">
        <f>IF((0=1),((Q79/10000)*'Assumptions (edit)'!B7),"")</f>
      </c>
      <c r="R429" s="8">
        <f>IF((0=1),((R79/10000)*'Assumptions (edit)'!B7),"")</f>
      </c>
      <c r="S429" s="8">
        <f>IF((0=1),((S79/10000)*'Assumptions (edit)'!B7),"")</f>
      </c>
      <c r="T429" s="8">
        <f>IF((0=1),((T79/10000)*'Assumptions (edit)'!B7),"")</f>
      </c>
      <c r="U429" s="8">
        <f>IF((0=1),((U79/10000)*'Assumptions (edit)'!B7),"")</f>
      </c>
      <c r="V429" s="8">
        <f>IF((0=1),((V79/10000)*'Assumptions (edit)'!B7),"")</f>
      </c>
      <c r="W429" s="8">
        <f>IF((0=1),((W79/10000)*'Assumptions (edit)'!B7),"")</f>
      </c>
      <c r="X429" s="8">
        <f>IF((0=1),((X79/10000)*'Assumptions (edit)'!B7),"")</f>
      </c>
      <c r="Y429" s="8">
        <f>IF((0=1),((Y79/10000)*'Assumptions (edit)'!B7),"")</f>
      </c>
      <c r="Z429" s="8">
        <f>IF((0=1),((Z79/10000)*'Assumptions (edit)'!B7),"")</f>
      </c>
      <c r="AA429" s="8">
        <f>IF((0=1),((AA79/10000)*'Assumptions (edit)'!B7),"")</f>
      </c>
      <c r="AB429" s="8">
        <f>IF((0=1),((AB79/10000)*'Assumptions (edit)'!B7),"")</f>
      </c>
      <c r="AC429" s="8">
        <f>IF((0=1),((AC79/10000)*'Assumptions (edit)'!B7),"")</f>
      </c>
      <c r="AD429" s="8">
        <f>IF((0=1),((AD79/10000)*'Assumptions (edit)'!B7),"")</f>
      </c>
      <c r="AE429" s="8">
        <f>IF((0=1),((AE79/10000)*'Assumptions (edit)'!B7),"")</f>
      </c>
      <c r="AF429" s="8">
        <f>IF((0=1),((AF79/10000)*'Assumptions (edit)'!B7),"")</f>
      </c>
      <c r="AG429" s="8">
        <f>IF((0=1),((AG79/10000)*'Assumptions (edit)'!B7),"")</f>
      </c>
      <c r="AH429" s="8">
        <f>IF((0=1),((AH79/10000)*'Assumptions (edit)'!B7),"")</f>
      </c>
      <c r="AI429" s="8">
        <f>IF((0=1),((AI79/10000)*'Assumptions (edit)'!B7),"")</f>
      </c>
      <c r="AJ429" s="8">
        <f>IF((0=1),((AJ79/10000)*'Assumptions (edit)'!B7),"")</f>
      </c>
      <c r="AK429" s="8">
        <f>IF((0=1),((AK79/10000)*'Assumptions (edit)'!B7),"")</f>
      </c>
      <c r="AL429" s="8">
        <f>IF((0=1),((AL79/10000)*'Assumptions (edit)'!B7),"")</f>
      </c>
      <c r="AM429" s="8">
        <f>IF((0=1),((AM79/10000)*'Assumptions (edit)'!B7),"")</f>
      </c>
      <c r="AN429" s="8">
        <f>IF((0=1),((AN79/10000)*'Assumptions (edit)'!B7),"")</f>
      </c>
      <c r="AO429" s="8">
        <f>IF((0=1),((AO79/10000)*'Assumptions (edit)'!B7),"")</f>
      </c>
      <c r="AP429" s="8">
        <f>IF((0=1),((AP79/10000)*'Assumptions (edit)'!B7),"")</f>
      </c>
      <c r="AQ429" s="8">
        <f>IF((0=1),((AQ79/10000)*'Assumptions (edit)'!B7),"")</f>
      </c>
      <c r="AR429" s="8">
        <f>IF((0=1),((AR79/10000)*'Assumptions (edit)'!B7),"")</f>
      </c>
      <c r="AS429" s="8">
        <f>IF((0=1),((AS79/10000)*'Assumptions (edit)'!B7),"")</f>
      </c>
      <c r="AT429" s="8">
        <f>IF((0=1),((AT79/10000)*'Assumptions (edit)'!B7),"")</f>
      </c>
      <c r="AU429" s="8">
        <f>IF((0=1),((AU79/10000)*'Assumptions (edit)'!B7),"")</f>
      </c>
      <c r="AV429" s="8">
        <f>IF((0=1),((AV79/10000)*'Assumptions (edit)'!B7),"")</f>
      </c>
      <c r="AW429" s="8">
        <f>IF((0=1),((AW79/10000)*'Assumptions (edit)'!B7),"")</f>
      </c>
      <c r="AX429" s="8">
        <f>IF((0=1),((AX79/10000)*'Assumptions (edit)'!B7),"")</f>
      </c>
      <c r="AY429" s="8">
        <f>IF((0=1),((AY79/10000)*'Assumptions (edit)'!B7),"")</f>
      </c>
      <c r="AZ429" s="8">
        <f>IF((0=1),((AZ79/10000)*'Assumptions (edit)'!B7),"")</f>
      </c>
      <c r="BA429" s="8">
        <f>IF((0=1),((BA79/10000)*'Assumptions (edit)'!B7),"")</f>
      </c>
      <c r="BB429" s="8">
        <f>IF((0=1),((BB79/10000)*'Assumptions (edit)'!B7),"")</f>
      </c>
      <c r="BC429" s="8">
        <f>IF((0=1),((BC79/10000)*'Assumptions (edit)'!B7),"")</f>
      </c>
      <c r="BD429" s="8">
        <f>IF((0=1),((BD79/10000)*'Assumptions (edit)'!B7),"")</f>
      </c>
      <c r="BE429" s="8">
        <f>IF((0=1),((BE79/10000)*'Assumptions (edit)'!B7),"")</f>
      </c>
      <c r="BF429" s="8">
        <f>IF((0=1),((BF79/10000)*'Assumptions (edit)'!B7),"")</f>
      </c>
      <c r="BG429" s="8">
        <f>IF((0=1),((BG79/10000)*'Assumptions (edit)'!B7),"")</f>
      </c>
      <c r="BH429" s="8">
        <f>IF((0=1),((BH79/10000)*'Assumptions (edit)'!B7),"")</f>
      </c>
      <c r="BI429" s="8">
        <f>IF((0=1),((BI79/10000)*'Assumptions (edit)'!B7),"")</f>
      </c>
      <c r="BJ429" s="8">
        <f>IF((0=1),((BJ79/10000)*'Assumptions (edit)'!B7),"")</f>
      </c>
      <c r="BK429" s="8">
        <f>IF((0=1),((BK79/10000)*'Assumptions (edit)'!B7),"")</f>
      </c>
      <c r="BL429" s="8">
        <f>IF((0=1),((BL79/10000)*'Assumptions (edit)'!B7),"")</f>
      </c>
      <c r="BM429" s="8">
        <f>IF((0=1),((BM79/10000)*'Assumptions (edit)'!B7),"")</f>
      </c>
      <c r="BN429" s="8">
        <f>IF((0=1),((BN79/10000)*'Assumptions (edit)'!B7),"")</f>
      </c>
      <c r="BO429" s="8">
        <f>IF((0=1),((BO79/10000)*'Assumptions (edit)'!B7),"")</f>
      </c>
      <c r="BP429" s="8">
        <f>IF((0=1),((BP79/10000)*'Assumptions (edit)'!B7),"")</f>
      </c>
      <c r="BQ429" s="8">
        <f>IF((0=1),((BQ79/10000)*'Assumptions (edit)'!B7),"")</f>
      </c>
      <c r="BR429" s="8">
        <f>IF((0=1),((BR79/10000)*'Assumptions (edit)'!B7),"")</f>
      </c>
      <c r="BS429" s="8">
        <f>IF((0=1),((BS79/10000)*'Assumptions (edit)'!B7),"")</f>
      </c>
      <c r="BT429" s="8">
        <f>IF((0=1),((BT79/10000)*'Assumptions (edit)'!B7),"")</f>
      </c>
      <c r="BU429" s="8">
        <f>IF((0=1),((BU79/10000)*'Assumptions (edit)'!B7),"")</f>
      </c>
      <c r="BV429" s="8">
        <f>IF((0=1),((BV79/10000)*'Assumptions (edit)'!B7),"")</f>
      </c>
      <c r="BW429" s="8">
        <f>IF((0=1),((BW79/10000)*'Assumptions (edit)'!B7),"")</f>
      </c>
      <c r="BX429" s="8">
        <f>IF((0=1),((BX79/10000)*'Assumptions (edit)'!B7),"")</f>
      </c>
      <c r="BY429" s="8">
        <f>IF((0=1),((BY79/10000)*'Assumptions (edit)'!B7),"")</f>
      </c>
      <c r="BZ429" s="8">
        <f>IF((0=1),((BZ79/10000)*'Assumptions (edit)'!B7),"")</f>
      </c>
      <c r="CA429" s="8">
        <f>IF((0=1),((CA79/10000)*'Assumptions (edit)'!B7),"")</f>
      </c>
      <c r="CB429" s="8">
        <f>IF((0=1),((CB79/10000)*'Assumptions (edit)'!B7),"")</f>
      </c>
      <c r="CC429" s="8">
        <f>IF((0=1),((CC79/10000)*'Assumptions (edit)'!B7),"")</f>
      </c>
      <c r="CD429" s="8">
        <f>IF((0=1),((CD79/10000)*'Assumptions (edit)'!B7),"")</f>
      </c>
      <c r="CE429" s="8">
        <f>IF((0=1),((CE79/10000)*'Assumptions (edit)'!B7),"")</f>
      </c>
      <c r="CF429" s="8">
        <f>IF((0=1),((CF79/10000)*'Assumptions (edit)'!B7),"")</f>
      </c>
      <c r="CG429" s="8">
        <f>IF((0=1),((CG79/10000)*'Assumptions (edit)'!B7),"")</f>
      </c>
      <c r="CH429" s="8">
        <f>IF((0=1),((CH79/10000)*'Assumptions (edit)'!B7),"")</f>
      </c>
      <c r="CI429" s="8">
        <f>IF((0=1),((CI79/10000)*'Assumptions (edit)'!B7),"")</f>
      </c>
      <c r="CJ429" s="8">
        <f>IF((0=1),((CJ79/10000)*'Assumptions (edit)'!B7),"")</f>
      </c>
      <c r="CK429" s="8">
        <f>IF((0=1),((CK79/10000)*'Assumptions (edit)'!B7),"")</f>
      </c>
      <c r="CL429" s="8">
        <f>IF((0=1),((CL79/10000)*'Assumptions (edit)'!B7),"")</f>
      </c>
      <c r="CM429" s="8">
        <f>IF((0=1),((CM79/10000)*'Assumptions (edit)'!B7),"")</f>
      </c>
      <c r="CN429" s="8">
        <f>IF((0=1),((CN79/10000)*'Assumptions (edit)'!B7),"")</f>
      </c>
      <c r="CO429" s="8">
        <f>IF((0=1),((CO79/10000)*'Assumptions (edit)'!B7),"")</f>
      </c>
      <c r="CP429" s="8">
        <f>IF((0=1),((CP79/10000)*'Assumptions (edit)'!B7),"")</f>
      </c>
      <c r="CQ429" s="8">
        <f>IF((0=1),((CQ79/10000)*'Assumptions (edit)'!B7),"")</f>
      </c>
      <c r="CR429" s="8">
        <f>IF((0=1),((CR79/10000)*'Assumptions (edit)'!B7),"")</f>
      </c>
      <c r="CS429" s="8">
        <f>IF((0=1),((CS79/10000)*'Assumptions (edit)'!B7),"")</f>
      </c>
      <c r="CT429" s="8">
        <f>IF((0=1),((CT79/10000)*'Assumptions (edit)'!B7),"")</f>
      </c>
      <c r="CU429" s="8">
        <f>IF((0=1),((CU79/10000)*'Assumptions (edit)'!B7),"")</f>
      </c>
      <c r="CV429" s="8">
        <f>IF((0=1),((CV79/10000)*'Assumptions (edit)'!B7),"")</f>
      </c>
      <c r="CW429" s="8">
        <f>IF((0=1),((CW79/10000)*'Assumptions (edit)'!B7),"")</f>
      </c>
      <c r="CX429" s="8">
        <f>IF((0=1),((CX79/10000)*'Assumptions (edit)'!B7),"")</f>
      </c>
    </row>
    <row r="430">
      <c r="A430" s="0" t="inlineStr">
        <is>
          <t xml:space="preserve">Net P&amp;L on notional, $</t>
        </is>
      </c>
      <c r="B430" s="0" t="inlineStr">
        <is>
          <t xml:space="preserve">Analyst Revision Momentum</t>
        </is>
      </c>
      <c r="C430" s="8">
        <f>IF((1=1),((C80/10000)*'Assumptions (edit)'!B7),"")</f>
        <v>-162.85</v>
      </c>
      <c r="D430" s="8">
        <f>IF((0=1),((D80/10000)*'Assumptions (edit)'!B7),"")</f>
      </c>
      <c r="E430" s="8">
        <f>IF((0=1),((E80/10000)*'Assumptions (edit)'!B7),"")</f>
      </c>
      <c r="F430" s="8">
        <f>IF((0=1),((F80/10000)*'Assumptions (edit)'!B7),"")</f>
      </c>
      <c r="G430" s="8">
        <f>IF((0=1),((G80/10000)*'Assumptions (edit)'!B7),"")</f>
      </c>
      <c r="H430" s="8">
        <f>IF((0=1),((H80/10000)*'Assumptions (edit)'!B7),"")</f>
      </c>
      <c r="I430" s="8">
        <f>IF((0=1),((I80/10000)*'Assumptions (edit)'!B7),"")</f>
      </c>
      <c r="J430" s="8">
        <f>IF((0=1),((J80/10000)*'Assumptions (edit)'!B7),"")</f>
      </c>
      <c r="K430" s="8">
        <f>IF((0=1),((K80/10000)*'Assumptions (edit)'!B7),"")</f>
      </c>
      <c r="L430" s="8">
        <f>IF((0=1),((L80/10000)*'Assumptions (edit)'!B7),"")</f>
      </c>
      <c r="M430" s="8">
        <f>IF((0=1),((M80/10000)*'Assumptions (edit)'!B7),"")</f>
      </c>
      <c r="N430" s="8">
        <f>IF((0=1),((N80/10000)*'Assumptions (edit)'!B7),"")</f>
      </c>
      <c r="O430" s="8">
        <f>IF((0=1),((O80/10000)*'Assumptions (edit)'!B7),"")</f>
      </c>
      <c r="P430" s="8">
        <f>IF((0=1),((P80/10000)*'Assumptions (edit)'!B7),"")</f>
      </c>
      <c r="Q430" s="8">
        <f>IF((0=1),((Q80/10000)*'Assumptions (edit)'!B7),"")</f>
      </c>
      <c r="R430" s="8">
        <f>IF((0=1),((R80/10000)*'Assumptions (edit)'!B7),"")</f>
      </c>
      <c r="S430" s="8">
        <f>IF((0=1),((S80/10000)*'Assumptions (edit)'!B7),"")</f>
      </c>
      <c r="T430" s="8">
        <f>IF((0=1),((T80/10000)*'Assumptions (edit)'!B7),"")</f>
      </c>
      <c r="U430" s="8">
        <f>IF((0=1),((U80/10000)*'Assumptions (edit)'!B7),"")</f>
      </c>
      <c r="V430" s="8">
        <f>IF((0=1),((V80/10000)*'Assumptions (edit)'!B7),"")</f>
      </c>
      <c r="W430" s="8">
        <f>IF((0=1),((W80/10000)*'Assumptions (edit)'!B7),"")</f>
      </c>
      <c r="X430" s="8">
        <f>IF((0=1),((X80/10000)*'Assumptions (edit)'!B7),"")</f>
      </c>
      <c r="Y430" s="8">
        <f>IF((0=1),((Y80/10000)*'Assumptions (edit)'!B7),"")</f>
      </c>
      <c r="Z430" s="8">
        <f>IF((0=1),((Z80/10000)*'Assumptions (edit)'!B7),"")</f>
      </c>
      <c r="AA430" s="8">
        <f>IF((0=1),((AA80/10000)*'Assumptions (edit)'!B7),"")</f>
      </c>
      <c r="AB430" s="8">
        <f>IF((0=1),((AB80/10000)*'Assumptions (edit)'!B7),"")</f>
      </c>
      <c r="AC430" s="8">
        <f>IF((0=1),((AC80/10000)*'Assumptions (edit)'!B7),"")</f>
      </c>
      <c r="AD430" s="8">
        <f>IF((0=1),((AD80/10000)*'Assumptions (edit)'!B7),"")</f>
      </c>
      <c r="AE430" s="8">
        <f>IF((0=1),((AE80/10000)*'Assumptions (edit)'!B7),"")</f>
      </c>
      <c r="AF430" s="8">
        <f>IF((0=1),((AF80/10000)*'Assumptions (edit)'!B7),"")</f>
      </c>
      <c r="AG430" s="8">
        <f>IF((0=1),((AG80/10000)*'Assumptions (edit)'!B7),"")</f>
      </c>
      <c r="AH430" s="8">
        <f>IF((0=1),((AH80/10000)*'Assumptions (edit)'!B7),"")</f>
      </c>
      <c r="AI430" s="8">
        <f>IF((0=1),((AI80/10000)*'Assumptions (edit)'!B7),"")</f>
      </c>
      <c r="AJ430" s="8">
        <f>IF((0=1),((AJ80/10000)*'Assumptions (edit)'!B7),"")</f>
      </c>
      <c r="AK430" s="8">
        <f>IF((0=1),((AK80/10000)*'Assumptions (edit)'!B7),"")</f>
      </c>
      <c r="AL430" s="8">
        <f>IF((0=1),((AL80/10000)*'Assumptions (edit)'!B7),"")</f>
      </c>
      <c r="AM430" s="8">
        <f>IF((0=1),((AM80/10000)*'Assumptions (edit)'!B7),"")</f>
      </c>
      <c r="AN430" s="8">
        <f>IF((0=1),((AN80/10000)*'Assumptions (edit)'!B7),"")</f>
      </c>
      <c r="AO430" s="8">
        <f>IF((0=1),((AO80/10000)*'Assumptions (edit)'!B7),"")</f>
      </c>
      <c r="AP430" s="8">
        <f>IF((0=1),((AP80/10000)*'Assumptions (edit)'!B7),"")</f>
      </c>
      <c r="AQ430" s="8">
        <f>IF((0=1),((AQ80/10000)*'Assumptions (edit)'!B7),"")</f>
      </c>
      <c r="AR430" s="8">
        <f>IF((0=1),((AR80/10000)*'Assumptions (edit)'!B7),"")</f>
      </c>
      <c r="AS430" s="8">
        <f>IF((0=1),((AS80/10000)*'Assumptions (edit)'!B7),"")</f>
      </c>
      <c r="AT430" s="8">
        <f>IF((0=1),((AT80/10000)*'Assumptions (edit)'!B7),"")</f>
      </c>
      <c r="AU430" s="8">
        <f>IF((0=1),((AU80/10000)*'Assumptions (edit)'!B7),"")</f>
      </c>
      <c r="AV430" s="8">
        <f>IF((0=1),((AV80/10000)*'Assumptions (edit)'!B7),"")</f>
      </c>
      <c r="AW430" s="8">
        <f>IF((0=1),((AW80/10000)*'Assumptions (edit)'!B7),"")</f>
      </c>
      <c r="AX430" s="8">
        <f>IF((0=1),((AX80/10000)*'Assumptions (edit)'!B7),"")</f>
      </c>
      <c r="AY430" s="8">
        <f>IF((0=1),((AY80/10000)*'Assumptions (edit)'!B7),"")</f>
      </c>
      <c r="AZ430" s="8">
        <f>IF((0=1),((AZ80/10000)*'Assumptions (edit)'!B7),"")</f>
      </c>
      <c r="BA430" s="8">
        <f>IF((0=1),((BA80/10000)*'Assumptions (edit)'!B7),"")</f>
      </c>
      <c r="BB430" s="8">
        <f>IF((0=1),((BB80/10000)*'Assumptions (edit)'!B7),"")</f>
      </c>
      <c r="BC430" s="8">
        <f>IF((0=1),((BC80/10000)*'Assumptions (edit)'!B7),"")</f>
      </c>
      <c r="BD430" s="8">
        <f>IF((0=1),((BD80/10000)*'Assumptions (edit)'!B7),"")</f>
      </c>
      <c r="BE430" s="8">
        <f>IF((0=1),((BE80/10000)*'Assumptions (edit)'!B7),"")</f>
      </c>
      <c r="BF430" s="8">
        <f>IF((0=1),((BF80/10000)*'Assumptions (edit)'!B7),"")</f>
      </c>
      <c r="BG430" s="8">
        <f>IF((0=1),((BG80/10000)*'Assumptions (edit)'!B7),"")</f>
      </c>
      <c r="BH430" s="8">
        <f>IF((0=1),((BH80/10000)*'Assumptions (edit)'!B7),"")</f>
      </c>
      <c r="BI430" s="8">
        <f>IF((0=1),((BI80/10000)*'Assumptions (edit)'!B7),"")</f>
      </c>
      <c r="BJ430" s="8">
        <f>IF((0=1),((BJ80/10000)*'Assumptions (edit)'!B7),"")</f>
      </c>
      <c r="BK430" s="8">
        <f>IF((0=1),((BK80/10000)*'Assumptions (edit)'!B7),"")</f>
      </c>
      <c r="BL430" s="8">
        <f>IF((0=1),((BL80/10000)*'Assumptions (edit)'!B7),"")</f>
      </c>
      <c r="BM430" s="8">
        <f>IF((0=1),((BM80/10000)*'Assumptions (edit)'!B7),"")</f>
      </c>
      <c r="BN430" s="8">
        <f>IF((0=1),((BN80/10000)*'Assumptions (edit)'!B7),"")</f>
      </c>
      <c r="BO430" s="8">
        <f>IF((0=1),((BO80/10000)*'Assumptions (edit)'!B7),"")</f>
      </c>
      <c r="BP430" s="8">
        <f>IF((0=1),((BP80/10000)*'Assumptions (edit)'!B7),"")</f>
      </c>
      <c r="BQ430" s="8">
        <f>IF((0=1),((BQ80/10000)*'Assumptions (edit)'!B7),"")</f>
      </c>
      <c r="BR430" s="8">
        <f>IF((0=1),((BR80/10000)*'Assumptions (edit)'!B7),"")</f>
      </c>
      <c r="BS430" s="8">
        <f>IF((0=1),((BS80/10000)*'Assumptions (edit)'!B7),"")</f>
      </c>
      <c r="BT430" s="8">
        <f>IF((0=1),((BT80/10000)*'Assumptions (edit)'!B7),"")</f>
      </c>
      <c r="BU430" s="8">
        <f>IF((0=1),((BU80/10000)*'Assumptions (edit)'!B7),"")</f>
      </c>
      <c r="BV430" s="8">
        <f>IF((0=1),((BV80/10000)*'Assumptions (edit)'!B7),"")</f>
      </c>
      <c r="BW430" s="8">
        <f>IF((0=1),((BW80/10000)*'Assumptions (edit)'!B7),"")</f>
      </c>
      <c r="BX430" s="8">
        <f>IF((0=1),((BX80/10000)*'Assumptions (edit)'!B7),"")</f>
      </c>
      <c r="BY430" s="8">
        <f>IF((0=1),((BY80/10000)*'Assumptions (edit)'!B7),"")</f>
      </c>
      <c r="BZ430" s="8">
        <f>IF((0=1),((BZ80/10000)*'Assumptions (edit)'!B7),"")</f>
      </c>
      <c r="CA430" s="8">
        <f>IF((0=1),((CA80/10000)*'Assumptions (edit)'!B7),"")</f>
      </c>
      <c r="CB430" s="8">
        <f>IF((0=1),((CB80/10000)*'Assumptions (edit)'!B7),"")</f>
      </c>
      <c r="CC430" s="8">
        <f>IF((0=1),((CC80/10000)*'Assumptions (edit)'!B7),"")</f>
      </c>
      <c r="CD430" s="8">
        <f>IF((0=1),((CD80/10000)*'Assumptions (edit)'!B7),"")</f>
      </c>
      <c r="CE430" s="8">
        <f>IF((0=1),((CE80/10000)*'Assumptions (edit)'!B7),"")</f>
      </c>
      <c r="CF430" s="8">
        <f>IF((0=1),((CF80/10000)*'Assumptions (edit)'!B7),"")</f>
      </c>
      <c r="CG430" s="8">
        <f>IF((0=1),((CG80/10000)*'Assumptions (edit)'!B7),"")</f>
      </c>
      <c r="CH430" s="8">
        <f>IF((0=1),((CH80/10000)*'Assumptions (edit)'!B7),"")</f>
      </c>
      <c r="CI430" s="8">
        <f>IF((0=1),((CI80/10000)*'Assumptions (edit)'!B7),"")</f>
      </c>
      <c r="CJ430" s="8">
        <f>IF((0=1),((CJ80/10000)*'Assumptions (edit)'!B7),"")</f>
      </c>
      <c r="CK430" s="8">
        <f>IF((0=1),((CK80/10000)*'Assumptions (edit)'!B7),"")</f>
      </c>
      <c r="CL430" s="8">
        <f>IF((0=1),((CL80/10000)*'Assumptions (edit)'!B7),"")</f>
      </c>
      <c r="CM430" s="8">
        <f>IF((0=1),((CM80/10000)*'Assumptions (edit)'!B7),"")</f>
      </c>
      <c r="CN430" s="8">
        <f>IF((0=1),((CN80/10000)*'Assumptions (edit)'!B7),"")</f>
      </c>
      <c r="CO430" s="8">
        <f>IF((0=1),((CO80/10000)*'Assumptions (edit)'!B7),"")</f>
      </c>
      <c r="CP430" s="8">
        <f>IF((0=1),((CP80/10000)*'Assumptions (edit)'!B7),"")</f>
      </c>
      <c r="CQ430" s="8">
        <f>IF((0=1),((CQ80/10000)*'Assumptions (edit)'!B7),"")</f>
      </c>
      <c r="CR430" s="8">
        <f>IF((0=1),((CR80/10000)*'Assumptions (edit)'!B7),"")</f>
      </c>
      <c r="CS430" s="8">
        <f>IF((0=1),((CS80/10000)*'Assumptions (edit)'!B7),"")</f>
      </c>
      <c r="CT430" s="8">
        <f>IF((0=1),((CT80/10000)*'Assumptions (edit)'!B7),"")</f>
      </c>
      <c r="CU430" s="8">
        <f>IF((0=1),((CU80/10000)*'Assumptions (edit)'!B7),"")</f>
      </c>
      <c r="CV430" s="8">
        <f>IF((0=1),((CV80/10000)*'Assumptions (edit)'!B7),"")</f>
      </c>
      <c r="CW430" s="8">
        <f>IF((0=1),((CW80/10000)*'Assumptions (edit)'!B7),"")</f>
      </c>
      <c r="CX430" s="8">
        <f>IF((0=1),((CX80/10000)*'Assumptions (edit)'!B7),"")</f>
      </c>
    </row>
    <row r="431">
      <c r="A431" s="0" t="inlineStr">
        <is>
          <t xml:space="preserve">Net P&amp;L on notional, $</t>
        </is>
      </c>
      <c r="B431" s="0" t="inlineStr">
        <is>
          <t xml:space="preserve">Clustered Insider Buying</t>
        </is>
      </c>
      <c r="C431" s="8">
        <f>IF((1=1),((C81/10000)*'Assumptions (edit)'!B7),"")</f>
        <v>41.95</v>
      </c>
      <c r="D431" s="8">
        <f>IF((0=1),((D81/10000)*'Assumptions (edit)'!B7),"")</f>
      </c>
      <c r="E431" s="8">
        <f>IF((0=1),((E81/10000)*'Assumptions (edit)'!B7),"")</f>
      </c>
      <c r="F431" s="8">
        <f>IF((0=1),((F81/10000)*'Assumptions (edit)'!B7),"")</f>
      </c>
      <c r="G431" s="8">
        <f>IF((0=1),((G81/10000)*'Assumptions (edit)'!B7),"")</f>
      </c>
      <c r="H431" s="8">
        <f>IF((0=1),((H81/10000)*'Assumptions (edit)'!B7),"")</f>
      </c>
      <c r="I431" s="8">
        <f>IF((0=1),((I81/10000)*'Assumptions (edit)'!B7),"")</f>
      </c>
      <c r="J431" s="8">
        <f>IF((0=1),((J81/10000)*'Assumptions (edit)'!B7),"")</f>
      </c>
      <c r="K431" s="8">
        <f>IF((0=1),((K81/10000)*'Assumptions (edit)'!B7),"")</f>
      </c>
      <c r="L431" s="8">
        <f>IF((0=1),((L81/10000)*'Assumptions (edit)'!B7),"")</f>
      </c>
      <c r="M431" s="8">
        <f>IF((0=1),((M81/10000)*'Assumptions (edit)'!B7),"")</f>
      </c>
      <c r="N431" s="8">
        <f>IF((0=1),((N81/10000)*'Assumptions (edit)'!B7),"")</f>
      </c>
      <c r="O431" s="8">
        <f>IF((0=1),((O81/10000)*'Assumptions (edit)'!B7),"")</f>
      </c>
      <c r="P431" s="8">
        <f>IF((0=1),((P81/10000)*'Assumptions (edit)'!B7),"")</f>
      </c>
      <c r="Q431" s="8">
        <f>IF((0=1),((Q81/10000)*'Assumptions (edit)'!B7),"")</f>
      </c>
      <c r="R431" s="8">
        <f>IF((0=1),((R81/10000)*'Assumptions (edit)'!B7),"")</f>
      </c>
      <c r="S431" s="8">
        <f>IF((0=1),((S81/10000)*'Assumptions (edit)'!B7),"")</f>
      </c>
      <c r="T431" s="8">
        <f>IF((0=1),((T81/10000)*'Assumptions (edit)'!B7),"")</f>
      </c>
      <c r="U431" s="8">
        <f>IF((0=1),((U81/10000)*'Assumptions (edit)'!B7),"")</f>
      </c>
      <c r="V431" s="8">
        <f>IF((0=1),((V81/10000)*'Assumptions (edit)'!B7),"")</f>
      </c>
      <c r="W431" s="8">
        <f>IF((0=1),((W81/10000)*'Assumptions (edit)'!B7),"")</f>
      </c>
      <c r="X431" s="8">
        <f>IF((0=1),((X81/10000)*'Assumptions (edit)'!B7),"")</f>
      </c>
      <c r="Y431" s="8">
        <f>IF((0=1),((Y81/10000)*'Assumptions (edit)'!B7),"")</f>
      </c>
      <c r="Z431" s="8">
        <f>IF((0=1),((Z81/10000)*'Assumptions (edit)'!B7),"")</f>
      </c>
      <c r="AA431" s="8">
        <f>IF((0=1),((AA81/10000)*'Assumptions (edit)'!B7),"")</f>
      </c>
      <c r="AB431" s="8">
        <f>IF((0=1),((AB81/10000)*'Assumptions (edit)'!B7),"")</f>
      </c>
      <c r="AC431" s="8">
        <f>IF((0=1),((AC81/10000)*'Assumptions (edit)'!B7),"")</f>
      </c>
      <c r="AD431" s="8">
        <f>IF((0=1),((AD81/10000)*'Assumptions (edit)'!B7),"")</f>
      </c>
      <c r="AE431" s="8">
        <f>IF((0=1),((AE81/10000)*'Assumptions (edit)'!B7),"")</f>
      </c>
      <c r="AF431" s="8">
        <f>IF((0=1),((AF81/10000)*'Assumptions (edit)'!B7),"")</f>
      </c>
      <c r="AG431" s="8">
        <f>IF((0=1),((AG81/10000)*'Assumptions (edit)'!B7),"")</f>
      </c>
      <c r="AH431" s="8">
        <f>IF((0=1),((AH81/10000)*'Assumptions (edit)'!B7),"")</f>
      </c>
      <c r="AI431" s="8">
        <f>IF((0=1),((AI81/10000)*'Assumptions (edit)'!B7),"")</f>
      </c>
      <c r="AJ431" s="8">
        <f>IF((0=1),((AJ81/10000)*'Assumptions (edit)'!B7),"")</f>
      </c>
      <c r="AK431" s="8">
        <f>IF((0=1),((AK81/10000)*'Assumptions (edit)'!B7),"")</f>
      </c>
      <c r="AL431" s="8">
        <f>IF((0=1),((AL81/10000)*'Assumptions (edit)'!B7),"")</f>
      </c>
      <c r="AM431" s="8">
        <f>IF((0=1),((AM81/10000)*'Assumptions (edit)'!B7),"")</f>
      </c>
      <c r="AN431" s="8">
        <f>IF((0=1),((AN81/10000)*'Assumptions (edit)'!B7),"")</f>
      </c>
      <c r="AO431" s="8">
        <f>IF((0=1),((AO81/10000)*'Assumptions (edit)'!B7),"")</f>
      </c>
      <c r="AP431" s="8">
        <f>IF((0=1),((AP81/10000)*'Assumptions (edit)'!B7),"")</f>
      </c>
      <c r="AQ431" s="8">
        <f>IF((0=1),((AQ81/10000)*'Assumptions (edit)'!B7),"")</f>
      </c>
      <c r="AR431" s="8">
        <f>IF((0=1),((AR81/10000)*'Assumptions (edit)'!B7),"")</f>
      </c>
      <c r="AS431" s="8">
        <f>IF((0=1),((AS81/10000)*'Assumptions (edit)'!B7),"")</f>
      </c>
      <c r="AT431" s="8">
        <f>IF((0=1),((AT81/10000)*'Assumptions (edit)'!B7),"")</f>
      </c>
      <c r="AU431" s="8">
        <f>IF((0=1),((AU81/10000)*'Assumptions (edit)'!B7),"")</f>
      </c>
      <c r="AV431" s="8">
        <f>IF((0=1),((AV81/10000)*'Assumptions (edit)'!B7),"")</f>
      </c>
      <c r="AW431" s="8">
        <f>IF((0=1),((AW81/10000)*'Assumptions (edit)'!B7),"")</f>
      </c>
      <c r="AX431" s="8">
        <f>IF((0=1),((AX81/10000)*'Assumptions (edit)'!B7),"")</f>
      </c>
      <c r="AY431" s="8">
        <f>IF((0=1),((AY81/10000)*'Assumptions (edit)'!B7),"")</f>
      </c>
      <c r="AZ431" s="8">
        <f>IF((0=1),((AZ81/10000)*'Assumptions (edit)'!B7),"")</f>
      </c>
      <c r="BA431" s="8">
        <f>IF((0=1),((BA81/10000)*'Assumptions (edit)'!B7),"")</f>
      </c>
      <c r="BB431" s="8">
        <f>IF((0=1),((BB81/10000)*'Assumptions (edit)'!B7),"")</f>
      </c>
      <c r="BC431" s="8">
        <f>IF((0=1),((BC81/10000)*'Assumptions (edit)'!B7),"")</f>
      </c>
      <c r="BD431" s="8">
        <f>IF((0=1),((BD81/10000)*'Assumptions (edit)'!B7),"")</f>
      </c>
      <c r="BE431" s="8">
        <f>IF((0=1),((BE81/10000)*'Assumptions (edit)'!B7),"")</f>
      </c>
      <c r="BF431" s="8">
        <f>IF((0=1),((BF81/10000)*'Assumptions (edit)'!B7),"")</f>
      </c>
      <c r="BG431" s="8">
        <f>IF((0=1),((BG81/10000)*'Assumptions (edit)'!B7),"")</f>
      </c>
      <c r="BH431" s="8">
        <f>IF((0=1),((BH81/10000)*'Assumptions (edit)'!B7),"")</f>
      </c>
      <c r="BI431" s="8">
        <f>IF((0=1),((BI81/10000)*'Assumptions (edit)'!B7),"")</f>
      </c>
      <c r="BJ431" s="8">
        <f>IF((0=1),((BJ81/10000)*'Assumptions (edit)'!B7),"")</f>
      </c>
      <c r="BK431" s="8">
        <f>IF((0=1),((BK81/10000)*'Assumptions (edit)'!B7),"")</f>
      </c>
      <c r="BL431" s="8">
        <f>IF((0=1),((BL81/10000)*'Assumptions (edit)'!B7),"")</f>
      </c>
      <c r="BM431" s="8">
        <f>IF((0=1),((BM81/10000)*'Assumptions (edit)'!B7),"")</f>
      </c>
      <c r="BN431" s="8">
        <f>IF((0=1),((BN81/10000)*'Assumptions (edit)'!B7),"")</f>
      </c>
      <c r="BO431" s="8">
        <f>IF((0=1),((BO81/10000)*'Assumptions (edit)'!B7),"")</f>
      </c>
      <c r="BP431" s="8">
        <f>IF((0=1),((BP81/10000)*'Assumptions (edit)'!B7),"")</f>
      </c>
      <c r="BQ431" s="8">
        <f>IF((0=1),((BQ81/10000)*'Assumptions (edit)'!B7),"")</f>
      </c>
      <c r="BR431" s="8">
        <f>IF((0=1),((BR81/10000)*'Assumptions (edit)'!B7),"")</f>
      </c>
      <c r="BS431" s="8">
        <f>IF((0=1),((BS81/10000)*'Assumptions (edit)'!B7),"")</f>
      </c>
      <c r="BT431" s="8">
        <f>IF((0=1),((BT81/10000)*'Assumptions (edit)'!B7),"")</f>
      </c>
      <c r="BU431" s="8">
        <f>IF((0=1),((BU81/10000)*'Assumptions (edit)'!B7),"")</f>
      </c>
      <c r="BV431" s="8">
        <f>IF((0=1),((BV81/10000)*'Assumptions (edit)'!B7),"")</f>
      </c>
      <c r="BW431" s="8">
        <f>IF((0=1),((BW81/10000)*'Assumptions (edit)'!B7),"")</f>
      </c>
      <c r="BX431" s="8">
        <f>IF((0=1),((BX81/10000)*'Assumptions (edit)'!B7),"")</f>
      </c>
      <c r="BY431" s="8">
        <f>IF((0=1),((BY81/10000)*'Assumptions (edit)'!B7),"")</f>
      </c>
      <c r="BZ431" s="8">
        <f>IF((0=1),((BZ81/10000)*'Assumptions (edit)'!B7),"")</f>
      </c>
      <c r="CA431" s="8">
        <f>IF((0=1),((CA81/10000)*'Assumptions (edit)'!B7),"")</f>
      </c>
      <c r="CB431" s="8">
        <f>IF((0=1),((CB81/10000)*'Assumptions (edit)'!B7),"")</f>
      </c>
      <c r="CC431" s="8">
        <f>IF((0=1),((CC81/10000)*'Assumptions (edit)'!B7),"")</f>
      </c>
      <c r="CD431" s="8">
        <f>IF((0=1),((CD81/10000)*'Assumptions (edit)'!B7),"")</f>
      </c>
      <c r="CE431" s="8">
        <f>IF((0=1),((CE81/10000)*'Assumptions (edit)'!B7),"")</f>
      </c>
      <c r="CF431" s="8">
        <f>IF((0=1),((CF81/10000)*'Assumptions (edit)'!B7),"")</f>
      </c>
      <c r="CG431" s="8">
        <f>IF((0=1),((CG81/10000)*'Assumptions (edit)'!B7),"")</f>
      </c>
      <c r="CH431" s="8">
        <f>IF((0=1),((CH81/10000)*'Assumptions (edit)'!B7),"")</f>
      </c>
      <c r="CI431" s="8">
        <f>IF((0=1),((CI81/10000)*'Assumptions (edit)'!B7),"")</f>
      </c>
      <c r="CJ431" s="8">
        <f>IF((0=1),((CJ81/10000)*'Assumptions (edit)'!B7),"")</f>
      </c>
      <c r="CK431" s="8">
        <f>IF((0=1),((CK81/10000)*'Assumptions (edit)'!B7),"")</f>
      </c>
      <c r="CL431" s="8">
        <f>IF((0=1),((CL81/10000)*'Assumptions (edit)'!B7),"")</f>
      </c>
      <c r="CM431" s="8">
        <f>IF((0=1),((CM81/10000)*'Assumptions (edit)'!B7),"")</f>
      </c>
      <c r="CN431" s="8">
        <f>IF((0=1),((CN81/10000)*'Assumptions (edit)'!B7),"")</f>
      </c>
      <c r="CO431" s="8">
        <f>IF((0=1),((CO81/10000)*'Assumptions (edit)'!B7),"")</f>
      </c>
      <c r="CP431" s="8">
        <f>IF((0=1),((CP81/10000)*'Assumptions (edit)'!B7),"")</f>
      </c>
      <c r="CQ431" s="8">
        <f>IF((0=1),((CQ81/10000)*'Assumptions (edit)'!B7),"")</f>
      </c>
      <c r="CR431" s="8">
        <f>IF((0=1),((CR81/10000)*'Assumptions (edit)'!B7),"")</f>
      </c>
      <c r="CS431" s="8">
        <f>IF((0=1),((CS81/10000)*'Assumptions (edit)'!B7),"")</f>
      </c>
      <c r="CT431" s="8">
        <f>IF((0=1),((CT81/10000)*'Assumptions (edit)'!B7),"")</f>
      </c>
      <c r="CU431" s="8">
        <f>IF((0=1),((CU81/10000)*'Assumptions (edit)'!B7),"")</f>
      </c>
      <c r="CV431" s="8">
        <f>IF((0=1),((CV81/10000)*'Assumptions (edit)'!B7),"")</f>
      </c>
      <c r="CW431" s="8">
        <f>IF((0=1),((CW81/10000)*'Assumptions (edit)'!B7),"")</f>
      </c>
      <c r="CX431" s="8">
        <f>IF((0=1),((CX81/10000)*'Assumptions (edit)'!B7),"")</f>
      </c>
    </row>
    <row r="432">
      <c r="A432" s="0" t="inlineStr">
        <is>
          <t xml:space="preserve">Net P&amp;L on notional, $</t>
        </is>
      </c>
      <c r="B432" s="0" t="inlineStr">
        <is>
          <t xml:space="preserve">Same-Month Seasonality</t>
        </is>
      </c>
      <c r="C432" s="8">
        <f>IF((1=1),((C82/10000)*'Assumptions (edit)'!B7),"")</f>
        <v>-182.98000000000002</v>
      </c>
      <c r="D432" s="8">
        <f>IF((0=1),((D82/10000)*'Assumptions (edit)'!B7),"")</f>
      </c>
      <c r="E432" s="8">
        <f>IF((0=1),((E82/10000)*'Assumptions (edit)'!B7),"")</f>
      </c>
      <c r="F432" s="8">
        <f>IF((0=1),((F82/10000)*'Assumptions (edit)'!B7),"")</f>
      </c>
      <c r="G432" s="8">
        <f>IF((0=1),((G82/10000)*'Assumptions (edit)'!B7),"")</f>
      </c>
      <c r="H432" s="8">
        <f>IF((0=1),((H82/10000)*'Assumptions (edit)'!B7),"")</f>
      </c>
      <c r="I432" s="8">
        <f>IF((0=1),((I82/10000)*'Assumptions (edit)'!B7),"")</f>
      </c>
      <c r="J432" s="8">
        <f>IF((0=1),((J82/10000)*'Assumptions (edit)'!B7),"")</f>
      </c>
      <c r="K432" s="8">
        <f>IF((0=1),((K82/10000)*'Assumptions (edit)'!B7),"")</f>
      </c>
      <c r="L432" s="8">
        <f>IF((0=1),((L82/10000)*'Assumptions (edit)'!B7),"")</f>
      </c>
      <c r="M432" s="8">
        <f>IF((0=1),((M82/10000)*'Assumptions (edit)'!B7),"")</f>
      </c>
      <c r="N432" s="8">
        <f>IF((0=1),((N82/10000)*'Assumptions (edit)'!B7),"")</f>
      </c>
      <c r="O432" s="8">
        <f>IF((0=1),((O82/10000)*'Assumptions (edit)'!B7),"")</f>
      </c>
      <c r="P432" s="8">
        <f>IF((0=1),((P82/10000)*'Assumptions (edit)'!B7),"")</f>
      </c>
      <c r="Q432" s="8">
        <f>IF((0=1),((Q82/10000)*'Assumptions (edit)'!B7),"")</f>
      </c>
      <c r="R432" s="8">
        <f>IF((0=1),((R82/10000)*'Assumptions (edit)'!B7),"")</f>
      </c>
      <c r="S432" s="8">
        <f>IF((0=1),((S82/10000)*'Assumptions (edit)'!B7),"")</f>
      </c>
      <c r="T432" s="8">
        <f>IF((0=1),((T82/10000)*'Assumptions (edit)'!B7),"")</f>
      </c>
      <c r="U432" s="8">
        <f>IF((0=1),((U82/10000)*'Assumptions (edit)'!B7),"")</f>
      </c>
      <c r="V432" s="8">
        <f>IF((0=1),((V82/10000)*'Assumptions (edit)'!B7),"")</f>
      </c>
      <c r="W432" s="8">
        <f>IF((0=1),((W82/10000)*'Assumptions (edit)'!B7),"")</f>
      </c>
      <c r="X432" s="8">
        <f>IF((0=1),((X82/10000)*'Assumptions (edit)'!B7),"")</f>
      </c>
      <c r="Y432" s="8">
        <f>IF((0=1),((Y82/10000)*'Assumptions (edit)'!B7),"")</f>
      </c>
      <c r="Z432" s="8">
        <f>IF((0=1),((Z82/10000)*'Assumptions (edit)'!B7),"")</f>
      </c>
      <c r="AA432" s="8">
        <f>IF((0=1),((AA82/10000)*'Assumptions (edit)'!B7),"")</f>
      </c>
      <c r="AB432" s="8">
        <f>IF((0=1),((AB82/10000)*'Assumptions (edit)'!B7),"")</f>
      </c>
      <c r="AC432" s="8">
        <f>IF((0=1),((AC82/10000)*'Assumptions (edit)'!B7),"")</f>
      </c>
      <c r="AD432" s="8">
        <f>IF((0=1),((AD82/10000)*'Assumptions (edit)'!B7),"")</f>
      </c>
      <c r="AE432" s="8">
        <f>IF((0=1),((AE82/10000)*'Assumptions (edit)'!B7),"")</f>
      </c>
      <c r="AF432" s="8">
        <f>IF((0=1),((AF82/10000)*'Assumptions (edit)'!B7),"")</f>
      </c>
      <c r="AG432" s="8">
        <f>IF((0=1),((AG82/10000)*'Assumptions (edit)'!B7),"")</f>
      </c>
      <c r="AH432" s="8">
        <f>IF((0=1),((AH82/10000)*'Assumptions (edit)'!B7),"")</f>
      </c>
      <c r="AI432" s="8">
        <f>IF((0=1),((AI82/10000)*'Assumptions (edit)'!B7),"")</f>
      </c>
      <c r="AJ432" s="8">
        <f>IF((0=1),((AJ82/10000)*'Assumptions (edit)'!B7),"")</f>
      </c>
      <c r="AK432" s="8">
        <f>IF((0=1),((AK82/10000)*'Assumptions (edit)'!B7),"")</f>
      </c>
      <c r="AL432" s="8">
        <f>IF((0=1),((AL82/10000)*'Assumptions (edit)'!B7),"")</f>
      </c>
      <c r="AM432" s="8">
        <f>IF((0=1),((AM82/10000)*'Assumptions (edit)'!B7),"")</f>
      </c>
      <c r="AN432" s="8">
        <f>IF((0=1),((AN82/10000)*'Assumptions (edit)'!B7),"")</f>
      </c>
      <c r="AO432" s="8">
        <f>IF((0=1),((AO82/10000)*'Assumptions (edit)'!B7),"")</f>
      </c>
      <c r="AP432" s="8">
        <f>IF((0=1),((AP82/10000)*'Assumptions (edit)'!B7),"")</f>
      </c>
      <c r="AQ432" s="8">
        <f>IF((0=1),((AQ82/10000)*'Assumptions (edit)'!B7),"")</f>
      </c>
      <c r="AR432" s="8">
        <f>IF((0=1),((AR82/10000)*'Assumptions (edit)'!B7),"")</f>
      </c>
      <c r="AS432" s="8">
        <f>IF((0=1),((AS82/10000)*'Assumptions (edit)'!B7),"")</f>
      </c>
      <c r="AT432" s="8">
        <f>IF((0=1),((AT82/10000)*'Assumptions (edit)'!B7),"")</f>
      </c>
      <c r="AU432" s="8">
        <f>IF((0=1),((AU82/10000)*'Assumptions (edit)'!B7),"")</f>
      </c>
      <c r="AV432" s="8">
        <f>IF((0=1),((AV82/10000)*'Assumptions (edit)'!B7),"")</f>
      </c>
      <c r="AW432" s="8">
        <f>IF((0=1),((AW82/10000)*'Assumptions (edit)'!B7),"")</f>
      </c>
      <c r="AX432" s="8">
        <f>IF((0=1),((AX82/10000)*'Assumptions (edit)'!B7),"")</f>
      </c>
      <c r="AY432" s="8">
        <f>IF((0=1),((AY82/10000)*'Assumptions (edit)'!B7),"")</f>
      </c>
      <c r="AZ432" s="8">
        <f>IF((0=1),((AZ82/10000)*'Assumptions (edit)'!B7),"")</f>
      </c>
      <c r="BA432" s="8">
        <f>IF((0=1),((BA82/10000)*'Assumptions (edit)'!B7),"")</f>
      </c>
      <c r="BB432" s="8">
        <f>IF((0=1),((BB82/10000)*'Assumptions (edit)'!B7),"")</f>
      </c>
      <c r="BC432" s="8">
        <f>IF((0=1),((BC82/10000)*'Assumptions (edit)'!B7),"")</f>
      </c>
      <c r="BD432" s="8">
        <f>IF((0=1),((BD82/10000)*'Assumptions (edit)'!B7),"")</f>
      </c>
      <c r="BE432" s="8">
        <f>IF((0=1),((BE82/10000)*'Assumptions (edit)'!B7),"")</f>
      </c>
      <c r="BF432" s="8">
        <f>IF((0=1),((BF82/10000)*'Assumptions (edit)'!B7),"")</f>
      </c>
      <c r="BG432" s="8">
        <f>IF((0=1),((BG82/10000)*'Assumptions (edit)'!B7),"")</f>
      </c>
      <c r="BH432" s="8">
        <f>IF((0=1),((BH82/10000)*'Assumptions (edit)'!B7),"")</f>
      </c>
      <c r="BI432" s="8">
        <f>IF((0=1),((BI82/10000)*'Assumptions (edit)'!B7),"")</f>
      </c>
      <c r="BJ432" s="8">
        <f>IF((0=1),((BJ82/10000)*'Assumptions (edit)'!B7),"")</f>
      </c>
      <c r="BK432" s="8">
        <f>IF((0=1),((BK82/10000)*'Assumptions (edit)'!B7),"")</f>
      </c>
      <c r="BL432" s="8">
        <f>IF((0=1),((BL82/10000)*'Assumptions (edit)'!B7),"")</f>
      </c>
      <c r="BM432" s="8">
        <f>IF((0=1),((BM82/10000)*'Assumptions (edit)'!B7),"")</f>
      </c>
      <c r="BN432" s="8">
        <f>IF((0=1),((BN82/10000)*'Assumptions (edit)'!B7),"")</f>
      </c>
      <c r="BO432" s="8">
        <f>IF((0=1),((BO82/10000)*'Assumptions (edit)'!B7),"")</f>
      </c>
      <c r="BP432" s="8">
        <f>IF((0=1),((BP82/10000)*'Assumptions (edit)'!B7),"")</f>
      </c>
      <c r="BQ432" s="8">
        <f>IF((0=1),((BQ82/10000)*'Assumptions (edit)'!B7),"")</f>
      </c>
      <c r="BR432" s="8">
        <f>IF((0=1),((BR82/10000)*'Assumptions (edit)'!B7),"")</f>
      </c>
      <c r="BS432" s="8">
        <f>IF((0=1),((BS82/10000)*'Assumptions (edit)'!B7),"")</f>
      </c>
      <c r="BT432" s="8">
        <f>IF((0=1),((BT82/10000)*'Assumptions (edit)'!B7),"")</f>
      </c>
      <c r="BU432" s="8">
        <f>IF((0=1),((BU82/10000)*'Assumptions (edit)'!B7),"")</f>
      </c>
      <c r="BV432" s="8">
        <f>IF((0=1),((BV82/10000)*'Assumptions (edit)'!B7),"")</f>
      </c>
      <c r="BW432" s="8">
        <f>IF((0=1),((BW82/10000)*'Assumptions (edit)'!B7),"")</f>
      </c>
      <c r="BX432" s="8">
        <f>IF((0=1),((BX82/10000)*'Assumptions (edit)'!B7),"")</f>
      </c>
      <c r="BY432" s="8">
        <f>IF((0=1),((BY82/10000)*'Assumptions (edit)'!B7),"")</f>
      </c>
      <c r="BZ432" s="8">
        <f>IF((0=1),((BZ82/10000)*'Assumptions (edit)'!B7),"")</f>
      </c>
      <c r="CA432" s="8">
        <f>IF((0=1),((CA82/10000)*'Assumptions (edit)'!B7),"")</f>
      </c>
      <c r="CB432" s="8">
        <f>IF((0=1),((CB82/10000)*'Assumptions (edit)'!B7),"")</f>
      </c>
      <c r="CC432" s="8">
        <f>IF((0=1),((CC82/10000)*'Assumptions (edit)'!B7),"")</f>
      </c>
      <c r="CD432" s="8">
        <f>IF((0=1),((CD82/10000)*'Assumptions (edit)'!B7),"")</f>
      </c>
      <c r="CE432" s="8">
        <f>IF((0=1),((CE82/10000)*'Assumptions (edit)'!B7),"")</f>
      </c>
      <c r="CF432" s="8">
        <f>IF((0=1),((CF82/10000)*'Assumptions (edit)'!B7),"")</f>
      </c>
      <c r="CG432" s="8">
        <f>IF((0=1),((CG82/10000)*'Assumptions (edit)'!B7),"")</f>
      </c>
      <c r="CH432" s="8">
        <f>IF((0=1),((CH82/10000)*'Assumptions (edit)'!B7),"")</f>
      </c>
      <c r="CI432" s="8">
        <f>IF((0=1),((CI82/10000)*'Assumptions (edit)'!B7),"")</f>
      </c>
      <c r="CJ432" s="8">
        <f>IF((0=1),((CJ82/10000)*'Assumptions (edit)'!B7),"")</f>
      </c>
      <c r="CK432" s="8">
        <f>IF((0=1),((CK82/10000)*'Assumptions (edit)'!B7),"")</f>
      </c>
      <c r="CL432" s="8">
        <f>IF((0=1),((CL82/10000)*'Assumptions (edit)'!B7),"")</f>
      </c>
      <c r="CM432" s="8">
        <f>IF((0=1),((CM82/10000)*'Assumptions (edit)'!B7),"")</f>
      </c>
      <c r="CN432" s="8">
        <f>IF((0=1),((CN82/10000)*'Assumptions (edit)'!B7),"")</f>
      </c>
      <c r="CO432" s="8">
        <f>IF((0=1),((CO82/10000)*'Assumptions (edit)'!B7),"")</f>
      </c>
      <c r="CP432" s="8">
        <f>IF((0=1),((CP82/10000)*'Assumptions (edit)'!B7),"")</f>
      </c>
      <c r="CQ432" s="8">
        <f>IF((0=1),((CQ82/10000)*'Assumptions (edit)'!B7),"")</f>
      </c>
      <c r="CR432" s="8">
        <f>IF((0=1),((CR82/10000)*'Assumptions (edit)'!B7),"")</f>
      </c>
      <c r="CS432" s="8">
        <f>IF((0=1),((CS82/10000)*'Assumptions (edit)'!B7),"")</f>
      </c>
      <c r="CT432" s="8">
        <f>IF((0=1),((CT82/10000)*'Assumptions (edit)'!B7),"")</f>
      </c>
      <c r="CU432" s="8">
        <f>IF((0=1),((CU82/10000)*'Assumptions (edit)'!B7),"")</f>
      </c>
      <c r="CV432" s="8">
        <f>IF((0=1),((CV82/10000)*'Assumptions (edit)'!B7),"")</f>
      </c>
      <c r="CW432" s="8">
        <f>IF((0=1),((CW82/10000)*'Assumptions (edit)'!B7),"")</f>
      </c>
      <c r="CX432" s="8">
        <f>IF((0=1),((CX82/10000)*'Assumptions (edit)'!B7),"")</f>
      </c>
    </row>
    <row r="433">
      <c r="A433" s="0" t="inlineStr">
        <is>
          <t xml:space="preserve">Net P&amp;L on notional, $</t>
        </is>
      </c>
      <c r="B433" s="0" t="inlineStr">
        <is>
          <t xml:space="preserve">Quality at a Reasonable Price</t>
        </is>
      </c>
      <c r="C433" s="8">
        <f>IF((1=1),((C83/10000)*'Assumptions (edit)'!B7),"")</f>
        <v>1.899999999999995</v>
      </c>
      <c r="D433" s="8">
        <f>IF((0=1),((D83/10000)*'Assumptions (edit)'!B7),"")</f>
      </c>
      <c r="E433" s="8">
        <f>IF((0=1),((E83/10000)*'Assumptions (edit)'!B7),"")</f>
      </c>
      <c r="F433" s="8">
        <f>IF((0=1),((F83/10000)*'Assumptions (edit)'!B7),"")</f>
      </c>
      <c r="G433" s="8">
        <f>IF((0=1),((G83/10000)*'Assumptions (edit)'!B7),"")</f>
      </c>
      <c r="H433" s="8">
        <f>IF((0=1),((H83/10000)*'Assumptions (edit)'!B7),"")</f>
      </c>
      <c r="I433" s="8">
        <f>IF((0=1),((I83/10000)*'Assumptions (edit)'!B7),"")</f>
      </c>
      <c r="J433" s="8">
        <f>IF((0=1),((J83/10000)*'Assumptions (edit)'!B7),"")</f>
      </c>
      <c r="K433" s="8">
        <f>IF((0=1),((K83/10000)*'Assumptions (edit)'!B7),"")</f>
      </c>
      <c r="L433" s="8">
        <f>IF((0=1),((L83/10000)*'Assumptions (edit)'!B7),"")</f>
      </c>
      <c r="M433" s="8">
        <f>IF((0=1),((M83/10000)*'Assumptions (edit)'!B7),"")</f>
      </c>
      <c r="N433" s="8">
        <f>IF((0=1),((N83/10000)*'Assumptions (edit)'!B7),"")</f>
      </c>
      <c r="O433" s="8">
        <f>IF((0=1),((O83/10000)*'Assumptions (edit)'!B7),"")</f>
      </c>
      <c r="P433" s="8">
        <f>IF((0=1),((P83/10000)*'Assumptions (edit)'!B7),"")</f>
      </c>
      <c r="Q433" s="8">
        <f>IF((0=1),((Q83/10000)*'Assumptions (edit)'!B7),"")</f>
      </c>
      <c r="R433" s="8">
        <f>IF((0=1),((R83/10000)*'Assumptions (edit)'!B7),"")</f>
      </c>
      <c r="S433" s="8">
        <f>IF((0=1),((S83/10000)*'Assumptions (edit)'!B7),"")</f>
      </c>
      <c r="T433" s="8">
        <f>IF((0=1),((T83/10000)*'Assumptions (edit)'!B7),"")</f>
      </c>
      <c r="U433" s="8">
        <f>IF((0=1),((U83/10000)*'Assumptions (edit)'!B7),"")</f>
      </c>
      <c r="V433" s="8">
        <f>IF((0=1),((V83/10000)*'Assumptions (edit)'!B7),"")</f>
      </c>
      <c r="W433" s="8">
        <f>IF((0=1),((W83/10000)*'Assumptions (edit)'!B7),"")</f>
      </c>
      <c r="X433" s="8">
        <f>IF((0=1),((X83/10000)*'Assumptions (edit)'!B7),"")</f>
      </c>
      <c r="Y433" s="8">
        <f>IF((0=1),((Y83/10000)*'Assumptions (edit)'!B7),"")</f>
      </c>
      <c r="Z433" s="8">
        <f>IF((0=1),((Z83/10000)*'Assumptions (edit)'!B7),"")</f>
      </c>
      <c r="AA433" s="8">
        <f>IF((0=1),((AA83/10000)*'Assumptions (edit)'!B7),"")</f>
      </c>
      <c r="AB433" s="8">
        <f>IF((0=1),((AB83/10000)*'Assumptions (edit)'!B7),"")</f>
      </c>
      <c r="AC433" s="8">
        <f>IF((0=1),((AC83/10000)*'Assumptions (edit)'!B7),"")</f>
      </c>
      <c r="AD433" s="8">
        <f>IF((0=1),((AD83/10000)*'Assumptions (edit)'!B7),"")</f>
      </c>
      <c r="AE433" s="8">
        <f>IF((0=1),((AE83/10000)*'Assumptions (edit)'!B7),"")</f>
      </c>
      <c r="AF433" s="8">
        <f>IF((0=1),((AF83/10000)*'Assumptions (edit)'!B7),"")</f>
      </c>
      <c r="AG433" s="8">
        <f>IF((0=1),((AG83/10000)*'Assumptions (edit)'!B7),"")</f>
      </c>
      <c r="AH433" s="8">
        <f>IF((0=1),((AH83/10000)*'Assumptions (edit)'!B7),"")</f>
      </c>
      <c r="AI433" s="8">
        <f>IF((0=1),((AI83/10000)*'Assumptions (edit)'!B7),"")</f>
      </c>
      <c r="AJ433" s="8">
        <f>IF((0=1),((AJ83/10000)*'Assumptions (edit)'!B7),"")</f>
      </c>
      <c r="AK433" s="8">
        <f>IF((0=1),((AK83/10000)*'Assumptions (edit)'!B7),"")</f>
      </c>
      <c r="AL433" s="8">
        <f>IF((0=1),((AL83/10000)*'Assumptions (edit)'!B7),"")</f>
      </c>
      <c r="AM433" s="8">
        <f>IF((0=1),((AM83/10000)*'Assumptions (edit)'!B7),"")</f>
      </c>
      <c r="AN433" s="8">
        <f>IF((0=1),((AN83/10000)*'Assumptions (edit)'!B7),"")</f>
      </c>
      <c r="AO433" s="8">
        <f>IF((0=1),((AO83/10000)*'Assumptions (edit)'!B7),"")</f>
      </c>
      <c r="AP433" s="8">
        <f>IF((0=1),((AP83/10000)*'Assumptions (edit)'!B7),"")</f>
      </c>
      <c r="AQ433" s="8">
        <f>IF((0=1),((AQ83/10000)*'Assumptions (edit)'!B7),"")</f>
      </c>
      <c r="AR433" s="8">
        <f>IF((0=1),((AR83/10000)*'Assumptions (edit)'!B7),"")</f>
      </c>
      <c r="AS433" s="8">
        <f>IF((0=1),((AS83/10000)*'Assumptions (edit)'!B7),"")</f>
      </c>
      <c r="AT433" s="8">
        <f>IF((0=1),((AT83/10000)*'Assumptions (edit)'!B7),"")</f>
      </c>
      <c r="AU433" s="8">
        <f>IF((0=1),((AU83/10000)*'Assumptions (edit)'!B7),"")</f>
      </c>
      <c r="AV433" s="8">
        <f>IF((0=1),((AV83/10000)*'Assumptions (edit)'!B7),"")</f>
      </c>
      <c r="AW433" s="8">
        <f>IF((0=1),((AW83/10000)*'Assumptions (edit)'!B7),"")</f>
      </c>
      <c r="AX433" s="8">
        <f>IF((0=1),((AX83/10000)*'Assumptions (edit)'!B7),"")</f>
      </c>
      <c r="AY433" s="8">
        <f>IF((0=1),((AY83/10000)*'Assumptions (edit)'!B7),"")</f>
      </c>
      <c r="AZ433" s="8">
        <f>IF((0=1),((AZ83/10000)*'Assumptions (edit)'!B7),"")</f>
      </c>
      <c r="BA433" s="8">
        <f>IF((0=1),((BA83/10000)*'Assumptions (edit)'!B7),"")</f>
      </c>
      <c r="BB433" s="8">
        <f>IF((0=1),((BB83/10000)*'Assumptions (edit)'!B7),"")</f>
      </c>
      <c r="BC433" s="8">
        <f>IF((0=1),((BC83/10000)*'Assumptions (edit)'!B7),"")</f>
      </c>
      <c r="BD433" s="8">
        <f>IF((0=1),((BD83/10000)*'Assumptions (edit)'!B7),"")</f>
      </c>
      <c r="BE433" s="8">
        <f>IF((0=1),((BE83/10000)*'Assumptions (edit)'!B7),"")</f>
      </c>
      <c r="BF433" s="8">
        <f>IF((0=1),((BF83/10000)*'Assumptions (edit)'!B7),"")</f>
      </c>
      <c r="BG433" s="8">
        <f>IF((0=1),((BG83/10000)*'Assumptions (edit)'!B7),"")</f>
      </c>
      <c r="BH433" s="8">
        <f>IF((0=1),((BH83/10000)*'Assumptions (edit)'!B7),"")</f>
      </c>
      <c r="BI433" s="8">
        <f>IF((0=1),((BI83/10000)*'Assumptions (edit)'!B7),"")</f>
      </c>
      <c r="BJ433" s="8">
        <f>IF((0=1),((BJ83/10000)*'Assumptions (edit)'!B7),"")</f>
      </c>
      <c r="BK433" s="8">
        <f>IF((0=1),((BK83/10000)*'Assumptions (edit)'!B7),"")</f>
      </c>
      <c r="BL433" s="8">
        <f>IF((0=1),((BL83/10000)*'Assumptions (edit)'!B7),"")</f>
      </c>
      <c r="BM433" s="8">
        <f>IF((0=1),((BM83/10000)*'Assumptions (edit)'!B7),"")</f>
      </c>
      <c r="BN433" s="8">
        <f>IF((0=1),((BN83/10000)*'Assumptions (edit)'!B7),"")</f>
      </c>
      <c r="BO433" s="8">
        <f>IF((0=1),((BO83/10000)*'Assumptions (edit)'!B7),"")</f>
      </c>
      <c r="BP433" s="8">
        <f>IF((0=1),((BP83/10000)*'Assumptions (edit)'!B7),"")</f>
      </c>
      <c r="BQ433" s="8">
        <f>IF((0=1),((BQ83/10000)*'Assumptions (edit)'!B7),"")</f>
      </c>
      <c r="BR433" s="8">
        <f>IF((0=1),((BR83/10000)*'Assumptions (edit)'!B7),"")</f>
      </c>
      <c r="BS433" s="8">
        <f>IF((0=1),((BS83/10000)*'Assumptions (edit)'!B7),"")</f>
      </c>
      <c r="BT433" s="8">
        <f>IF((0=1),((BT83/10000)*'Assumptions (edit)'!B7),"")</f>
      </c>
      <c r="BU433" s="8">
        <f>IF((0=1),((BU83/10000)*'Assumptions (edit)'!B7),"")</f>
      </c>
      <c r="BV433" s="8">
        <f>IF((0=1),((BV83/10000)*'Assumptions (edit)'!B7),"")</f>
      </c>
      <c r="BW433" s="8">
        <f>IF((0=1),((BW83/10000)*'Assumptions (edit)'!B7),"")</f>
      </c>
      <c r="BX433" s="8">
        <f>IF((0=1),((BX83/10000)*'Assumptions (edit)'!B7),"")</f>
      </c>
      <c r="BY433" s="8">
        <f>IF((0=1),((BY83/10000)*'Assumptions (edit)'!B7),"")</f>
      </c>
      <c r="BZ433" s="8">
        <f>IF((0=1),((BZ83/10000)*'Assumptions (edit)'!B7),"")</f>
      </c>
      <c r="CA433" s="8">
        <f>IF((0=1),((CA83/10000)*'Assumptions (edit)'!B7),"")</f>
      </c>
      <c r="CB433" s="8">
        <f>IF((0=1),((CB83/10000)*'Assumptions (edit)'!B7),"")</f>
      </c>
      <c r="CC433" s="8">
        <f>IF((0=1),((CC83/10000)*'Assumptions (edit)'!B7),"")</f>
      </c>
      <c r="CD433" s="8">
        <f>IF((0=1),((CD83/10000)*'Assumptions (edit)'!B7),"")</f>
      </c>
      <c r="CE433" s="8">
        <f>IF((0=1),((CE83/10000)*'Assumptions (edit)'!B7),"")</f>
      </c>
      <c r="CF433" s="8">
        <f>IF((0=1),((CF83/10000)*'Assumptions (edit)'!B7),"")</f>
      </c>
      <c r="CG433" s="8">
        <f>IF((0=1),((CG83/10000)*'Assumptions (edit)'!B7),"")</f>
      </c>
      <c r="CH433" s="8">
        <f>IF((0=1),((CH83/10000)*'Assumptions (edit)'!B7),"")</f>
      </c>
      <c r="CI433" s="8">
        <f>IF((0=1),((CI83/10000)*'Assumptions (edit)'!B7),"")</f>
      </c>
      <c r="CJ433" s="8">
        <f>IF((0=1),((CJ83/10000)*'Assumptions (edit)'!B7),"")</f>
      </c>
      <c r="CK433" s="8">
        <f>IF((0=1),((CK83/10000)*'Assumptions (edit)'!B7),"")</f>
      </c>
      <c r="CL433" s="8">
        <f>IF((0=1),((CL83/10000)*'Assumptions (edit)'!B7),"")</f>
      </c>
      <c r="CM433" s="8">
        <f>IF((0=1),((CM83/10000)*'Assumptions (edit)'!B7),"")</f>
      </c>
      <c r="CN433" s="8">
        <f>IF((0=1),((CN83/10000)*'Assumptions (edit)'!B7),"")</f>
      </c>
      <c r="CO433" s="8">
        <f>IF((0=1),((CO83/10000)*'Assumptions (edit)'!B7),"")</f>
      </c>
      <c r="CP433" s="8">
        <f>IF((0=1),((CP83/10000)*'Assumptions (edit)'!B7),"")</f>
      </c>
      <c r="CQ433" s="8">
        <f>IF((0=1),((CQ83/10000)*'Assumptions (edit)'!B7),"")</f>
      </c>
      <c r="CR433" s="8">
        <f>IF((0=1),((CR83/10000)*'Assumptions (edit)'!B7),"")</f>
      </c>
      <c r="CS433" s="8">
        <f>IF((0=1),((CS83/10000)*'Assumptions (edit)'!B7),"")</f>
      </c>
      <c r="CT433" s="8">
        <f>IF((0=1),((CT83/10000)*'Assumptions (edit)'!B7),"")</f>
      </c>
      <c r="CU433" s="8">
        <f>IF((0=1),((CU83/10000)*'Assumptions (edit)'!B7),"")</f>
      </c>
      <c r="CV433" s="8">
        <f>IF((0=1),((CV83/10000)*'Assumptions (edit)'!B7),"")</f>
      </c>
      <c r="CW433" s="8">
        <f>IF((0=1),((CW83/10000)*'Assumptions (edit)'!B7),"")</f>
      </c>
      <c r="CX433" s="8">
        <f>IF((0=1),((CX83/10000)*'Assumptions (edit)'!B7),"")</f>
      </c>
    </row>
    <row r="434">
      <c r="A434" s="0" t="inlineStr">
        <is>
          <t xml:space="preserve">Net P&amp;L on notional, $</t>
        </is>
      </c>
      <c r="B434" s="0" t="inlineStr">
        <is>
          <t xml:space="preserve">Residual Momentum</t>
        </is>
      </c>
      <c r="C434" s="8">
        <f>IF((1=1),((C84/10000)*'Assumptions (edit)'!B7),"")</f>
        <v>48.330000000000005</v>
      </c>
      <c r="D434" s="8">
        <f>IF((0=1),((D84/10000)*'Assumptions (edit)'!B7),"")</f>
      </c>
      <c r="E434" s="8">
        <f>IF((0=1),((E84/10000)*'Assumptions (edit)'!B7),"")</f>
      </c>
      <c r="F434" s="8">
        <f>IF((0=1),((F84/10000)*'Assumptions (edit)'!B7),"")</f>
      </c>
      <c r="G434" s="8">
        <f>IF((0=1),((G84/10000)*'Assumptions (edit)'!B7),"")</f>
      </c>
      <c r="H434" s="8">
        <f>IF((0=1),((H84/10000)*'Assumptions (edit)'!B7),"")</f>
      </c>
      <c r="I434" s="8">
        <f>IF((0=1),((I84/10000)*'Assumptions (edit)'!B7),"")</f>
      </c>
      <c r="J434" s="8">
        <f>IF((0=1),((J84/10000)*'Assumptions (edit)'!B7),"")</f>
      </c>
      <c r="K434" s="8">
        <f>IF((0=1),((K84/10000)*'Assumptions (edit)'!B7),"")</f>
      </c>
      <c r="L434" s="8">
        <f>IF((0=1),((L84/10000)*'Assumptions (edit)'!B7),"")</f>
      </c>
      <c r="M434" s="8">
        <f>IF((0=1),((M84/10000)*'Assumptions (edit)'!B7),"")</f>
      </c>
      <c r="N434" s="8">
        <f>IF((0=1),((N84/10000)*'Assumptions (edit)'!B7),"")</f>
      </c>
      <c r="O434" s="8">
        <f>IF((0=1),((O84/10000)*'Assumptions (edit)'!B7),"")</f>
      </c>
      <c r="P434" s="8">
        <f>IF((0=1),((P84/10000)*'Assumptions (edit)'!B7),"")</f>
      </c>
      <c r="Q434" s="8">
        <f>IF((0=1),((Q84/10000)*'Assumptions (edit)'!B7),"")</f>
      </c>
      <c r="R434" s="8">
        <f>IF((0=1),((R84/10000)*'Assumptions (edit)'!B7),"")</f>
      </c>
      <c r="S434" s="8">
        <f>IF((0=1),((S84/10000)*'Assumptions (edit)'!B7),"")</f>
      </c>
      <c r="T434" s="8">
        <f>IF((0=1),((T84/10000)*'Assumptions (edit)'!B7),"")</f>
      </c>
      <c r="U434" s="8">
        <f>IF((0=1),((U84/10000)*'Assumptions (edit)'!B7),"")</f>
      </c>
      <c r="V434" s="8">
        <f>IF((0=1),((V84/10000)*'Assumptions (edit)'!B7),"")</f>
      </c>
      <c r="W434" s="8">
        <f>IF((0=1),((W84/10000)*'Assumptions (edit)'!B7),"")</f>
      </c>
      <c r="X434" s="8">
        <f>IF((0=1),((X84/10000)*'Assumptions (edit)'!B7),"")</f>
      </c>
      <c r="Y434" s="8">
        <f>IF((0=1),((Y84/10000)*'Assumptions (edit)'!B7),"")</f>
      </c>
      <c r="Z434" s="8">
        <f>IF((0=1),((Z84/10000)*'Assumptions (edit)'!B7),"")</f>
      </c>
      <c r="AA434" s="8">
        <f>IF((0=1),((AA84/10000)*'Assumptions (edit)'!B7),"")</f>
      </c>
      <c r="AB434" s="8">
        <f>IF((0=1),((AB84/10000)*'Assumptions (edit)'!B7),"")</f>
      </c>
      <c r="AC434" s="8">
        <f>IF((0=1),((AC84/10000)*'Assumptions (edit)'!B7),"")</f>
      </c>
      <c r="AD434" s="8">
        <f>IF((0=1),((AD84/10000)*'Assumptions (edit)'!B7),"")</f>
      </c>
      <c r="AE434" s="8">
        <f>IF((0=1),((AE84/10000)*'Assumptions (edit)'!B7),"")</f>
      </c>
      <c r="AF434" s="8">
        <f>IF((0=1),((AF84/10000)*'Assumptions (edit)'!B7),"")</f>
      </c>
      <c r="AG434" s="8">
        <f>IF((0=1),((AG84/10000)*'Assumptions (edit)'!B7),"")</f>
      </c>
      <c r="AH434" s="8">
        <f>IF((0=1),((AH84/10000)*'Assumptions (edit)'!B7),"")</f>
      </c>
      <c r="AI434" s="8">
        <f>IF((0=1),((AI84/10000)*'Assumptions (edit)'!B7),"")</f>
      </c>
      <c r="AJ434" s="8">
        <f>IF((0=1),((AJ84/10000)*'Assumptions (edit)'!B7),"")</f>
      </c>
      <c r="AK434" s="8">
        <f>IF((0=1),((AK84/10000)*'Assumptions (edit)'!B7),"")</f>
      </c>
      <c r="AL434" s="8">
        <f>IF((0=1),((AL84/10000)*'Assumptions (edit)'!B7),"")</f>
      </c>
      <c r="AM434" s="8">
        <f>IF((0=1),((AM84/10000)*'Assumptions (edit)'!B7),"")</f>
      </c>
      <c r="AN434" s="8">
        <f>IF((0=1),((AN84/10000)*'Assumptions (edit)'!B7),"")</f>
      </c>
      <c r="AO434" s="8">
        <f>IF((0=1),((AO84/10000)*'Assumptions (edit)'!B7),"")</f>
      </c>
      <c r="AP434" s="8">
        <f>IF((0=1),((AP84/10000)*'Assumptions (edit)'!B7),"")</f>
      </c>
      <c r="AQ434" s="8">
        <f>IF((0=1),((AQ84/10000)*'Assumptions (edit)'!B7),"")</f>
      </c>
      <c r="AR434" s="8">
        <f>IF((0=1),((AR84/10000)*'Assumptions (edit)'!B7),"")</f>
      </c>
      <c r="AS434" s="8">
        <f>IF((0=1),((AS84/10000)*'Assumptions (edit)'!B7),"")</f>
      </c>
      <c r="AT434" s="8">
        <f>IF((0=1),((AT84/10000)*'Assumptions (edit)'!B7),"")</f>
      </c>
      <c r="AU434" s="8">
        <f>IF((0=1),((AU84/10000)*'Assumptions (edit)'!B7),"")</f>
      </c>
      <c r="AV434" s="8">
        <f>IF((0=1),((AV84/10000)*'Assumptions (edit)'!B7),"")</f>
      </c>
      <c r="AW434" s="8">
        <f>IF((0=1),((AW84/10000)*'Assumptions (edit)'!B7),"")</f>
      </c>
      <c r="AX434" s="8">
        <f>IF((0=1),((AX84/10000)*'Assumptions (edit)'!B7),"")</f>
      </c>
      <c r="AY434" s="8">
        <f>IF((0=1),((AY84/10000)*'Assumptions (edit)'!B7),"")</f>
      </c>
      <c r="AZ434" s="8">
        <f>IF((0=1),((AZ84/10000)*'Assumptions (edit)'!B7),"")</f>
      </c>
      <c r="BA434" s="8">
        <f>IF((0=1),((BA84/10000)*'Assumptions (edit)'!B7),"")</f>
      </c>
      <c r="BB434" s="8">
        <f>IF((0=1),((BB84/10000)*'Assumptions (edit)'!B7),"")</f>
      </c>
      <c r="BC434" s="8">
        <f>IF((0=1),((BC84/10000)*'Assumptions (edit)'!B7),"")</f>
      </c>
      <c r="BD434" s="8">
        <f>IF((0=1),((BD84/10000)*'Assumptions (edit)'!B7),"")</f>
      </c>
      <c r="BE434" s="8">
        <f>IF((0=1),((BE84/10000)*'Assumptions (edit)'!B7),"")</f>
      </c>
      <c r="BF434" s="8">
        <f>IF((0=1),((BF84/10000)*'Assumptions (edit)'!B7),"")</f>
      </c>
      <c r="BG434" s="8">
        <f>IF((0=1),((BG84/10000)*'Assumptions (edit)'!B7),"")</f>
      </c>
      <c r="BH434" s="8">
        <f>IF((0=1),((BH84/10000)*'Assumptions (edit)'!B7),"")</f>
      </c>
      <c r="BI434" s="8">
        <f>IF((0=1),((BI84/10000)*'Assumptions (edit)'!B7),"")</f>
      </c>
      <c r="BJ434" s="8">
        <f>IF((0=1),((BJ84/10000)*'Assumptions (edit)'!B7),"")</f>
      </c>
      <c r="BK434" s="8">
        <f>IF((0=1),((BK84/10000)*'Assumptions (edit)'!B7),"")</f>
      </c>
      <c r="BL434" s="8">
        <f>IF((0=1),((BL84/10000)*'Assumptions (edit)'!B7),"")</f>
      </c>
      <c r="BM434" s="8">
        <f>IF((0=1),((BM84/10000)*'Assumptions (edit)'!B7),"")</f>
      </c>
      <c r="BN434" s="8">
        <f>IF((0=1),((BN84/10000)*'Assumptions (edit)'!B7),"")</f>
      </c>
      <c r="BO434" s="8">
        <f>IF((0=1),((BO84/10000)*'Assumptions (edit)'!B7),"")</f>
      </c>
      <c r="BP434" s="8">
        <f>IF((0=1),((BP84/10000)*'Assumptions (edit)'!B7),"")</f>
      </c>
      <c r="BQ434" s="8">
        <f>IF((0=1),((BQ84/10000)*'Assumptions (edit)'!B7),"")</f>
      </c>
      <c r="BR434" s="8">
        <f>IF((0=1),((BR84/10000)*'Assumptions (edit)'!B7),"")</f>
      </c>
      <c r="BS434" s="8">
        <f>IF((0=1),((BS84/10000)*'Assumptions (edit)'!B7),"")</f>
      </c>
      <c r="BT434" s="8">
        <f>IF((0=1),((BT84/10000)*'Assumptions (edit)'!B7),"")</f>
      </c>
      <c r="BU434" s="8">
        <f>IF((0=1),((BU84/10000)*'Assumptions (edit)'!B7),"")</f>
      </c>
      <c r="BV434" s="8">
        <f>IF((0=1),((BV84/10000)*'Assumptions (edit)'!B7),"")</f>
      </c>
      <c r="BW434" s="8">
        <f>IF((0=1),((BW84/10000)*'Assumptions (edit)'!B7),"")</f>
      </c>
      <c r="BX434" s="8">
        <f>IF((0=1),((BX84/10000)*'Assumptions (edit)'!B7),"")</f>
      </c>
      <c r="BY434" s="8">
        <f>IF((0=1),((BY84/10000)*'Assumptions (edit)'!B7),"")</f>
      </c>
      <c r="BZ434" s="8">
        <f>IF((0=1),((BZ84/10000)*'Assumptions (edit)'!B7),"")</f>
      </c>
      <c r="CA434" s="8">
        <f>IF((0=1),((CA84/10000)*'Assumptions (edit)'!B7),"")</f>
      </c>
      <c r="CB434" s="8">
        <f>IF((0=1),((CB84/10000)*'Assumptions (edit)'!B7),"")</f>
      </c>
      <c r="CC434" s="8">
        <f>IF((0=1),((CC84/10000)*'Assumptions (edit)'!B7),"")</f>
      </c>
      <c r="CD434" s="8">
        <f>IF((0=1),((CD84/10000)*'Assumptions (edit)'!B7),"")</f>
      </c>
      <c r="CE434" s="8">
        <f>IF((0=1),((CE84/10000)*'Assumptions (edit)'!B7),"")</f>
      </c>
      <c r="CF434" s="8">
        <f>IF((0=1),((CF84/10000)*'Assumptions (edit)'!B7),"")</f>
      </c>
      <c r="CG434" s="8">
        <f>IF((0=1),((CG84/10000)*'Assumptions (edit)'!B7),"")</f>
      </c>
      <c r="CH434" s="8">
        <f>IF((0=1),((CH84/10000)*'Assumptions (edit)'!B7),"")</f>
      </c>
      <c r="CI434" s="8">
        <f>IF((0=1),((CI84/10000)*'Assumptions (edit)'!B7),"")</f>
      </c>
      <c r="CJ434" s="8">
        <f>IF((0=1),((CJ84/10000)*'Assumptions (edit)'!B7),"")</f>
      </c>
      <c r="CK434" s="8">
        <f>IF((0=1),((CK84/10000)*'Assumptions (edit)'!B7),"")</f>
      </c>
      <c r="CL434" s="8">
        <f>IF((0=1),((CL84/10000)*'Assumptions (edit)'!B7),"")</f>
      </c>
      <c r="CM434" s="8">
        <f>IF((0=1),((CM84/10000)*'Assumptions (edit)'!B7),"")</f>
      </c>
      <c r="CN434" s="8">
        <f>IF((0=1),((CN84/10000)*'Assumptions (edit)'!B7),"")</f>
      </c>
      <c r="CO434" s="8">
        <f>IF((0=1),((CO84/10000)*'Assumptions (edit)'!B7),"")</f>
      </c>
      <c r="CP434" s="8">
        <f>IF((0=1),((CP84/10000)*'Assumptions (edit)'!B7),"")</f>
      </c>
      <c r="CQ434" s="8">
        <f>IF((0=1),((CQ84/10000)*'Assumptions (edit)'!B7),"")</f>
      </c>
      <c r="CR434" s="8">
        <f>IF((0=1),((CR84/10000)*'Assumptions (edit)'!B7),"")</f>
      </c>
      <c r="CS434" s="8">
        <f>IF((0=1),((CS84/10000)*'Assumptions (edit)'!B7),"")</f>
      </c>
      <c r="CT434" s="8">
        <f>IF((0=1),((CT84/10000)*'Assumptions (edit)'!B7),"")</f>
      </c>
      <c r="CU434" s="8">
        <f>IF((0=1),((CU84/10000)*'Assumptions (edit)'!B7),"")</f>
      </c>
      <c r="CV434" s="8">
        <f>IF((0=1),((CV84/10000)*'Assumptions (edit)'!B7),"")</f>
      </c>
      <c r="CW434" s="8">
        <f>IF((0=1),((CW84/10000)*'Assumptions (edit)'!B7),"")</f>
      </c>
      <c r="CX434" s="8">
        <f>IF((0=1),((CX84/10000)*'Assumptions (edit)'!B7),"")</f>
      </c>
    </row>
    <row r="435">
      <c r="A435" s="0" t="inlineStr">
        <is>
          <t xml:space="preserve">Net P&amp;L on notional, $</t>
        </is>
      </c>
      <c r="B435" s="0" t="inlineStr">
        <is>
          <t xml:space="preserve">Overnight Return Persistence</t>
        </is>
      </c>
      <c r="C435" s="8">
        <f>IF((1=1),((C85/10000)*'Assumptions (edit)'!B7),"")</f>
        <v>-85.22</v>
      </c>
      <c r="D435" s="8">
        <f>IF((0=1),((D85/10000)*'Assumptions (edit)'!B7),"")</f>
      </c>
      <c r="E435" s="8">
        <f>IF((0=1),((E85/10000)*'Assumptions (edit)'!B7),"")</f>
      </c>
      <c r="F435" s="8">
        <f>IF((0=1),((F85/10000)*'Assumptions (edit)'!B7),"")</f>
      </c>
      <c r="G435" s="8">
        <f>IF((0=1),((G85/10000)*'Assumptions (edit)'!B7),"")</f>
      </c>
      <c r="H435" s="8">
        <f>IF((0=1),((H85/10000)*'Assumptions (edit)'!B7),"")</f>
      </c>
      <c r="I435" s="8">
        <f>IF((0=1),((I85/10000)*'Assumptions (edit)'!B7),"")</f>
      </c>
      <c r="J435" s="8">
        <f>IF((0=1),((J85/10000)*'Assumptions (edit)'!B7),"")</f>
      </c>
      <c r="K435" s="8">
        <f>IF((0=1),((K85/10000)*'Assumptions (edit)'!B7),"")</f>
      </c>
      <c r="L435" s="8">
        <f>IF((0=1),((L85/10000)*'Assumptions (edit)'!B7),"")</f>
      </c>
      <c r="M435" s="8">
        <f>IF((0=1),((M85/10000)*'Assumptions (edit)'!B7),"")</f>
      </c>
      <c r="N435" s="8">
        <f>IF((0=1),((N85/10000)*'Assumptions (edit)'!B7),"")</f>
      </c>
      <c r="O435" s="8">
        <f>IF((0=1),((O85/10000)*'Assumptions (edit)'!B7),"")</f>
      </c>
      <c r="P435" s="8">
        <f>IF((0=1),((P85/10000)*'Assumptions (edit)'!B7),"")</f>
      </c>
      <c r="Q435" s="8">
        <f>IF((0=1),((Q85/10000)*'Assumptions (edit)'!B7),"")</f>
      </c>
      <c r="R435" s="8">
        <f>IF((0=1),((R85/10000)*'Assumptions (edit)'!B7),"")</f>
      </c>
      <c r="S435" s="8">
        <f>IF((0=1),((S85/10000)*'Assumptions (edit)'!B7),"")</f>
      </c>
      <c r="T435" s="8">
        <f>IF((0=1),((T85/10000)*'Assumptions (edit)'!B7),"")</f>
      </c>
      <c r="U435" s="8">
        <f>IF((0=1),((U85/10000)*'Assumptions (edit)'!B7),"")</f>
      </c>
      <c r="V435" s="8">
        <f>IF((0=1),((V85/10000)*'Assumptions (edit)'!B7),"")</f>
      </c>
      <c r="W435" s="8">
        <f>IF((0=1),((W85/10000)*'Assumptions (edit)'!B7),"")</f>
      </c>
      <c r="X435" s="8">
        <f>IF((0=1),((X85/10000)*'Assumptions (edit)'!B7),"")</f>
      </c>
      <c r="Y435" s="8">
        <f>IF((0=1),((Y85/10000)*'Assumptions (edit)'!B7),"")</f>
      </c>
      <c r="Z435" s="8">
        <f>IF((0=1),((Z85/10000)*'Assumptions (edit)'!B7),"")</f>
      </c>
      <c r="AA435" s="8">
        <f>IF((0=1),((AA85/10000)*'Assumptions (edit)'!B7),"")</f>
      </c>
      <c r="AB435" s="8">
        <f>IF((0=1),((AB85/10000)*'Assumptions (edit)'!B7),"")</f>
      </c>
      <c r="AC435" s="8">
        <f>IF((0=1),((AC85/10000)*'Assumptions (edit)'!B7),"")</f>
      </c>
      <c r="AD435" s="8">
        <f>IF((0=1),((AD85/10000)*'Assumptions (edit)'!B7),"")</f>
      </c>
      <c r="AE435" s="8">
        <f>IF((0=1),((AE85/10000)*'Assumptions (edit)'!B7),"")</f>
      </c>
      <c r="AF435" s="8">
        <f>IF((0=1),((AF85/10000)*'Assumptions (edit)'!B7),"")</f>
      </c>
      <c r="AG435" s="8">
        <f>IF((0=1),((AG85/10000)*'Assumptions (edit)'!B7),"")</f>
      </c>
      <c r="AH435" s="8">
        <f>IF((0=1),((AH85/10000)*'Assumptions (edit)'!B7),"")</f>
      </c>
      <c r="AI435" s="8">
        <f>IF((0=1),((AI85/10000)*'Assumptions (edit)'!B7),"")</f>
      </c>
      <c r="AJ435" s="8">
        <f>IF((0=1),((AJ85/10000)*'Assumptions (edit)'!B7),"")</f>
      </c>
      <c r="AK435" s="8">
        <f>IF((0=1),((AK85/10000)*'Assumptions (edit)'!B7),"")</f>
      </c>
      <c r="AL435" s="8">
        <f>IF((0=1),((AL85/10000)*'Assumptions (edit)'!B7),"")</f>
      </c>
      <c r="AM435" s="8">
        <f>IF((0=1),((AM85/10000)*'Assumptions (edit)'!B7),"")</f>
      </c>
      <c r="AN435" s="8">
        <f>IF((0=1),((AN85/10000)*'Assumptions (edit)'!B7),"")</f>
      </c>
      <c r="AO435" s="8">
        <f>IF((0=1),((AO85/10000)*'Assumptions (edit)'!B7),"")</f>
      </c>
      <c r="AP435" s="8">
        <f>IF((0=1),((AP85/10000)*'Assumptions (edit)'!B7),"")</f>
      </c>
      <c r="AQ435" s="8">
        <f>IF((0=1),((AQ85/10000)*'Assumptions (edit)'!B7),"")</f>
      </c>
      <c r="AR435" s="8">
        <f>IF((0=1),((AR85/10000)*'Assumptions (edit)'!B7),"")</f>
      </c>
      <c r="AS435" s="8">
        <f>IF((0=1),((AS85/10000)*'Assumptions (edit)'!B7),"")</f>
      </c>
      <c r="AT435" s="8">
        <f>IF((0=1),((AT85/10000)*'Assumptions (edit)'!B7),"")</f>
      </c>
      <c r="AU435" s="8">
        <f>IF((0=1),((AU85/10000)*'Assumptions (edit)'!B7),"")</f>
      </c>
      <c r="AV435" s="8">
        <f>IF((0=1),((AV85/10000)*'Assumptions (edit)'!B7),"")</f>
      </c>
      <c r="AW435" s="8">
        <f>IF((0=1),((AW85/10000)*'Assumptions (edit)'!B7),"")</f>
      </c>
      <c r="AX435" s="8">
        <f>IF((0=1),((AX85/10000)*'Assumptions (edit)'!B7),"")</f>
      </c>
      <c r="AY435" s="8">
        <f>IF((0=1),((AY85/10000)*'Assumptions (edit)'!B7),"")</f>
      </c>
      <c r="AZ435" s="8">
        <f>IF((0=1),((AZ85/10000)*'Assumptions (edit)'!B7),"")</f>
      </c>
      <c r="BA435" s="8">
        <f>IF((0=1),((BA85/10000)*'Assumptions (edit)'!B7),"")</f>
      </c>
      <c r="BB435" s="8">
        <f>IF((0=1),((BB85/10000)*'Assumptions (edit)'!B7),"")</f>
      </c>
      <c r="BC435" s="8">
        <f>IF((0=1),((BC85/10000)*'Assumptions (edit)'!B7),"")</f>
      </c>
      <c r="BD435" s="8">
        <f>IF((0=1),((BD85/10000)*'Assumptions (edit)'!B7),"")</f>
      </c>
      <c r="BE435" s="8">
        <f>IF((0=1),((BE85/10000)*'Assumptions (edit)'!B7),"")</f>
      </c>
      <c r="BF435" s="8">
        <f>IF((0=1),((BF85/10000)*'Assumptions (edit)'!B7),"")</f>
      </c>
      <c r="BG435" s="8">
        <f>IF((0=1),((BG85/10000)*'Assumptions (edit)'!B7),"")</f>
      </c>
      <c r="BH435" s="8">
        <f>IF((0=1),((BH85/10000)*'Assumptions (edit)'!B7),"")</f>
      </c>
      <c r="BI435" s="8">
        <f>IF((0=1),((BI85/10000)*'Assumptions (edit)'!B7),"")</f>
      </c>
      <c r="BJ435" s="8">
        <f>IF((0=1),((BJ85/10000)*'Assumptions (edit)'!B7),"")</f>
      </c>
      <c r="BK435" s="8">
        <f>IF((0=1),((BK85/10000)*'Assumptions (edit)'!B7),"")</f>
      </c>
      <c r="BL435" s="8">
        <f>IF((0=1),((BL85/10000)*'Assumptions (edit)'!B7),"")</f>
      </c>
      <c r="BM435" s="8">
        <f>IF((0=1),((BM85/10000)*'Assumptions (edit)'!B7),"")</f>
      </c>
      <c r="BN435" s="8">
        <f>IF((0=1),((BN85/10000)*'Assumptions (edit)'!B7),"")</f>
      </c>
      <c r="BO435" s="8">
        <f>IF((0=1),((BO85/10000)*'Assumptions (edit)'!B7),"")</f>
      </c>
      <c r="BP435" s="8">
        <f>IF((0=1),((BP85/10000)*'Assumptions (edit)'!B7),"")</f>
      </c>
      <c r="BQ435" s="8">
        <f>IF((0=1),((BQ85/10000)*'Assumptions (edit)'!B7),"")</f>
      </c>
      <c r="BR435" s="8">
        <f>IF((0=1),((BR85/10000)*'Assumptions (edit)'!B7),"")</f>
      </c>
      <c r="BS435" s="8">
        <f>IF((0=1),((BS85/10000)*'Assumptions (edit)'!B7),"")</f>
      </c>
      <c r="BT435" s="8">
        <f>IF((0=1),((BT85/10000)*'Assumptions (edit)'!B7),"")</f>
      </c>
      <c r="BU435" s="8">
        <f>IF((0=1),((BU85/10000)*'Assumptions (edit)'!B7),"")</f>
      </c>
      <c r="BV435" s="8">
        <f>IF((0=1),((BV85/10000)*'Assumptions (edit)'!B7),"")</f>
      </c>
      <c r="BW435" s="8">
        <f>IF((0=1),((BW85/10000)*'Assumptions (edit)'!B7),"")</f>
      </c>
      <c r="BX435" s="8">
        <f>IF((0=1),((BX85/10000)*'Assumptions (edit)'!B7),"")</f>
      </c>
      <c r="BY435" s="8">
        <f>IF((0=1),((BY85/10000)*'Assumptions (edit)'!B7),"")</f>
      </c>
      <c r="BZ435" s="8">
        <f>IF((0=1),((BZ85/10000)*'Assumptions (edit)'!B7),"")</f>
      </c>
      <c r="CA435" s="8">
        <f>IF((0=1),((CA85/10000)*'Assumptions (edit)'!B7),"")</f>
      </c>
      <c r="CB435" s="8">
        <f>IF((0=1),((CB85/10000)*'Assumptions (edit)'!B7),"")</f>
      </c>
      <c r="CC435" s="8">
        <f>IF((0=1),((CC85/10000)*'Assumptions (edit)'!B7),"")</f>
      </c>
      <c r="CD435" s="8">
        <f>IF((0=1),((CD85/10000)*'Assumptions (edit)'!B7),"")</f>
      </c>
      <c r="CE435" s="8">
        <f>IF((0=1),((CE85/10000)*'Assumptions (edit)'!B7),"")</f>
      </c>
      <c r="CF435" s="8">
        <f>IF((0=1),((CF85/10000)*'Assumptions (edit)'!B7),"")</f>
      </c>
      <c r="CG435" s="8">
        <f>IF((0=1),((CG85/10000)*'Assumptions (edit)'!B7),"")</f>
      </c>
      <c r="CH435" s="8">
        <f>IF((0=1),((CH85/10000)*'Assumptions (edit)'!B7),"")</f>
      </c>
      <c r="CI435" s="8">
        <f>IF((0=1),((CI85/10000)*'Assumptions (edit)'!B7),"")</f>
      </c>
      <c r="CJ435" s="8">
        <f>IF((0=1),((CJ85/10000)*'Assumptions (edit)'!B7),"")</f>
      </c>
      <c r="CK435" s="8">
        <f>IF((0=1),((CK85/10000)*'Assumptions (edit)'!B7),"")</f>
      </c>
      <c r="CL435" s="8">
        <f>IF((0=1),((CL85/10000)*'Assumptions (edit)'!B7),"")</f>
      </c>
      <c r="CM435" s="8">
        <f>IF((0=1),((CM85/10000)*'Assumptions (edit)'!B7),"")</f>
      </c>
      <c r="CN435" s="8">
        <f>IF((0=1),((CN85/10000)*'Assumptions (edit)'!B7),"")</f>
      </c>
      <c r="CO435" s="8">
        <f>IF((0=1),((CO85/10000)*'Assumptions (edit)'!B7),"")</f>
      </c>
      <c r="CP435" s="8">
        <f>IF((0=1),((CP85/10000)*'Assumptions (edit)'!B7),"")</f>
      </c>
      <c r="CQ435" s="8">
        <f>IF((0=1),((CQ85/10000)*'Assumptions (edit)'!B7),"")</f>
      </c>
      <c r="CR435" s="8">
        <f>IF((0=1),((CR85/10000)*'Assumptions (edit)'!B7),"")</f>
      </c>
      <c r="CS435" s="8">
        <f>IF((0=1),((CS85/10000)*'Assumptions (edit)'!B7),"")</f>
      </c>
      <c r="CT435" s="8">
        <f>IF((0=1),((CT85/10000)*'Assumptions (edit)'!B7),"")</f>
      </c>
      <c r="CU435" s="8">
        <f>IF((0=1),((CU85/10000)*'Assumptions (edit)'!B7),"")</f>
      </c>
      <c r="CV435" s="8">
        <f>IF((0=1),((CV85/10000)*'Assumptions (edit)'!B7),"")</f>
      </c>
      <c r="CW435" s="8">
        <f>IF((0=1),((CW85/10000)*'Assumptions (edit)'!B7),"")</f>
      </c>
      <c r="CX435" s="8">
        <f>IF((0=1),((CX85/10000)*'Assumptions (edit)'!B7),"")</f>
      </c>
    </row>
    <row r="436">
      <c r="A436" s="0" t="inlineStr">
        <is>
          <t xml:space="preserve">Net P&amp;L on notional, $</t>
        </is>
      </c>
      <c r="B436" s="0" t="inlineStr">
        <is>
          <t xml:space="preserve">52-Week-High Anchoring</t>
        </is>
      </c>
      <c r="C436" s="8">
        <f>IF((1=1),((C86/10000)*'Assumptions (edit)'!B7),"")</f>
        <v>291.10999999999996</v>
      </c>
      <c r="D436" s="8">
        <f>IF((0=1),((D86/10000)*'Assumptions (edit)'!B7),"")</f>
      </c>
      <c r="E436" s="8">
        <f>IF((0=1),((E86/10000)*'Assumptions (edit)'!B7),"")</f>
      </c>
      <c r="F436" s="8">
        <f>IF((0=1),((F86/10000)*'Assumptions (edit)'!B7),"")</f>
      </c>
      <c r="G436" s="8">
        <f>IF((0=1),((G86/10000)*'Assumptions (edit)'!B7),"")</f>
      </c>
      <c r="H436" s="8">
        <f>IF((0=1),((H86/10000)*'Assumptions (edit)'!B7),"")</f>
      </c>
      <c r="I436" s="8">
        <f>IF((0=1),((I86/10000)*'Assumptions (edit)'!B7),"")</f>
      </c>
      <c r="J436" s="8">
        <f>IF((0=1),((J86/10000)*'Assumptions (edit)'!B7),"")</f>
      </c>
      <c r="K436" s="8">
        <f>IF((0=1),((K86/10000)*'Assumptions (edit)'!B7),"")</f>
      </c>
      <c r="L436" s="8">
        <f>IF((0=1),((L86/10000)*'Assumptions (edit)'!B7),"")</f>
      </c>
      <c r="M436" s="8">
        <f>IF((0=1),((M86/10000)*'Assumptions (edit)'!B7),"")</f>
      </c>
      <c r="N436" s="8">
        <f>IF((0=1),((N86/10000)*'Assumptions (edit)'!B7),"")</f>
      </c>
      <c r="O436" s="8">
        <f>IF((0=1),((O86/10000)*'Assumptions (edit)'!B7),"")</f>
      </c>
      <c r="P436" s="8">
        <f>IF((0=1),((P86/10000)*'Assumptions (edit)'!B7),"")</f>
      </c>
      <c r="Q436" s="8">
        <f>IF((0=1),((Q86/10000)*'Assumptions (edit)'!B7),"")</f>
      </c>
      <c r="R436" s="8">
        <f>IF((0=1),((R86/10000)*'Assumptions (edit)'!B7),"")</f>
      </c>
      <c r="S436" s="8">
        <f>IF((0=1),((S86/10000)*'Assumptions (edit)'!B7),"")</f>
      </c>
      <c r="T436" s="8">
        <f>IF((0=1),((T86/10000)*'Assumptions (edit)'!B7),"")</f>
      </c>
      <c r="U436" s="8">
        <f>IF((0=1),((U86/10000)*'Assumptions (edit)'!B7),"")</f>
      </c>
      <c r="V436" s="8">
        <f>IF((0=1),((V86/10000)*'Assumptions (edit)'!B7),"")</f>
      </c>
      <c r="W436" s="8">
        <f>IF((0=1),((W86/10000)*'Assumptions (edit)'!B7),"")</f>
      </c>
      <c r="X436" s="8">
        <f>IF((0=1),((X86/10000)*'Assumptions (edit)'!B7),"")</f>
      </c>
      <c r="Y436" s="8">
        <f>IF((0=1),((Y86/10000)*'Assumptions (edit)'!B7),"")</f>
      </c>
      <c r="Z436" s="8">
        <f>IF((0=1),((Z86/10000)*'Assumptions (edit)'!B7),"")</f>
      </c>
      <c r="AA436" s="8">
        <f>IF((0=1),((AA86/10000)*'Assumptions (edit)'!B7),"")</f>
      </c>
      <c r="AB436" s="8">
        <f>IF((0=1),((AB86/10000)*'Assumptions (edit)'!B7),"")</f>
      </c>
      <c r="AC436" s="8">
        <f>IF((0=1),((AC86/10000)*'Assumptions (edit)'!B7),"")</f>
      </c>
      <c r="AD436" s="8">
        <f>IF((0=1),((AD86/10000)*'Assumptions (edit)'!B7),"")</f>
      </c>
      <c r="AE436" s="8">
        <f>IF((0=1),((AE86/10000)*'Assumptions (edit)'!B7),"")</f>
      </c>
      <c r="AF436" s="8">
        <f>IF((0=1),((AF86/10000)*'Assumptions (edit)'!B7),"")</f>
      </c>
      <c r="AG436" s="8">
        <f>IF((0=1),((AG86/10000)*'Assumptions (edit)'!B7),"")</f>
      </c>
      <c r="AH436" s="8">
        <f>IF((0=1),((AH86/10000)*'Assumptions (edit)'!B7),"")</f>
      </c>
      <c r="AI436" s="8">
        <f>IF((0=1),((AI86/10000)*'Assumptions (edit)'!B7),"")</f>
      </c>
      <c r="AJ436" s="8">
        <f>IF((0=1),((AJ86/10000)*'Assumptions (edit)'!B7),"")</f>
      </c>
      <c r="AK436" s="8">
        <f>IF((0=1),((AK86/10000)*'Assumptions (edit)'!B7),"")</f>
      </c>
      <c r="AL436" s="8">
        <f>IF((0=1),((AL86/10000)*'Assumptions (edit)'!B7),"")</f>
      </c>
      <c r="AM436" s="8">
        <f>IF((0=1),((AM86/10000)*'Assumptions (edit)'!B7),"")</f>
      </c>
      <c r="AN436" s="8">
        <f>IF((0=1),((AN86/10000)*'Assumptions (edit)'!B7),"")</f>
      </c>
      <c r="AO436" s="8">
        <f>IF((0=1),((AO86/10000)*'Assumptions (edit)'!B7),"")</f>
      </c>
      <c r="AP436" s="8">
        <f>IF((0=1),((AP86/10000)*'Assumptions (edit)'!B7),"")</f>
      </c>
      <c r="AQ436" s="8">
        <f>IF((0=1),((AQ86/10000)*'Assumptions (edit)'!B7),"")</f>
      </c>
      <c r="AR436" s="8">
        <f>IF((0=1),((AR86/10000)*'Assumptions (edit)'!B7),"")</f>
      </c>
      <c r="AS436" s="8">
        <f>IF((0=1),((AS86/10000)*'Assumptions (edit)'!B7),"")</f>
      </c>
      <c r="AT436" s="8">
        <f>IF((0=1),((AT86/10000)*'Assumptions (edit)'!B7),"")</f>
      </c>
      <c r="AU436" s="8">
        <f>IF((0=1),((AU86/10000)*'Assumptions (edit)'!B7),"")</f>
      </c>
      <c r="AV436" s="8">
        <f>IF((0=1),((AV86/10000)*'Assumptions (edit)'!B7),"")</f>
      </c>
      <c r="AW436" s="8">
        <f>IF((0=1),((AW86/10000)*'Assumptions (edit)'!B7),"")</f>
      </c>
      <c r="AX436" s="8">
        <f>IF((0=1),((AX86/10000)*'Assumptions (edit)'!B7),"")</f>
      </c>
      <c r="AY436" s="8">
        <f>IF((0=1),((AY86/10000)*'Assumptions (edit)'!B7),"")</f>
      </c>
      <c r="AZ436" s="8">
        <f>IF((0=1),((AZ86/10000)*'Assumptions (edit)'!B7),"")</f>
      </c>
      <c r="BA436" s="8">
        <f>IF((0=1),((BA86/10000)*'Assumptions (edit)'!B7),"")</f>
      </c>
      <c r="BB436" s="8">
        <f>IF((0=1),((BB86/10000)*'Assumptions (edit)'!B7),"")</f>
      </c>
      <c r="BC436" s="8">
        <f>IF((0=1),((BC86/10000)*'Assumptions (edit)'!B7),"")</f>
      </c>
      <c r="BD436" s="8">
        <f>IF((0=1),((BD86/10000)*'Assumptions (edit)'!B7),"")</f>
      </c>
      <c r="BE436" s="8">
        <f>IF((0=1),((BE86/10000)*'Assumptions (edit)'!B7),"")</f>
      </c>
      <c r="BF436" s="8">
        <f>IF((0=1),((BF86/10000)*'Assumptions (edit)'!B7),"")</f>
      </c>
      <c r="BG436" s="8">
        <f>IF((0=1),((BG86/10000)*'Assumptions (edit)'!B7),"")</f>
      </c>
      <c r="BH436" s="8">
        <f>IF((0=1),((BH86/10000)*'Assumptions (edit)'!B7),"")</f>
      </c>
      <c r="BI436" s="8">
        <f>IF((0=1),((BI86/10000)*'Assumptions (edit)'!B7),"")</f>
      </c>
      <c r="BJ436" s="8">
        <f>IF((0=1),((BJ86/10000)*'Assumptions (edit)'!B7),"")</f>
      </c>
      <c r="BK436" s="8">
        <f>IF((0=1),((BK86/10000)*'Assumptions (edit)'!B7),"")</f>
      </c>
      <c r="BL436" s="8">
        <f>IF((0=1),((BL86/10000)*'Assumptions (edit)'!B7),"")</f>
      </c>
      <c r="BM436" s="8">
        <f>IF((0=1),((BM86/10000)*'Assumptions (edit)'!B7),"")</f>
      </c>
      <c r="BN436" s="8">
        <f>IF((0=1),((BN86/10000)*'Assumptions (edit)'!B7),"")</f>
      </c>
      <c r="BO436" s="8">
        <f>IF((0=1),((BO86/10000)*'Assumptions (edit)'!B7),"")</f>
      </c>
      <c r="BP436" s="8">
        <f>IF((0=1),((BP86/10000)*'Assumptions (edit)'!B7),"")</f>
      </c>
      <c r="BQ436" s="8">
        <f>IF((0=1),((BQ86/10000)*'Assumptions (edit)'!B7),"")</f>
      </c>
      <c r="BR436" s="8">
        <f>IF((0=1),((BR86/10000)*'Assumptions (edit)'!B7),"")</f>
      </c>
      <c r="BS436" s="8">
        <f>IF((0=1),((BS86/10000)*'Assumptions (edit)'!B7),"")</f>
      </c>
      <c r="BT436" s="8">
        <f>IF((0=1),((BT86/10000)*'Assumptions (edit)'!B7),"")</f>
      </c>
      <c r="BU436" s="8">
        <f>IF((0=1),((BU86/10000)*'Assumptions (edit)'!B7),"")</f>
      </c>
      <c r="BV436" s="8">
        <f>IF((0=1),((BV86/10000)*'Assumptions (edit)'!B7),"")</f>
      </c>
      <c r="BW436" s="8">
        <f>IF((0=1),((BW86/10000)*'Assumptions (edit)'!B7),"")</f>
      </c>
      <c r="BX436" s="8">
        <f>IF((0=1),((BX86/10000)*'Assumptions (edit)'!B7),"")</f>
      </c>
      <c r="BY436" s="8">
        <f>IF((0=1),((BY86/10000)*'Assumptions (edit)'!B7),"")</f>
      </c>
      <c r="BZ436" s="8">
        <f>IF((0=1),((BZ86/10000)*'Assumptions (edit)'!B7),"")</f>
      </c>
      <c r="CA436" s="8">
        <f>IF((0=1),((CA86/10000)*'Assumptions (edit)'!B7),"")</f>
      </c>
      <c r="CB436" s="8">
        <f>IF((0=1),((CB86/10000)*'Assumptions (edit)'!B7),"")</f>
      </c>
      <c r="CC436" s="8">
        <f>IF((0=1),((CC86/10000)*'Assumptions (edit)'!B7),"")</f>
      </c>
      <c r="CD436" s="8">
        <f>IF((0=1),((CD86/10000)*'Assumptions (edit)'!B7),"")</f>
      </c>
      <c r="CE436" s="8">
        <f>IF((0=1),((CE86/10000)*'Assumptions (edit)'!B7),"")</f>
      </c>
      <c r="CF436" s="8">
        <f>IF((0=1),((CF86/10000)*'Assumptions (edit)'!B7),"")</f>
      </c>
      <c r="CG436" s="8">
        <f>IF((0=1),((CG86/10000)*'Assumptions (edit)'!B7),"")</f>
      </c>
      <c r="CH436" s="8">
        <f>IF((0=1),((CH86/10000)*'Assumptions (edit)'!B7),"")</f>
      </c>
      <c r="CI436" s="8">
        <f>IF((0=1),((CI86/10000)*'Assumptions (edit)'!B7),"")</f>
      </c>
      <c r="CJ436" s="8">
        <f>IF((0=1),((CJ86/10000)*'Assumptions (edit)'!B7),"")</f>
      </c>
      <c r="CK436" s="8">
        <f>IF((0=1),((CK86/10000)*'Assumptions (edit)'!B7),"")</f>
      </c>
      <c r="CL436" s="8">
        <f>IF((0=1),((CL86/10000)*'Assumptions (edit)'!B7),"")</f>
      </c>
      <c r="CM436" s="8">
        <f>IF((0=1),((CM86/10000)*'Assumptions (edit)'!B7),"")</f>
      </c>
      <c r="CN436" s="8">
        <f>IF((0=1),((CN86/10000)*'Assumptions (edit)'!B7),"")</f>
      </c>
      <c r="CO436" s="8">
        <f>IF((0=1),((CO86/10000)*'Assumptions (edit)'!B7),"")</f>
      </c>
      <c r="CP436" s="8">
        <f>IF((0=1),((CP86/10000)*'Assumptions (edit)'!B7),"")</f>
      </c>
      <c r="CQ436" s="8">
        <f>IF((0=1),((CQ86/10000)*'Assumptions (edit)'!B7),"")</f>
      </c>
      <c r="CR436" s="8">
        <f>IF((0=1),((CR86/10000)*'Assumptions (edit)'!B7),"")</f>
      </c>
      <c r="CS436" s="8">
        <f>IF((0=1),((CS86/10000)*'Assumptions (edit)'!B7),"")</f>
      </c>
      <c r="CT436" s="8">
        <f>IF((0=1),((CT86/10000)*'Assumptions (edit)'!B7),"")</f>
      </c>
      <c r="CU436" s="8">
        <f>IF((0=1),((CU86/10000)*'Assumptions (edit)'!B7),"")</f>
      </c>
      <c r="CV436" s="8">
        <f>IF((0=1),((CV86/10000)*'Assumptions (edit)'!B7),"")</f>
      </c>
      <c r="CW436" s="8">
        <f>IF((0=1),((CW86/10000)*'Assumptions (edit)'!B7),"")</f>
      </c>
      <c r="CX436" s="8">
        <f>IF((0=1),((CX86/10000)*'Assumptions (edit)'!B7),"")</f>
      </c>
    </row>
    <row r="437">
      <c r="A437" s="0" t="inlineStr">
        <is>
          <t xml:space="preserve">Net P&amp;L on notional, $</t>
        </is>
      </c>
      <c r="B437" s="0" t="inlineStr">
        <is>
          <t xml:space="preserve">Random 1</t>
        </is>
      </c>
      <c r="C437" s="8">
        <f>IF((1=1),((C87/10000)*'Assumptions (edit)'!B7),"")</f>
        <v>-129.33</v>
      </c>
      <c r="D437" s="8">
        <f>IF((0=1),((D87/10000)*'Assumptions (edit)'!B7),"")</f>
      </c>
      <c r="E437" s="8">
        <f>IF((0=1),((E87/10000)*'Assumptions (edit)'!B7),"")</f>
      </c>
      <c r="F437" s="8">
        <f>IF((0=1),((F87/10000)*'Assumptions (edit)'!B7),"")</f>
      </c>
      <c r="G437" s="8">
        <f>IF((0=1),((G87/10000)*'Assumptions (edit)'!B7),"")</f>
      </c>
      <c r="H437" s="8">
        <f>IF((0=1),((H87/10000)*'Assumptions (edit)'!B7),"")</f>
      </c>
      <c r="I437" s="8">
        <f>IF((0=1),((I87/10000)*'Assumptions (edit)'!B7),"")</f>
      </c>
      <c r="J437" s="8">
        <f>IF((0=1),((J87/10000)*'Assumptions (edit)'!B7),"")</f>
      </c>
      <c r="K437" s="8">
        <f>IF((0=1),((K87/10000)*'Assumptions (edit)'!B7),"")</f>
      </c>
      <c r="L437" s="8">
        <f>IF((0=1),((L87/10000)*'Assumptions (edit)'!B7),"")</f>
      </c>
      <c r="M437" s="8">
        <f>IF((0=1),((M87/10000)*'Assumptions (edit)'!B7),"")</f>
      </c>
      <c r="N437" s="8">
        <f>IF((0=1),((N87/10000)*'Assumptions (edit)'!B7),"")</f>
      </c>
      <c r="O437" s="8">
        <f>IF((0=1),((O87/10000)*'Assumptions (edit)'!B7),"")</f>
      </c>
      <c r="P437" s="8">
        <f>IF((0=1),((P87/10000)*'Assumptions (edit)'!B7),"")</f>
      </c>
      <c r="Q437" s="8">
        <f>IF((0=1),((Q87/10000)*'Assumptions (edit)'!B7),"")</f>
      </c>
      <c r="R437" s="8">
        <f>IF((0=1),((R87/10000)*'Assumptions (edit)'!B7),"")</f>
      </c>
      <c r="S437" s="8">
        <f>IF((0=1),((S87/10000)*'Assumptions (edit)'!B7),"")</f>
      </c>
      <c r="T437" s="8">
        <f>IF((0=1),((T87/10000)*'Assumptions (edit)'!B7),"")</f>
      </c>
      <c r="U437" s="8">
        <f>IF((0=1),((U87/10000)*'Assumptions (edit)'!B7),"")</f>
      </c>
      <c r="V437" s="8">
        <f>IF((0=1),((V87/10000)*'Assumptions (edit)'!B7),"")</f>
      </c>
      <c r="W437" s="8">
        <f>IF((0=1),((W87/10000)*'Assumptions (edit)'!B7),"")</f>
      </c>
      <c r="X437" s="8">
        <f>IF((0=1),((X87/10000)*'Assumptions (edit)'!B7),"")</f>
      </c>
      <c r="Y437" s="8">
        <f>IF((0=1),((Y87/10000)*'Assumptions (edit)'!B7),"")</f>
      </c>
      <c r="Z437" s="8">
        <f>IF((0=1),((Z87/10000)*'Assumptions (edit)'!B7),"")</f>
      </c>
      <c r="AA437" s="8">
        <f>IF((0=1),((AA87/10000)*'Assumptions (edit)'!B7),"")</f>
      </c>
      <c r="AB437" s="8">
        <f>IF((0=1),((AB87/10000)*'Assumptions (edit)'!B7),"")</f>
      </c>
      <c r="AC437" s="8">
        <f>IF((0=1),((AC87/10000)*'Assumptions (edit)'!B7),"")</f>
      </c>
      <c r="AD437" s="8">
        <f>IF((0=1),((AD87/10000)*'Assumptions (edit)'!B7),"")</f>
      </c>
      <c r="AE437" s="8">
        <f>IF((0=1),((AE87/10000)*'Assumptions (edit)'!B7),"")</f>
      </c>
      <c r="AF437" s="8">
        <f>IF((0=1),((AF87/10000)*'Assumptions (edit)'!B7),"")</f>
      </c>
      <c r="AG437" s="8">
        <f>IF((0=1),((AG87/10000)*'Assumptions (edit)'!B7),"")</f>
      </c>
      <c r="AH437" s="8">
        <f>IF((0=1),((AH87/10000)*'Assumptions (edit)'!B7),"")</f>
      </c>
      <c r="AI437" s="8">
        <f>IF((0=1),((AI87/10000)*'Assumptions (edit)'!B7),"")</f>
      </c>
      <c r="AJ437" s="8">
        <f>IF((0=1),((AJ87/10000)*'Assumptions (edit)'!B7),"")</f>
      </c>
      <c r="AK437" s="8">
        <f>IF((0=1),((AK87/10000)*'Assumptions (edit)'!B7),"")</f>
      </c>
      <c r="AL437" s="8">
        <f>IF((0=1),((AL87/10000)*'Assumptions (edit)'!B7),"")</f>
      </c>
      <c r="AM437" s="8">
        <f>IF((0=1),((AM87/10000)*'Assumptions (edit)'!B7),"")</f>
      </c>
      <c r="AN437" s="8">
        <f>IF((0=1),((AN87/10000)*'Assumptions (edit)'!B7),"")</f>
      </c>
      <c r="AO437" s="8">
        <f>IF((0=1),((AO87/10000)*'Assumptions (edit)'!B7),"")</f>
      </c>
      <c r="AP437" s="8">
        <f>IF((0=1),((AP87/10000)*'Assumptions (edit)'!B7),"")</f>
      </c>
      <c r="AQ437" s="8">
        <f>IF((0=1),((AQ87/10000)*'Assumptions (edit)'!B7),"")</f>
      </c>
      <c r="AR437" s="8">
        <f>IF((0=1),((AR87/10000)*'Assumptions (edit)'!B7),"")</f>
      </c>
      <c r="AS437" s="8">
        <f>IF((0=1),((AS87/10000)*'Assumptions (edit)'!B7),"")</f>
      </c>
      <c r="AT437" s="8">
        <f>IF((0=1),((AT87/10000)*'Assumptions (edit)'!B7),"")</f>
      </c>
      <c r="AU437" s="8">
        <f>IF((0=1),((AU87/10000)*'Assumptions (edit)'!B7),"")</f>
      </c>
      <c r="AV437" s="8">
        <f>IF((0=1),((AV87/10000)*'Assumptions (edit)'!B7),"")</f>
      </c>
      <c r="AW437" s="8">
        <f>IF((0=1),((AW87/10000)*'Assumptions (edit)'!B7),"")</f>
      </c>
      <c r="AX437" s="8">
        <f>IF((0=1),((AX87/10000)*'Assumptions (edit)'!B7),"")</f>
      </c>
      <c r="AY437" s="8">
        <f>IF((0=1),((AY87/10000)*'Assumptions (edit)'!B7),"")</f>
      </c>
      <c r="AZ437" s="8">
        <f>IF((0=1),((AZ87/10000)*'Assumptions (edit)'!B7),"")</f>
      </c>
      <c r="BA437" s="8">
        <f>IF((0=1),((BA87/10000)*'Assumptions (edit)'!B7),"")</f>
      </c>
      <c r="BB437" s="8">
        <f>IF((0=1),((BB87/10000)*'Assumptions (edit)'!B7),"")</f>
      </c>
      <c r="BC437" s="8">
        <f>IF((0=1),((BC87/10000)*'Assumptions (edit)'!B7),"")</f>
      </c>
      <c r="BD437" s="8">
        <f>IF((0=1),((BD87/10000)*'Assumptions (edit)'!B7),"")</f>
      </c>
      <c r="BE437" s="8">
        <f>IF((0=1),((BE87/10000)*'Assumptions (edit)'!B7),"")</f>
      </c>
      <c r="BF437" s="8">
        <f>IF((0=1),((BF87/10000)*'Assumptions (edit)'!B7),"")</f>
      </c>
      <c r="BG437" s="8">
        <f>IF((0=1),((BG87/10000)*'Assumptions (edit)'!B7),"")</f>
      </c>
      <c r="BH437" s="8">
        <f>IF((0=1),((BH87/10000)*'Assumptions (edit)'!B7),"")</f>
      </c>
      <c r="BI437" s="8">
        <f>IF((0=1),((BI87/10000)*'Assumptions (edit)'!B7),"")</f>
      </c>
      <c r="BJ437" s="8">
        <f>IF((0=1),((BJ87/10000)*'Assumptions (edit)'!B7),"")</f>
      </c>
      <c r="BK437" s="8">
        <f>IF((0=1),((BK87/10000)*'Assumptions (edit)'!B7),"")</f>
      </c>
      <c r="BL437" s="8">
        <f>IF((0=1),((BL87/10000)*'Assumptions (edit)'!B7),"")</f>
      </c>
      <c r="BM437" s="8">
        <f>IF((0=1),((BM87/10000)*'Assumptions (edit)'!B7),"")</f>
      </c>
      <c r="BN437" s="8">
        <f>IF((0=1),((BN87/10000)*'Assumptions (edit)'!B7),"")</f>
      </c>
      <c r="BO437" s="8">
        <f>IF((0=1),((BO87/10000)*'Assumptions (edit)'!B7),"")</f>
      </c>
      <c r="BP437" s="8">
        <f>IF((0=1),((BP87/10000)*'Assumptions (edit)'!B7),"")</f>
      </c>
      <c r="BQ437" s="8">
        <f>IF((0=1),((BQ87/10000)*'Assumptions (edit)'!B7),"")</f>
      </c>
      <c r="BR437" s="8">
        <f>IF((0=1),((BR87/10000)*'Assumptions (edit)'!B7),"")</f>
      </c>
      <c r="BS437" s="8">
        <f>IF((0=1),((BS87/10000)*'Assumptions (edit)'!B7),"")</f>
      </c>
      <c r="BT437" s="8">
        <f>IF((0=1),((BT87/10000)*'Assumptions (edit)'!B7),"")</f>
      </c>
      <c r="BU437" s="8">
        <f>IF((0=1),((BU87/10000)*'Assumptions (edit)'!B7),"")</f>
      </c>
      <c r="BV437" s="8">
        <f>IF((0=1),((BV87/10000)*'Assumptions (edit)'!B7),"")</f>
      </c>
      <c r="BW437" s="8">
        <f>IF((0=1),((BW87/10000)*'Assumptions (edit)'!B7),"")</f>
      </c>
      <c r="BX437" s="8">
        <f>IF((0=1),((BX87/10000)*'Assumptions (edit)'!B7),"")</f>
      </c>
      <c r="BY437" s="8">
        <f>IF((0=1),((BY87/10000)*'Assumptions (edit)'!B7),"")</f>
      </c>
      <c r="BZ437" s="8">
        <f>IF((0=1),((BZ87/10000)*'Assumptions (edit)'!B7),"")</f>
      </c>
      <c r="CA437" s="8">
        <f>IF((0=1),((CA87/10000)*'Assumptions (edit)'!B7),"")</f>
      </c>
      <c r="CB437" s="8">
        <f>IF((0=1),((CB87/10000)*'Assumptions (edit)'!B7),"")</f>
      </c>
      <c r="CC437" s="8">
        <f>IF((0=1),((CC87/10000)*'Assumptions (edit)'!B7),"")</f>
      </c>
      <c r="CD437" s="8">
        <f>IF((0=1),((CD87/10000)*'Assumptions (edit)'!B7),"")</f>
      </c>
      <c r="CE437" s="8">
        <f>IF((0=1),((CE87/10000)*'Assumptions (edit)'!B7),"")</f>
      </c>
      <c r="CF437" s="8">
        <f>IF((0=1),((CF87/10000)*'Assumptions (edit)'!B7),"")</f>
      </c>
      <c r="CG437" s="8">
        <f>IF((0=1),((CG87/10000)*'Assumptions (edit)'!B7),"")</f>
      </c>
      <c r="CH437" s="8">
        <f>IF((0=1),((CH87/10000)*'Assumptions (edit)'!B7),"")</f>
      </c>
      <c r="CI437" s="8">
        <f>IF((0=1),((CI87/10000)*'Assumptions (edit)'!B7),"")</f>
      </c>
      <c r="CJ437" s="8">
        <f>IF((0=1),((CJ87/10000)*'Assumptions (edit)'!B7),"")</f>
      </c>
      <c r="CK437" s="8">
        <f>IF((0=1),((CK87/10000)*'Assumptions (edit)'!B7),"")</f>
      </c>
      <c r="CL437" s="8">
        <f>IF((0=1),((CL87/10000)*'Assumptions (edit)'!B7),"")</f>
      </c>
      <c r="CM437" s="8">
        <f>IF((0=1),((CM87/10000)*'Assumptions (edit)'!B7),"")</f>
      </c>
      <c r="CN437" s="8">
        <f>IF((0=1),((CN87/10000)*'Assumptions (edit)'!B7),"")</f>
      </c>
      <c r="CO437" s="8">
        <f>IF((0=1),((CO87/10000)*'Assumptions (edit)'!B7),"")</f>
      </c>
      <c r="CP437" s="8">
        <f>IF((0=1),((CP87/10000)*'Assumptions (edit)'!B7),"")</f>
      </c>
      <c r="CQ437" s="8">
        <f>IF((0=1),((CQ87/10000)*'Assumptions (edit)'!B7),"")</f>
      </c>
      <c r="CR437" s="8">
        <f>IF((0=1),((CR87/10000)*'Assumptions (edit)'!B7),"")</f>
      </c>
      <c r="CS437" s="8">
        <f>IF((0=1),((CS87/10000)*'Assumptions (edit)'!B7),"")</f>
      </c>
      <c r="CT437" s="8">
        <f>IF((0=1),((CT87/10000)*'Assumptions (edit)'!B7),"")</f>
      </c>
      <c r="CU437" s="8">
        <f>IF((0=1),((CU87/10000)*'Assumptions (edit)'!B7),"")</f>
      </c>
      <c r="CV437" s="8">
        <f>IF((0=1),((CV87/10000)*'Assumptions (edit)'!B7),"")</f>
      </c>
      <c r="CW437" s="8">
        <f>IF((0=1),((CW87/10000)*'Assumptions (edit)'!B7),"")</f>
      </c>
      <c r="CX437" s="8">
        <f>IF((0=1),((CX87/10000)*'Assumptions (edit)'!B7),"")</f>
      </c>
    </row>
    <row r="438">
      <c r="A438" s="0" t="inlineStr">
        <is>
          <t xml:space="preserve">Net P&amp;L on notional, $</t>
        </is>
      </c>
      <c r="B438" s="0" t="inlineStr">
        <is>
          <t xml:space="preserve">Random 2</t>
        </is>
      </c>
      <c r="C438" s="8">
        <f>IF((1=1),((C88/10000)*'Assumptions (edit)'!B7),"")</f>
        <v>-120.48999999999998</v>
      </c>
      <c r="D438" s="8">
        <f>IF((0=1),((D88/10000)*'Assumptions (edit)'!B7),"")</f>
      </c>
      <c r="E438" s="8">
        <f>IF((0=1),((E88/10000)*'Assumptions (edit)'!B7),"")</f>
      </c>
      <c r="F438" s="8">
        <f>IF((0=1),((F88/10000)*'Assumptions (edit)'!B7),"")</f>
      </c>
      <c r="G438" s="8">
        <f>IF((0=1),((G88/10000)*'Assumptions (edit)'!B7),"")</f>
      </c>
      <c r="H438" s="8">
        <f>IF((0=1),((H88/10000)*'Assumptions (edit)'!B7),"")</f>
      </c>
      <c r="I438" s="8">
        <f>IF((0=1),((I88/10000)*'Assumptions (edit)'!B7),"")</f>
      </c>
      <c r="J438" s="8">
        <f>IF((0=1),((J88/10000)*'Assumptions (edit)'!B7),"")</f>
      </c>
      <c r="K438" s="8">
        <f>IF((0=1),((K88/10000)*'Assumptions (edit)'!B7),"")</f>
      </c>
      <c r="L438" s="8">
        <f>IF((0=1),((L88/10000)*'Assumptions (edit)'!B7),"")</f>
      </c>
      <c r="M438" s="8">
        <f>IF((0=1),((M88/10000)*'Assumptions (edit)'!B7),"")</f>
      </c>
      <c r="N438" s="8">
        <f>IF((0=1),((N88/10000)*'Assumptions (edit)'!B7),"")</f>
      </c>
      <c r="O438" s="8">
        <f>IF((0=1),((O88/10000)*'Assumptions (edit)'!B7),"")</f>
      </c>
      <c r="P438" s="8">
        <f>IF((0=1),((P88/10000)*'Assumptions (edit)'!B7),"")</f>
      </c>
      <c r="Q438" s="8">
        <f>IF((0=1),((Q88/10000)*'Assumptions (edit)'!B7),"")</f>
      </c>
      <c r="R438" s="8">
        <f>IF((0=1),((R88/10000)*'Assumptions (edit)'!B7),"")</f>
      </c>
      <c r="S438" s="8">
        <f>IF((0=1),((S88/10000)*'Assumptions (edit)'!B7),"")</f>
      </c>
      <c r="T438" s="8">
        <f>IF((0=1),((T88/10000)*'Assumptions (edit)'!B7),"")</f>
      </c>
      <c r="U438" s="8">
        <f>IF((0=1),((U88/10000)*'Assumptions (edit)'!B7),"")</f>
      </c>
      <c r="V438" s="8">
        <f>IF((0=1),((V88/10000)*'Assumptions (edit)'!B7),"")</f>
      </c>
      <c r="W438" s="8">
        <f>IF((0=1),((W88/10000)*'Assumptions (edit)'!B7),"")</f>
      </c>
      <c r="X438" s="8">
        <f>IF((0=1),((X88/10000)*'Assumptions (edit)'!B7),"")</f>
      </c>
      <c r="Y438" s="8">
        <f>IF((0=1),((Y88/10000)*'Assumptions (edit)'!B7),"")</f>
      </c>
      <c r="Z438" s="8">
        <f>IF((0=1),((Z88/10000)*'Assumptions (edit)'!B7),"")</f>
      </c>
      <c r="AA438" s="8">
        <f>IF((0=1),((AA88/10000)*'Assumptions (edit)'!B7),"")</f>
      </c>
      <c r="AB438" s="8">
        <f>IF((0=1),((AB88/10000)*'Assumptions (edit)'!B7),"")</f>
      </c>
      <c r="AC438" s="8">
        <f>IF((0=1),((AC88/10000)*'Assumptions (edit)'!B7),"")</f>
      </c>
      <c r="AD438" s="8">
        <f>IF((0=1),((AD88/10000)*'Assumptions (edit)'!B7),"")</f>
      </c>
      <c r="AE438" s="8">
        <f>IF((0=1),((AE88/10000)*'Assumptions (edit)'!B7),"")</f>
      </c>
      <c r="AF438" s="8">
        <f>IF((0=1),((AF88/10000)*'Assumptions (edit)'!B7),"")</f>
      </c>
      <c r="AG438" s="8">
        <f>IF((0=1),((AG88/10000)*'Assumptions (edit)'!B7),"")</f>
      </c>
      <c r="AH438" s="8">
        <f>IF((0=1),((AH88/10000)*'Assumptions (edit)'!B7),"")</f>
      </c>
      <c r="AI438" s="8">
        <f>IF((0=1),((AI88/10000)*'Assumptions (edit)'!B7),"")</f>
      </c>
      <c r="AJ438" s="8">
        <f>IF((0=1),((AJ88/10000)*'Assumptions (edit)'!B7),"")</f>
      </c>
      <c r="AK438" s="8">
        <f>IF((0=1),((AK88/10000)*'Assumptions (edit)'!B7),"")</f>
      </c>
      <c r="AL438" s="8">
        <f>IF((0=1),((AL88/10000)*'Assumptions (edit)'!B7),"")</f>
      </c>
      <c r="AM438" s="8">
        <f>IF((0=1),((AM88/10000)*'Assumptions (edit)'!B7),"")</f>
      </c>
      <c r="AN438" s="8">
        <f>IF((0=1),((AN88/10000)*'Assumptions (edit)'!B7),"")</f>
      </c>
      <c r="AO438" s="8">
        <f>IF((0=1),((AO88/10000)*'Assumptions (edit)'!B7),"")</f>
      </c>
      <c r="AP438" s="8">
        <f>IF((0=1),((AP88/10000)*'Assumptions (edit)'!B7),"")</f>
      </c>
      <c r="AQ438" s="8">
        <f>IF((0=1),((AQ88/10000)*'Assumptions (edit)'!B7),"")</f>
      </c>
      <c r="AR438" s="8">
        <f>IF((0=1),((AR88/10000)*'Assumptions (edit)'!B7),"")</f>
      </c>
      <c r="AS438" s="8">
        <f>IF((0=1),((AS88/10000)*'Assumptions (edit)'!B7),"")</f>
      </c>
      <c r="AT438" s="8">
        <f>IF((0=1),((AT88/10000)*'Assumptions (edit)'!B7),"")</f>
      </c>
      <c r="AU438" s="8">
        <f>IF((0=1),((AU88/10000)*'Assumptions (edit)'!B7),"")</f>
      </c>
      <c r="AV438" s="8">
        <f>IF((0=1),((AV88/10000)*'Assumptions (edit)'!B7),"")</f>
      </c>
      <c r="AW438" s="8">
        <f>IF((0=1),((AW88/10000)*'Assumptions (edit)'!B7),"")</f>
      </c>
      <c r="AX438" s="8">
        <f>IF((0=1),((AX88/10000)*'Assumptions (edit)'!B7),"")</f>
      </c>
      <c r="AY438" s="8">
        <f>IF((0=1),((AY88/10000)*'Assumptions (edit)'!B7),"")</f>
      </c>
      <c r="AZ438" s="8">
        <f>IF((0=1),((AZ88/10000)*'Assumptions (edit)'!B7),"")</f>
      </c>
      <c r="BA438" s="8">
        <f>IF((0=1),((BA88/10000)*'Assumptions (edit)'!B7),"")</f>
      </c>
      <c r="BB438" s="8">
        <f>IF((0=1),((BB88/10000)*'Assumptions (edit)'!B7),"")</f>
      </c>
      <c r="BC438" s="8">
        <f>IF((0=1),((BC88/10000)*'Assumptions (edit)'!B7),"")</f>
      </c>
      <c r="BD438" s="8">
        <f>IF((0=1),((BD88/10000)*'Assumptions (edit)'!B7),"")</f>
      </c>
      <c r="BE438" s="8">
        <f>IF((0=1),((BE88/10000)*'Assumptions (edit)'!B7),"")</f>
      </c>
      <c r="BF438" s="8">
        <f>IF((0=1),((BF88/10000)*'Assumptions (edit)'!B7),"")</f>
      </c>
      <c r="BG438" s="8">
        <f>IF((0=1),((BG88/10000)*'Assumptions (edit)'!B7),"")</f>
      </c>
      <c r="BH438" s="8">
        <f>IF((0=1),((BH88/10000)*'Assumptions (edit)'!B7),"")</f>
      </c>
      <c r="BI438" s="8">
        <f>IF((0=1),((BI88/10000)*'Assumptions (edit)'!B7),"")</f>
      </c>
      <c r="BJ438" s="8">
        <f>IF((0=1),((BJ88/10000)*'Assumptions (edit)'!B7),"")</f>
      </c>
      <c r="BK438" s="8">
        <f>IF((0=1),((BK88/10000)*'Assumptions (edit)'!B7),"")</f>
      </c>
      <c r="BL438" s="8">
        <f>IF((0=1),((BL88/10000)*'Assumptions (edit)'!B7),"")</f>
      </c>
      <c r="BM438" s="8">
        <f>IF((0=1),((BM88/10000)*'Assumptions (edit)'!B7),"")</f>
      </c>
      <c r="BN438" s="8">
        <f>IF((0=1),((BN88/10000)*'Assumptions (edit)'!B7),"")</f>
      </c>
      <c r="BO438" s="8">
        <f>IF((0=1),((BO88/10000)*'Assumptions (edit)'!B7),"")</f>
      </c>
      <c r="BP438" s="8">
        <f>IF((0=1),((BP88/10000)*'Assumptions (edit)'!B7),"")</f>
      </c>
      <c r="BQ438" s="8">
        <f>IF((0=1),((BQ88/10000)*'Assumptions (edit)'!B7),"")</f>
      </c>
      <c r="BR438" s="8">
        <f>IF((0=1),((BR88/10000)*'Assumptions (edit)'!B7),"")</f>
      </c>
      <c r="BS438" s="8">
        <f>IF((0=1),((BS88/10000)*'Assumptions (edit)'!B7),"")</f>
      </c>
      <c r="BT438" s="8">
        <f>IF((0=1),((BT88/10000)*'Assumptions (edit)'!B7),"")</f>
      </c>
      <c r="BU438" s="8">
        <f>IF((0=1),((BU88/10000)*'Assumptions (edit)'!B7),"")</f>
      </c>
      <c r="BV438" s="8">
        <f>IF((0=1),((BV88/10000)*'Assumptions (edit)'!B7),"")</f>
      </c>
      <c r="BW438" s="8">
        <f>IF((0=1),((BW88/10000)*'Assumptions (edit)'!B7),"")</f>
      </c>
      <c r="BX438" s="8">
        <f>IF((0=1),((BX88/10000)*'Assumptions (edit)'!B7),"")</f>
      </c>
      <c r="BY438" s="8">
        <f>IF((0=1),((BY88/10000)*'Assumptions (edit)'!B7),"")</f>
      </c>
      <c r="BZ438" s="8">
        <f>IF((0=1),((BZ88/10000)*'Assumptions (edit)'!B7),"")</f>
      </c>
      <c r="CA438" s="8">
        <f>IF((0=1),((CA88/10000)*'Assumptions (edit)'!B7),"")</f>
      </c>
      <c r="CB438" s="8">
        <f>IF((0=1),((CB88/10000)*'Assumptions (edit)'!B7),"")</f>
      </c>
      <c r="CC438" s="8">
        <f>IF((0=1),((CC88/10000)*'Assumptions (edit)'!B7),"")</f>
      </c>
      <c r="CD438" s="8">
        <f>IF((0=1),((CD88/10000)*'Assumptions (edit)'!B7),"")</f>
      </c>
      <c r="CE438" s="8">
        <f>IF((0=1),((CE88/10000)*'Assumptions (edit)'!B7),"")</f>
      </c>
      <c r="CF438" s="8">
        <f>IF((0=1),((CF88/10000)*'Assumptions (edit)'!B7),"")</f>
      </c>
      <c r="CG438" s="8">
        <f>IF((0=1),((CG88/10000)*'Assumptions (edit)'!B7),"")</f>
      </c>
      <c r="CH438" s="8">
        <f>IF((0=1),((CH88/10000)*'Assumptions (edit)'!B7),"")</f>
      </c>
      <c r="CI438" s="8">
        <f>IF((0=1),((CI88/10000)*'Assumptions (edit)'!B7),"")</f>
      </c>
      <c r="CJ438" s="8">
        <f>IF((0=1),((CJ88/10000)*'Assumptions (edit)'!B7),"")</f>
      </c>
      <c r="CK438" s="8">
        <f>IF((0=1),((CK88/10000)*'Assumptions (edit)'!B7),"")</f>
      </c>
      <c r="CL438" s="8">
        <f>IF((0=1),((CL88/10000)*'Assumptions (edit)'!B7),"")</f>
      </c>
      <c r="CM438" s="8">
        <f>IF((0=1),((CM88/10000)*'Assumptions (edit)'!B7),"")</f>
      </c>
      <c r="CN438" s="8">
        <f>IF((0=1),((CN88/10000)*'Assumptions (edit)'!B7),"")</f>
      </c>
      <c r="CO438" s="8">
        <f>IF((0=1),((CO88/10000)*'Assumptions (edit)'!B7),"")</f>
      </c>
      <c r="CP438" s="8">
        <f>IF((0=1),((CP88/10000)*'Assumptions (edit)'!B7),"")</f>
      </c>
      <c r="CQ438" s="8">
        <f>IF((0=1),((CQ88/10000)*'Assumptions (edit)'!B7),"")</f>
      </c>
      <c r="CR438" s="8">
        <f>IF((0=1),((CR88/10000)*'Assumptions (edit)'!B7),"")</f>
      </c>
      <c r="CS438" s="8">
        <f>IF((0=1),((CS88/10000)*'Assumptions (edit)'!B7),"")</f>
      </c>
      <c r="CT438" s="8">
        <f>IF((0=1),((CT88/10000)*'Assumptions (edit)'!B7),"")</f>
      </c>
      <c r="CU438" s="8">
        <f>IF((0=1),((CU88/10000)*'Assumptions (edit)'!B7),"")</f>
      </c>
      <c r="CV438" s="8">
        <f>IF((0=1),((CV88/10000)*'Assumptions (edit)'!B7),"")</f>
      </c>
      <c r="CW438" s="8">
        <f>IF((0=1),((CW88/10000)*'Assumptions (edit)'!B7),"")</f>
      </c>
      <c r="CX438" s="8">
        <f>IF((0=1),((CX88/10000)*'Assumptions (edit)'!B7),"")</f>
      </c>
    </row>
    <row r="439">
      <c r="A439" s="0" t="inlineStr">
        <is>
          <t xml:space="preserve">Net P&amp;L on notional, $</t>
        </is>
      </c>
      <c r="B439" s="0" t="inlineStr">
        <is>
          <t xml:space="preserve">Random 3</t>
        </is>
      </c>
      <c r="C439" s="4">
        <f>IF((1=1),((C89/10000)*'Assumptions (edit)'!B7),"")</f>
        <v>-41</v>
      </c>
      <c r="D439" s="4">
        <f>IF((0=1),((D89/10000)*'Assumptions (edit)'!B7),"")</f>
      </c>
      <c r="E439" s="4">
        <f>IF((0=1),((E89/10000)*'Assumptions (edit)'!B7),"")</f>
      </c>
      <c r="F439" s="4">
        <f>IF((0=1),((F89/10000)*'Assumptions (edit)'!B7),"")</f>
      </c>
      <c r="G439" s="4">
        <f>IF((0=1),((G89/10000)*'Assumptions (edit)'!B7),"")</f>
      </c>
      <c r="H439" s="4">
        <f>IF((0=1),((H89/10000)*'Assumptions (edit)'!B7),"")</f>
      </c>
      <c r="I439" s="4">
        <f>IF((0=1),((I89/10000)*'Assumptions (edit)'!B7),"")</f>
      </c>
      <c r="J439" s="4">
        <f>IF((0=1),((J89/10000)*'Assumptions (edit)'!B7),"")</f>
      </c>
      <c r="K439" s="4">
        <f>IF((0=1),((K89/10000)*'Assumptions (edit)'!B7),"")</f>
      </c>
      <c r="L439" s="4">
        <f>IF((0=1),((L89/10000)*'Assumptions (edit)'!B7),"")</f>
      </c>
      <c r="M439" s="4">
        <f>IF((0=1),((M89/10000)*'Assumptions (edit)'!B7),"")</f>
      </c>
      <c r="N439" s="4">
        <f>IF((0=1),((N89/10000)*'Assumptions (edit)'!B7),"")</f>
      </c>
      <c r="O439" s="4">
        <f>IF((0=1),((O89/10000)*'Assumptions (edit)'!B7),"")</f>
      </c>
      <c r="P439" s="4">
        <f>IF((0=1),((P89/10000)*'Assumptions (edit)'!B7),"")</f>
      </c>
      <c r="Q439" s="4">
        <f>IF((0=1),((Q89/10000)*'Assumptions (edit)'!B7),"")</f>
      </c>
      <c r="R439" s="4">
        <f>IF((0=1),((R89/10000)*'Assumptions (edit)'!B7),"")</f>
      </c>
      <c r="S439" s="4">
        <f>IF((0=1),((S89/10000)*'Assumptions (edit)'!B7),"")</f>
      </c>
      <c r="T439" s="4">
        <f>IF((0=1),((T89/10000)*'Assumptions (edit)'!B7),"")</f>
      </c>
      <c r="U439" s="4">
        <f>IF((0=1),((U89/10000)*'Assumptions (edit)'!B7),"")</f>
      </c>
      <c r="V439" s="4">
        <f>IF((0=1),((V89/10000)*'Assumptions (edit)'!B7),"")</f>
      </c>
      <c r="W439" s="4">
        <f>IF((0=1),((W89/10000)*'Assumptions (edit)'!B7),"")</f>
      </c>
      <c r="X439" s="4">
        <f>IF((0=1),((X89/10000)*'Assumptions (edit)'!B7),"")</f>
      </c>
      <c r="Y439" s="4">
        <f>IF((0=1),((Y89/10000)*'Assumptions (edit)'!B7),"")</f>
      </c>
      <c r="Z439" s="4">
        <f>IF((0=1),((Z89/10000)*'Assumptions (edit)'!B7),"")</f>
      </c>
      <c r="AA439" s="4">
        <f>IF((0=1),((AA89/10000)*'Assumptions (edit)'!B7),"")</f>
      </c>
      <c r="AB439" s="4">
        <f>IF((0=1),((AB89/10000)*'Assumptions (edit)'!B7),"")</f>
      </c>
      <c r="AC439" s="4">
        <f>IF((0=1),((AC89/10000)*'Assumptions (edit)'!B7),"")</f>
      </c>
      <c r="AD439" s="4">
        <f>IF((0=1),((AD89/10000)*'Assumptions (edit)'!B7),"")</f>
      </c>
      <c r="AE439" s="4">
        <f>IF((0=1),((AE89/10000)*'Assumptions (edit)'!B7),"")</f>
      </c>
      <c r="AF439" s="4">
        <f>IF((0=1),((AF89/10000)*'Assumptions (edit)'!B7),"")</f>
      </c>
      <c r="AG439" s="4">
        <f>IF((0=1),((AG89/10000)*'Assumptions (edit)'!B7),"")</f>
      </c>
      <c r="AH439" s="4">
        <f>IF((0=1),((AH89/10000)*'Assumptions (edit)'!B7),"")</f>
      </c>
      <c r="AI439" s="4">
        <f>IF((0=1),((AI89/10000)*'Assumptions (edit)'!B7),"")</f>
      </c>
      <c r="AJ439" s="4">
        <f>IF((0=1),((AJ89/10000)*'Assumptions (edit)'!B7),"")</f>
      </c>
      <c r="AK439" s="4">
        <f>IF((0=1),((AK89/10000)*'Assumptions (edit)'!B7),"")</f>
      </c>
      <c r="AL439" s="4">
        <f>IF((0=1),((AL89/10000)*'Assumptions (edit)'!B7),"")</f>
      </c>
      <c r="AM439" s="4">
        <f>IF((0=1),((AM89/10000)*'Assumptions (edit)'!B7),"")</f>
      </c>
      <c r="AN439" s="4">
        <f>IF((0=1),((AN89/10000)*'Assumptions (edit)'!B7),"")</f>
      </c>
      <c r="AO439" s="4">
        <f>IF((0=1),((AO89/10000)*'Assumptions (edit)'!B7),"")</f>
      </c>
      <c r="AP439" s="4">
        <f>IF((0=1),((AP89/10000)*'Assumptions (edit)'!B7),"")</f>
      </c>
      <c r="AQ439" s="4">
        <f>IF((0=1),((AQ89/10000)*'Assumptions (edit)'!B7),"")</f>
      </c>
      <c r="AR439" s="4">
        <f>IF((0=1),((AR89/10000)*'Assumptions (edit)'!B7),"")</f>
      </c>
      <c r="AS439" s="4">
        <f>IF((0=1),((AS89/10000)*'Assumptions (edit)'!B7),"")</f>
      </c>
      <c r="AT439" s="4">
        <f>IF((0=1),((AT89/10000)*'Assumptions (edit)'!B7),"")</f>
      </c>
      <c r="AU439" s="4">
        <f>IF((0=1),((AU89/10000)*'Assumptions (edit)'!B7),"")</f>
      </c>
      <c r="AV439" s="4">
        <f>IF((0=1),((AV89/10000)*'Assumptions (edit)'!B7),"")</f>
      </c>
      <c r="AW439" s="4">
        <f>IF((0=1),((AW89/10000)*'Assumptions (edit)'!B7),"")</f>
      </c>
      <c r="AX439" s="4">
        <f>IF((0=1),((AX89/10000)*'Assumptions (edit)'!B7),"")</f>
      </c>
      <c r="AY439" s="4">
        <f>IF((0=1),((AY89/10000)*'Assumptions (edit)'!B7),"")</f>
      </c>
      <c r="AZ439" s="4">
        <f>IF((0=1),((AZ89/10000)*'Assumptions (edit)'!B7),"")</f>
      </c>
      <c r="BA439" s="4">
        <f>IF((0=1),((BA89/10000)*'Assumptions (edit)'!B7),"")</f>
      </c>
      <c r="BB439" s="4">
        <f>IF((0=1),((BB89/10000)*'Assumptions (edit)'!B7),"")</f>
      </c>
      <c r="BC439" s="4">
        <f>IF((0=1),((BC89/10000)*'Assumptions (edit)'!B7),"")</f>
      </c>
      <c r="BD439" s="4">
        <f>IF((0=1),((BD89/10000)*'Assumptions (edit)'!B7),"")</f>
      </c>
      <c r="BE439" s="4">
        <f>IF((0=1),((BE89/10000)*'Assumptions (edit)'!B7),"")</f>
      </c>
      <c r="BF439" s="4">
        <f>IF((0=1),((BF89/10000)*'Assumptions (edit)'!B7),"")</f>
      </c>
      <c r="BG439" s="4">
        <f>IF((0=1),((BG89/10000)*'Assumptions (edit)'!B7),"")</f>
      </c>
      <c r="BH439" s="4">
        <f>IF((0=1),((BH89/10000)*'Assumptions (edit)'!B7),"")</f>
      </c>
      <c r="BI439" s="4">
        <f>IF((0=1),((BI89/10000)*'Assumptions (edit)'!B7),"")</f>
      </c>
      <c r="BJ439" s="4">
        <f>IF((0=1),((BJ89/10000)*'Assumptions (edit)'!B7),"")</f>
      </c>
      <c r="BK439" s="4">
        <f>IF((0=1),((BK89/10000)*'Assumptions (edit)'!B7),"")</f>
      </c>
      <c r="BL439" s="4">
        <f>IF((0=1),((BL89/10000)*'Assumptions (edit)'!B7),"")</f>
      </c>
      <c r="BM439" s="4">
        <f>IF((0=1),((BM89/10000)*'Assumptions (edit)'!B7),"")</f>
      </c>
      <c r="BN439" s="4">
        <f>IF((0=1),((BN89/10000)*'Assumptions (edit)'!B7),"")</f>
      </c>
      <c r="BO439" s="4">
        <f>IF((0=1),((BO89/10000)*'Assumptions (edit)'!B7),"")</f>
      </c>
      <c r="BP439" s="4">
        <f>IF((0=1),((BP89/10000)*'Assumptions (edit)'!B7),"")</f>
      </c>
      <c r="BQ439" s="4">
        <f>IF((0=1),((BQ89/10000)*'Assumptions (edit)'!B7),"")</f>
      </c>
      <c r="BR439" s="4">
        <f>IF((0=1),((BR89/10000)*'Assumptions (edit)'!B7),"")</f>
      </c>
      <c r="BS439" s="4">
        <f>IF((0=1),((BS89/10000)*'Assumptions (edit)'!B7),"")</f>
      </c>
      <c r="BT439" s="4">
        <f>IF((0=1),((BT89/10000)*'Assumptions (edit)'!B7),"")</f>
      </c>
      <c r="BU439" s="4">
        <f>IF((0=1),((BU89/10000)*'Assumptions (edit)'!B7),"")</f>
      </c>
      <c r="BV439" s="4">
        <f>IF((0=1),((BV89/10000)*'Assumptions (edit)'!B7),"")</f>
      </c>
      <c r="BW439" s="4">
        <f>IF((0=1),((BW89/10000)*'Assumptions (edit)'!B7),"")</f>
      </c>
      <c r="BX439" s="4">
        <f>IF((0=1),((BX89/10000)*'Assumptions (edit)'!B7),"")</f>
      </c>
      <c r="BY439" s="4">
        <f>IF((0=1),((BY89/10000)*'Assumptions (edit)'!B7),"")</f>
      </c>
      <c r="BZ439" s="4">
        <f>IF((0=1),((BZ89/10000)*'Assumptions (edit)'!B7),"")</f>
      </c>
      <c r="CA439" s="4">
        <f>IF((0=1),((CA89/10000)*'Assumptions (edit)'!B7),"")</f>
      </c>
      <c r="CB439" s="4">
        <f>IF((0=1),((CB89/10000)*'Assumptions (edit)'!B7),"")</f>
      </c>
      <c r="CC439" s="4">
        <f>IF((0=1),((CC89/10000)*'Assumptions (edit)'!B7),"")</f>
      </c>
      <c r="CD439" s="4">
        <f>IF((0=1),((CD89/10000)*'Assumptions (edit)'!B7),"")</f>
      </c>
      <c r="CE439" s="4">
        <f>IF((0=1),((CE89/10000)*'Assumptions (edit)'!B7),"")</f>
      </c>
      <c r="CF439" s="4">
        <f>IF((0=1),((CF89/10000)*'Assumptions (edit)'!B7),"")</f>
      </c>
      <c r="CG439" s="4">
        <f>IF((0=1),((CG89/10000)*'Assumptions (edit)'!B7),"")</f>
      </c>
      <c r="CH439" s="4">
        <f>IF((0=1),((CH89/10000)*'Assumptions (edit)'!B7),"")</f>
      </c>
      <c r="CI439" s="4">
        <f>IF((0=1),((CI89/10000)*'Assumptions (edit)'!B7),"")</f>
      </c>
      <c r="CJ439" s="4">
        <f>IF((0=1),((CJ89/10000)*'Assumptions (edit)'!B7),"")</f>
      </c>
      <c r="CK439" s="4">
        <f>IF((0=1),((CK89/10000)*'Assumptions (edit)'!B7),"")</f>
      </c>
      <c r="CL439" s="4">
        <f>IF((0=1),((CL89/10000)*'Assumptions (edit)'!B7),"")</f>
      </c>
      <c r="CM439" s="4">
        <f>IF((0=1),((CM89/10000)*'Assumptions (edit)'!B7),"")</f>
      </c>
      <c r="CN439" s="4">
        <f>IF((0=1),((CN89/10000)*'Assumptions (edit)'!B7),"")</f>
      </c>
      <c r="CO439" s="4">
        <f>IF((0=1),((CO89/10000)*'Assumptions (edit)'!B7),"")</f>
      </c>
      <c r="CP439" s="4">
        <f>IF((0=1),((CP89/10000)*'Assumptions (edit)'!B7),"")</f>
      </c>
      <c r="CQ439" s="4">
        <f>IF((0=1),((CQ89/10000)*'Assumptions (edit)'!B7),"")</f>
      </c>
      <c r="CR439" s="4">
        <f>IF((0=1),((CR89/10000)*'Assumptions (edit)'!B7),"")</f>
      </c>
      <c r="CS439" s="4">
        <f>IF((0=1),((CS89/10000)*'Assumptions (edit)'!B7),"")</f>
      </c>
      <c r="CT439" s="4">
        <f>IF((0=1),((CT89/10000)*'Assumptions (edit)'!B7),"")</f>
      </c>
      <c r="CU439" s="4">
        <f>IF((0=1),((CU89/10000)*'Assumptions (edit)'!B7),"")</f>
      </c>
      <c r="CV439" s="4">
        <f>IF((0=1),((CV89/10000)*'Assumptions (edit)'!B7),"")</f>
      </c>
      <c r="CW439" s="4">
        <f>IF((0=1),((CW89/10000)*'Assumptions (edit)'!B7),"")</f>
      </c>
      <c r="CX439" s="4">
        <f>IF((0=1),((CX89/10000)*'Assumptions (edit)'!B7),"")</f>
      </c>
    </row>
    <row r="440">
      <c r="A440" s="0" t="inlineStr">
        <is>
          <t xml:space="preserve">Net P&amp;L on notional, $</t>
        </is>
      </c>
      <c r="B440" s="0" t="inlineStr">
        <is>
          <t xml:space="preserve">Random 4</t>
        </is>
      </c>
      <c r="C440" s="8">
        <f>IF((1=1),((C90/10000)*'Assumptions (edit)'!B7),"")</f>
        <v>-154.97</v>
      </c>
      <c r="D440" s="8">
        <f>IF((0=1),((D90/10000)*'Assumptions (edit)'!B7),"")</f>
      </c>
      <c r="E440" s="8">
        <f>IF((0=1),((E90/10000)*'Assumptions (edit)'!B7),"")</f>
      </c>
      <c r="F440" s="8">
        <f>IF((0=1),((F90/10000)*'Assumptions (edit)'!B7),"")</f>
      </c>
      <c r="G440" s="8">
        <f>IF((0=1),((G90/10000)*'Assumptions (edit)'!B7),"")</f>
      </c>
      <c r="H440" s="8">
        <f>IF((0=1),((H90/10000)*'Assumptions (edit)'!B7),"")</f>
      </c>
      <c r="I440" s="8">
        <f>IF((0=1),((I90/10000)*'Assumptions (edit)'!B7),"")</f>
      </c>
      <c r="J440" s="8">
        <f>IF((0=1),((J90/10000)*'Assumptions (edit)'!B7),"")</f>
      </c>
      <c r="K440" s="8">
        <f>IF((0=1),((K90/10000)*'Assumptions (edit)'!B7),"")</f>
      </c>
      <c r="L440" s="8">
        <f>IF((0=1),((L90/10000)*'Assumptions (edit)'!B7),"")</f>
      </c>
      <c r="M440" s="8">
        <f>IF((0=1),((M90/10000)*'Assumptions (edit)'!B7),"")</f>
      </c>
      <c r="N440" s="8">
        <f>IF((0=1),((N90/10000)*'Assumptions (edit)'!B7),"")</f>
      </c>
      <c r="O440" s="8">
        <f>IF((0=1),((O90/10000)*'Assumptions (edit)'!B7),"")</f>
      </c>
      <c r="P440" s="8">
        <f>IF((0=1),((P90/10000)*'Assumptions (edit)'!B7),"")</f>
      </c>
      <c r="Q440" s="8">
        <f>IF((0=1),((Q90/10000)*'Assumptions (edit)'!B7),"")</f>
      </c>
      <c r="R440" s="8">
        <f>IF((0=1),((R90/10000)*'Assumptions (edit)'!B7),"")</f>
      </c>
      <c r="S440" s="8">
        <f>IF((0=1),((S90/10000)*'Assumptions (edit)'!B7),"")</f>
      </c>
      <c r="T440" s="8">
        <f>IF((0=1),((T90/10000)*'Assumptions (edit)'!B7),"")</f>
      </c>
      <c r="U440" s="8">
        <f>IF((0=1),((U90/10000)*'Assumptions (edit)'!B7),"")</f>
      </c>
      <c r="V440" s="8">
        <f>IF((0=1),((V90/10000)*'Assumptions (edit)'!B7),"")</f>
      </c>
      <c r="W440" s="8">
        <f>IF((0=1),((W90/10000)*'Assumptions (edit)'!B7),"")</f>
      </c>
      <c r="X440" s="8">
        <f>IF((0=1),((X90/10000)*'Assumptions (edit)'!B7),"")</f>
      </c>
      <c r="Y440" s="8">
        <f>IF((0=1),((Y90/10000)*'Assumptions (edit)'!B7),"")</f>
      </c>
      <c r="Z440" s="8">
        <f>IF((0=1),((Z90/10000)*'Assumptions (edit)'!B7),"")</f>
      </c>
      <c r="AA440" s="8">
        <f>IF((0=1),((AA90/10000)*'Assumptions (edit)'!B7),"")</f>
      </c>
      <c r="AB440" s="8">
        <f>IF((0=1),((AB90/10000)*'Assumptions (edit)'!B7),"")</f>
      </c>
      <c r="AC440" s="8">
        <f>IF((0=1),((AC90/10000)*'Assumptions (edit)'!B7),"")</f>
      </c>
      <c r="AD440" s="8">
        <f>IF((0=1),((AD90/10000)*'Assumptions (edit)'!B7),"")</f>
      </c>
      <c r="AE440" s="8">
        <f>IF((0=1),((AE90/10000)*'Assumptions (edit)'!B7),"")</f>
      </c>
      <c r="AF440" s="8">
        <f>IF((0=1),((AF90/10000)*'Assumptions (edit)'!B7),"")</f>
      </c>
      <c r="AG440" s="8">
        <f>IF((0=1),((AG90/10000)*'Assumptions (edit)'!B7),"")</f>
      </c>
      <c r="AH440" s="8">
        <f>IF((0=1),((AH90/10000)*'Assumptions (edit)'!B7),"")</f>
      </c>
      <c r="AI440" s="8">
        <f>IF((0=1),((AI90/10000)*'Assumptions (edit)'!B7),"")</f>
      </c>
      <c r="AJ440" s="8">
        <f>IF((0=1),((AJ90/10000)*'Assumptions (edit)'!B7),"")</f>
      </c>
      <c r="AK440" s="8">
        <f>IF((0=1),((AK90/10000)*'Assumptions (edit)'!B7),"")</f>
      </c>
      <c r="AL440" s="8">
        <f>IF((0=1),((AL90/10000)*'Assumptions (edit)'!B7),"")</f>
      </c>
      <c r="AM440" s="8">
        <f>IF((0=1),((AM90/10000)*'Assumptions (edit)'!B7),"")</f>
      </c>
      <c r="AN440" s="8">
        <f>IF((0=1),((AN90/10000)*'Assumptions (edit)'!B7),"")</f>
      </c>
      <c r="AO440" s="8">
        <f>IF((0=1),((AO90/10000)*'Assumptions (edit)'!B7),"")</f>
      </c>
      <c r="AP440" s="8">
        <f>IF((0=1),((AP90/10000)*'Assumptions (edit)'!B7),"")</f>
      </c>
      <c r="AQ440" s="8">
        <f>IF((0=1),((AQ90/10000)*'Assumptions (edit)'!B7),"")</f>
      </c>
      <c r="AR440" s="8">
        <f>IF((0=1),((AR90/10000)*'Assumptions (edit)'!B7),"")</f>
      </c>
      <c r="AS440" s="8">
        <f>IF((0=1),((AS90/10000)*'Assumptions (edit)'!B7),"")</f>
      </c>
      <c r="AT440" s="8">
        <f>IF((0=1),((AT90/10000)*'Assumptions (edit)'!B7),"")</f>
      </c>
      <c r="AU440" s="8">
        <f>IF((0=1),((AU90/10000)*'Assumptions (edit)'!B7),"")</f>
      </c>
      <c r="AV440" s="8">
        <f>IF((0=1),((AV90/10000)*'Assumptions (edit)'!B7),"")</f>
      </c>
      <c r="AW440" s="8">
        <f>IF((0=1),((AW90/10000)*'Assumptions (edit)'!B7),"")</f>
      </c>
      <c r="AX440" s="8">
        <f>IF((0=1),((AX90/10000)*'Assumptions (edit)'!B7),"")</f>
      </c>
      <c r="AY440" s="8">
        <f>IF((0=1),((AY90/10000)*'Assumptions (edit)'!B7),"")</f>
      </c>
      <c r="AZ440" s="8">
        <f>IF((0=1),((AZ90/10000)*'Assumptions (edit)'!B7),"")</f>
      </c>
      <c r="BA440" s="8">
        <f>IF((0=1),((BA90/10000)*'Assumptions (edit)'!B7),"")</f>
      </c>
      <c r="BB440" s="8">
        <f>IF((0=1),((BB90/10000)*'Assumptions (edit)'!B7),"")</f>
      </c>
      <c r="BC440" s="8">
        <f>IF((0=1),((BC90/10000)*'Assumptions (edit)'!B7),"")</f>
      </c>
      <c r="BD440" s="8">
        <f>IF((0=1),((BD90/10000)*'Assumptions (edit)'!B7),"")</f>
      </c>
      <c r="BE440" s="8">
        <f>IF((0=1),((BE90/10000)*'Assumptions (edit)'!B7),"")</f>
      </c>
      <c r="BF440" s="8">
        <f>IF((0=1),((BF90/10000)*'Assumptions (edit)'!B7),"")</f>
      </c>
      <c r="BG440" s="8">
        <f>IF((0=1),((BG90/10000)*'Assumptions (edit)'!B7),"")</f>
      </c>
      <c r="BH440" s="8">
        <f>IF((0=1),((BH90/10000)*'Assumptions (edit)'!B7),"")</f>
      </c>
      <c r="BI440" s="8">
        <f>IF((0=1),((BI90/10000)*'Assumptions (edit)'!B7),"")</f>
      </c>
      <c r="BJ440" s="8">
        <f>IF((0=1),((BJ90/10000)*'Assumptions (edit)'!B7),"")</f>
      </c>
      <c r="BK440" s="8">
        <f>IF((0=1),((BK90/10000)*'Assumptions (edit)'!B7),"")</f>
      </c>
      <c r="BL440" s="8">
        <f>IF((0=1),((BL90/10000)*'Assumptions (edit)'!B7),"")</f>
      </c>
      <c r="BM440" s="8">
        <f>IF((0=1),((BM90/10000)*'Assumptions (edit)'!B7),"")</f>
      </c>
      <c r="BN440" s="8">
        <f>IF((0=1),((BN90/10000)*'Assumptions (edit)'!B7),"")</f>
      </c>
      <c r="BO440" s="8">
        <f>IF((0=1),((BO90/10000)*'Assumptions (edit)'!B7),"")</f>
      </c>
      <c r="BP440" s="8">
        <f>IF((0=1),((BP90/10000)*'Assumptions (edit)'!B7),"")</f>
      </c>
      <c r="BQ440" s="8">
        <f>IF((0=1),((BQ90/10000)*'Assumptions (edit)'!B7),"")</f>
      </c>
      <c r="BR440" s="8">
        <f>IF((0=1),((BR90/10000)*'Assumptions (edit)'!B7),"")</f>
      </c>
      <c r="BS440" s="8">
        <f>IF((0=1),((BS90/10000)*'Assumptions (edit)'!B7),"")</f>
      </c>
      <c r="BT440" s="8">
        <f>IF((0=1),((BT90/10000)*'Assumptions (edit)'!B7),"")</f>
      </c>
      <c r="BU440" s="8">
        <f>IF((0=1),((BU90/10000)*'Assumptions (edit)'!B7),"")</f>
      </c>
      <c r="BV440" s="8">
        <f>IF((0=1),((BV90/10000)*'Assumptions (edit)'!B7),"")</f>
      </c>
      <c r="BW440" s="8">
        <f>IF((0=1),((BW90/10000)*'Assumptions (edit)'!B7),"")</f>
      </c>
      <c r="BX440" s="8">
        <f>IF((0=1),((BX90/10000)*'Assumptions (edit)'!B7),"")</f>
      </c>
      <c r="BY440" s="8">
        <f>IF((0=1),((BY90/10000)*'Assumptions (edit)'!B7),"")</f>
      </c>
      <c r="BZ440" s="8">
        <f>IF((0=1),((BZ90/10000)*'Assumptions (edit)'!B7),"")</f>
      </c>
      <c r="CA440" s="8">
        <f>IF((0=1),((CA90/10000)*'Assumptions (edit)'!B7),"")</f>
      </c>
      <c r="CB440" s="8">
        <f>IF((0=1),((CB90/10000)*'Assumptions (edit)'!B7),"")</f>
      </c>
      <c r="CC440" s="8">
        <f>IF((0=1),((CC90/10000)*'Assumptions (edit)'!B7),"")</f>
      </c>
      <c r="CD440" s="8">
        <f>IF((0=1),((CD90/10000)*'Assumptions (edit)'!B7),"")</f>
      </c>
      <c r="CE440" s="8">
        <f>IF((0=1),((CE90/10000)*'Assumptions (edit)'!B7),"")</f>
      </c>
      <c r="CF440" s="8">
        <f>IF((0=1),((CF90/10000)*'Assumptions (edit)'!B7),"")</f>
      </c>
      <c r="CG440" s="8">
        <f>IF((0=1),((CG90/10000)*'Assumptions (edit)'!B7),"")</f>
      </c>
      <c r="CH440" s="8">
        <f>IF((0=1),((CH90/10000)*'Assumptions (edit)'!B7),"")</f>
      </c>
      <c r="CI440" s="8">
        <f>IF((0=1),((CI90/10000)*'Assumptions (edit)'!B7),"")</f>
      </c>
      <c r="CJ440" s="8">
        <f>IF((0=1),((CJ90/10000)*'Assumptions (edit)'!B7),"")</f>
      </c>
      <c r="CK440" s="8">
        <f>IF((0=1),((CK90/10000)*'Assumptions (edit)'!B7),"")</f>
      </c>
      <c r="CL440" s="8">
        <f>IF((0=1),((CL90/10000)*'Assumptions (edit)'!B7),"")</f>
      </c>
      <c r="CM440" s="8">
        <f>IF((0=1),((CM90/10000)*'Assumptions (edit)'!B7),"")</f>
      </c>
      <c r="CN440" s="8">
        <f>IF((0=1),((CN90/10000)*'Assumptions (edit)'!B7),"")</f>
      </c>
      <c r="CO440" s="8">
        <f>IF((0=1),((CO90/10000)*'Assumptions (edit)'!B7),"")</f>
      </c>
      <c r="CP440" s="8">
        <f>IF((0=1),((CP90/10000)*'Assumptions (edit)'!B7),"")</f>
      </c>
      <c r="CQ440" s="8">
        <f>IF((0=1),((CQ90/10000)*'Assumptions (edit)'!B7),"")</f>
      </c>
      <c r="CR440" s="8">
        <f>IF((0=1),((CR90/10000)*'Assumptions (edit)'!B7),"")</f>
      </c>
      <c r="CS440" s="8">
        <f>IF((0=1),((CS90/10000)*'Assumptions (edit)'!B7),"")</f>
      </c>
      <c r="CT440" s="8">
        <f>IF((0=1),((CT90/10000)*'Assumptions (edit)'!B7),"")</f>
      </c>
      <c r="CU440" s="8">
        <f>IF((0=1),((CU90/10000)*'Assumptions (edit)'!B7),"")</f>
      </c>
      <c r="CV440" s="8">
        <f>IF((0=1),((CV90/10000)*'Assumptions (edit)'!B7),"")</f>
      </c>
      <c r="CW440" s="8">
        <f>IF((0=1),((CW90/10000)*'Assumptions (edit)'!B7),"")</f>
      </c>
      <c r="CX440" s="8">
        <f>IF((0=1),((CX90/10000)*'Assumptions (edit)'!B7),"")</f>
      </c>
    </row>
    <row r="441">
      <c r="A441" s="0" t="inlineStr">
        <is>
          <t xml:space="preserve">Net P&amp;L on notional, $</t>
        </is>
      </c>
      <c r="B441" s="0" t="inlineStr">
        <is>
          <t xml:space="preserve">Random 5</t>
        </is>
      </c>
      <c r="C441" s="8">
        <f>IF((1=1),((C91/10000)*'Assumptions (edit)'!B7),"")</f>
        <v>-72.58</v>
      </c>
      <c r="D441" s="8">
        <f>IF((0=1),((D91/10000)*'Assumptions (edit)'!B7),"")</f>
      </c>
      <c r="E441" s="8">
        <f>IF((0=1),((E91/10000)*'Assumptions (edit)'!B7),"")</f>
      </c>
      <c r="F441" s="8">
        <f>IF((0=1),((F91/10000)*'Assumptions (edit)'!B7),"")</f>
      </c>
      <c r="G441" s="8">
        <f>IF((0=1),((G91/10000)*'Assumptions (edit)'!B7),"")</f>
      </c>
      <c r="H441" s="8">
        <f>IF((0=1),((H91/10000)*'Assumptions (edit)'!B7),"")</f>
      </c>
      <c r="I441" s="8">
        <f>IF((0=1),((I91/10000)*'Assumptions (edit)'!B7),"")</f>
      </c>
      <c r="J441" s="8">
        <f>IF((0=1),((J91/10000)*'Assumptions (edit)'!B7),"")</f>
      </c>
      <c r="K441" s="8">
        <f>IF((0=1),((K91/10000)*'Assumptions (edit)'!B7),"")</f>
      </c>
      <c r="L441" s="8">
        <f>IF((0=1),((L91/10000)*'Assumptions (edit)'!B7),"")</f>
      </c>
      <c r="M441" s="8">
        <f>IF((0=1),((M91/10000)*'Assumptions (edit)'!B7),"")</f>
      </c>
      <c r="N441" s="8">
        <f>IF((0=1),((N91/10000)*'Assumptions (edit)'!B7),"")</f>
      </c>
      <c r="O441" s="8">
        <f>IF((0=1),((O91/10000)*'Assumptions (edit)'!B7),"")</f>
      </c>
      <c r="P441" s="8">
        <f>IF((0=1),((P91/10000)*'Assumptions (edit)'!B7),"")</f>
      </c>
      <c r="Q441" s="8">
        <f>IF((0=1),((Q91/10000)*'Assumptions (edit)'!B7),"")</f>
      </c>
      <c r="R441" s="8">
        <f>IF((0=1),((R91/10000)*'Assumptions (edit)'!B7),"")</f>
      </c>
      <c r="S441" s="8">
        <f>IF((0=1),((S91/10000)*'Assumptions (edit)'!B7),"")</f>
      </c>
      <c r="T441" s="8">
        <f>IF((0=1),((T91/10000)*'Assumptions (edit)'!B7),"")</f>
      </c>
      <c r="U441" s="8">
        <f>IF((0=1),((U91/10000)*'Assumptions (edit)'!B7),"")</f>
      </c>
      <c r="V441" s="8">
        <f>IF((0=1),((V91/10000)*'Assumptions (edit)'!B7),"")</f>
      </c>
      <c r="W441" s="8">
        <f>IF((0=1),((W91/10000)*'Assumptions (edit)'!B7),"")</f>
      </c>
      <c r="X441" s="8">
        <f>IF((0=1),((X91/10000)*'Assumptions (edit)'!B7),"")</f>
      </c>
      <c r="Y441" s="8">
        <f>IF((0=1),((Y91/10000)*'Assumptions (edit)'!B7),"")</f>
      </c>
      <c r="Z441" s="8">
        <f>IF((0=1),((Z91/10000)*'Assumptions (edit)'!B7),"")</f>
      </c>
      <c r="AA441" s="8">
        <f>IF((0=1),((AA91/10000)*'Assumptions (edit)'!B7),"")</f>
      </c>
      <c r="AB441" s="8">
        <f>IF((0=1),((AB91/10000)*'Assumptions (edit)'!B7),"")</f>
      </c>
      <c r="AC441" s="8">
        <f>IF((0=1),((AC91/10000)*'Assumptions (edit)'!B7),"")</f>
      </c>
      <c r="AD441" s="8">
        <f>IF((0=1),((AD91/10000)*'Assumptions (edit)'!B7),"")</f>
      </c>
      <c r="AE441" s="8">
        <f>IF((0=1),((AE91/10000)*'Assumptions (edit)'!B7),"")</f>
      </c>
      <c r="AF441" s="8">
        <f>IF((0=1),((AF91/10000)*'Assumptions (edit)'!B7),"")</f>
      </c>
      <c r="AG441" s="8">
        <f>IF((0=1),((AG91/10000)*'Assumptions (edit)'!B7),"")</f>
      </c>
      <c r="AH441" s="8">
        <f>IF((0=1),((AH91/10000)*'Assumptions (edit)'!B7),"")</f>
      </c>
      <c r="AI441" s="8">
        <f>IF((0=1),((AI91/10000)*'Assumptions (edit)'!B7),"")</f>
      </c>
      <c r="AJ441" s="8">
        <f>IF((0=1),((AJ91/10000)*'Assumptions (edit)'!B7),"")</f>
      </c>
      <c r="AK441" s="8">
        <f>IF((0=1),((AK91/10000)*'Assumptions (edit)'!B7),"")</f>
      </c>
      <c r="AL441" s="8">
        <f>IF((0=1),((AL91/10000)*'Assumptions (edit)'!B7),"")</f>
      </c>
      <c r="AM441" s="8">
        <f>IF((0=1),((AM91/10000)*'Assumptions (edit)'!B7),"")</f>
      </c>
      <c r="AN441" s="8">
        <f>IF((0=1),((AN91/10000)*'Assumptions (edit)'!B7),"")</f>
      </c>
      <c r="AO441" s="8">
        <f>IF((0=1),((AO91/10000)*'Assumptions (edit)'!B7),"")</f>
      </c>
      <c r="AP441" s="8">
        <f>IF((0=1),((AP91/10000)*'Assumptions (edit)'!B7),"")</f>
      </c>
      <c r="AQ441" s="8">
        <f>IF((0=1),((AQ91/10000)*'Assumptions (edit)'!B7),"")</f>
      </c>
      <c r="AR441" s="8">
        <f>IF((0=1),((AR91/10000)*'Assumptions (edit)'!B7),"")</f>
      </c>
      <c r="AS441" s="8">
        <f>IF((0=1),((AS91/10000)*'Assumptions (edit)'!B7),"")</f>
      </c>
      <c r="AT441" s="8">
        <f>IF((0=1),((AT91/10000)*'Assumptions (edit)'!B7),"")</f>
      </c>
      <c r="AU441" s="8">
        <f>IF((0=1),((AU91/10000)*'Assumptions (edit)'!B7),"")</f>
      </c>
      <c r="AV441" s="8">
        <f>IF((0=1),((AV91/10000)*'Assumptions (edit)'!B7),"")</f>
      </c>
      <c r="AW441" s="8">
        <f>IF((0=1),((AW91/10000)*'Assumptions (edit)'!B7),"")</f>
      </c>
      <c r="AX441" s="8">
        <f>IF((0=1),((AX91/10000)*'Assumptions (edit)'!B7),"")</f>
      </c>
      <c r="AY441" s="8">
        <f>IF((0=1),((AY91/10000)*'Assumptions (edit)'!B7),"")</f>
      </c>
      <c r="AZ441" s="8">
        <f>IF((0=1),((AZ91/10000)*'Assumptions (edit)'!B7),"")</f>
      </c>
      <c r="BA441" s="8">
        <f>IF((0=1),((BA91/10000)*'Assumptions (edit)'!B7),"")</f>
      </c>
      <c r="BB441" s="8">
        <f>IF((0=1),((BB91/10000)*'Assumptions (edit)'!B7),"")</f>
      </c>
      <c r="BC441" s="8">
        <f>IF((0=1),((BC91/10000)*'Assumptions (edit)'!B7),"")</f>
      </c>
      <c r="BD441" s="8">
        <f>IF((0=1),((BD91/10000)*'Assumptions (edit)'!B7),"")</f>
      </c>
      <c r="BE441" s="8">
        <f>IF((0=1),((BE91/10000)*'Assumptions (edit)'!B7),"")</f>
      </c>
      <c r="BF441" s="8">
        <f>IF((0=1),((BF91/10000)*'Assumptions (edit)'!B7),"")</f>
      </c>
      <c r="BG441" s="8">
        <f>IF((0=1),((BG91/10000)*'Assumptions (edit)'!B7),"")</f>
      </c>
      <c r="BH441" s="8">
        <f>IF((0=1),((BH91/10000)*'Assumptions (edit)'!B7),"")</f>
      </c>
      <c r="BI441" s="8">
        <f>IF((0=1),((BI91/10000)*'Assumptions (edit)'!B7),"")</f>
      </c>
      <c r="BJ441" s="8">
        <f>IF((0=1),((BJ91/10000)*'Assumptions (edit)'!B7),"")</f>
      </c>
      <c r="BK441" s="8">
        <f>IF((0=1),((BK91/10000)*'Assumptions (edit)'!B7),"")</f>
      </c>
      <c r="BL441" s="8">
        <f>IF((0=1),((BL91/10000)*'Assumptions (edit)'!B7),"")</f>
      </c>
      <c r="BM441" s="8">
        <f>IF((0=1),((BM91/10000)*'Assumptions (edit)'!B7),"")</f>
      </c>
      <c r="BN441" s="8">
        <f>IF((0=1),((BN91/10000)*'Assumptions (edit)'!B7),"")</f>
      </c>
      <c r="BO441" s="8">
        <f>IF((0=1),((BO91/10000)*'Assumptions (edit)'!B7),"")</f>
      </c>
      <c r="BP441" s="8">
        <f>IF((0=1),((BP91/10000)*'Assumptions (edit)'!B7),"")</f>
      </c>
      <c r="BQ441" s="8">
        <f>IF((0=1),((BQ91/10000)*'Assumptions (edit)'!B7),"")</f>
      </c>
      <c r="BR441" s="8">
        <f>IF((0=1),((BR91/10000)*'Assumptions (edit)'!B7),"")</f>
      </c>
      <c r="BS441" s="8">
        <f>IF((0=1),((BS91/10000)*'Assumptions (edit)'!B7),"")</f>
      </c>
      <c r="BT441" s="8">
        <f>IF((0=1),((BT91/10000)*'Assumptions (edit)'!B7),"")</f>
      </c>
      <c r="BU441" s="8">
        <f>IF((0=1),((BU91/10000)*'Assumptions (edit)'!B7),"")</f>
      </c>
      <c r="BV441" s="8">
        <f>IF((0=1),((BV91/10000)*'Assumptions (edit)'!B7),"")</f>
      </c>
      <c r="BW441" s="8">
        <f>IF((0=1),((BW91/10000)*'Assumptions (edit)'!B7),"")</f>
      </c>
      <c r="BX441" s="8">
        <f>IF((0=1),((BX91/10000)*'Assumptions (edit)'!B7),"")</f>
      </c>
      <c r="BY441" s="8">
        <f>IF((0=1),((BY91/10000)*'Assumptions (edit)'!B7),"")</f>
      </c>
      <c r="BZ441" s="8">
        <f>IF((0=1),((BZ91/10000)*'Assumptions (edit)'!B7),"")</f>
      </c>
      <c r="CA441" s="8">
        <f>IF((0=1),((CA91/10000)*'Assumptions (edit)'!B7),"")</f>
      </c>
      <c r="CB441" s="8">
        <f>IF((0=1),((CB91/10000)*'Assumptions (edit)'!B7),"")</f>
      </c>
      <c r="CC441" s="8">
        <f>IF((0=1),((CC91/10000)*'Assumptions (edit)'!B7),"")</f>
      </c>
      <c r="CD441" s="8">
        <f>IF((0=1),((CD91/10000)*'Assumptions (edit)'!B7),"")</f>
      </c>
      <c r="CE441" s="8">
        <f>IF((0=1),((CE91/10000)*'Assumptions (edit)'!B7),"")</f>
      </c>
      <c r="CF441" s="8">
        <f>IF((0=1),((CF91/10000)*'Assumptions (edit)'!B7),"")</f>
      </c>
      <c r="CG441" s="8">
        <f>IF((0=1),((CG91/10000)*'Assumptions (edit)'!B7),"")</f>
      </c>
      <c r="CH441" s="8">
        <f>IF((0=1),((CH91/10000)*'Assumptions (edit)'!B7),"")</f>
      </c>
      <c r="CI441" s="8">
        <f>IF((0=1),((CI91/10000)*'Assumptions (edit)'!B7),"")</f>
      </c>
      <c r="CJ441" s="8">
        <f>IF((0=1),((CJ91/10000)*'Assumptions (edit)'!B7),"")</f>
      </c>
      <c r="CK441" s="8">
        <f>IF((0=1),((CK91/10000)*'Assumptions (edit)'!B7),"")</f>
      </c>
      <c r="CL441" s="8">
        <f>IF((0=1),((CL91/10000)*'Assumptions (edit)'!B7),"")</f>
      </c>
      <c r="CM441" s="8">
        <f>IF((0=1),((CM91/10000)*'Assumptions (edit)'!B7),"")</f>
      </c>
      <c r="CN441" s="8">
        <f>IF((0=1),((CN91/10000)*'Assumptions (edit)'!B7),"")</f>
      </c>
      <c r="CO441" s="8">
        <f>IF((0=1),((CO91/10000)*'Assumptions (edit)'!B7),"")</f>
      </c>
      <c r="CP441" s="8">
        <f>IF((0=1),((CP91/10000)*'Assumptions (edit)'!B7),"")</f>
      </c>
      <c r="CQ441" s="8">
        <f>IF((0=1),((CQ91/10000)*'Assumptions (edit)'!B7),"")</f>
      </c>
      <c r="CR441" s="8">
        <f>IF((0=1),((CR91/10000)*'Assumptions (edit)'!B7),"")</f>
      </c>
      <c r="CS441" s="8">
        <f>IF((0=1),((CS91/10000)*'Assumptions (edit)'!B7),"")</f>
      </c>
      <c r="CT441" s="8">
        <f>IF((0=1),((CT91/10000)*'Assumptions (edit)'!B7),"")</f>
      </c>
      <c r="CU441" s="8">
        <f>IF((0=1),((CU91/10000)*'Assumptions (edit)'!B7),"")</f>
      </c>
      <c r="CV441" s="8">
        <f>IF((0=1),((CV91/10000)*'Assumptions (edit)'!B7),"")</f>
      </c>
      <c r="CW441" s="8">
        <f>IF((0=1),((CW91/10000)*'Assumptions (edit)'!B7),"")</f>
      </c>
      <c r="CX441" s="8">
        <f>IF((0=1),((CX91/10000)*'Assumptions (edit)'!B7),"")</f>
      </c>
    </row>
    <row r="442">
      <c r="A442" s="0" t="inlineStr">
        <is>
          <t xml:space="preserve">Net P&amp;L on notional, $</t>
        </is>
      </c>
      <c r="B442" s="0" t="inlineStr">
        <is>
          <t xml:space="preserve">Random 6</t>
        </is>
      </c>
      <c r="C442" s="8">
        <f>IF((1=1),((C92/10000)*'Assumptions (edit)'!B7),"")</f>
        <v>-139.53</v>
      </c>
      <c r="D442" s="8">
        <f>IF((0=1),((D92/10000)*'Assumptions (edit)'!B7),"")</f>
      </c>
      <c r="E442" s="8">
        <f>IF((0=1),((E92/10000)*'Assumptions (edit)'!B7),"")</f>
      </c>
      <c r="F442" s="8">
        <f>IF((0=1),((F92/10000)*'Assumptions (edit)'!B7),"")</f>
      </c>
      <c r="G442" s="8">
        <f>IF((0=1),((G92/10000)*'Assumptions (edit)'!B7),"")</f>
      </c>
      <c r="H442" s="8">
        <f>IF((0=1),((H92/10000)*'Assumptions (edit)'!B7),"")</f>
      </c>
      <c r="I442" s="8">
        <f>IF((0=1),((I92/10000)*'Assumptions (edit)'!B7),"")</f>
      </c>
      <c r="J442" s="8">
        <f>IF((0=1),((J92/10000)*'Assumptions (edit)'!B7),"")</f>
      </c>
      <c r="K442" s="8">
        <f>IF((0=1),((K92/10000)*'Assumptions (edit)'!B7),"")</f>
      </c>
      <c r="L442" s="8">
        <f>IF((0=1),((L92/10000)*'Assumptions (edit)'!B7),"")</f>
      </c>
      <c r="M442" s="8">
        <f>IF((0=1),((M92/10000)*'Assumptions (edit)'!B7),"")</f>
      </c>
      <c r="N442" s="8">
        <f>IF((0=1),((N92/10000)*'Assumptions (edit)'!B7),"")</f>
      </c>
      <c r="O442" s="8">
        <f>IF((0=1),((O92/10000)*'Assumptions (edit)'!B7),"")</f>
      </c>
      <c r="P442" s="8">
        <f>IF((0=1),((P92/10000)*'Assumptions (edit)'!B7),"")</f>
      </c>
      <c r="Q442" s="8">
        <f>IF((0=1),((Q92/10000)*'Assumptions (edit)'!B7),"")</f>
      </c>
      <c r="R442" s="8">
        <f>IF((0=1),((R92/10000)*'Assumptions (edit)'!B7),"")</f>
      </c>
      <c r="S442" s="8">
        <f>IF((0=1),((S92/10000)*'Assumptions (edit)'!B7),"")</f>
      </c>
      <c r="T442" s="8">
        <f>IF((0=1),((T92/10000)*'Assumptions (edit)'!B7),"")</f>
      </c>
      <c r="U442" s="8">
        <f>IF((0=1),((U92/10000)*'Assumptions (edit)'!B7),"")</f>
      </c>
      <c r="V442" s="8">
        <f>IF((0=1),((V92/10000)*'Assumptions (edit)'!B7),"")</f>
      </c>
      <c r="W442" s="8">
        <f>IF((0=1),((W92/10000)*'Assumptions (edit)'!B7),"")</f>
      </c>
      <c r="X442" s="8">
        <f>IF((0=1),((X92/10000)*'Assumptions (edit)'!B7),"")</f>
      </c>
      <c r="Y442" s="8">
        <f>IF((0=1),((Y92/10000)*'Assumptions (edit)'!B7),"")</f>
      </c>
      <c r="Z442" s="8">
        <f>IF((0=1),((Z92/10000)*'Assumptions (edit)'!B7),"")</f>
      </c>
      <c r="AA442" s="8">
        <f>IF((0=1),((AA92/10000)*'Assumptions (edit)'!B7),"")</f>
      </c>
      <c r="AB442" s="8">
        <f>IF((0=1),((AB92/10000)*'Assumptions (edit)'!B7),"")</f>
      </c>
      <c r="AC442" s="8">
        <f>IF((0=1),((AC92/10000)*'Assumptions (edit)'!B7),"")</f>
      </c>
      <c r="AD442" s="8">
        <f>IF((0=1),((AD92/10000)*'Assumptions (edit)'!B7),"")</f>
      </c>
      <c r="AE442" s="8">
        <f>IF((0=1),((AE92/10000)*'Assumptions (edit)'!B7),"")</f>
      </c>
      <c r="AF442" s="8">
        <f>IF((0=1),((AF92/10000)*'Assumptions (edit)'!B7),"")</f>
      </c>
      <c r="AG442" s="8">
        <f>IF((0=1),((AG92/10000)*'Assumptions (edit)'!B7),"")</f>
      </c>
      <c r="AH442" s="8">
        <f>IF((0=1),((AH92/10000)*'Assumptions (edit)'!B7),"")</f>
      </c>
      <c r="AI442" s="8">
        <f>IF((0=1),((AI92/10000)*'Assumptions (edit)'!B7),"")</f>
      </c>
      <c r="AJ442" s="8">
        <f>IF((0=1),((AJ92/10000)*'Assumptions (edit)'!B7),"")</f>
      </c>
      <c r="AK442" s="8">
        <f>IF((0=1),((AK92/10000)*'Assumptions (edit)'!B7),"")</f>
      </c>
      <c r="AL442" s="8">
        <f>IF((0=1),((AL92/10000)*'Assumptions (edit)'!B7),"")</f>
      </c>
      <c r="AM442" s="8">
        <f>IF((0=1),((AM92/10000)*'Assumptions (edit)'!B7),"")</f>
      </c>
      <c r="AN442" s="8">
        <f>IF((0=1),((AN92/10000)*'Assumptions (edit)'!B7),"")</f>
      </c>
      <c r="AO442" s="8">
        <f>IF((0=1),((AO92/10000)*'Assumptions (edit)'!B7),"")</f>
      </c>
      <c r="AP442" s="8">
        <f>IF((0=1),((AP92/10000)*'Assumptions (edit)'!B7),"")</f>
      </c>
      <c r="AQ442" s="8">
        <f>IF((0=1),((AQ92/10000)*'Assumptions (edit)'!B7),"")</f>
      </c>
      <c r="AR442" s="8">
        <f>IF((0=1),((AR92/10000)*'Assumptions (edit)'!B7),"")</f>
      </c>
      <c r="AS442" s="8">
        <f>IF((0=1),((AS92/10000)*'Assumptions (edit)'!B7),"")</f>
      </c>
      <c r="AT442" s="8">
        <f>IF((0=1),((AT92/10000)*'Assumptions (edit)'!B7),"")</f>
      </c>
      <c r="AU442" s="8">
        <f>IF((0=1),((AU92/10000)*'Assumptions (edit)'!B7),"")</f>
      </c>
      <c r="AV442" s="8">
        <f>IF((0=1),((AV92/10000)*'Assumptions (edit)'!B7),"")</f>
      </c>
      <c r="AW442" s="8">
        <f>IF((0=1),((AW92/10000)*'Assumptions (edit)'!B7),"")</f>
      </c>
      <c r="AX442" s="8">
        <f>IF((0=1),((AX92/10000)*'Assumptions (edit)'!B7),"")</f>
      </c>
      <c r="AY442" s="8">
        <f>IF((0=1),((AY92/10000)*'Assumptions (edit)'!B7),"")</f>
      </c>
      <c r="AZ442" s="8">
        <f>IF((0=1),((AZ92/10000)*'Assumptions (edit)'!B7),"")</f>
      </c>
      <c r="BA442" s="8">
        <f>IF((0=1),((BA92/10000)*'Assumptions (edit)'!B7),"")</f>
      </c>
      <c r="BB442" s="8">
        <f>IF((0=1),((BB92/10000)*'Assumptions (edit)'!B7),"")</f>
      </c>
      <c r="BC442" s="8">
        <f>IF((0=1),((BC92/10000)*'Assumptions (edit)'!B7),"")</f>
      </c>
      <c r="BD442" s="8">
        <f>IF((0=1),((BD92/10000)*'Assumptions (edit)'!B7),"")</f>
      </c>
      <c r="BE442" s="8">
        <f>IF((0=1),((BE92/10000)*'Assumptions (edit)'!B7),"")</f>
      </c>
      <c r="BF442" s="8">
        <f>IF((0=1),((BF92/10000)*'Assumptions (edit)'!B7),"")</f>
      </c>
      <c r="BG442" s="8">
        <f>IF((0=1),((BG92/10000)*'Assumptions (edit)'!B7),"")</f>
      </c>
      <c r="BH442" s="8">
        <f>IF((0=1),((BH92/10000)*'Assumptions (edit)'!B7),"")</f>
      </c>
      <c r="BI442" s="8">
        <f>IF((0=1),((BI92/10000)*'Assumptions (edit)'!B7),"")</f>
      </c>
      <c r="BJ442" s="8">
        <f>IF((0=1),((BJ92/10000)*'Assumptions (edit)'!B7),"")</f>
      </c>
      <c r="BK442" s="8">
        <f>IF((0=1),((BK92/10000)*'Assumptions (edit)'!B7),"")</f>
      </c>
      <c r="BL442" s="8">
        <f>IF((0=1),((BL92/10000)*'Assumptions (edit)'!B7),"")</f>
      </c>
      <c r="BM442" s="8">
        <f>IF((0=1),((BM92/10000)*'Assumptions (edit)'!B7),"")</f>
      </c>
      <c r="BN442" s="8">
        <f>IF((0=1),((BN92/10000)*'Assumptions (edit)'!B7),"")</f>
      </c>
      <c r="BO442" s="8">
        <f>IF((0=1),((BO92/10000)*'Assumptions (edit)'!B7),"")</f>
      </c>
      <c r="BP442" s="8">
        <f>IF((0=1),((BP92/10000)*'Assumptions (edit)'!B7),"")</f>
      </c>
      <c r="BQ442" s="8">
        <f>IF((0=1),((BQ92/10000)*'Assumptions (edit)'!B7),"")</f>
      </c>
      <c r="BR442" s="8">
        <f>IF((0=1),((BR92/10000)*'Assumptions (edit)'!B7),"")</f>
      </c>
      <c r="BS442" s="8">
        <f>IF((0=1),((BS92/10000)*'Assumptions (edit)'!B7),"")</f>
      </c>
      <c r="BT442" s="8">
        <f>IF((0=1),((BT92/10000)*'Assumptions (edit)'!B7),"")</f>
      </c>
      <c r="BU442" s="8">
        <f>IF((0=1),((BU92/10000)*'Assumptions (edit)'!B7),"")</f>
      </c>
      <c r="BV442" s="8">
        <f>IF((0=1),((BV92/10000)*'Assumptions (edit)'!B7),"")</f>
      </c>
      <c r="BW442" s="8">
        <f>IF((0=1),((BW92/10000)*'Assumptions (edit)'!B7),"")</f>
      </c>
      <c r="BX442" s="8">
        <f>IF((0=1),((BX92/10000)*'Assumptions (edit)'!B7),"")</f>
      </c>
      <c r="BY442" s="8">
        <f>IF((0=1),((BY92/10000)*'Assumptions (edit)'!B7),"")</f>
      </c>
      <c r="BZ442" s="8">
        <f>IF((0=1),((BZ92/10000)*'Assumptions (edit)'!B7),"")</f>
      </c>
      <c r="CA442" s="8">
        <f>IF((0=1),((CA92/10000)*'Assumptions (edit)'!B7),"")</f>
      </c>
      <c r="CB442" s="8">
        <f>IF((0=1),((CB92/10000)*'Assumptions (edit)'!B7),"")</f>
      </c>
      <c r="CC442" s="8">
        <f>IF((0=1),((CC92/10000)*'Assumptions (edit)'!B7),"")</f>
      </c>
      <c r="CD442" s="8">
        <f>IF((0=1),((CD92/10000)*'Assumptions (edit)'!B7),"")</f>
      </c>
      <c r="CE442" s="8">
        <f>IF((0=1),((CE92/10000)*'Assumptions (edit)'!B7),"")</f>
      </c>
      <c r="CF442" s="8">
        <f>IF((0=1),((CF92/10000)*'Assumptions (edit)'!B7),"")</f>
      </c>
      <c r="CG442" s="8">
        <f>IF((0=1),((CG92/10000)*'Assumptions (edit)'!B7),"")</f>
      </c>
      <c r="CH442" s="8">
        <f>IF((0=1),((CH92/10000)*'Assumptions (edit)'!B7),"")</f>
      </c>
      <c r="CI442" s="8">
        <f>IF((0=1),((CI92/10000)*'Assumptions (edit)'!B7),"")</f>
      </c>
      <c r="CJ442" s="8">
        <f>IF((0=1),((CJ92/10000)*'Assumptions (edit)'!B7),"")</f>
      </c>
      <c r="CK442" s="8">
        <f>IF((0=1),((CK92/10000)*'Assumptions (edit)'!B7),"")</f>
      </c>
      <c r="CL442" s="8">
        <f>IF((0=1),((CL92/10000)*'Assumptions (edit)'!B7),"")</f>
      </c>
      <c r="CM442" s="8">
        <f>IF((0=1),((CM92/10000)*'Assumptions (edit)'!B7),"")</f>
      </c>
      <c r="CN442" s="8">
        <f>IF((0=1),((CN92/10000)*'Assumptions (edit)'!B7),"")</f>
      </c>
      <c r="CO442" s="8">
        <f>IF((0=1),((CO92/10000)*'Assumptions (edit)'!B7),"")</f>
      </c>
      <c r="CP442" s="8">
        <f>IF((0=1),((CP92/10000)*'Assumptions (edit)'!B7),"")</f>
      </c>
      <c r="CQ442" s="8">
        <f>IF((0=1),((CQ92/10000)*'Assumptions (edit)'!B7),"")</f>
      </c>
      <c r="CR442" s="8">
        <f>IF((0=1),((CR92/10000)*'Assumptions (edit)'!B7),"")</f>
      </c>
      <c r="CS442" s="8">
        <f>IF((0=1),((CS92/10000)*'Assumptions (edit)'!B7),"")</f>
      </c>
      <c r="CT442" s="8">
        <f>IF((0=1),((CT92/10000)*'Assumptions (edit)'!B7),"")</f>
      </c>
      <c r="CU442" s="8">
        <f>IF((0=1),((CU92/10000)*'Assumptions (edit)'!B7),"")</f>
      </c>
      <c r="CV442" s="8">
        <f>IF((0=1),((CV92/10000)*'Assumptions (edit)'!B7),"")</f>
      </c>
      <c r="CW442" s="8">
        <f>IF((0=1),((CW92/10000)*'Assumptions (edit)'!B7),"")</f>
      </c>
      <c r="CX442" s="8">
        <f>IF((0=1),((CX92/10000)*'Assumptions (edit)'!B7),"")</f>
      </c>
    </row>
    <row r="443">
      <c r="A443" s="0" t="inlineStr">
        <is>
          <t xml:space="preserve">Net P&amp;L on notional, $</t>
        </is>
      </c>
      <c r="B443" s="0" t="inlineStr">
        <is>
          <t xml:space="preserve">Random 7</t>
        </is>
      </c>
      <c r="C443" s="8">
        <f>IF((1=1),((C93/10000)*'Assumptions (edit)'!B7),"")</f>
        <v>-98.05</v>
      </c>
      <c r="D443" s="8">
        <f>IF((0=1),((D93/10000)*'Assumptions (edit)'!B7),"")</f>
      </c>
      <c r="E443" s="8">
        <f>IF((0=1),((E93/10000)*'Assumptions (edit)'!B7),"")</f>
      </c>
      <c r="F443" s="8">
        <f>IF((0=1),((F93/10000)*'Assumptions (edit)'!B7),"")</f>
      </c>
      <c r="G443" s="8">
        <f>IF((0=1),((G93/10000)*'Assumptions (edit)'!B7),"")</f>
      </c>
      <c r="H443" s="8">
        <f>IF((0=1),((H93/10000)*'Assumptions (edit)'!B7),"")</f>
      </c>
      <c r="I443" s="8">
        <f>IF((0=1),((I93/10000)*'Assumptions (edit)'!B7),"")</f>
      </c>
      <c r="J443" s="8">
        <f>IF((0=1),((J93/10000)*'Assumptions (edit)'!B7),"")</f>
      </c>
      <c r="K443" s="8">
        <f>IF((0=1),((K93/10000)*'Assumptions (edit)'!B7),"")</f>
      </c>
      <c r="L443" s="8">
        <f>IF((0=1),((L93/10000)*'Assumptions (edit)'!B7),"")</f>
      </c>
      <c r="M443" s="8">
        <f>IF((0=1),((M93/10000)*'Assumptions (edit)'!B7),"")</f>
      </c>
      <c r="N443" s="8">
        <f>IF((0=1),((N93/10000)*'Assumptions (edit)'!B7),"")</f>
      </c>
      <c r="O443" s="8">
        <f>IF((0=1),((O93/10000)*'Assumptions (edit)'!B7),"")</f>
      </c>
      <c r="P443" s="8">
        <f>IF((0=1),((P93/10000)*'Assumptions (edit)'!B7),"")</f>
      </c>
      <c r="Q443" s="8">
        <f>IF((0=1),((Q93/10000)*'Assumptions (edit)'!B7),"")</f>
      </c>
      <c r="R443" s="8">
        <f>IF((0=1),((R93/10000)*'Assumptions (edit)'!B7),"")</f>
      </c>
      <c r="S443" s="8">
        <f>IF((0=1),((S93/10000)*'Assumptions (edit)'!B7),"")</f>
      </c>
      <c r="T443" s="8">
        <f>IF((0=1),((T93/10000)*'Assumptions (edit)'!B7),"")</f>
      </c>
      <c r="U443" s="8">
        <f>IF((0=1),((U93/10000)*'Assumptions (edit)'!B7),"")</f>
      </c>
      <c r="V443" s="8">
        <f>IF((0=1),((V93/10000)*'Assumptions (edit)'!B7),"")</f>
      </c>
      <c r="W443" s="8">
        <f>IF((0=1),((W93/10000)*'Assumptions (edit)'!B7),"")</f>
      </c>
      <c r="X443" s="8">
        <f>IF((0=1),((X93/10000)*'Assumptions (edit)'!B7),"")</f>
      </c>
      <c r="Y443" s="8">
        <f>IF((0=1),((Y93/10000)*'Assumptions (edit)'!B7),"")</f>
      </c>
      <c r="Z443" s="8">
        <f>IF((0=1),((Z93/10000)*'Assumptions (edit)'!B7),"")</f>
      </c>
      <c r="AA443" s="8">
        <f>IF((0=1),((AA93/10000)*'Assumptions (edit)'!B7),"")</f>
      </c>
      <c r="AB443" s="8">
        <f>IF((0=1),((AB93/10000)*'Assumptions (edit)'!B7),"")</f>
      </c>
      <c r="AC443" s="8">
        <f>IF((0=1),((AC93/10000)*'Assumptions (edit)'!B7),"")</f>
      </c>
      <c r="AD443" s="8">
        <f>IF((0=1),((AD93/10000)*'Assumptions (edit)'!B7),"")</f>
      </c>
      <c r="AE443" s="8">
        <f>IF((0=1),((AE93/10000)*'Assumptions (edit)'!B7),"")</f>
      </c>
      <c r="AF443" s="8">
        <f>IF((0=1),((AF93/10000)*'Assumptions (edit)'!B7),"")</f>
      </c>
      <c r="AG443" s="8">
        <f>IF((0=1),((AG93/10000)*'Assumptions (edit)'!B7),"")</f>
      </c>
      <c r="AH443" s="8">
        <f>IF((0=1),((AH93/10000)*'Assumptions (edit)'!B7),"")</f>
      </c>
      <c r="AI443" s="8">
        <f>IF((0=1),((AI93/10000)*'Assumptions (edit)'!B7),"")</f>
      </c>
      <c r="AJ443" s="8">
        <f>IF((0=1),((AJ93/10000)*'Assumptions (edit)'!B7),"")</f>
      </c>
      <c r="AK443" s="8">
        <f>IF((0=1),((AK93/10000)*'Assumptions (edit)'!B7),"")</f>
      </c>
      <c r="AL443" s="8">
        <f>IF((0=1),((AL93/10000)*'Assumptions (edit)'!B7),"")</f>
      </c>
      <c r="AM443" s="8">
        <f>IF((0=1),((AM93/10000)*'Assumptions (edit)'!B7),"")</f>
      </c>
      <c r="AN443" s="8">
        <f>IF((0=1),((AN93/10000)*'Assumptions (edit)'!B7),"")</f>
      </c>
      <c r="AO443" s="8">
        <f>IF((0=1),((AO93/10000)*'Assumptions (edit)'!B7),"")</f>
      </c>
      <c r="AP443" s="8">
        <f>IF((0=1),((AP93/10000)*'Assumptions (edit)'!B7),"")</f>
      </c>
      <c r="AQ443" s="8">
        <f>IF((0=1),((AQ93/10000)*'Assumptions (edit)'!B7),"")</f>
      </c>
      <c r="AR443" s="8">
        <f>IF((0=1),((AR93/10000)*'Assumptions (edit)'!B7),"")</f>
      </c>
      <c r="AS443" s="8">
        <f>IF((0=1),((AS93/10000)*'Assumptions (edit)'!B7),"")</f>
      </c>
      <c r="AT443" s="8">
        <f>IF((0=1),((AT93/10000)*'Assumptions (edit)'!B7),"")</f>
      </c>
      <c r="AU443" s="8">
        <f>IF((0=1),((AU93/10000)*'Assumptions (edit)'!B7),"")</f>
      </c>
      <c r="AV443" s="8">
        <f>IF((0=1),((AV93/10000)*'Assumptions (edit)'!B7),"")</f>
      </c>
      <c r="AW443" s="8">
        <f>IF((0=1),((AW93/10000)*'Assumptions (edit)'!B7),"")</f>
      </c>
      <c r="AX443" s="8">
        <f>IF((0=1),((AX93/10000)*'Assumptions (edit)'!B7),"")</f>
      </c>
      <c r="AY443" s="8">
        <f>IF((0=1),((AY93/10000)*'Assumptions (edit)'!B7),"")</f>
      </c>
      <c r="AZ443" s="8">
        <f>IF((0=1),((AZ93/10000)*'Assumptions (edit)'!B7),"")</f>
      </c>
      <c r="BA443" s="8">
        <f>IF((0=1),((BA93/10000)*'Assumptions (edit)'!B7),"")</f>
      </c>
      <c r="BB443" s="8">
        <f>IF((0=1),((BB93/10000)*'Assumptions (edit)'!B7),"")</f>
      </c>
      <c r="BC443" s="8">
        <f>IF((0=1),((BC93/10000)*'Assumptions (edit)'!B7),"")</f>
      </c>
      <c r="BD443" s="8">
        <f>IF((0=1),((BD93/10000)*'Assumptions (edit)'!B7),"")</f>
      </c>
      <c r="BE443" s="8">
        <f>IF((0=1),((BE93/10000)*'Assumptions (edit)'!B7),"")</f>
      </c>
      <c r="BF443" s="8">
        <f>IF((0=1),((BF93/10000)*'Assumptions (edit)'!B7),"")</f>
      </c>
      <c r="BG443" s="8">
        <f>IF((0=1),((BG93/10000)*'Assumptions (edit)'!B7),"")</f>
      </c>
      <c r="BH443" s="8">
        <f>IF((0=1),((BH93/10000)*'Assumptions (edit)'!B7),"")</f>
      </c>
      <c r="BI443" s="8">
        <f>IF((0=1),((BI93/10000)*'Assumptions (edit)'!B7),"")</f>
      </c>
      <c r="BJ443" s="8">
        <f>IF((0=1),((BJ93/10000)*'Assumptions (edit)'!B7),"")</f>
      </c>
      <c r="BK443" s="8">
        <f>IF((0=1),((BK93/10000)*'Assumptions (edit)'!B7),"")</f>
      </c>
      <c r="BL443" s="8">
        <f>IF((0=1),((BL93/10000)*'Assumptions (edit)'!B7),"")</f>
      </c>
      <c r="BM443" s="8">
        <f>IF((0=1),((BM93/10000)*'Assumptions (edit)'!B7),"")</f>
      </c>
      <c r="BN443" s="8">
        <f>IF((0=1),((BN93/10000)*'Assumptions (edit)'!B7),"")</f>
      </c>
      <c r="BO443" s="8">
        <f>IF((0=1),((BO93/10000)*'Assumptions (edit)'!B7),"")</f>
      </c>
      <c r="BP443" s="8">
        <f>IF((0=1),((BP93/10000)*'Assumptions (edit)'!B7),"")</f>
      </c>
      <c r="BQ443" s="8">
        <f>IF((0=1),((BQ93/10000)*'Assumptions (edit)'!B7),"")</f>
      </c>
      <c r="BR443" s="8">
        <f>IF((0=1),((BR93/10000)*'Assumptions (edit)'!B7),"")</f>
      </c>
      <c r="BS443" s="8">
        <f>IF((0=1),((BS93/10000)*'Assumptions (edit)'!B7),"")</f>
      </c>
      <c r="BT443" s="8">
        <f>IF((0=1),((BT93/10000)*'Assumptions (edit)'!B7),"")</f>
      </c>
      <c r="BU443" s="8">
        <f>IF((0=1),((BU93/10000)*'Assumptions (edit)'!B7),"")</f>
      </c>
      <c r="BV443" s="8">
        <f>IF((0=1),((BV93/10000)*'Assumptions (edit)'!B7),"")</f>
      </c>
      <c r="BW443" s="8">
        <f>IF((0=1),((BW93/10000)*'Assumptions (edit)'!B7),"")</f>
      </c>
      <c r="BX443" s="8">
        <f>IF((0=1),((BX93/10000)*'Assumptions (edit)'!B7),"")</f>
      </c>
      <c r="BY443" s="8">
        <f>IF((0=1),((BY93/10000)*'Assumptions (edit)'!B7),"")</f>
      </c>
      <c r="BZ443" s="8">
        <f>IF((0=1),((BZ93/10000)*'Assumptions (edit)'!B7),"")</f>
      </c>
      <c r="CA443" s="8">
        <f>IF((0=1),((CA93/10000)*'Assumptions (edit)'!B7),"")</f>
      </c>
      <c r="CB443" s="8">
        <f>IF((0=1),((CB93/10000)*'Assumptions (edit)'!B7),"")</f>
      </c>
      <c r="CC443" s="8">
        <f>IF((0=1),((CC93/10000)*'Assumptions (edit)'!B7),"")</f>
      </c>
      <c r="CD443" s="8">
        <f>IF((0=1),((CD93/10000)*'Assumptions (edit)'!B7),"")</f>
      </c>
      <c r="CE443" s="8">
        <f>IF((0=1),((CE93/10000)*'Assumptions (edit)'!B7),"")</f>
      </c>
      <c r="CF443" s="8">
        <f>IF((0=1),((CF93/10000)*'Assumptions (edit)'!B7),"")</f>
      </c>
      <c r="CG443" s="8">
        <f>IF((0=1),((CG93/10000)*'Assumptions (edit)'!B7),"")</f>
      </c>
      <c r="CH443" s="8">
        <f>IF((0=1),((CH93/10000)*'Assumptions (edit)'!B7),"")</f>
      </c>
      <c r="CI443" s="8">
        <f>IF((0=1),((CI93/10000)*'Assumptions (edit)'!B7),"")</f>
      </c>
      <c r="CJ443" s="8">
        <f>IF((0=1),((CJ93/10000)*'Assumptions (edit)'!B7),"")</f>
      </c>
      <c r="CK443" s="8">
        <f>IF((0=1),((CK93/10000)*'Assumptions (edit)'!B7),"")</f>
      </c>
      <c r="CL443" s="8">
        <f>IF((0=1),((CL93/10000)*'Assumptions (edit)'!B7),"")</f>
      </c>
      <c r="CM443" s="8">
        <f>IF((0=1),((CM93/10000)*'Assumptions (edit)'!B7),"")</f>
      </c>
      <c r="CN443" s="8">
        <f>IF((0=1),((CN93/10000)*'Assumptions (edit)'!B7),"")</f>
      </c>
      <c r="CO443" s="8">
        <f>IF((0=1),((CO93/10000)*'Assumptions (edit)'!B7),"")</f>
      </c>
      <c r="CP443" s="8">
        <f>IF((0=1),((CP93/10000)*'Assumptions (edit)'!B7),"")</f>
      </c>
      <c r="CQ443" s="8">
        <f>IF((0=1),((CQ93/10000)*'Assumptions (edit)'!B7),"")</f>
      </c>
      <c r="CR443" s="8">
        <f>IF((0=1),((CR93/10000)*'Assumptions (edit)'!B7),"")</f>
      </c>
      <c r="CS443" s="8">
        <f>IF((0=1),((CS93/10000)*'Assumptions (edit)'!B7),"")</f>
      </c>
      <c r="CT443" s="8">
        <f>IF((0=1),((CT93/10000)*'Assumptions (edit)'!B7),"")</f>
      </c>
      <c r="CU443" s="8">
        <f>IF((0=1),((CU93/10000)*'Assumptions (edit)'!B7),"")</f>
      </c>
      <c r="CV443" s="8">
        <f>IF((0=1),((CV93/10000)*'Assumptions (edit)'!B7),"")</f>
      </c>
      <c r="CW443" s="8">
        <f>IF((0=1),((CW93/10000)*'Assumptions (edit)'!B7),"")</f>
      </c>
      <c r="CX443" s="8">
        <f>IF((0=1),((CX93/10000)*'Assumptions (edit)'!B7),"")</f>
      </c>
    </row>
    <row r="444">
      <c r="A444" s="0" t="inlineStr">
        <is>
          <t xml:space="preserve">Net P&amp;L on notional, $</t>
        </is>
      </c>
      <c r="B444" s="0" t="inlineStr">
        <is>
          <t xml:space="preserve">Random 8</t>
        </is>
      </c>
      <c r="C444" s="8">
        <f>IF((1=1),((C94/10000)*'Assumptions (edit)'!B7),"")</f>
        <v>-45.38</v>
      </c>
      <c r="D444" s="8">
        <f>IF((0=1),((D94/10000)*'Assumptions (edit)'!B7),"")</f>
      </c>
      <c r="E444" s="8">
        <f>IF((0=1),((E94/10000)*'Assumptions (edit)'!B7),"")</f>
      </c>
      <c r="F444" s="8">
        <f>IF((0=1),((F94/10000)*'Assumptions (edit)'!B7),"")</f>
      </c>
      <c r="G444" s="8">
        <f>IF((0=1),((G94/10000)*'Assumptions (edit)'!B7),"")</f>
      </c>
      <c r="H444" s="8">
        <f>IF((0=1),((H94/10000)*'Assumptions (edit)'!B7),"")</f>
      </c>
      <c r="I444" s="8">
        <f>IF((0=1),((I94/10000)*'Assumptions (edit)'!B7),"")</f>
      </c>
      <c r="J444" s="8">
        <f>IF((0=1),((J94/10000)*'Assumptions (edit)'!B7),"")</f>
      </c>
      <c r="K444" s="8">
        <f>IF((0=1),((K94/10000)*'Assumptions (edit)'!B7),"")</f>
      </c>
      <c r="L444" s="8">
        <f>IF((0=1),((L94/10000)*'Assumptions (edit)'!B7),"")</f>
      </c>
      <c r="M444" s="8">
        <f>IF((0=1),((M94/10000)*'Assumptions (edit)'!B7),"")</f>
      </c>
      <c r="N444" s="8">
        <f>IF((0=1),((N94/10000)*'Assumptions (edit)'!B7),"")</f>
      </c>
      <c r="O444" s="8">
        <f>IF((0=1),((O94/10000)*'Assumptions (edit)'!B7),"")</f>
      </c>
      <c r="P444" s="8">
        <f>IF((0=1),((P94/10000)*'Assumptions (edit)'!B7),"")</f>
      </c>
      <c r="Q444" s="8">
        <f>IF((0=1),((Q94/10000)*'Assumptions (edit)'!B7),"")</f>
      </c>
      <c r="R444" s="8">
        <f>IF((0=1),((R94/10000)*'Assumptions (edit)'!B7),"")</f>
      </c>
      <c r="S444" s="8">
        <f>IF((0=1),((S94/10000)*'Assumptions (edit)'!B7),"")</f>
      </c>
      <c r="T444" s="8">
        <f>IF((0=1),((T94/10000)*'Assumptions (edit)'!B7),"")</f>
      </c>
      <c r="U444" s="8">
        <f>IF((0=1),((U94/10000)*'Assumptions (edit)'!B7),"")</f>
      </c>
      <c r="V444" s="8">
        <f>IF((0=1),((V94/10000)*'Assumptions (edit)'!B7),"")</f>
      </c>
      <c r="W444" s="8">
        <f>IF((0=1),((W94/10000)*'Assumptions (edit)'!B7),"")</f>
      </c>
      <c r="X444" s="8">
        <f>IF((0=1),((X94/10000)*'Assumptions (edit)'!B7),"")</f>
      </c>
      <c r="Y444" s="8">
        <f>IF((0=1),((Y94/10000)*'Assumptions (edit)'!B7),"")</f>
      </c>
      <c r="Z444" s="8">
        <f>IF((0=1),((Z94/10000)*'Assumptions (edit)'!B7),"")</f>
      </c>
      <c r="AA444" s="8">
        <f>IF((0=1),((AA94/10000)*'Assumptions (edit)'!B7),"")</f>
      </c>
      <c r="AB444" s="8">
        <f>IF((0=1),((AB94/10000)*'Assumptions (edit)'!B7),"")</f>
      </c>
      <c r="AC444" s="8">
        <f>IF((0=1),((AC94/10000)*'Assumptions (edit)'!B7),"")</f>
      </c>
      <c r="AD444" s="8">
        <f>IF((0=1),((AD94/10000)*'Assumptions (edit)'!B7),"")</f>
      </c>
      <c r="AE444" s="8">
        <f>IF((0=1),((AE94/10000)*'Assumptions (edit)'!B7),"")</f>
      </c>
      <c r="AF444" s="8">
        <f>IF((0=1),((AF94/10000)*'Assumptions (edit)'!B7),"")</f>
      </c>
      <c r="AG444" s="8">
        <f>IF((0=1),((AG94/10000)*'Assumptions (edit)'!B7),"")</f>
      </c>
      <c r="AH444" s="8">
        <f>IF((0=1),((AH94/10000)*'Assumptions (edit)'!B7),"")</f>
      </c>
      <c r="AI444" s="8">
        <f>IF((0=1),((AI94/10000)*'Assumptions (edit)'!B7),"")</f>
      </c>
      <c r="AJ444" s="8">
        <f>IF((0=1),((AJ94/10000)*'Assumptions (edit)'!B7),"")</f>
      </c>
      <c r="AK444" s="8">
        <f>IF((0=1),((AK94/10000)*'Assumptions (edit)'!B7),"")</f>
      </c>
      <c r="AL444" s="8">
        <f>IF((0=1),((AL94/10000)*'Assumptions (edit)'!B7),"")</f>
      </c>
      <c r="AM444" s="8">
        <f>IF((0=1),((AM94/10000)*'Assumptions (edit)'!B7),"")</f>
      </c>
      <c r="AN444" s="8">
        <f>IF((0=1),((AN94/10000)*'Assumptions (edit)'!B7),"")</f>
      </c>
      <c r="AO444" s="8">
        <f>IF((0=1),((AO94/10000)*'Assumptions (edit)'!B7),"")</f>
      </c>
      <c r="AP444" s="8">
        <f>IF((0=1),((AP94/10000)*'Assumptions (edit)'!B7),"")</f>
      </c>
      <c r="AQ444" s="8">
        <f>IF((0=1),((AQ94/10000)*'Assumptions (edit)'!B7),"")</f>
      </c>
      <c r="AR444" s="8">
        <f>IF((0=1),((AR94/10000)*'Assumptions (edit)'!B7),"")</f>
      </c>
      <c r="AS444" s="8">
        <f>IF((0=1),((AS94/10000)*'Assumptions (edit)'!B7),"")</f>
      </c>
      <c r="AT444" s="8">
        <f>IF((0=1),((AT94/10000)*'Assumptions (edit)'!B7),"")</f>
      </c>
      <c r="AU444" s="8">
        <f>IF((0=1),((AU94/10000)*'Assumptions (edit)'!B7),"")</f>
      </c>
      <c r="AV444" s="8">
        <f>IF((0=1),((AV94/10000)*'Assumptions (edit)'!B7),"")</f>
      </c>
      <c r="AW444" s="8">
        <f>IF((0=1),((AW94/10000)*'Assumptions (edit)'!B7),"")</f>
      </c>
      <c r="AX444" s="8">
        <f>IF((0=1),((AX94/10000)*'Assumptions (edit)'!B7),"")</f>
      </c>
      <c r="AY444" s="8">
        <f>IF((0=1),((AY94/10000)*'Assumptions (edit)'!B7),"")</f>
      </c>
      <c r="AZ444" s="8">
        <f>IF((0=1),((AZ94/10000)*'Assumptions (edit)'!B7),"")</f>
      </c>
      <c r="BA444" s="8">
        <f>IF((0=1),((BA94/10000)*'Assumptions (edit)'!B7),"")</f>
      </c>
      <c r="BB444" s="8">
        <f>IF((0=1),((BB94/10000)*'Assumptions (edit)'!B7),"")</f>
      </c>
      <c r="BC444" s="8">
        <f>IF((0=1),((BC94/10000)*'Assumptions (edit)'!B7),"")</f>
      </c>
      <c r="BD444" s="8">
        <f>IF((0=1),((BD94/10000)*'Assumptions (edit)'!B7),"")</f>
      </c>
      <c r="BE444" s="8">
        <f>IF((0=1),((BE94/10000)*'Assumptions (edit)'!B7),"")</f>
      </c>
      <c r="BF444" s="8">
        <f>IF((0=1),((BF94/10000)*'Assumptions (edit)'!B7),"")</f>
      </c>
      <c r="BG444" s="8">
        <f>IF((0=1),((BG94/10000)*'Assumptions (edit)'!B7),"")</f>
      </c>
      <c r="BH444" s="8">
        <f>IF((0=1),((BH94/10000)*'Assumptions (edit)'!B7),"")</f>
      </c>
      <c r="BI444" s="8">
        <f>IF((0=1),((BI94/10000)*'Assumptions (edit)'!B7),"")</f>
      </c>
      <c r="BJ444" s="8">
        <f>IF((0=1),((BJ94/10000)*'Assumptions (edit)'!B7),"")</f>
      </c>
      <c r="BK444" s="8">
        <f>IF((0=1),((BK94/10000)*'Assumptions (edit)'!B7),"")</f>
      </c>
      <c r="BL444" s="8">
        <f>IF((0=1),((BL94/10000)*'Assumptions (edit)'!B7),"")</f>
      </c>
      <c r="BM444" s="8">
        <f>IF((0=1),((BM94/10000)*'Assumptions (edit)'!B7),"")</f>
      </c>
      <c r="BN444" s="8">
        <f>IF((0=1),((BN94/10000)*'Assumptions (edit)'!B7),"")</f>
      </c>
      <c r="BO444" s="8">
        <f>IF((0=1),((BO94/10000)*'Assumptions (edit)'!B7),"")</f>
      </c>
      <c r="BP444" s="8">
        <f>IF((0=1),((BP94/10000)*'Assumptions (edit)'!B7),"")</f>
      </c>
      <c r="BQ444" s="8">
        <f>IF((0=1),((BQ94/10000)*'Assumptions (edit)'!B7),"")</f>
      </c>
      <c r="BR444" s="8">
        <f>IF((0=1),((BR94/10000)*'Assumptions (edit)'!B7),"")</f>
      </c>
      <c r="BS444" s="8">
        <f>IF((0=1),((BS94/10000)*'Assumptions (edit)'!B7),"")</f>
      </c>
      <c r="BT444" s="8">
        <f>IF((0=1),((BT94/10000)*'Assumptions (edit)'!B7),"")</f>
      </c>
      <c r="BU444" s="8">
        <f>IF((0=1),((BU94/10000)*'Assumptions (edit)'!B7),"")</f>
      </c>
      <c r="BV444" s="8">
        <f>IF((0=1),((BV94/10000)*'Assumptions (edit)'!B7),"")</f>
      </c>
      <c r="BW444" s="8">
        <f>IF((0=1),((BW94/10000)*'Assumptions (edit)'!B7),"")</f>
      </c>
      <c r="BX444" s="8">
        <f>IF((0=1),((BX94/10000)*'Assumptions (edit)'!B7),"")</f>
      </c>
      <c r="BY444" s="8">
        <f>IF((0=1),((BY94/10000)*'Assumptions (edit)'!B7),"")</f>
      </c>
      <c r="BZ444" s="8">
        <f>IF((0=1),((BZ94/10000)*'Assumptions (edit)'!B7),"")</f>
      </c>
      <c r="CA444" s="8">
        <f>IF((0=1),((CA94/10000)*'Assumptions (edit)'!B7),"")</f>
      </c>
      <c r="CB444" s="8">
        <f>IF((0=1),((CB94/10000)*'Assumptions (edit)'!B7),"")</f>
      </c>
      <c r="CC444" s="8">
        <f>IF((0=1),((CC94/10000)*'Assumptions (edit)'!B7),"")</f>
      </c>
      <c r="CD444" s="8">
        <f>IF((0=1),((CD94/10000)*'Assumptions (edit)'!B7),"")</f>
      </c>
      <c r="CE444" s="8">
        <f>IF((0=1),((CE94/10000)*'Assumptions (edit)'!B7),"")</f>
      </c>
      <c r="CF444" s="8">
        <f>IF((0=1),((CF94/10000)*'Assumptions (edit)'!B7),"")</f>
      </c>
      <c r="CG444" s="8">
        <f>IF((0=1),((CG94/10000)*'Assumptions (edit)'!B7),"")</f>
      </c>
      <c r="CH444" s="8">
        <f>IF((0=1),((CH94/10000)*'Assumptions (edit)'!B7),"")</f>
      </c>
      <c r="CI444" s="8">
        <f>IF((0=1),((CI94/10000)*'Assumptions (edit)'!B7),"")</f>
      </c>
      <c r="CJ444" s="8">
        <f>IF((0=1),((CJ94/10000)*'Assumptions (edit)'!B7),"")</f>
      </c>
      <c r="CK444" s="8">
        <f>IF((0=1),((CK94/10000)*'Assumptions (edit)'!B7),"")</f>
      </c>
      <c r="CL444" s="8">
        <f>IF((0=1),((CL94/10000)*'Assumptions (edit)'!B7),"")</f>
      </c>
      <c r="CM444" s="8">
        <f>IF((0=1),((CM94/10000)*'Assumptions (edit)'!B7),"")</f>
      </c>
      <c r="CN444" s="8">
        <f>IF((0=1),((CN94/10000)*'Assumptions (edit)'!B7),"")</f>
      </c>
      <c r="CO444" s="8">
        <f>IF((0=1),((CO94/10000)*'Assumptions (edit)'!B7),"")</f>
      </c>
      <c r="CP444" s="8">
        <f>IF((0=1),((CP94/10000)*'Assumptions (edit)'!B7),"")</f>
      </c>
      <c r="CQ444" s="8">
        <f>IF((0=1),((CQ94/10000)*'Assumptions (edit)'!B7),"")</f>
      </c>
      <c r="CR444" s="8">
        <f>IF((0=1),((CR94/10000)*'Assumptions (edit)'!B7),"")</f>
      </c>
      <c r="CS444" s="8">
        <f>IF((0=1),((CS94/10000)*'Assumptions (edit)'!B7),"")</f>
      </c>
      <c r="CT444" s="8">
        <f>IF((0=1),((CT94/10000)*'Assumptions (edit)'!B7),"")</f>
      </c>
      <c r="CU444" s="8">
        <f>IF((0=1),((CU94/10000)*'Assumptions (edit)'!B7),"")</f>
      </c>
      <c r="CV444" s="8">
        <f>IF((0=1),((CV94/10000)*'Assumptions (edit)'!B7),"")</f>
      </c>
      <c r="CW444" s="8">
        <f>IF((0=1),((CW94/10000)*'Assumptions (edit)'!B7),"")</f>
      </c>
      <c r="CX444" s="8">
        <f>IF((0=1),((CX94/10000)*'Assumptions (edit)'!B7),"")</f>
      </c>
    </row>
    <row r="445">
      <c r="A445" s="0" t="inlineStr">
        <is>
          <t xml:space="preserve">Net P&amp;L on notional, $</t>
        </is>
      </c>
      <c r="B445" s="0" t="inlineStr">
        <is>
          <t xml:space="preserve">Random 9</t>
        </is>
      </c>
      <c r="C445" s="8">
        <f>IF((1=1),((C95/10000)*'Assumptions (edit)'!B7),"")</f>
        <v>-109.67999999999999</v>
      </c>
      <c r="D445" s="8">
        <f>IF((0=1),((D95/10000)*'Assumptions (edit)'!B7),"")</f>
      </c>
      <c r="E445" s="8">
        <f>IF((0=1),((E95/10000)*'Assumptions (edit)'!B7),"")</f>
      </c>
      <c r="F445" s="8">
        <f>IF((0=1),((F95/10000)*'Assumptions (edit)'!B7),"")</f>
      </c>
      <c r="G445" s="8">
        <f>IF((0=1),((G95/10000)*'Assumptions (edit)'!B7),"")</f>
      </c>
      <c r="H445" s="8">
        <f>IF((0=1),((H95/10000)*'Assumptions (edit)'!B7),"")</f>
      </c>
      <c r="I445" s="8">
        <f>IF((0=1),((I95/10000)*'Assumptions (edit)'!B7),"")</f>
      </c>
      <c r="J445" s="8">
        <f>IF((0=1),((J95/10000)*'Assumptions (edit)'!B7),"")</f>
      </c>
      <c r="K445" s="8">
        <f>IF((0=1),((K95/10000)*'Assumptions (edit)'!B7),"")</f>
      </c>
      <c r="L445" s="8">
        <f>IF((0=1),((L95/10000)*'Assumptions (edit)'!B7),"")</f>
      </c>
      <c r="M445" s="8">
        <f>IF((0=1),((M95/10000)*'Assumptions (edit)'!B7),"")</f>
      </c>
      <c r="N445" s="8">
        <f>IF((0=1),((N95/10000)*'Assumptions (edit)'!B7),"")</f>
      </c>
      <c r="O445" s="8">
        <f>IF((0=1),((O95/10000)*'Assumptions (edit)'!B7),"")</f>
      </c>
      <c r="P445" s="8">
        <f>IF((0=1),((P95/10000)*'Assumptions (edit)'!B7),"")</f>
      </c>
      <c r="Q445" s="8">
        <f>IF((0=1),((Q95/10000)*'Assumptions (edit)'!B7),"")</f>
      </c>
      <c r="R445" s="8">
        <f>IF((0=1),((R95/10000)*'Assumptions (edit)'!B7),"")</f>
      </c>
      <c r="S445" s="8">
        <f>IF((0=1),((S95/10000)*'Assumptions (edit)'!B7),"")</f>
      </c>
      <c r="T445" s="8">
        <f>IF((0=1),((T95/10000)*'Assumptions (edit)'!B7),"")</f>
      </c>
      <c r="U445" s="8">
        <f>IF((0=1),((U95/10000)*'Assumptions (edit)'!B7),"")</f>
      </c>
      <c r="V445" s="8">
        <f>IF((0=1),((V95/10000)*'Assumptions (edit)'!B7),"")</f>
      </c>
      <c r="W445" s="8">
        <f>IF((0=1),((W95/10000)*'Assumptions (edit)'!B7),"")</f>
      </c>
      <c r="X445" s="8">
        <f>IF((0=1),((X95/10000)*'Assumptions (edit)'!B7),"")</f>
      </c>
      <c r="Y445" s="8">
        <f>IF((0=1),((Y95/10000)*'Assumptions (edit)'!B7),"")</f>
      </c>
      <c r="Z445" s="8">
        <f>IF((0=1),((Z95/10000)*'Assumptions (edit)'!B7),"")</f>
      </c>
      <c r="AA445" s="8">
        <f>IF((0=1),((AA95/10000)*'Assumptions (edit)'!B7),"")</f>
      </c>
      <c r="AB445" s="8">
        <f>IF((0=1),((AB95/10000)*'Assumptions (edit)'!B7),"")</f>
      </c>
      <c r="AC445" s="8">
        <f>IF((0=1),((AC95/10000)*'Assumptions (edit)'!B7),"")</f>
      </c>
      <c r="AD445" s="8">
        <f>IF((0=1),((AD95/10000)*'Assumptions (edit)'!B7),"")</f>
      </c>
      <c r="AE445" s="8">
        <f>IF((0=1),((AE95/10000)*'Assumptions (edit)'!B7),"")</f>
      </c>
      <c r="AF445" s="8">
        <f>IF((0=1),((AF95/10000)*'Assumptions (edit)'!B7),"")</f>
      </c>
      <c r="AG445" s="8">
        <f>IF((0=1),((AG95/10000)*'Assumptions (edit)'!B7),"")</f>
      </c>
      <c r="AH445" s="8">
        <f>IF((0=1),((AH95/10000)*'Assumptions (edit)'!B7),"")</f>
      </c>
      <c r="AI445" s="8">
        <f>IF((0=1),((AI95/10000)*'Assumptions (edit)'!B7),"")</f>
      </c>
      <c r="AJ445" s="8">
        <f>IF((0=1),((AJ95/10000)*'Assumptions (edit)'!B7),"")</f>
      </c>
      <c r="AK445" s="8">
        <f>IF((0=1),((AK95/10000)*'Assumptions (edit)'!B7),"")</f>
      </c>
      <c r="AL445" s="8">
        <f>IF((0=1),((AL95/10000)*'Assumptions (edit)'!B7),"")</f>
      </c>
      <c r="AM445" s="8">
        <f>IF((0=1),((AM95/10000)*'Assumptions (edit)'!B7),"")</f>
      </c>
      <c r="AN445" s="8">
        <f>IF((0=1),((AN95/10000)*'Assumptions (edit)'!B7),"")</f>
      </c>
      <c r="AO445" s="8">
        <f>IF((0=1),((AO95/10000)*'Assumptions (edit)'!B7),"")</f>
      </c>
      <c r="AP445" s="8">
        <f>IF((0=1),((AP95/10000)*'Assumptions (edit)'!B7),"")</f>
      </c>
      <c r="AQ445" s="8">
        <f>IF((0=1),((AQ95/10000)*'Assumptions (edit)'!B7),"")</f>
      </c>
      <c r="AR445" s="8">
        <f>IF((0=1),((AR95/10000)*'Assumptions (edit)'!B7),"")</f>
      </c>
      <c r="AS445" s="8">
        <f>IF((0=1),((AS95/10000)*'Assumptions (edit)'!B7),"")</f>
      </c>
      <c r="AT445" s="8">
        <f>IF((0=1),((AT95/10000)*'Assumptions (edit)'!B7),"")</f>
      </c>
      <c r="AU445" s="8">
        <f>IF((0=1),((AU95/10000)*'Assumptions (edit)'!B7),"")</f>
      </c>
      <c r="AV445" s="8">
        <f>IF((0=1),((AV95/10000)*'Assumptions (edit)'!B7),"")</f>
      </c>
      <c r="AW445" s="8">
        <f>IF((0=1),((AW95/10000)*'Assumptions (edit)'!B7),"")</f>
      </c>
      <c r="AX445" s="8">
        <f>IF((0=1),((AX95/10000)*'Assumptions (edit)'!B7),"")</f>
      </c>
      <c r="AY445" s="8">
        <f>IF((0=1),((AY95/10000)*'Assumptions (edit)'!B7),"")</f>
      </c>
      <c r="AZ445" s="8">
        <f>IF((0=1),((AZ95/10000)*'Assumptions (edit)'!B7),"")</f>
      </c>
      <c r="BA445" s="8">
        <f>IF((0=1),((BA95/10000)*'Assumptions (edit)'!B7),"")</f>
      </c>
      <c r="BB445" s="8">
        <f>IF((0=1),((BB95/10000)*'Assumptions (edit)'!B7),"")</f>
      </c>
      <c r="BC445" s="8">
        <f>IF((0=1),((BC95/10000)*'Assumptions (edit)'!B7),"")</f>
      </c>
      <c r="BD445" s="8">
        <f>IF((0=1),((BD95/10000)*'Assumptions (edit)'!B7),"")</f>
      </c>
      <c r="BE445" s="8">
        <f>IF((0=1),((BE95/10000)*'Assumptions (edit)'!B7),"")</f>
      </c>
      <c r="BF445" s="8">
        <f>IF((0=1),((BF95/10000)*'Assumptions (edit)'!B7),"")</f>
      </c>
      <c r="BG445" s="8">
        <f>IF((0=1),((BG95/10000)*'Assumptions (edit)'!B7),"")</f>
      </c>
      <c r="BH445" s="8">
        <f>IF((0=1),((BH95/10000)*'Assumptions (edit)'!B7),"")</f>
      </c>
      <c r="BI445" s="8">
        <f>IF((0=1),((BI95/10000)*'Assumptions (edit)'!B7),"")</f>
      </c>
      <c r="BJ445" s="8">
        <f>IF((0=1),((BJ95/10000)*'Assumptions (edit)'!B7),"")</f>
      </c>
      <c r="BK445" s="8">
        <f>IF((0=1),((BK95/10000)*'Assumptions (edit)'!B7),"")</f>
      </c>
      <c r="BL445" s="8">
        <f>IF((0=1),((BL95/10000)*'Assumptions (edit)'!B7),"")</f>
      </c>
      <c r="BM445" s="8">
        <f>IF((0=1),((BM95/10000)*'Assumptions (edit)'!B7),"")</f>
      </c>
      <c r="BN445" s="8">
        <f>IF((0=1),((BN95/10000)*'Assumptions (edit)'!B7),"")</f>
      </c>
      <c r="BO445" s="8">
        <f>IF((0=1),((BO95/10000)*'Assumptions (edit)'!B7),"")</f>
      </c>
      <c r="BP445" s="8">
        <f>IF((0=1),((BP95/10000)*'Assumptions (edit)'!B7),"")</f>
      </c>
      <c r="BQ445" s="8">
        <f>IF((0=1),((BQ95/10000)*'Assumptions (edit)'!B7),"")</f>
      </c>
      <c r="BR445" s="8">
        <f>IF((0=1),((BR95/10000)*'Assumptions (edit)'!B7),"")</f>
      </c>
      <c r="BS445" s="8">
        <f>IF((0=1),((BS95/10000)*'Assumptions (edit)'!B7),"")</f>
      </c>
      <c r="BT445" s="8">
        <f>IF((0=1),((BT95/10000)*'Assumptions (edit)'!B7),"")</f>
      </c>
      <c r="BU445" s="8">
        <f>IF((0=1),((BU95/10000)*'Assumptions (edit)'!B7),"")</f>
      </c>
      <c r="BV445" s="8">
        <f>IF((0=1),((BV95/10000)*'Assumptions (edit)'!B7),"")</f>
      </c>
      <c r="BW445" s="8">
        <f>IF((0=1),((BW95/10000)*'Assumptions (edit)'!B7),"")</f>
      </c>
      <c r="BX445" s="8">
        <f>IF((0=1),((BX95/10000)*'Assumptions (edit)'!B7),"")</f>
      </c>
      <c r="BY445" s="8">
        <f>IF((0=1),((BY95/10000)*'Assumptions (edit)'!B7),"")</f>
      </c>
      <c r="BZ445" s="8">
        <f>IF((0=1),((BZ95/10000)*'Assumptions (edit)'!B7),"")</f>
      </c>
      <c r="CA445" s="8">
        <f>IF((0=1),((CA95/10000)*'Assumptions (edit)'!B7),"")</f>
      </c>
      <c r="CB445" s="8">
        <f>IF((0=1),((CB95/10000)*'Assumptions (edit)'!B7),"")</f>
      </c>
      <c r="CC445" s="8">
        <f>IF((0=1),((CC95/10000)*'Assumptions (edit)'!B7),"")</f>
      </c>
      <c r="CD445" s="8">
        <f>IF((0=1),((CD95/10000)*'Assumptions (edit)'!B7),"")</f>
      </c>
      <c r="CE445" s="8">
        <f>IF((0=1),((CE95/10000)*'Assumptions (edit)'!B7),"")</f>
      </c>
      <c r="CF445" s="8">
        <f>IF((0=1),((CF95/10000)*'Assumptions (edit)'!B7),"")</f>
      </c>
      <c r="CG445" s="8">
        <f>IF((0=1),((CG95/10000)*'Assumptions (edit)'!B7),"")</f>
      </c>
      <c r="CH445" s="8">
        <f>IF((0=1),((CH95/10000)*'Assumptions (edit)'!B7),"")</f>
      </c>
      <c r="CI445" s="8">
        <f>IF((0=1),((CI95/10000)*'Assumptions (edit)'!B7),"")</f>
      </c>
      <c r="CJ445" s="8">
        <f>IF((0=1),((CJ95/10000)*'Assumptions (edit)'!B7),"")</f>
      </c>
      <c r="CK445" s="8">
        <f>IF((0=1),((CK95/10000)*'Assumptions (edit)'!B7),"")</f>
      </c>
      <c r="CL445" s="8">
        <f>IF((0=1),((CL95/10000)*'Assumptions (edit)'!B7),"")</f>
      </c>
      <c r="CM445" s="8">
        <f>IF((0=1),((CM95/10000)*'Assumptions (edit)'!B7),"")</f>
      </c>
      <c r="CN445" s="8">
        <f>IF((0=1),((CN95/10000)*'Assumptions (edit)'!B7),"")</f>
      </c>
      <c r="CO445" s="8">
        <f>IF((0=1),((CO95/10000)*'Assumptions (edit)'!B7),"")</f>
      </c>
      <c r="CP445" s="8">
        <f>IF((0=1),((CP95/10000)*'Assumptions (edit)'!B7),"")</f>
      </c>
      <c r="CQ445" s="8">
        <f>IF((0=1),((CQ95/10000)*'Assumptions (edit)'!B7),"")</f>
      </c>
      <c r="CR445" s="8">
        <f>IF((0=1),((CR95/10000)*'Assumptions (edit)'!B7),"")</f>
      </c>
      <c r="CS445" s="8">
        <f>IF((0=1),((CS95/10000)*'Assumptions (edit)'!B7),"")</f>
      </c>
      <c r="CT445" s="8">
        <f>IF((0=1),((CT95/10000)*'Assumptions (edit)'!B7),"")</f>
      </c>
      <c r="CU445" s="8">
        <f>IF((0=1),((CU95/10000)*'Assumptions (edit)'!B7),"")</f>
      </c>
      <c r="CV445" s="8">
        <f>IF((0=1),((CV95/10000)*'Assumptions (edit)'!B7),"")</f>
      </c>
      <c r="CW445" s="8">
        <f>IF((0=1),((CW95/10000)*'Assumptions (edit)'!B7),"")</f>
      </c>
      <c r="CX445" s="8">
        <f>IF((0=1),((CX95/10000)*'Assumptions (edit)'!B7),"")</f>
      </c>
    </row>
    <row r="446">
      <c r="A446" s="0" t="inlineStr">
        <is>
          <t xml:space="preserve">Net P&amp;L on notional, $</t>
        </is>
      </c>
      <c r="B446" s="0" t="inlineStr">
        <is>
          <t xml:space="preserve">Random 10</t>
        </is>
      </c>
      <c r="C446" s="8">
        <f>IF((1=1),((C96/10000)*'Assumptions (edit)'!B7),"")</f>
        <v>-63.51</v>
      </c>
      <c r="D446" s="8">
        <f>IF((0=1),((D96/10000)*'Assumptions (edit)'!B7),"")</f>
      </c>
      <c r="E446" s="8">
        <f>IF((0=1),((E96/10000)*'Assumptions (edit)'!B7),"")</f>
      </c>
      <c r="F446" s="8">
        <f>IF((0=1),((F96/10000)*'Assumptions (edit)'!B7),"")</f>
      </c>
      <c r="G446" s="8">
        <f>IF((0=1),((G96/10000)*'Assumptions (edit)'!B7),"")</f>
      </c>
      <c r="H446" s="8">
        <f>IF((0=1),((H96/10000)*'Assumptions (edit)'!B7),"")</f>
      </c>
      <c r="I446" s="8">
        <f>IF((0=1),((I96/10000)*'Assumptions (edit)'!B7),"")</f>
      </c>
      <c r="J446" s="8">
        <f>IF((0=1),((J96/10000)*'Assumptions (edit)'!B7),"")</f>
      </c>
      <c r="K446" s="8">
        <f>IF((0=1),((K96/10000)*'Assumptions (edit)'!B7),"")</f>
      </c>
      <c r="L446" s="8">
        <f>IF((0=1),((L96/10000)*'Assumptions (edit)'!B7),"")</f>
      </c>
      <c r="M446" s="8">
        <f>IF((0=1),((M96/10000)*'Assumptions (edit)'!B7),"")</f>
      </c>
      <c r="N446" s="8">
        <f>IF((0=1),((N96/10000)*'Assumptions (edit)'!B7),"")</f>
      </c>
      <c r="O446" s="8">
        <f>IF((0=1),((O96/10000)*'Assumptions (edit)'!B7),"")</f>
      </c>
      <c r="P446" s="8">
        <f>IF((0=1),((P96/10000)*'Assumptions (edit)'!B7),"")</f>
      </c>
      <c r="Q446" s="8">
        <f>IF((0=1),((Q96/10000)*'Assumptions (edit)'!B7),"")</f>
      </c>
      <c r="R446" s="8">
        <f>IF((0=1),((R96/10000)*'Assumptions (edit)'!B7),"")</f>
      </c>
      <c r="S446" s="8">
        <f>IF((0=1),((S96/10000)*'Assumptions (edit)'!B7),"")</f>
      </c>
      <c r="T446" s="8">
        <f>IF((0=1),((T96/10000)*'Assumptions (edit)'!B7),"")</f>
      </c>
      <c r="U446" s="8">
        <f>IF((0=1),((U96/10000)*'Assumptions (edit)'!B7),"")</f>
      </c>
      <c r="V446" s="8">
        <f>IF((0=1),((V96/10000)*'Assumptions (edit)'!B7),"")</f>
      </c>
      <c r="W446" s="8">
        <f>IF((0=1),((W96/10000)*'Assumptions (edit)'!B7),"")</f>
      </c>
      <c r="X446" s="8">
        <f>IF((0=1),((X96/10000)*'Assumptions (edit)'!B7),"")</f>
      </c>
      <c r="Y446" s="8">
        <f>IF((0=1),((Y96/10000)*'Assumptions (edit)'!B7),"")</f>
      </c>
      <c r="Z446" s="8">
        <f>IF((0=1),((Z96/10000)*'Assumptions (edit)'!B7),"")</f>
      </c>
      <c r="AA446" s="8">
        <f>IF((0=1),((AA96/10000)*'Assumptions (edit)'!B7),"")</f>
      </c>
      <c r="AB446" s="8">
        <f>IF((0=1),((AB96/10000)*'Assumptions (edit)'!B7),"")</f>
      </c>
      <c r="AC446" s="8">
        <f>IF((0=1),((AC96/10000)*'Assumptions (edit)'!B7),"")</f>
      </c>
      <c r="AD446" s="8">
        <f>IF((0=1),((AD96/10000)*'Assumptions (edit)'!B7),"")</f>
      </c>
      <c r="AE446" s="8">
        <f>IF((0=1),((AE96/10000)*'Assumptions (edit)'!B7),"")</f>
      </c>
      <c r="AF446" s="8">
        <f>IF((0=1),((AF96/10000)*'Assumptions (edit)'!B7),"")</f>
      </c>
      <c r="AG446" s="8">
        <f>IF((0=1),((AG96/10000)*'Assumptions (edit)'!B7),"")</f>
      </c>
      <c r="AH446" s="8">
        <f>IF((0=1),((AH96/10000)*'Assumptions (edit)'!B7),"")</f>
      </c>
      <c r="AI446" s="8">
        <f>IF((0=1),((AI96/10000)*'Assumptions (edit)'!B7),"")</f>
      </c>
      <c r="AJ446" s="8">
        <f>IF((0=1),((AJ96/10000)*'Assumptions (edit)'!B7),"")</f>
      </c>
      <c r="AK446" s="8">
        <f>IF((0=1),((AK96/10000)*'Assumptions (edit)'!B7),"")</f>
      </c>
      <c r="AL446" s="8">
        <f>IF((0=1),((AL96/10000)*'Assumptions (edit)'!B7),"")</f>
      </c>
      <c r="AM446" s="8">
        <f>IF((0=1),((AM96/10000)*'Assumptions (edit)'!B7),"")</f>
      </c>
      <c r="AN446" s="8">
        <f>IF((0=1),((AN96/10000)*'Assumptions (edit)'!B7),"")</f>
      </c>
      <c r="AO446" s="8">
        <f>IF((0=1),((AO96/10000)*'Assumptions (edit)'!B7),"")</f>
      </c>
      <c r="AP446" s="8">
        <f>IF((0=1),((AP96/10000)*'Assumptions (edit)'!B7),"")</f>
      </c>
      <c r="AQ446" s="8">
        <f>IF((0=1),((AQ96/10000)*'Assumptions (edit)'!B7),"")</f>
      </c>
      <c r="AR446" s="8">
        <f>IF((0=1),((AR96/10000)*'Assumptions (edit)'!B7),"")</f>
      </c>
      <c r="AS446" s="8">
        <f>IF((0=1),((AS96/10000)*'Assumptions (edit)'!B7),"")</f>
      </c>
      <c r="AT446" s="8">
        <f>IF((0=1),((AT96/10000)*'Assumptions (edit)'!B7),"")</f>
      </c>
      <c r="AU446" s="8">
        <f>IF((0=1),((AU96/10000)*'Assumptions (edit)'!B7),"")</f>
      </c>
      <c r="AV446" s="8">
        <f>IF((0=1),((AV96/10000)*'Assumptions (edit)'!B7),"")</f>
      </c>
      <c r="AW446" s="8">
        <f>IF((0=1),((AW96/10000)*'Assumptions (edit)'!B7),"")</f>
      </c>
      <c r="AX446" s="8">
        <f>IF((0=1),((AX96/10000)*'Assumptions (edit)'!B7),"")</f>
      </c>
      <c r="AY446" s="8">
        <f>IF((0=1),((AY96/10000)*'Assumptions (edit)'!B7),"")</f>
      </c>
      <c r="AZ446" s="8">
        <f>IF((0=1),((AZ96/10000)*'Assumptions (edit)'!B7),"")</f>
      </c>
      <c r="BA446" s="8">
        <f>IF((0=1),((BA96/10000)*'Assumptions (edit)'!B7),"")</f>
      </c>
      <c r="BB446" s="8">
        <f>IF((0=1),((BB96/10000)*'Assumptions (edit)'!B7),"")</f>
      </c>
      <c r="BC446" s="8">
        <f>IF((0=1),((BC96/10000)*'Assumptions (edit)'!B7),"")</f>
      </c>
      <c r="BD446" s="8">
        <f>IF((0=1),((BD96/10000)*'Assumptions (edit)'!B7),"")</f>
      </c>
      <c r="BE446" s="8">
        <f>IF((0=1),((BE96/10000)*'Assumptions (edit)'!B7),"")</f>
      </c>
      <c r="BF446" s="8">
        <f>IF((0=1),((BF96/10000)*'Assumptions (edit)'!B7),"")</f>
      </c>
      <c r="BG446" s="8">
        <f>IF((0=1),((BG96/10000)*'Assumptions (edit)'!B7),"")</f>
      </c>
      <c r="BH446" s="8">
        <f>IF((0=1),((BH96/10000)*'Assumptions (edit)'!B7),"")</f>
      </c>
      <c r="BI446" s="8">
        <f>IF((0=1),((BI96/10000)*'Assumptions (edit)'!B7),"")</f>
      </c>
      <c r="BJ446" s="8">
        <f>IF((0=1),((BJ96/10000)*'Assumptions (edit)'!B7),"")</f>
      </c>
      <c r="BK446" s="8">
        <f>IF((0=1),((BK96/10000)*'Assumptions (edit)'!B7),"")</f>
      </c>
      <c r="BL446" s="8">
        <f>IF((0=1),((BL96/10000)*'Assumptions (edit)'!B7),"")</f>
      </c>
      <c r="BM446" s="8">
        <f>IF((0=1),((BM96/10000)*'Assumptions (edit)'!B7),"")</f>
      </c>
      <c r="BN446" s="8">
        <f>IF((0=1),((BN96/10000)*'Assumptions (edit)'!B7),"")</f>
      </c>
      <c r="BO446" s="8">
        <f>IF((0=1),((BO96/10000)*'Assumptions (edit)'!B7),"")</f>
      </c>
      <c r="BP446" s="8">
        <f>IF((0=1),((BP96/10000)*'Assumptions (edit)'!B7),"")</f>
      </c>
      <c r="BQ446" s="8">
        <f>IF((0=1),((BQ96/10000)*'Assumptions (edit)'!B7),"")</f>
      </c>
      <c r="BR446" s="8">
        <f>IF((0=1),((BR96/10000)*'Assumptions (edit)'!B7),"")</f>
      </c>
      <c r="BS446" s="8">
        <f>IF((0=1),((BS96/10000)*'Assumptions (edit)'!B7),"")</f>
      </c>
      <c r="BT446" s="8">
        <f>IF((0=1),((BT96/10000)*'Assumptions (edit)'!B7),"")</f>
      </c>
      <c r="BU446" s="8">
        <f>IF((0=1),((BU96/10000)*'Assumptions (edit)'!B7),"")</f>
      </c>
      <c r="BV446" s="8">
        <f>IF((0=1),((BV96/10000)*'Assumptions (edit)'!B7),"")</f>
      </c>
      <c r="BW446" s="8">
        <f>IF((0=1),((BW96/10000)*'Assumptions (edit)'!B7),"")</f>
      </c>
      <c r="BX446" s="8">
        <f>IF((0=1),((BX96/10000)*'Assumptions (edit)'!B7),"")</f>
      </c>
      <c r="BY446" s="8">
        <f>IF((0=1),((BY96/10000)*'Assumptions (edit)'!B7),"")</f>
      </c>
      <c r="BZ446" s="8">
        <f>IF((0=1),((BZ96/10000)*'Assumptions (edit)'!B7),"")</f>
      </c>
      <c r="CA446" s="8">
        <f>IF((0=1),((CA96/10000)*'Assumptions (edit)'!B7),"")</f>
      </c>
      <c r="CB446" s="8">
        <f>IF((0=1),((CB96/10000)*'Assumptions (edit)'!B7),"")</f>
      </c>
      <c r="CC446" s="8">
        <f>IF((0=1),((CC96/10000)*'Assumptions (edit)'!B7),"")</f>
      </c>
      <c r="CD446" s="8">
        <f>IF((0=1),((CD96/10000)*'Assumptions (edit)'!B7),"")</f>
      </c>
      <c r="CE446" s="8">
        <f>IF((0=1),((CE96/10000)*'Assumptions (edit)'!B7),"")</f>
      </c>
      <c r="CF446" s="8">
        <f>IF((0=1),((CF96/10000)*'Assumptions (edit)'!B7),"")</f>
      </c>
      <c r="CG446" s="8">
        <f>IF((0=1),((CG96/10000)*'Assumptions (edit)'!B7),"")</f>
      </c>
      <c r="CH446" s="8">
        <f>IF((0=1),((CH96/10000)*'Assumptions (edit)'!B7),"")</f>
      </c>
      <c r="CI446" s="8">
        <f>IF((0=1),((CI96/10000)*'Assumptions (edit)'!B7),"")</f>
      </c>
      <c r="CJ446" s="8">
        <f>IF((0=1),((CJ96/10000)*'Assumptions (edit)'!B7),"")</f>
      </c>
      <c r="CK446" s="8">
        <f>IF((0=1),((CK96/10000)*'Assumptions (edit)'!B7),"")</f>
      </c>
      <c r="CL446" s="8">
        <f>IF((0=1),((CL96/10000)*'Assumptions (edit)'!B7),"")</f>
      </c>
      <c r="CM446" s="8">
        <f>IF((0=1),((CM96/10000)*'Assumptions (edit)'!B7),"")</f>
      </c>
      <c r="CN446" s="8">
        <f>IF((0=1),((CN96/10000)*'Assumptions (edit)'!B7),"")</f>
      </c>
      <c r="CO446" s="8">
        <f>IF((0=1),((CO96/10000)*'Assumptions (edit)'!B7),"")</f>
      </c>
      <c r="CP446" s="8">
        <f>IF((0=1),((CP96/10000)*'Assumptions (edit)'!B7),"")</f>
      </c>
      <c r="CQ446" s="8">
        <f>IF((0=1),((CQ96/10000)*'Assumptions (edit)'!B7),"")</f>
      </c>
      <c r="CR446" s="8">
        <f>IF((0=1),((CR96/10000)*'Assumptions (edit)'!B7),"")</f>
      </c>
      <c r="CS446" s="8">
        <f>IF((0=1),((CS96/10000)*'Assumptions (edit)'!B7),"")</f>
      </c>
      <c r="CT446" s="8">
        <f>IF((0=1),((CT96/10000)*'Assumptions (edit)'!B7),"")</f>
      </c>
      <c r="CU446" s="8">
        <f>IF((0=1),((CU96/10000)*'Assumptions (edit)'!B7),"")</f>
      </c>
      <c r="CV446" s="8">
        <f>IF((0=1),((CV96/10000)*'Assumptions (edit)'!B7),"")</f>
      </c>
      <c r="CW446" s="8">
        <f>IF((0=1),((CW96/10000)*'Assumptions (edit)'!B7),"")</f>
      </c>
      <c r="CX446" s="8">
        <f>IF((0=1),((CX96/10000)*'Assumptions (edit)'!B7),"")</f>
      </c>
    </row>
    <row r="447">
      <c r="A447" s="0" t="inlineStr">
        <is>
          <t xml:space="preserve">Net P&amp;L on notional, $</t>
        </is>
      </c>
      <c r="B447" s="0" t="inlineStr">
        <is>
          <t xml:space="preserve">Random 11</t>
        </is>
      </c>
      <c r="C447" s="8">
        <f>IF((1=1),((C97/10000)*'Assumptions (edit)'!B7),"")</f>
        <v>15.009999999999993</v>
      </c>
      <c r="D447" s="8">
        <f>IF((0=1),((D97/10000)*'Assumptions (edit)'!B7),"")</f>
      </c>
      <c r="E447" s="8">
        <f>IF((0=1),((E97/10000)*'Assumptions (edit)'!B7),"")</f>
      </c>
      <c r="F447" s="8">
        <f>IF((0=1),((F97/10000)*'Assumptions (edit)'!B7),"")</f>
      </c>
      <c r="G447" s="8">
        <f>IF((0=1),((G97/10000)*'Assumptions (edit)'!B7),"")</f>
      </c>
      <c r="H447" s="8">
        <f>IF((0=1),((H97/10000)*'Assumptions (edit)'!B7),"")</f>
      </c>
      <c r="I447" s="8">
        <f>IF((0=1),((I97/10000)*'Assumptions (edit)'!B7),"")</f>
      </c>
      <c r="J447" s="8">
        <f>IF((0=1),((J97/10000)*'Assumptions (edit)'!B7),"")</f>
      </c>
      <c r="K447" s="8">
        <f>IF((0=1),((K97/10000)*'Assumptions (edit)'!B7),"")</f>
      </c>
      <c r="L447" s="8">
        <f>IF((0=1),((L97/10000)*'Assumptions (edit)'!B7),"")</f>
      </c>
      <c r="M447" s="8">
        <f>IF((0=1),((M97/10000)*'Assumptions (edit)'!B7),"")</f>
      </c>
      <c r="N447" s="8">
        <f>IF((0=1),((N97/10000)*'Assumptions (edit)'!B7),"")</f>
      </c>
      <c r="O447" s="8">
        <f>IF((0=1),((O97/10000)*'Assumptions (edit)'!B7),"")</f>
      </c>
      <c r="P447" s="8">
        <f>IF((0=1),((P97/10000)*'Assumptions (edit)'!B7),"")</f>
      </c>
      <c r="Q447" s="8">
        <f>IF((0=1),((Q97/10000)*'Assumptions (edit)'!B7),"")</f>
      </c>
      <c r="R447" s="8">
        <f>IF((0=1),((R97/10000)*'Assumptions (edit)'!B7),"")</f>
      </c>
      <c r="S447" s="8">
        <f>IF((0=1),((S97/10000)*'Assumptions (edit)'!B7),"")</f>
      </c>
      <c r="T447" s="8">
        <f>IF((0=1),((T97/10000)*'Assumptions (edit)'!B7),"")</f>
      </c>
      <c r="U447" s="8">
        <f>IF((0=1),((U97/10000)*'Assumptions (edit)'!B7),"")</f>
      </c>
      <c r="V447" s="8">
        <f>IF((0=1),((V97/10000)*'Assumptions (edit)'!B7),"")</f>
      </c>
      <c r="W447" s="8">
        <f>IF((0=1),((W97/10000)*'Assumptions (edit)'!B7),"")</f>
      </c>
      <c r="X447" s="8">
        <f>IF((0=1),((X97/10000)*'Assumptions (edit)'!B7),"")</f>
      </c>
      <c r="Y447" s="8">
        <f>IF((0=1),((Y97/10000)*'Assumptions (edit)'!B7),"")</f>
      </c>
      <c r="Z447" s="8">
        <f>IF((0=1),((Z97/10000)*'Assumptions (edit)'!B7),"")</f>
      </c>
      <c r="AA447" s="8">
        <f>IF((0=1),((AA97/10000)*'Assumptions (edit)'!B7),"")</f>
      </c>
      <c r="AB447" s="8">
        <f>IF((0=1),((AB97/10000)*'Assumptions (edit)'!B7),"")</f>
      </c>
      <c r="AC447" s="8">
        <f>IF((0=1),((AC97/10000)*'Assumptions (edit)'!B7),"")</f>
      </c>
      <c r="AD447" s="8">
        <f>IF((0=1),((AD97/10000)*'Assumptions (edit)'!B7),"")</f>
      </c>
      <c r="AE447" s="8">
        <f>IF((0=1),((AE97/10000)*'Assumptions (edit)'!B7),"")</f>
      </c>
      <c r="AF447" s="8">
        <f>IF((0=1),((AF97/10000)*'Assumptions (edit)'!B7),"")</f>
      </c>
      <c r="AG447" s="8">
        <f>IF((0=1),((AG97/10000)*'Assumptions (edit)'!B7),"")</f>
      </c>
      <c r="AH447" s="8">
        <f>IF((0=1),((AH97/10000)*'Assumptions (edit)'!B7),"")</f>
      </c>
      <c r="AI447" s="8">
        <f>IF((0=1),((AI97/10000)*'Assumptions (edit)'!B7),"")</f>
      </c>
      <c r="AJ447" s="8">
        <f>IF((0=1),((AJ97/10000)*'Assumptions (edit)'!B7),"")</f>
      </c>
      <c r="AK447" s="8">
        <f>IF((0=1),((AK97/10000)*'Assumptions (edit)'!B7),"")</f>
      </c>
      <c r="AL447" s="8">
        <f>IF((0=1),((AL97/10000)*'Assumptions (edit)'!B7),"")</f>
      </c>
      <c r="AM447" s="8">
        <f>IF((0=1),((AM97/10000)*'Assumptions (edit)'!B7),"")</f>
      </c>
      <c r="AN447" s="8">
        <f>IF((0=1),((AN97/10000)*'Assumptions (edit)'!B7),"")</f>
      </c>
      <c r="AO447" s="8">
        <f>IF((0=1),((AO97/10000)*'Assumptions (edit)'!B7),"")</f>
      </c>
      <c r="AP447" s="8">
        <f>IF((0=1),((AP97/10000)*'Assumptions (edit)'!B7),"")</f>
      </c>
      <c r="AQ447" s="8">
        <f>IF((0=1),((AQ97/10000)*'Assumptions (edit)'!B7),"")</f>
      </c>
      <c r="AR447" s="8">
        <f>IF((0=1),((AR97/10000)*'Assumptions (edit)'!B7),"")</f>
      </c>
      <c r="AS447" s="8">
        <f>IF((0=1),((AS97/10000)*'Assumptions (edit)'!B7),"")</f>
      </c>
      <c r="AT447" s="8">
        <f>IF((0=1),((AT97/10000)*'Assumptions (edit)'!B7),"")</f>
      </c>
      <c r="AU447" s="8">
        <f>IF((0=1),((AU97/10000)*'Assumptions (edit)'!B7),"")</f>
      </c>
      <c r="AV447" s="8">
        <f>IF((0=1),((AV97/10000)*'Assumptions (edit)'!B7),"")</f>
      </c>
      <c r="AW447" s="8">
        <f>IF((0=1),((AW97/10000)*'Assumptions (edit)'!B7),"")</f>
      </c>
      <c r="AX447" s="8">
        <f>IF((0=1),((AX97/10000)*'Assumptions (edit)'!B7),"")</f>
      </c>
      <c r="AY447" s="8">
        <f>IF((0=1),((AY97/10000)*'Assumptions (edit)'!B7),"")</f>
      </c>
      <c r="AZ447" s="8">
        <f>IF((0=1),((AZ97/10000)*'Assumptions (edit)'!B7),"")</f>
      </c>
      <c r="BA447" s="8">
        <f>IF((0=1),((BA97/10000)*'Assumptions (edit)'!B7),"")</f>
      </c>
      <c r="BB447" s="8">
        <f>IF((0=1),((BB97/10000)*'Assumptions (edit)'!B7),"")</f>
      </c>
      <c r="BC447" s="8">
        <f>IF((0=1),((BC97/10000)*'Assumptions (edit)'!B7),"")</f>
      </c>
      <c r="BD447" s="8">
        <f>IF((0=1),((BD97/10000)*'Assumptions (edit)'!B7),"")</f>
      </c>
      <c r="BE447" s="8">
        <f>IF((0=1),((BE97/10000)*'Assumptions (edit)'!B7),"")</f>
      </c>
      <c r="BF447" s="8">
        <f>IF((0=1),((BF97/10000)*'Assumptions (edit)'!B7),"")</f>
      </c>
      <c r="BG447" s="8">
        <f>IF((0=1),((BG97/10000)*'Assumptions (edit)'!B7),"")</f>
      </c>
      <c r="BH447" s="8">
        <f>IF((0=1),((BH97/10000)*'Assumptions (edit)'!B7),"")</f>
      </c>
      <c r="BI447" s="8">
        <f>IF((0=1),((BI97/10000)*'Assumptions (edit)'!B7),"")</f>
      </c>
      <c r="BJ447" s="8">
        <f>IF((0=1),((BJ97/10000)*'Assumptions (edit)'!B7),"")</f>
      </c>
      <c r="BK447" s="8">
        <f>IF((0=1),((BK97/10000)*'Assumptions (edit)'!B7),"")</f>
      </c>
      <c r="BL447" s="8">
        <f>IF((0=1),((BL97/10000)*'Assumptions (edit)'!B7),"")</f>
      </c>
      <c r="BM447" s="8">
        <f>IF((0=1),((BM97/10000)*'Assumptions (edit)'!B7),"")</f>
      </c>
      <c r="BN447" s="8">
        <f>IF((0=1),((BN97/10000)*'Assumptions (edit)'!B7),"")</f>
      </c>
      <c r="BO447" s="8">
        <f>IF((0=1),((BO97/10000)*'Assumptions (edit)'!B7),"")</f>
      </c>
      <c r="BP447" s="8">
        <f>IF((0=1),((BP97/10000)*'Assumptions (edit)'!B7),"")</f>
      </c>
      <c r="BQ447" s="8">
        <f>IF((0=1),((BQ97/10000)*'Assumptions (edit)'!B7),"")</f>
      </c>
      <c r="BR447" s="8">
        <f>IF((0=1),((BR97/10000)*'Assumptions (edit)'!B7),"")</f>
      </c>
      <c r="BS447" s="8">
        <f>IF((0=1),((BS97/10000)*'Assumptions (edit)'!B7),"")</f>
      </c>
      <c r="BT447" s="8">
        <f>IF((0=1),((BT97/10000)*'Assumptions (edit)'!B7),"")</f>
      </c>
      <c r="BU447" s="8">
        <f>IF((0=1),((BU97/10000)*'Assumptions (edit)'!B7),"")</f>
      </c>
      <c r="BV447" s="8">
        <f>IF((0=1),((BV97/10000)*'Assumptions (edit)'!B7),"")</f>
      </c>
      <c r="BW447" s="8">
        <f>IF((0=1),((BW97/10000)*'Assumptions (edit)'!B7),"")</f>
      </c>
      <c r="BX447" s="8">
        <f>IF((0=1),((BX97/10000)*'Assumptions (edit)'!B7),"")</f>
      </c>
      <c r="BY447" s="8">
        <f>IF((0=1),((BY97/10000)*'Assumptions (edit)'!B7),"")</f>
      </c>
      <c r="BZ447" s="8">
        <f>IF((0=1),((BZ97/10000)*'Assumptions (edit)'!B7),"")</f>
      </c>
      <c r="CA447" s="8">
        <f>IF((0=1),((CA97/10000)*'Assumptions (edit)'!B7),"")</f>
      </c>
      <c r="CB447" s="8">
        <f>IF((0=1),((CB97/10000)*'Assumptions (edit)'!B7),"")</f>
      </c>
      <c r="CC447" s="8">
        <f>IF((0=1),((CC97/10000)*'Assumptions (edit)'!B7),"")</f>
      </c>
      <c r="CD447" s="8">
        <f>IF((0=1),((CD97/10000)*'Assumptions (edit)'!B7),"")</f>
      </c>
      <c r="CE447" s="8">
        <f>IF((0=1),((CE97/10000)*'Assumptions (edit)'!B7),"")</f>
      </c>
      <c r="CF447" s="8">
        <f>IF((0=1),((CF97/10000)*'Assumptions (edit)'!B7),"")</f>
      </c>
      <c r="CG447" s="8">
        <f>IF((0=1),((CG97/10000)*'Assumptions (edit)'!B7),"")</f>
      </c>
      <c r="CH447" s="8">
        <f>IF((0=1),((CH97/10000)*'Assumptions (edit)'!B7),"")</f>
      </c>
      <c r="CI447" s="8">
        <f>IF((0=1),((CI97/10000)*'Assumptions (edit)'!B7),"")</f>
      </c>
      <c r="CJ447" s="8">
        <f>IF((0=1),((CJ97/10000)*'Assumptions (edit)'!B7),"")</f>
      </c>
      <c r="CK447" s="8">
        <f>IF((0=1),((CK97/10000)*'Assumptions (edit)'!B7),"")</f>
      </c>
      <c r="CL447" s="8">
        <f>IF((0=1),((CL97/10000)*'Assumptions (edit)'!B7),"")</f>
      </c>
      <c r="CM447" s="8">
        <f>IF((0=1),((CM97/10000)*'Assumptions (edit)'!B7),"")</f>
      </c>
      <c r="CN447" s="8">
        <f>IF((0=1),((CN97/10000)*'Assumptions (edit)'!B7),"")</f>
      </c>
      <c r="CO447" s="8">
        <f>IF((0=1),((CO97/10000)*'Assumptions (edit)'!B7),"")</f>
      </c>
      <c r="CP447" s="8">
        <f>IF((0=1),((CP97/10000)*'Assumptions (edit)'!B7),"")</f>
      </c>
      <c r="CQ447" s="8">
        <f>IF((0=1),((CQ97/10000)*'Assumptions (edit)'!B7),"")</f>
      </c>
      <c r="CR447" s="8">
        <f>IF((0=1),((CR97/10000)*'Assumptions (edit)'!B7),"")</f>
      </c>
      <c r="CS447" s="8">
        <f>IF((0=1),((CS97/10000)*'Assumptions (edit)'!B7),"")</f>
      </c>
      <c r="CT447" s="8">
        <f>IF((0=1),((CT97/10000)*'Assumptions (edit)'!B7),"")</f>
      </c>
      <c r="CU447" s="8">
        <f>IF((0=1),((CU97/10000)*'Assumptions (edit)'!B7),"")</f>
      </c>
      <c r="CV447" s="8">
        <f>IF((0=1),((CV97/10000)*'Assumptions (edit)'!B7),"")</f>
      </c>
      <c r="CW447" s="8">
        <f>IF((0=1),((CW97/10000)*'Assumptions (edit)'!B7),"")</f>
      </c>
      <c r="CX447" s="8">
        <f>IF((0=1),((CX97/10000)*'Assumptions (edit)'!B7),"")</f>
      </c>
    </row>
    <row r="448">
      <c r="A448" s="0" t="inlineStr">
        <is>
          <t xml:space="preserve">Net P&amp;L on notional, $</t>
        </is>
      </c>
      <c r="B448" s="0" t="inlineStr">
        <is>
          <t xml:space="preserve">Random 12</t>
        </is>
      </c>
      <c r="C448" s="8">
        <f>IF((1=1),((C98/10000)*'Assumptions (edit)'!B7),"")</f>
        <v>-92.63</v>
      </c>
      <c r="D448" s="8">
        <f>IF((0=1),((D98/10000)*'Assumptions (edit)'!B7),"")</f>
      </c>
      <c r="E448" s="8">
        <f>IF((0=1),((E98/10000)*'Assumptions (edit)'!B7),"")</f>
      </c>
      <c r="F448" s="8">
        <f>IF((0=1),((F98/10000)*'Assumptions (edit)'!B7),"")</f>
      </c>
      <c r="G448" s="8">
        <f>IF((0=1),((G98/10000)*'Assumptions (edit)'!B7),"")</f>
      </c>
      <c r="H448" s="8">
        <f>IF((0=1),((H98/10000)*'Assumptions (edit)'!B7),"")</f>
      </c>
      <c r="I448" s="8">
        <f>IF((0=1),((I98/10000)*'Assumptions (edit)'!B7),"")</f>
      </c>
      <c r="J448" s="8">
        <f>IF((0=1),((J98/10000)*'Assumptions (edit)'!B7),"")</f>
      </c>
      <c r="K448" s="8">
        <f>IF((0=1),((K98/10000)*'Assumptions (edit)'!B7),"")</f>
      </c>
      <c r="L448" s="8">
        <f>IF((0=1),((L98/10000)*'Assumptions (edit)'!B7),"")</f>
      </c>
      <c r="M448" s="8">
        <f>IF((0=1),((M98/10000)*'Assumptions (edit)'!B7),"")</f>
      </c>
      <c r="N448" s="8">
        <f>IF((0=1),((N98/10000)*'Assumptions (edit)'!B7),"")</f>
      </c>
      <c r="O448" s="8">
        <f>IF((0=1),((O98/10000)*'Assumptions (edit)'!B7),"")</f>
      </c>
      <c r="P448" s="8">
        <f>IF((0=1),((P98/10000)*'Assumptions (edit)'!B7),"")</f>
      </c>
      <c r="Q448" s="8">
        <f>IF((0=1),((Q98/10000)*'Assumptions (edit)'!B7),"")</f>
      </c>
      <c r="R448" s="8">
        <f>IF((0=1),((R98/10000)*'Assumptions (edit)'!B7),"")</f>
      </c>
      <c r="S448" s="8">
        <f>IF((0=1),((S98/10000)*'Assumptions (edit)'!B7),"")</f>
      </c>
      <c r="T448" s="8">
        <f>IF((0=1),((T98/10000)*'Assumptions (edit)'!B7),"")</f>
      </c>
      <c r="U448" s="8">
        <f>IF((0=1),((U98/10000)*'Assumptions (edit)'!B7),"")</f>
      </c>
      <c r="V448" s="8">
        <f>IF((0=1),((V98/10000)*'Assumptions (edit)'!B7),"")</f>
      </c>
      <c r="W448" s="8">
        <f>IF((0=1),((W98/10000)*'Assumptions (edit)'!B7),"")</f>
      </c>
      <c r="X448" s="8">
        <f>IF((0=1),((X98/10000)*'Assumptions (edit)'!B7),"")</f>
      </c>
      <c r="Y448" s="8">
        <f>IF((0=1),((Y98/10000)*'Assumptions (edit)'!B7),"")</f>
      </c>
      <c r="Z448" s="8">
        <f>IF((0=1),((Z98/10000)*'Assumptions (edit)'!B7),"")</f>
      </c>
      <c r="AA448" s="8">
        <f>IF((0=1),((AA98/10000)*'Assumptions (edit)'!B7),"")</f>
      </c>
      <c r="AB448" s="8">
        <f>IF((0=1),((AB98/10000)*'Assumptions (edit)'!B7),"")</f>
      </c>
      <c r="AC448" s="8">
        <f>IF((0=1),((AC98/10000)*'Assumptions (edit)'!B7),"")</f>
      </c>
      <c r="AD448" s="8">
        <f>IF((0=1),((AD98/10000)*'Assumptions (edit)'!B7),"")</f>
      </c>
      <c r="AE448" s="8">
        <f>IF((0=1),((AE98/10000)*'Assumptions (edit)'!B7),"")</f>
      </c>
      <c r="AF448" s="8">
        <f>IF((0=1),((AF98/10000)*'Assumptions (edit)'!B7),"")</f>
      </c>
      <c r="AG448" s="8">
        <f>IF((0=1),((AG98/10000)*'Assumptions (edit)'!B7),"")</f>
      </c>
      <c r="AH448" s="8">
        <f>IF((0=1),((AH98/10000)*'Assumptions (edit)'!B7),"")</f>
      </c>
      <c r="AI448" s="8">
        <f>IF((0=1),((AI98/10000)*'Assumptions (edit)'!B7),"")</f>
      </c>
      <c r="AJ448" s="8">
        <f>IF((0=1),((AJ98/10000)*'Assumptions (edit)'!B7),"")</f>
      </c>
      <c r="AK448" s="8">
        <f>IF((0=1),((AK98/10000)*'Assumptions (edit)'!B7),"")</f>
      </c>
      <c r="AL448" s="8">
        <f>IF((0=1),((AL98/10000)*'Assumptions (edit)'!B7),"")</f>
      </c>
      <c r="AM448" s="8">
        <f>IF((0=1),((AM98/10000)*'Assumptions (edit)'!B7),"")</f>
      </c>
      <c r="AN448" s="8">
        <f>IF((0=1),((AN98/10000)*'Assumptions (edit)'!B7),"")</f>
      </c>
      <c r="AO448" s="8">
        <f>IF((0=1),((AO98/10000)*'Assumptions (edit)'!B7),"")</f>
      </c>
      <c r="AP448" s="8">
        <f>IF((0=1),((AP98/10000)*'Assumptions (edit)'!B7),"")</f>
      </c>
      <c r="AQ448" s="8">
        <f>IF((0=1),((AQ98/10000)*'Assumptions (edit)'!B7),"")</f>
      </c>
      <c r="AR448" s="8">
        <f>IF((0=1),((AR98/10000)*'Assumptions (edit)'!B7),"")</f>
      </c>
      <c r="AS448" s="8">
        <f>IF((0=1),((AS98/10000)*'Assumptions (edit)'!B7),"")</f>
      </c>
      <c r="AT448" s="8">
        <f>IF((0=1),((AT98/10000)*'Assumptions (edit)'!B7),"")</f>
      </c>
      <c r="AU448" s="8">
        <f>IF((0=1),((AU98/10000)*'Assumptions (edit)'!B7),"")</f>
      </c>
      <c r="AV448" s="8">
        <f>IF((0=1),((AV98/10000)*'Assumptions (edit)'!B7),"")</f>
      </c>
      <c r="AW448" s="8">
        <f>IF((0=1),((AW98/10000)*'Assumptions (edit)'!B7),"")</f>
      </c>
      <c r="AX448" s="8">
        <f>IF((0=1),((AX98/10000)*'Assumptions (edit)'!B7),"")</f>
      </c>
      <c r="AY448" s="8">
        <f>IF((0=1),((AY98/10000)*'Assumptions (edit)'!B7),"")</f>
      </c>
      <c r="AZ448" s="8">
        <f>IF((0=1),((AZ98/10000)*'Assumptions (edit)'!B7),"")</f>
      </c>
      <c r="BA448" s="8">
        <f>IF((0=1),((BA98/10000)*'Assumptions (edit)'!B7),"")</f>
      </c>
      <c r="BB448" s="8">
        <f>IF((0=1),((BB98/10000)*'Assumptions (edit)'!B7),"")</f>
      </c>
      <c r="BC448" s="8">
        <f>IF((0=1),((BC98/10000)*'Assumptions (edit)'!B7),"")</f>
      </c>
      <c r="BD448" s="8">
        <f>IF((0=1),((BD98/10000)*'Assumptions (edit)'!B7),"")</f>
      </c>
      <c r="BE448" s="8">
        <f>IF((0=1),((BE98/10000)*'Assumptions (edit)'!B7),"")</f>
      </c>
      <c r="BF448" s="8">
        <f>IF((0=1),((BF98/10000)*'Assumptions (edit)'!B7),"")</f>
      </c>
      <c r="BG448" s="8">
        <f>IF((0=1),((BG98/10000)*'Assumptions (edit)'!B7),"")</f>
      </c>
      <c r="BH448" s="8">
        <f>IF((0=1),((BH98/10000)*'Assumptions (edit)'!B7),"")</f>
      </c>
      <c r="BI448" s="8">
        <f>IF((0=1),((BI98/10000)*'Assumptions (edit)'!B7),"")</f>
      </c>
      <c r="BJ448" s="8">
        <f>IF((0=1),((BJ98/10000)*'Assumptions (edit)'!B7),"")</f>
      </c>
      <c r="BK448" s="8">
        <f>IF((0=1),((BK98/10000)*'Assumptions (edit)'!B7),"")</f>
      </c>
      <c r="BL448" s="8">
        <f>IF((0=1),((BL98/10000)*'Assumptions (edit)'!B7),"")</f>
      </c>
      <c r="BM448" s="8">
        <f>IF((0=1),((BM98/10000)*'Assumptions (edit)'!B7),"")</f>
      </c>
      <c r="BN448" s="8">
        <f>IF((0=1),((BN98/10000)*'Assumptions (edit)'!B7),"")</f>
      </c>
      <c r="BO448" s="8">
        <f>IF((0=1),((BO98/10000)*'Assumptions (edit)'!B7),"")</f>
      </c>
      <c r="BP448" s="8">
        <f>IF((0=1),((BP98/10000)*'Assumptions (edit)'!B7),"")</f>
      </c>
      <c r="BQ448" s="8">
        <f>IF((0=1),((BQ98/10000)*'Assumptions (edit)'!B7),"")</f>
      </c>
      <c r="BR448" s="8">
        <f>IF((0=1),((BR98/10000)*'Assumptions (edit)'!B7),"")</f>
      </c>
      <c r="BS448" s="8">
        <f>IF((0=1),((BS98/10000)*'Assumptions (edit)'!B7),"")</f>
      </c>
      <c r="BT448" s="8">
        <f>IF((0=1),((BT98/10000)*'Assumptions (edit)'!B7),"")</f>
      </c>
      <c r="BU448" s="8">
        <f>IF((0=1),((BU98/10000)*'Assumptions (edit)'!B7),"")</f>
      </c>
      <c r="BV448" s="8">
        <f>IF((0=1),((BV98/10000)*'Assumptions (edit)'!B7),"")</f>
      </c>
      <c r="BW448" s="8">
        <f>IF((0=1),((BW98/10000)*'Assumptions (edit)'!B7),"")</f>
      </c>
      <c r="BX448" s="8">
        <f>IF((0=1),((BX98/10000)*'Assumptions (edit)'!B7),"")</f>
      </c>
      <c r="BY448" s="8">
        <f>IF((0=1),((BY98/10000)*'Assumptions (edit)'!B7),"")</f>
      </c>
      <c r="BZ448" s="8">
        <f>IF((0=1),((BZ98/10000)*'Assumptions (edit)'!B7),"")</f>
      </c>
      <c r="CA448" s="8">
        <f>IF((0=1),((CA98/10000)*'Assumptions (edit)'!B7),"")</f>
      </c>
      <c r="CB448" s="8">
        <f>IF((0=1),((CB98/10000)*'Assumptions (edit)'!B7),"")</f>
      </c>
      <c r="CC448" s="8">
        <f>IF((0=1),((CC98/10000)*'Assumptions (edit)'!B7),"")</f>
      </c>
      <c r="CD448" s="8">
        <f>IF((0=1),((CD98/10000)*'Assumptions (edit)'!B7),"")</f>
      </c>
      <c r="CE448" s="8">
        <f>IF((0=1),((CE98/10000)*'Assumptions (edit)'!B7),"")</f>
      </c>
      <c r="CF448" s="8">
        <f>IF((0=1),((CF98/10000)*'Assumptions (edit)'!B7),"")</f>
      </c>
      <c r="CG448" s="8">
        <f>IF((0=1),((CG98/10000)*'Assumptions (edit)'!B7),"")</f>
      </c>
      <c r="CH448" s="8">
        <f>IF((0=1),((CH98/10000)*'Assumptions (edit)'!B7),"")</f>
      </c>
      <c r="CI448" s="8">
        <f>IF((0=1),((CI98/10000)*'Assumptions (edit)'!B7),"")</f>
      </c>
      <c r="CJ448" s="8">
        <f>IF((0=1),((CJ98/10000)*'Assumptions (edit)'!B7),"")</f>
      </c>
      <c r="CK448" s="8">
        <f>IF((0=1),((CK98/10000)*'Assumptions (edit)'!B7),"")</f>
      </c>
      <c r="CL448" s="8">
        <f>IF((0=1),((CL98/10000)*'Assumptions (edit)'!B7),"")</f>
      </c>
      <c r="CM448" s="8">
        <f>IF((0=1),((CM98/10000)*'Assumptions (edit)'!B7),"")</f>
      </c>
      <c r="CN448" s="8">
        <f>IF((0=1),((CN98/10000)*'Assumptions (edit)'!B7),"")</f>
      </c>
      <c r="CO448" s="8">
        <f>IF((0=1),((CO98/10000)*'Assumptions (edit)'!B7),"")</f>
      </c>
      <c r="CP448" s="8">
        <f>IF((0=1),((CP98/10000)*'Assumptions (edit)'!B7),"")</f>
      </c>
      <c r="CQ448" s="8">
        <f>IF((0=1),((CQ98/10000)*'Assumptions (edit)'!B7),"")</f>
      </c>
      <c r="CR448" s="8">
        <f>IF((0=1),((CR98/10000)*'Assumptions (edit)'!B7),"")</f>
      </c>
      <c r="CS448" s="8">
        <f>IF((0=1),((CS98/10000)*'Assumptions (edit)'!B7),"")</f>
      </c>
      <c r="CT448" s="8">
        <f>IF((0=1),((CT98/10000)*'Assumptions (edit)'!B7),"")</f>
      </c>
      <c r="CU448" s="8">
        <f>IF((0=1),((CU98/10000)*'Assumptions (edit)'!B7),"")</f>
      </c>
      <c r="CV448" s="8">
        <f>IF((0=1),((CV98/10000)*'Assumptions (edit)'!B7),"")</f>
      </c>
      <c r="CW448" s="8">
        <f>IF((0=1),((CW98/10000)*'Assumptions (edit)'!B7),"")</f>
      </c>
      <c r="CX448" s="8">
        <f>IF((0=1),((CX98/10000)*'Assumptions (edit)'!B7),"")</f>
      </c>
    </row>
    <row r="449">
      <c r="A449" s="0" t="inlineStr">
        <is>
          <t xml:space="preserve">Net P&amp;L on notional, $</t>
        </is>
      </c>
      <c r="B449" s="0" t="inlineStr">
        <is>
          <t xml:space="preserve">Random 13</t>
        </is>
      </c>
      <c r="C449" s="8">
        <f>IF((1=1),((C99/10000)*'Assumptions (edit)'!B7),"")</f>
        <v>-131.94</v>
      </c>
      <c r="D449" s="8">
        <f>IF((0=1),((D99/10000)*'Assumptions (edit)'!B7),"")</f>
      </c>
      <c r="E449" s="8">
        <f>IF((0=1),((E99/10000)*'Assumptions (edit)'!B7),"")</f>
      </c>
      <c r="F449" s="8">
        <f>IF((0=1),((F99/10000)*'Assumptions (edit)'!B7),"")</f>
      </c>
      <c r="G449" s="8">
        <f>IF((0=1),((G99/10000)*'Assumptions (edit)'!B7),"")</f>
      </c>
      <c r="H449" s="8">
        <f>IF((0=1),((H99/10000)*'Assumptions (edit)'!B7),"")</f>
      </c>
      <c r="I449" s="8">
        <f>IF((0=1),((I99/10000)*'Assumptions (edit)'!B7),"")</f>
      </c>
      <c r="J449" s="8">
        <f>IF((0=1),((J99/10000)*'Assumptions (edit)'!B7),"")</f>
      </c>
      <c r="K449" s="8">
        <f>IF((0=1),((K99/10000)*'Assumptions (edit)'!B7),"")</f>
      </c>
      <c r="L449" s="8">
        <f>IF((0=1),((L99/10000)*'Assumptions (edit)'!B7),"")</f>
      </c>
      <c r="M449" s="8">
        <f>IF((0=1),((M99/10000)*'Assumptions (edit)'!B7),"")</f>
      </c>
      <c r="N449" s="8">
        <f>IF((0=1),((N99/10000)*'Assumptions (edit)'!B7),"")</f>
      </c>
      <c r="O449" s="8">
        <f>IF((0=1),((O99/10000)*'Assumptions (edit)'!B7),"")</f>
      </c>
      <c r="P449" s="8">
        <f>IF((0=1),((P99/10000)*'Assumptions (edit)'!B7),"")</f>
      </c>
      <c r="Q449" s="8">
        <f>IF((0=1),((Q99/10000)*'Assumptions (edit)'!B7),"")</f>
      </c>
      <c r="R449" s="8">
        <f>IF((0=1),((R99/10000)*'Assumptions (edit)'!B7),"")</f>
      </c>
      <c r="S449" s="8">
        <f>IF((0=1),((S99/10000)*'Assumptions (edit)'!B7),"")</f>
      </c>
      <c r="T449" s="8">
        <f>IF((0=1),((T99/10000)*'Assumptions (edit)'!B7),"")</f>
      </c>
      <c r="U449" s="8">
        <f>IF((0=1),((U99/10000)*'Assumptions (edit)'!B7),"")</f>
      </c>
      <c r="V449" s="8">
        <f>IF((0=1),((V99/10000)*'Assumptions (edit)'!B7),"")</f>
      </c>
      <c r="W449" s="8">
        <f>IF((0=1),((W99/10000)*'Assumptions (edit)'!B7),"")</f>
      </c>
      <c r="X449" s="8">
        <f>IF((0=1),((X99/10000)*'Assumptions (edit)'!B7),"")</f>
      </c>
      <c r="Y449" s="8">
        <f>IF((0=1),((Y99/10000)*'Assumptions (edit)'!B7),"")</f>
      </c>
      <c r="Z449" s="8">
        <f>IF((0=1),((Z99/10000)*'Assumptions (edit)'!B7),"")</f>
      </c>
      <c r="AA449" s="8">
        <f>IF((0=1),((AA99/10000)*'Assumptions (edit)'!B7),"")</f>
      </c>
      <c r="AB449" s="8">
        <f>IF((0=1),((AB99/10000)*'Assumptions (edit)'!B7),"")</f>
      </c>
      <c r="AC449" s="8">
        <f>IF((0=1),((AC99/10000)*'Assumptions (edit)'!B7),"")</f>
      </c>
      <c r="AD449" s="8">
        <f>IF((0=1),((AD99/10000)*'Assumptions (edit)'!B7),"")</f>
      </c>
      <c r="AE449" s="8">
        <f>IF((0=1),((AE99/10000)*'Assumptions (edit)'!B7),"")</f>
      </c>
      <c r="AF449" s="8">
        <f>IF((0=1),((AF99/10000)*'Assumptions (edit)'!B7),"")</f>
      </c>
      <c r="AG449" s="8">
        <f>IF((0=1),((AG99/10000)*'Assumptions (edit)'!B7),"")</f>
      </c>
      <c r="AH449" s="8">
        <f>IF((0=1),((AH99/10000)*'Assumptions (edit)'!B7),"")</f>
      </c>
      <c r="AI449" s="8">
        <f>IF((0=1),((AI99/10000)*'Assumptions (edit)'!B7),"")</f>
      </c>
      <c r="AJ449" s="8">
        <f>IF((0=1),((AJ99/10000)*'Assumptions (edit)'!B7),"")</f>
      </c>
      <c r="AK449" s="8">
        <f>IF((0=1),((AK99/10000)*'Assumptions (edit)'!B7),"")</f>
      </c>
      <c r="AL449" s="8">
        <f>IF((0=1),((AL99/10000)*'Assumptions (edit)'!B7),"")</f>
      </c>
      <c r="AM449" s="8">
        <f>IF((0=1),((AM99/10000)*'Assumptions (edit)'!B7),"")</f>
      </c>
      <c r="AN449" s="8">
        <f>IF((0=1),((AN99/10000)*'Assumptions (edit)'!B7),"")</f>
      </c>
      <c r="AO449" s="8">
        <f>IF((0=1),((AO99/10000)*'Assumptions (edit)'!B7),"")</f>
      </c>
      <c r="AP449" s="8">
        <f>IF((0=1),((AP99/10000)*'Assumptions (edit)'!B7),"")</f>
      </c>
      <c r="AQ449" s="8">
        <f>IF((0=1),((AQ99/10000)*'Assumptions (edit)'!B7),"")</f>
      </c>
      <c r="AR449" s="8">
        <f>IF((0=1),((AR99/10000)*'Assumptions (edit)'!B7),"")</f>
      </c>
      <c r="AS449" s="8">
        <f>IF((0=1),((AS99/10000)*'Assumptions (edit)'!B7),"")</f>
      </c>
      <c r="AT449" s="8">
        <f>IF((0=1),((AT99/10000)*'Assumptions (edit)'!B7),"")</f>
      </c>
      <c r="AU449" s="8">
        <f>IF((0=1),((AU99/10000)*'Assumptions (edit)'!B7),"")</f>
      </c>
      <c r="AV449" s="8">
        <f>IF((0=1),((AV99/10000)*'Assumptions (edit)'!B7),"")</f>
      </c>
      <c r="AW449" s="8">
        <f>IF((0=1),((AW99/10000)*'Assumptions (edit)'!B7),"")</f>
      </c>
      <c r="AX449" s="8">
        <f>IF((0=1),((AX99/10000)*'Assumptions (edit)'!B7),"")</f>
      </c>
      <c r="AY449" s="8">
        <f>IF((0=1),((AY99/10000)*'Assumptions (edit)'!B7),"")</f>
      </c>
      <c r="AZ449" s="8">
        <f>IF((0=1),((AZ99/10000)*'Assumptions (edit)'!B7),"")</f>
      </c>
      <c r="BA449" s="8">
        <f>IF((0=1),((BA99/10000)*'Assumptions (edit)'!B7),"")</f>
      </c>
      <c r="BB449" s="8">
        <f>IF((0=1),((BB99/10000)*'Assumptions (edit)'!B7),"")</f>
      </c>
      <c r="BC449" s="8">
        <f>IF((0=1),((BC99/10000)*'Assumptions (edit)'!B7),"")</f>
      </c>
      <c r="BD449" s="8">
        <f>IF((0=1),((BD99/10000)*'Assumptions (edit)'!B7),"")</f>
      </c>
      <c r="BE449" s="8">
        <f>IF((0=1),((BE99/10000)*'Assumptions (edit)'!B7),"")</f>
      </c>
      <c r="BF449" s="8">
        <f>IF((0=1),((BF99/10000)*'Assumptions (edit)'!B7),"")</f>
      </c>
      <c r="BG449" s="8">
        <f>IF((0=1),((BG99/10000)*'Assumptions (edit)'!B7),"")</f>
      </c>
      <c r="BH449" s="8">
        <f>IF((0=1),((BH99/10000)*'Assumptions (edit)'!B7),"")</f>
      </c>
      <c r="BI449" s="8">
        <f>IF((0=1),((BI99/10000)*'Assumptions (edit)'!B7),"")</f>
      </c>
      <c r="BJ449" s="8">
        <f>IF((0=1),((BJ99/10000)*'Assumptions (edit)'!B7),"")</f>
      </c>
      <c r="BK449" s="8">
        <f>IF((0=1),((BK99/10000)*'Assumptions (edit)'!B7),"")</f>
      </c>
      <c r="BL449" s="8">
        <f>IF((0=1),((BL99/10000)*'Assumptions (edit)'!B7),"")</f>
      </c>
      <c r="BM449" s="8">
        <f>IF((0=1),((BM99/10000)*'Assumptions (edit)'!B7),"")</f>
      </c>
      <c r="BN449" s="8">
        <f>IF((0=1),((BN99/10000)*'Assumptions (edit)'!B7),"")</f>
      </c>
      <c r="BO449" s="8">
        <f>IF((0=1),((BO99/10000)*'Assumptions (edit)'!B7),"")</f>
      </c>
      <c r="BP449" s="8">
        <f>IF((0=1),((BP99/10000)*'Assumptions (edit)'!B7),"")</f>
      </c>
      <c r="BQ449" s="8">
        <f>IF((0=1),((BQ99/10000)*'Assumptions (edit)'!B7),"")</f>
      </c>
      <c r="BR449" s="8">
        <f>IF((0=1),((BR99/10000)*'Assumptions (edit)'!B7),"")</f>
      </c>
      <c r="BS449" s="8">
        <f>IF((0=1),((BS99/10000)*'Assumptions (edit)'!B7),"")</f>
      </c>
      <c r="BT449" s="8">
        <f>IF((0=1),((BT99/10000)*'Assumptions (edit)'!B7),"")</f>
      </c>
      <c r="BU449" s="8">
        <f>IF((0=1),((BU99/10000)*'Assumptions (edit)'!B7),"")</f>
      </c>
      <c r="BV449" s="8">
        <f>IF((0=1),((BV99/10000)*'Assumptions (edit)'!B7),"")</f>
      </c>
      <c r="BW449" s="8">
        <f>IF((0=1),((BW99/10000)*'Assumptions (edit)'!B7),"")</f>
      </c>
      <c r="BX449" s="8">
        <f>IF((0=1),((BX99/10000)*'Assumptions (edit)'!B7),"")</f>
      </c>
      <c r="BY449" s="8">
        <f>IF((0=1),((BY99/10000)*'Assumptions (edit)'!B7),"")</f>
      </c>
      <c r="BZ449" s="8">
        <f>IF((0=1),((BZ99/10000)*'Assumptions (edit)'!B7),"")</f>
      </c>
      <c r="CA449" s="8">
        <f>IF((0=1),((CA99/10000)*'Assumptions (edit)'!B7),"")</f>
      </c>
      <c r="CB449" s="8">
        <f>IF((0=1),((CB99/10000)*'Assumptions (edit)'!B7),"")</f>
      </c>
      <c r="CC449" s="8">
        <f>IF((0=1),((CC99/10000)*'Assumptions (edit)'!B7),"")</f>
      </c>
      <c r="CD449" s="8">
        <f>IF((0=1),((CD99/10000)*'Assumptions (edit)'!B7),"")</f>
      </c>
      <c r="CE449" s="8">
        <f>IF((0=1),((CE99/10000)*'Assumptions (edit)'!B7),"")</f>
      </c>
      <c r="CF449" s="8">
        <f>IF((0=1),((CF99/10000)*'Assumptions (edit)'!B7),"")</f>
      </c>
      <c r="CG449" s="8">
        <f>IF((0=1),((CG99/10000)*'Assumptions (edit)'!B7),"")</f>
      </c>
      <c r="CH449" s="8">
        <f>IF((0=1),((CH99/10000)*'Assumptions (edit)'!B7),"")</f>
      </c>
      <c r="CI449" s="8">
        <f>IF((0=1),((CI99/10000)*'Assumptions (edit)'!B7),"")</f>
      </c>
      <c r="CJ449" s="8">
        <f>IF((0=1),((CJ99/10000)*'Assumptions (edit)'!B7),"")</f>
      </c>
      <c r="CK449" s="8">
        <f>IF((0=1),((CK99/10000)*'Assumptions (edit)'!B7),"")</f>
      </c>
      <c r="CL449" s="8">
        <f>IF((0=1),((CL99/10000)*'Assumptions (edit)'!B7),"")</f>
      </c>
      <c r="CM449" s="8">
        <f>IF((0=1),((CM99/10000)*'Assumptions (edit)'!B7),"")</f>
      </c>
      <c r="CN449" s="8">
        <f>IF((0=1),((CN99/10000)*'Assumptions (edit)'!B7),"")</f>
      </c>
      <c r="CO449" s="8">
        <f>IF((0=1),((CO99/10000)*'Assumptions (edit)'!B7),"")</f>
      </c>
      <c r="CP449" s="8">
        <f>IF((0=1),((CP99/10000)*'Assumptions (edit)'!B7),"")</f>
      </c>
      <c r="CQ449" s="8">
        <f>IF((0=1),((CQ99/10000)*'Assumptions (edit)'!B7),"")</f>
      </c>
      <c r="CR449" s="8">
        <f>IF((0=1),((CR99/10000)*'Assumptions (edit)'!B7),"")</f>
      </c>
      <c r="CS449" s="8">
        <f>IF((0=1),((CS99/10000)*'Assumptions (edit)'!B7),"")</f>
      </c>
      <c r="CT449" s="8">
        <f>IF((0=1),((CT99/10000)*'Assumptions (edit)'!B7),"")</f>
      </c>
      <c r="CU449" s="8">
        <f>IF((0=1),((CU99/10000)*'Assumptions (edit)'!B7),"")</f>
      </c>
      <c r="CV449" s="8">
        <f>IF((0=1),((CV99/10000)*'Assumptions (edit)'!B7),"")</f>
      </c>
      <c r="CW449" s="8">
        <f>IF((0=1),((CW99/10000)*'Assumptions (edit)'!B7),"")</f>
      </c>
      <c r="CX449" s="8">
        <f>IF((0=1),((CX99/10000)*'Assumptions (edit)'!B7),"")</f>
      </c>
    </row>
    <row r="450">
      <c r="A450" s="0" t="inlineStr">
        <is>
          <t xml:space="preserve">Net P&amp;L on notional, $</t>
        </is>
      </c>
      <c r="B450" s="0" t="inlineStr">
        <is>
          <t xml:space="preserve">Random 14</t>
        </is>
      </c>
      <c r="C450" s="8">
        <f>IF((1=1),((C100/10000)*'Assumptions (edit)'!B7),"")</f>
        <v>-52.73</v>
      </c>
      <c r="D450" s="8">
        <f>IF((0=1),((D100/10000)*'Assumptions (edit)'!B7),"")</f>
      </c>
      <c r="E450" s="8">
        <f>IF((0=1),((E100/10000)*'Assumptions (edit)'!B7),"")</f>
      </c>
      <c r="F450" s="8">
        <f>IF((0=1),((F100/10000)*'Assumptions (edit)'!B7),"")</f>
      </c>
      <c r="G450" s="8">
        <f>IF((0=1),((G100/10000)*'Assumptions (edit)'!B7),"")</f>
      </c>
      <c r="H450" s="8">
        <f>IF((0=1),((H100/10000)*'Assumptions (edit)'!B7),"")</f>
      </c>
      <c r="I450" s="8">
        <f>IF((0=1),((I100/10000)*'Assumptions (edit)'!B7),"")</f>
      </c>
      <c r="J450" s="8">
        <f>IF((0=1),((J100/10000)*'Assumptions (edit)'!B7),"")</f>
      </c>
      <c r="K450" s="8">
        <f>IF((0=1),((K100/10000)*'Assumptions (edit)'!B7),"")</f>
      </c>
      <c r="L450" s="8">
        <f>IF((0=1),((L100/10000)*'Assumptions (edit)'!B7),"")</f>
      </c>
      <c r="M450" s="8">
        <f>IF((0=1),((M100/10000)*'Assumptions (edit)'!B7),"")</f>
      </c>
      <c r="N450" s="8">
        <f>IF((0=1),((N100/10000)*'Assumptions (edit)'!B7),"")</f>
      </c>
      <c r="O450" s="8">
        <f>IF((0=1),((O100/10000)*'Assumptions (edit)'!B7),"")</f>
      </c>
      <c r="P450" s="8">
        <f>IF((0=1),((P100/10000)*'Assumptions (edit)'!B7),"")</f>
      </c>
      <c r="Q450" s="8">
        <f>IF((0=1),((Q100/10000)*'Assumptions (edit)'!B7),"")</f>
      </c>
      <c r="R450" s="8">
        <f>IF((0=1),((R100/10000)*'Assumptions (edit)'!B7),"")</f>
      </c>
      <c r="S450" s="8">
        <f>IF((0=1),((S100/10000)*'Assumptions (edit)'!B7),"")</f>
      </c>
      <c r="T450" s="8">
        <f>IF((0=1),((T100/10000)*'Assumptions (edit)'!B7),"")</f>
      </c>
      <c r="U450" s="8">
        <f>IF((0=1),((U100/10000)*'Assumptions (edit)'!B7),"")</f>
      </c>
      <c r="V450" s="8">
        <f>IF((0=1),((V100/10000)*'Assumptions (edit)'!B7),"")</f>
      </c>
      <c r="W450" s="8">
        <f>IF((0=1),((W100/10000)*'Assumptions (edit)'!B7),"")</f>
      </c>
      <c r="X450" s="8">
        <f>IF((0=1),((X100/10000)*'Assumptions (edit)'!B7),"")</f>
      </c>
      <c r="Y450" s="8">
        <f>IF((0=1),((Y100/10000)*'Assumptions (edit)'!B7),"")</f>
      </c>
      <c r="Z450" s="8">
        <f>IF((0=1),((Z100/10000)*'Assumptions (edit)'!B7),"")</f>
      </c>
      <c r="AA450" s="8">
        <f>IF((0=1),((AA100/10000)*'Assumptions (edit)'!B7),"")</f>
      </c>
      <c r="AB450" s="8">
        <f>IF((0=1),((AB100/10000)*'Assumptions (edit)'!B7),"")</f>
      </c>
      <c r="AC450" s="8">
        <f>IF((0=1),((AC100/10000)*'Assumptions (edit)'!B7),"")</f>
      </c>
      <c r="AD450" s="8">
        <f>IF((0=1),((AD100/10000)*'Assumptions (edit)'!B7),"")</f>
      </c>
      <c r="AE450" s="8">
        <f>IF((0=1),((AE100/10000)*'Assumptions (edit)'!B7),"")</f>
      </c>
      <c r="AF450" s="8">
        <f>IF((0=1),((AF100/10000)*'Assumptions (edit)'!B7),"")</f>
      </c>
      <c r="AG450" s="8">
        <f>IF((0=1),((AG100/10000)*'Assumptions (edit)'!B7),"")</f>
      </c>
      <c r="AH450" s="8">
        <f>IF((0=1),((AH100/10000)*'Assumptions (edit)'!B7),"")</f>
      </c>
      <c r="AI450" s="8">
        <f>IF((0=1),((AI100/10000)*'Assumptions (edit)'!B7),"")</f>
      </c>
      <c r="AJ450" s="8">
        <f>IF((0=1),((AJ100/10000)*'Assumptions (edit)'!B7),"")</f>
      </c>
      <c r="AK450" s="8">
        <f>IF((0=1),((AK100/10000)*'Assumptions (edit)'!B7),"")</f>
      </c>
      <c r="AL450" s="8">
        <f>IF((0=1),((AL100/10000)*'Assumptions (edit)'!B7),"")</f>
      </c>
      <c r="AM450" s="8">
        <f>IF((0=1),((AM100/10000)*'Assumptions (edit)'!B7),"")</f>
      </c>
      <c r="AN450" s="8">
        <f>IF((0=1),((AN100/10000)*'Assumptions (edit)'!B7),"")</f>
      </c>
      <c r="AO450" s="8">
        <f>IF((0=1),((AO100/10000)*'Assumptions (edit)'!B7),"")</f>
      </c>
      <c r="AP450" s="8">
        <f>IF((0=1),((AP100/10000)*'Assumptions (edit)'!B7),"")</f>
      </c>
      <c r="AQ450" s="8">
        <f>IF((0=1),((AQ100/10000)*'Assumptions (edit)'!B7),"")</f>
      </c>
      <c r="AR450" s="8">
        <f>IF((0=1),((AR100/10000)*'Assumptions (edit)'!B7),"")</f>
      </c>
      <c r="AS450" s="8">
        <f>IF((0=1),((AS100/10000)*'Assumptions (edit)'!B7),"")</f>
      </c>
      <c r="AT450" s="8">
        <f>IF((0=1),((AT100/10000)*'Assumptions (edit)'!B7),"")</f>
      </c>
      <c r="AU450" s="8">
        <f>IF((0=1),((AU100/10000)*'Assumptions (edit)'!B7),"")</f>
      </c>
      <c r="AV450" s="8">
        <f>IF((0=1),((AV100/10000)*'Assumptions (edit)'!B7),"")</f>
      </c>
      <c r="AW450" s="8">
        <f>IF((0=1),((AW100/10000)*'Assumptions (edit)'!B7),"")</f>
      </c>
      <c r="AX450" s="8">
        <f>IF((0=1),((AX100/10000)*'Assumptions (edit)'!B7),"")</f>
      </c>
      <c r="AY450" s="8">
        <f>IF((0=1),((AY100/10000)*'Assumptions (edit)'!B7),"")</f>
      </c>
      <c r="AZ450" s="8">
        <f>IF((0=1),((AZ100/10000)*'Assumptions (edit)'!B7),"")</f>
      </c>
      <c r="BA450" s="8">
        <f>IF((0=1),((BA100/10000)*'Assumptions (edit)'!B7),"")</f>
      </c>
      <c r="BB450" s="8">
        <f>IF((0=1),((BB100/10000)*'Assumptions (edit)'!B7),"")</f>
      </c>
      <c r="BC450" s="8">
        <f>IF((0=1),((BC100/10000)*'Assumptions (edit)'!B7),"")</f>
      </c>
      <c r="BD450" s="8">
        <f>IF((0=1),((BD100/10000)*'Assumptions (edit)'!B7),"")</f>
      </c>
      <c r="BE450" s="8">
        <f>IF((0=1),((BE100/10000)*'Assumptions (edit)'!B7),"")</f>
      </c>
      <c r="BF450" s="8">
        <f>IF((0=1),((BF100/10000)*'Assumptions (edit)'!B7),"")</f>
      </c>
      <c r="BG450" s="8">
        <f>IF((0=1),((BG100/10000)*'Assumptions (edit)'!B7),"")</f>
      </c>
      <c r="BH450" s="8">
        <f>IF((0=1),((BH100/10000)*'Assumptions (edit)'!B7),"")</f>
      </c>
      <c r="BI450" s="8">
        <f>IF((0=1),((BI100/10000)*'Assumptions (edit)'!B7),"")</f>
      </c>
      <c r="BJ450" s="8">
        <f>IF((0=1),((BJ100/10000)*'Assumptions (edit)'!B7),"")</f>
      </c>
      <c r="BK450" s="8">
        <f>IF((0=1),((BK100/10000)*'Assumptions (edit)'!B7),"")</f>
      </c>
      <c r="BL450" s="8">
        <f>IF((0=1),((BL100/10000)*'Assumptions (edit)'!B7),"")</f>
      </c>
      <c r="BM450" s="8">
        <f>IF((0=1),((BM100/10000)*'Assumptions (edit)'!B7),"")</f>
      </c>
      <c r="BN450" s="8">
        <f>IF((0=1),((BN100/10000)*'Assumptions (edit)'!B7),"")</f>
      </c>
      <c r="BO450" s="8">
        <f>IF((0=1),((BO100/10000)*'Assumptions (edit)'!B7),"")</f>
      </c>
      <c r="BP450" s="8">
        <f>IF((0=1),((BP100/10000)*'Assumptions (edit)'!B7),"")</f>
      </c>
      <c r="BQ450" s="8">
        <f>IF((0=1),((BQ100/10000)*'Assumptions (edit)'!B7),"")</f>
      </c>
      <c r="BR450" s="8">
        <f>IF((0=1),((BR100/10000)*'Assumptions (edit)'!B7),"")</f>
      </c>
      <c r="BS450" s="8">
        <f>IF((0=1),((BS100/10000)*'Assumptions (edit)'!B7),"")</f>
      </c>
      <c r="BT450" s="8">
        <f>IF((0=1),((BT100/10000)*'Assumptions (edit)'!B7),"")</f>
      </c>
      <c r="BU450" s="8">
        <f>IF((0=1),((BU100/10000)*'Assumptions (edit)'!B7),"")</f>
      </c>
      <c r="BV450" s="8">
        <f>IF((0=1),((BV100/10000)*'Assumptions (edit)'!B7),"")</f>
      </c>
      <c r="BW450" s="8">
        <f>IF((0=1),((BW100/10000)*'Assumptions (edit)'!B7),"")</f>
      </c>
      <c r="BX450" s="8">
        <f>IF((0=1),((BX100/10000)*'Assumptions (edit)'!B7),"")</f>
      </c>
      <c r="BY450" s="8">
        <f>IF((0=1),((BY100/10000)*'Assumptions (edit)'!B7),"")</f>
      </c>
      <c r="BZ450" s="8">
        <f>IF((0=1),((BZ100/10000)*'Assumptions (edit)'!B7),"")</f>
      </c>
      <c r="CA450" s="8">
        <f>IF((0=1),((CA100/10000)*'Assumptions (edit)'!B7),"")</f>
      </c>
      <c r="CB450" s="8">
        <f>IF((0=1),((CB100/10000)*'Assumptions (edit)'!B7),"")</f>
      </c>
      <c r="CC450" s="8">
        <f>IF((0=1),((CC100/10000)*'Assumptions (edit)'!B7),"")</f>
      </c>
      <c r="CD450" s="8">
        <f>IF((0=1),((CD100/10000)*'Assumptions (edit)'!B7),"")</f>
      </c>
      <c r="CE450" s="8">
        <f>IF((0=1),((CE100/10000)*'Assumptions (edit)'!B7),"")</f>
      </c>
      <c r="CF450" s="8">
        <f>IF((0=1),((CF100/10000)*'Assumptions (edit)'!B7),"")</f>
      </c>
      <c r="CG450" s="8">
        <f>IF((0=1),((CG100/10000)*'Assumptions (edit)'!B7),"")</f>
      </c>
      <c r="CH450" s="8">
        <f>IF((0=1),((CH100/10000)*'Assumptions (edit)'!B7),"")</f>
      </c>
      <c r="CI450" s="8">
        <f>IF((0=1),((CI100/10000)*'Assumptions (edit)'!B7),"")</f>
      </c>
      <c r="CJ450" s="8">
        <f>IF((0=1),((CJ100/10000)*'Assumptions (edit)'!B7),"")</f>
      </c>
      <c r="CK450" s="8">
        <f>IF((0=1),((CK100/10000)*'Assumptions (edit)'!B7),"")</f>
      </c>
      <c r="CL450" s="8">
        <f>IF((0=1),((CL100/10000)*'Assumptions (edit)'!B7),"")</f>
      </c>
      <c r="CM450" s="8">
        <f>IF((0=1),((CM100/10000)*'Assumptions (edit)'!B7),"")</f>
      </c>
      <c r="CN450" s="8">
        <f>IF((0=1),((CN100/10000)*'Assumptions (edit)'!B7),"")</f>
      </c>
      <c r="CO450" s="8">
        <f>IF((0=1),((CO100/10000)*'Assumptions (edit)'!B7),"")</f>
      </c>
      <c r="CP450" s="8">
        <f>IF((0=1),((CP100/10000)*'Assumptions (edit)'!B7),"")</f>
      </c>
      <c r="CQ450" s="8">
        <f>IF((0=1),((CQ100/10000)*'Assumptions (edit)'!B7),"")</f>
      </c>
      <c r="CR450" s="8">
        <f>IF((0=1),((CR100/10000)*'Assumptions (edit)'!B7),"")</f>
      </c>
      <c r="CS450" s="8">
        <f>IF((0=1),((CS100/10000)*'Assumptions (edit)'!B7),"")</f>
      </c>
      <c r="CT450" s="8">
        <f>IF((0=1),((CT100/10000)*'Assumptions (edit)'!B7),"")</f>
      </c>
      <c r="CU450" s="8">
        <f>IF((0=1),((CU100/10000)*'Assumptions (edit)'!B7),"")</f>
      </c>
      <c r="CV450" s="8">
        <f>IF((0=1),((CV100/10000)*'Assumptions (edit)'!B7),"")</f>
      </c>
      <c r="CW450" s="8">
        <f>IF((0=1),((CW100/10000)*'Assumptions (edit)'!B7),"")</f>
      </c>
      <c r="CX450" s="8">
        <f>IF((0=1),((CX100/10000)*'Assumptions (edit)'!B7),"")</f>
      </c>
    </row>
    <row r="451">
      <c r="A451" s="0" t="inlineStr">
        <is>
          <t xml:space="preserve">Net P&amp;L on notional, $</t>
        </is>
      </c>
      <c r="B451" s="0" t="inlineStr">
        <is>
          <t xml:space="preserve">Random 15</t>
        </is>
      </c>
      <c r="C451" s="8">
        <f>IF((1=1),((C101/10000)*'Assumptions (edit)'!B7),"")</f>
        <v>-217.21</v>
      </c>
      <c r="D451" s="8">
        <f>IF((0=1),((D101/10000)*'Assumptions (edit)'!B7),"")</f>
      </c>
      <c r="E451" s="8">
        <f>IF((0=1),((E101/10000)*'Assumptions (edit)'!B7),"")</f>
      </c>
      <c r="F451" s="8">
        <f>IF((0=1),((F101/10000)*'Assumptions (edit)'!B7),"")</f>
      </c>
      <c r="G451" s="8">
        <f>IF((0=1),((G101/10000)*'Assumptions (edit)'!B7),"")</f>
      </c>
      <c r="H451" s="8">
        <f>IF((0=1),((H101/10000)*'Assumptions (edit)'!B7),"")</f>
      </c>
      <c r="I451" s="8">
        <f>IF((0=1),((I101/10000)*'Assumptions (edit)'!B7),"")</f>
      </c>
      <c r="J451" s="8">
        <f>IF((0=1),((J101/10000)*'Assumptions (edit)'!B7),"")</f>
      </c>
      <c r="K451" s="8">
        <f>IF((0=1),((K101/10000)*'Assumptions (edit)'!B7),"")</f>
      </c>
      <c r="L451" s="8">
        <f>IF((0=1),((L101/10000)*'Assumptions (edit)'!B7),"")</f>
      </c>
      <c r="M451" s="8">
        <f>IF((0=1),((M101/10000)*'Assumptions (edit)'!B7),"")</f>
      </c>
      <c r="N451" s="8">
        <f>IF((0=1),((N101/10000)*'Assumptions (edit)'!B7),"")</f>
      </c>
      <c r="O451" s="8">
        <f>IF((0=1),((O101/10000)*'Assumptions (edit)'!B7),"")</f>
      </c>
      <c r="P451" s="8">
        <f>IF((0=1),((P101/10000)*'Assumptions (edit)'!B7),"")</f>
      </c>
      <c r="Q451" s="8">
        <f>IF((0=1),((Q101/10000)*'Assumptions (edit)'!B7),"")</f>
      </c>
      <c r="R451" s="8">
        <f>IF((0=1),((R101/10000)*'Assumptions (edit)'!B7),"")</f>
      </c>
      <c r="S451" s="8">
        <f>IF((0=1),((S101/10000)*'Assumptions (edit)'!B7),"")</f>
      </c>
      <c r="T451" s="8">
        <f>IF((0=1),((T101/10000)*'Assumptions (edit)'!B7),"")</f>
      </c>
      <c r="U451" s="8">
        <f>IF((0=1),((U101/10000)*'Assumptions (edit)'!B7),"")</f>
      </c>
      <c r="V451" s="8">
        <f>IF((0=1),((V101/10000)*'Assumptions (edit)'!B7),"")</f>
      </c>
      <c r="W451" s="8">
        <f>IF((0=1),((W101/10000)*'Assumptions (edit)'!B7),"")</f>
      </c>
      <c r="X451" s="8">
        <f>IF((0=1),((X101/10000)*'Assumptions (edit)'!B7),"")</f>
      </c>
      <c r="Y451" s="8">
        <f>IF((0=1),((Y101/10000)*'Assumptions (edit)'!B7),"")</f>
      </c>
      <c r="Z451" s="8">
        <f>IF((0=1),((Z101/10000)*'Assumptions (edit)'!B7),"")</f>
      </c>
      <c r="AA451" s="8">
        <f>IF((0=1),((AA101/10000)*'Assumptions (edit)'!B7),"")</f>
      </c>
      <c r="AB451" s="8">
        <f>IF((0=1),((AB101/10000)*'Assumptions (edit)'!B7),"")</f>
      </c>
      <c r="AC451" s="8">
        <f>IF((0=1),((AC101/10000)*'Assumptions (edit)'!B7),"")</f>
      </c>
      <c r="AD451" s="8">
        <f>IF((0=1),((AD101/10000)*'Assumptions (edit)'!B7),"")</f>
      </c>
      <c r="AE451" s="8">
        <f>IF((0=1),((AE101/10000)*'Assumptions (edit)'!B7),"")</f>
      </c>
      <c r="AF451" s="8">
        <f>IF((0=1),((AF101/10000)*'Assumptions (edit)'!B7),"")</f>
      </c>
      <c r="AG451" s="8">
        <f>IF((0=1),((AG101/10000)*'Assumptions (edit)'!B7),"")</f>
      </c>
      <c r="AH451" s="8">
        <f>IF((0=1),((AH101/10000)*'Assumptions (edit)'!B7),"")</f>
      </c>
      <c r="AI451" s="8">
        <f>IF((0=1),((AI101/10000)*'Assumptions (edit)'!B7),"")</f>
      </c>
      <c r="AJ451" s="8">
        <f>IF((0=1),((AJ101/10000)*'Assumptions (edit)'!B7),"")</f>
      </c>
      <c r="AK451" s="8">
        <f>IF((0=1),((AK101/10000)*'Assumptions (edit)'!B7),"")</f>
      </c>
      <c r="AL451" s="8">
        <f>IF((0=1),((AL101/10000)*'Assumptions (edit)'!B7),"")</f>
      </c>
      <c r="AM451" s="8">
        <f>IF((0=1),((AM101/10000)*'Assumptions (edit)'!B7),"")</f>
      </c>
      <c r="AN451" s="8">
        <f>IF((0=1),((AN101/10000)*'Assumptions (edit)'!B7),"")</f>
      </c>
      <c r="AO451" s="8">
        <f>IF((0=1),((AO101/10000)*'Assumptions (edit)'!B7),"")</f>
      </c>
      <c r="AP451" s="8">
        <f>IF((0=1),((AP101/10000)*'Assumptions (edit)'!B7),"")</f>
      </c>
      <c r="AQ451" s="8">
        <f>IF((0=1),((AQ101/10000)*'Assumptions (edit)'!B7),"")</f>
      </c>
      <c r="AR451" s="8">
        <f>IF((0=1),((AR101/10000)*'Assumptions (edit)'!B7),"")</f>
      </c>
      <c r="AS451" s="8">
        <f>IF((0=1),((AS101/10000)*'Assumptions (edit)'!B7),"")</f>
      </c>
      <c r="AT451" s="8">
        <f>IF((0=1),((AT101/10000)*'Assumptions (edit)'!B7),"")</f>
      </c>
      <c r="AU451" s="8">
        <f>IF((0=1),((AU101/10000)*'Assumptions (edit)'!B7),"")</f>
      </c>
      <c r="AV451" s="8">
        <f>IF((0=1),((AV101/10000)*'Assumptions (edit)'!B7),"")</f>
      </c>
      <c r="AW451" s="8">
        <f>IF((0=1),((AW101/10000)*'Assumptions (edit)'!B7),"")</f>
      </c>
      <c r="AX451" s="8">
        <f>IF((0=1),((AX101/10000)*'Assumptions (edit)'!B7),"")</f>
      </c>
      <c r="AY451" s="8">
        <f>IF((0=1),((AY101/10000)*'Assumptions (edit)'!B7),"")</f>
      </c>
      <c r="AZ451" s="8">
        <f>IF((0=1),((AZ101/10000)*'Assumptions (edit)'!B7),"")</f>
      </c>
      <c r="BA451" s="8">
        <f>IF((0=1),((BA101/10000)*'Assumptions (edit)'!B7),"")</f>
      </c>
      <c r="BB451" s="8">
        <f>IF((0=1),((BB101/10000)*'Assumptions (edit)'!B7),"")</f>
      </c>
      <c r="BC451" s="8">
        <f>IF((0=1),((BC101/10000)*'Assumptions (edit)'!B7),"")</f>
      </c>
      <c r="BD451" s="8">
        <f>IF((0=1),((BD101/10000)*'Assumptions (edit)'!B7),"")</f>
      </c>
      <c r="BE451" s="8">
        <f>IF((0=1),((BE101/10000)*'Assumptions (edit)'!B7),"")</f>
      </c>
      <c r="BF451" s="8">
        <f>IF((0=1),((BF101/10000)*'Assumptions (edit)'!B7),"")</f>
      </c>
      <c r="BG451" s="8">
        <f>IF((0=1),((BG101/10000)*'Assumptions (edit)'!B7),"")</f>
      </c>
      <c r="BH451" s="8">
        <f>IF((0=1),((BH101/10000)*'Assumptions (edit)'!B7),"")</f>
      </c>
      <c r="BI451" s="8">
        <f>IF((0=1),((BI101/10000)*'Assumptions (edit)'!B7),"")</f>
      </c>
      <c r="BJ451" s="8">
        <f>IF((0=1),((BJ101/10000)*'Assumptions (edit)'!B7),"")</f>
      </c>
      <c r="BK451" s="8">
        <f>IF((0=1),((BK101/10000)*'Assumptions (edit)'!B7),"")</f>
      </c>
      <c r="BL451" s="8">
        <f>IF((0=1),((BL101/10000)*'Assumptions (edit)'!B7),"")</f>
      </c>
      <c r="BM451" s="8">
        <f>IF((0=1),((BM101/10000)*'Assumptions (edit)'!B7),"")</f>
      </c>
      <c r="BN451" s="8">
        <f>IF((0=1),((BN101/10000)*'Assumptions (edit)'!B7),"")</f>
      </c>
      <c r="BO451" s="8">
        <f>IF((0=1),((BO101/10000)*'Assumptions (edit)'!B7),"")</f>
      </c>
      <c r="BP451" s="8">
        <f>IF((0=1),((BP101/10000)*'Assumptions (edit)'!B7),"")</f>
      </c>
      <c r="BQ451" s="8">
        <f>IF((0=1),((BQ101/10000)*'Assumptions (edit)'!B7),"")</f>
      </c>
      <c r="BR451" s="8">
        <f>IF((0=1),((BR101/10000)*'Assumptions (edit)'!B7),"")</f>
      </c>
      <c r="BS451" s="8">
        <f>IF((0=1),((BS101/10000)*'Assumptions (edit)'!B7),"")</f>
      </c>
      <c r="BT451" s="8">
        <f>IF((0=1),((BT101/10000)*'Assumptions (edit)'!B7),"")</f>
      </c>
      <c r="BU451" s="8">
        <f>IF((0=1),((BU101/10000)*'Assumptions (edit)'!B7),"")</f>
      </c>
      <c r="BV451" s="8">
        <f>IF((0=1),((BV101/10000)*'Assumptions (edit)'!B7),"")</f>
      </c>
      <c r="BW451" s="8">
        <f>IF((0=1),((BW101/10000)*'Assumptions (edit)'!B7),"")</f>
      </c>
      <c r="BX451" s="8">
        <f>IF((0=1),((BX101/10000)*'Assumptions (edit)'!B7),"")</f>
      </c>
      <c r="BY451" s="8">
        <f>IF((0=1),((BY101/10000)*'Assumptions (edit)'!B7),"")</f>
      </c>
      <c r="BZ451" s="8">
        <f>IF((0=1),((BZ101/10000)*'Assumptions (edit)'!B7),"")</f>
      </c>
      <c r="CA451" s="8">
        <f>IF((0=1),((CA101/10000)*'Assumptions (edit)'!B7),"")</f>
      </c>
      <c r="CB451" s="8">
        <f>IF((0=1),((CB101/10000)*'Assumptions (edit)'!B7),"")</f>
      </c>
      <c r="CC451" s="8">
        <f>IF((0=1),((CC101/10000)*'Assumptions (edit)'!B7),"")</f>
      </c>
      <c r="CD451" s="8">
        <f>IF((0=1),((CD101/10000)*'Assumptions (edit)'!B7),"")</f>
      </c>
      <c r="CE451" s="8">
        <f>IF((0=1),((CE101/10000)*'Assumptions (edit)'!B7),"")</f>
      </c>
      <c r="CF451" s="8">
        <f>IF((0=1),((CF101/10000)*'Assumptions (edit)'!B7),"")</f>
      </c>
      <c r="CG451" s="8">
        <f>IF((0=1),((CG101/10000)*'Assumptions (edit)'!B7),"")</f>
      </c>
      <c r="CH451" s="8">
        <f>IF((0=1),((CH101/10000)*'Assumptions (edit)'!B7),"")</f>
      </c>
      <c r="CI451" s="8">
        <f>IF((0=1),((CI101/10000)*'Assumptions (edit)'!B7),"")</f>
      </c>
      <c r="CJ451" s="8">
        <f>IF((0=1),((CJ101/10000)*'Assumptions (edit)'!B7),"")</f>
      </c>
      <c r="CK451" s="8">
        <f>IF((0=1),((CK101/10000)*'Assumptions (edit)'!B7),"")</f>
      </c>
      <c r="CL451" s="8">
        <f>IF((0=1),((CL101/10000)*'Assumptions (edit)'!B7),"")</f>
      </c>
      <c r="CM451" s="8">
        <f>IF((0=1),((CM101/10000)*'Assumptions (edit)'!B7),"")</f>
      </c>
      <c r="CN451" s="8">
        <f>IF((0=1),((CN101/10000)*'Assumptions (edit)'!B7),"")</f>
      </c>
      <c r="CO451" s="8">
        <f>IF((0=1),((CO101/10000)*'Assumptions (edit)'!B7),"")</f>
      </c>
      <c r="CP451" s="8">
        <f>IF((0=1),((CP101/10000)*'Assumptions (edit)'!B7),"")</f>
      </c>
      <c r="CQ451" s="8">
        <f>IF((0=1),((CQ101/10000)*'Assumptions (edit)'!B7),"")</f>
      </c>
      <c r="CR451" s="8">
        <f>IF((0=1),((CR101/10000)*'Assumptions (edit)'!B7),"")</f>
      </c>
      <c r="CS451" s="8">
        <f>IF((0=1),((CS101/10000)*'Assumptions (edit)'!B7),"")</f>
      </c>
      <c r="CT451" s="8">
        <f>IF((0=1),((CT101/10000)*'Assumptions (edit)'!B7),"")</f>
      </c>
      <c r="CU451" s="8">
        <f>IF((0=1),((CU101/10000)*'Assumptions (edit)'!B7),"")</f>
      </c>
      <c r="CV451" s="8">
        <f>IF((0=1),((CV101/10000)*'Assumptions (edit)'!B7),"")</f>
      </c>
      <c r="CW451" s="8">
        <f>IF((0=1),((CW101/10000)*'Assumptions (edit)'!B7),"")</f>
      </c>
      <c r="CX451" s="8">
        <f>IF((0=1),((CX101/10000)*'Assumptions (edit)'!B7),"")</f>
      </c>
    </row>
    <row r="452">
      <c r="A452" s="0" t="inlineStr">
        <is>
          <t xml:space="preserve">Net P&amp;L on notional, $</t>
        </is>
      </c>
      <c r="B452" s="0" t="inlineStr">
        <is>
          <t xml:space="preserve">Random 16</t>
        </is>
      </c>
      <c r="C452" s="8">
        <f>IF((1=1),((C102/10000)*'Assumptions (edit)'!B7),"")</f>
        <v>-117.74000000000001</v>
      </c>
      <c r="D452" s="8">
        <f>IF((0=1),((D102/10000)*'Assumptions (edit)'!B7),"")</f>
      </c>
      <c r="E452" s="8">
        <f>IF((0=1),((E102/10000)*'Assumptions (edit)'!B7),"")</f>
      </c>
      <c r="F452" s="8">
        <f>IF((0=1),((F102/10000)*'Assumptions (edit)'!B7),"")</f>
      </c>
      <c r="G452" s="8">
        <f>IF((0=1),((G102/10000)*'Assumptions (edit)'!B7),"")</f>
      </c>
      <c r="H452" s="8">
        <f>IF((0=1),((H102/10000)*'Assumptions (edit)'!B7),"")</f>
      </c>
      <c r="I452" s="8">
        <f>IF((0=1),((I102/10000)*'Assumptions (edit)'!B7),"")</f>
      </c>
      <c r="J452" s="8">
        <f>IF((0=1),((J102/10000)*'Assumptions (edit)'!B7),"")</f>
      </c>
      <c r="K452" s="8">
        <f>IF((0=1),((K102/10000)*'Assumptions (edit)'!B7),"")</f>
      </c>
      <c r="L452" s="8">
        <f>IF((0=1),((L102/10000)*'Assumptions (edit)'!B7),"")</f>
      </c>
      <c r="M452" s="8">
        <f>IF((0=1),((M102/10000)*'Assumptions (edit)'!B7),"")</f>
      </c>
      <c r="N452" s="8">
        <f>IF((0=1),((N102/10000)*'Assumptions (edit)'!B7),"")</f>
      </c>
      <c r="O452" s="8">
        <f>IF((0=1),((O102/10000)*'Assumptions (edit)'!B7),"")</f>
      </c>
      <c r="P452" s="8">
        <f>IF((0=1),((P102/10000)*'Assumptions (edit)'!B7),"")</f>
      </c>
      <c r="Q452" s="8">
        <f>IF((0=1),((Q102/10000)*'Assumptions (edit)'!B7),"")</f>
      </c>
      <c r="R452" s="8">
        <f>IF((0=1),((R102/10000)*'Assumptions (edit)'!B7),"")</f>
      </c>
      <c r="S452" s="8">
        <f>IF((0=1),((S102/10000)*'Assumptions (edit)'!B7),"")</f>
      </c>
      <c r="T452" s="8">
        <f>IF((0=1),((T102/10000)*'Assumptions (edit)'!B7),"")</f>
      </c>
      <c r="U452" s="8">
        <f>IF((0=1),((U102/10000)*'Assumptions (edit)'!B7),"")</f>
      </c>
      <c r="V452" s="8">
        <f>IF((0=1),((V102/10000)*'Assumptions (edit)'!B7),"")</f>
      </c>
      <c r="W452" s="8">
        <f>IF((0=1),((W102/10000)*'Assumptions (edit)'!B7),"")</f>
      </c>
      <c r="X452" s="8">
        <f>IF((0=1),((X102/10000)*'Assumptions (edit)'!B7),"")</f>
      </c>
      <c r="Y452" s="8">
        <f>IF((0=1),((Y102/10000)*'Assumptions (edit)'!B7),"")</f>
      </c>
      <c r="Z452" s="8">
        <f>IF((0=1),((Z102/10000)*'Assumptions (edit)'!B7),"")</f>
      </c>
      <c r="AA452" s="8">
        <f>IF((0=1),((AA102/10000)*'Assumptions (edit)'!B7),"")</f>
      </c>
      <c r="AB452" s="8">
        <f>IF((0=1),((AB102/10000)*'Assumptions (edit)'!B7),"")</f>
      </c>
      <c r="AC452" s="8">
        <f>IF((0=1),((AC102/10000)*'Assumptions (edit)'!B7),"")</f>
      </c>
      <c r="AD452" s="8">
        <f>IF((0=1),((AD102/10000)*'Assumptions (edit)'!B7),"")</f>
      </c>
      <c r="AE452" s="8">
        <f>IF((0=1),((AE102/10000)*'Assumptions (edit)'!B7),"")</f>
      </c>
      <c r="AF452" s="8">
        <f>IF((0=1),((AF102/10000)*'Assumptions (edit)'!B7),"")</f>
      </c>
      <c r="AG452" s="8">
        <f>IF((0=1),((AG102/10000)*'Assumptions (edit)'!B7),"")</f>
      </c>
      <c r="AH452" s="8">
        <f>IF((0=1),((AH102/10000)*'Assumptions (edit)'!B7),"")</f>
      </c>
      <c r="AI452" s="8">
        <f>IF((0=1),((AI102/10000)*'Assumptions (edit)'!B7),"")</f>
      </c>
      <c r="AJ452" s="8">
        <f>IF((0=1),((AJ102/10000)*'Assumptions (edit)'!B7),"")</f>
      </c>
      <c r="AK452" s="8">
        <f>IF((0=1),((AK102/10000)*'Assumptions (edit)'!B7),"")</f>
      </c>
      <c r="AL452" s="8">
        <f>IF((0=1),((AL102/10000)*'Assumptions (edit)'!B7),"")</f>
      </c>
      <c r="AM452" s="8">
        <f>IF((0=1),((AM102/10000)*'Assumptions (edit)'!B7),"")</f>
      </c>
      <c r="AN452" s="8">
        <f>IF((0=1),((AN102/10000)*'Assumptions (edit)'!B7),"")</f>
      </c>
      <c r="AO452" s="8">
        <f>IF((0=1),((AO102/10000)*'Assumptions (edit)'!B7),"")</f>
      </c>
      <c r="AP452" s="8">
        <f>IF((0=1),((AP102/10000)*'Assumptions (edit)'!B7),"")</f>
      </c>
      <c r="AQ452" s="8">
        <f>IF((0=1),((AQ102/10000)*'Assumptions (edit)'!B7),"")</f>
      </c>
      <c r="AR452" s="8">
        <f>IF((0=1),((AR102/10000)*'Assumptions (edit)'!B7),"")</f>
      </c>
      <c r="AS452" s="8">
        <f>IF((0=1),((AS102/10000)*'Assumptions (edit)'!B7),"")</f>
      </c>
      <c r="AT452" s="8">
        <f>IF((0=1),((AT102/10000)*'Assumptions (edit)'!B7),"")</f>
      </c>
      <c r="AU452" s="8">
        <f>IF((0=1),((AU102/10000)*'Assumptions (edit)'!B7),"")</f>
      </c>
      <c r="AV452" s="8">
        <f>IF((0=1),((AV102/10000)*'Assumptions (edit)'!B7),"")</f>
      </c>
      <c r="AW452" s="8">
        <f>IF((0=1),((AW102/10000)*'Assumptions (edit)'!B7),"")</f>
      </c>
      <c r="AX452" s="8">
        <f>IF((0=1),((AX102/10000)*'Assumptions (edit)'!B7),"")</f>
      </c>
      <c r="AY452" s="8">
        <f>IF((0=1),((AY102/10000)*'Assumptions (edit)'!B7),"")</f>
      </c>
      <c r="AZ452" s="8">
        <f>IF((0=1),((AZ102/10000)*'Assumptions (edit)'!B7),"")</f>
      </c>
      <c r="BA452" s="8">
        <f>IF((0=1),((BA102/10000)*'Assumptions (edit)'!B7),"")</f>
      </c>
      <c r="BB452" s="8">
        <f>IF((0=1),((BB102/10000)*'Assumptions (edit)'!B7),"")</f>
      </c>
      <c r="BC452" s="8">
        <f>IF((0=1),((BC102/10000)*'Assumptions (edit)'!B7),"")</f>
      </c>
      <c r="BD452" s="8">
        <f>IF((0=1),((BD102/10000)*'Assumptions (edit)'!B7),"")</f>
      </c>
      <c r="BE452" s="8">
        <f>IF((0=1),((BE102/10000)*'Assumptions (edit)'!B7),"")</f>
      </c>
      <c r="BF452" s="8">
        <f>IF((0=1),((BF102/10000)*'Assumptions (edit)'!B7),"")</f>
      </c>
      <c r="BG452" s="8">
        <f>IF((0=1),((BG102/10000)*'Assumptions (edit)'!B7),"")</f>
      </c>
      <c r="BH452" s="8">
        <f>IF((0=1),((BH102/10000)*'Assumptions (edit)'!B7),"")</f>
      </c>
      <c r="BI452" s="8">
        <f>IF((0=1),((BI102/10000)*'Assumptions (edit)'!B7),"")</f>
      </c>
      <c r="BJ452" s="8">
        <f>IF((0=1),((BJ102/10000)*'Assumptions (edit)'!B7),"")</f>
      </c>
      <c r="BK452" s="8">
        <f>IF((0=1),((BK102/10000)*'Assumptions (edit)'!B7),"")</f>
      </c>
      <c r="BL452" s="8">
        <f>IF((0=1),((BL102/10000)*'Assumptions (edit)'!B7),"")</f>
      </c>
      <c r="BM452" s="8">
        <f>IF((0=1),((BM102/10000)*'Assumptions (edit)'!B7),"")</f>
      </c>
      <c r="BN452" s="8">
        <f>IF((0=1),((BN102/10000)*'Assumptions (edit)'!B7),"")</f>
      </c>
      <c r="BO452" s="8">
        <f>IF((0=1),((BO102/10000)*'Assumptions (edit)'!B7),"")</f>
      </c>
      <c r="BP452" s="8">
        <f>IF((0=1),((BP102/10000)*'Assumptions (edit)'!B7),"")</f>
      </c>
      <c r="BQ452" s="8">
        <f>IF((0=1),((BQ102/10000)*'Assumptions (edit)'!B7),"")</f>
      </c>
      <c r="BR452" s="8">
        <f>IF((0=1),((BR102/10000)*'Assumptions (edit)'!B7),"")</f>
      </c>
      <c r="BS452" s="8">
        <f>IF((0=1),((BS102/10000)*'Assumptions (edit)'!B7),"")</f>
      </c>
      <c r="BT452" s="8">
        <f>IF((0=1),((BT102/10000)*'Assumptions (edit)'!B7),"")</f>
      </c>
      <c r="BU452" s="8">
        <f>IF((0=1),((BU102/10000)*'Assumptions (edit)'!B7),"")</f>
      </c>
      <c r="BV452" s="8">
        <f>IF((0=1),((BV102/10000)*'Assumptions (edit)'!B7),"")</f>
      </c>
      <c r="BW452" s="8">
        <f>IF((0=1),((BW102/10000)*'Assumptions (edit)'!B7),"")</f>
      </c>
      <c r="BX452" s="8">
        <f>IF((0=1),((BX102/10000)*'Assumptions (edit)'!B7),"")</f>
      </c>
      <c r="BY452" s="8">
        <f>IF((0=1),((BY102/10000)*'Assumptions (edit)'!B7),"")</f>
      </c>
      <c r="BZ452" s="8">
        <f>IF((0=1),((BZ102/10000)*'Assumptions (edit)'!B7),"")</f>
      </c>
      <c r="CA452" s="8">
        <f>IF((0=1),((CA102/10000)*'Assumptions (edit)'!B7),"")</f>
      </c>
      <c r="CB452" s="8">
        <f>IF((0=1),((CB102/10000)*'Assumptions (edit)'!B7),"")</f>
      </c>
      <c r="CC452" s="8">
        <f>IF((0=1),((CC102/10000)*'Assumptions (edit)'!B7),"")</f>
      </c>
      <c r="CD452" s="8">
        <f>IF((0=1),((CD102/10000)*'Assumptions (edit)'!B7),"")</f>
      </c>
      <c r="CE452" s="8">
        <f>IF((0=1),((CE102/10000)*'Assumptions (edit)'!B7),"")</f>
      </c>
      <c r="CF452" s="8">
        <f>IF((0=1),((CF102/10000)*'Assumptions (edit)'!B7),"")</f>
      </c>
      <c r="CG452" s="8">
        <f>IF((0=1),((CG102/10000)*'Assumptions (edit)'!B7),"")</f>
      </c>
      <c r="CH452" s="8">
        <f>IF((0=1),((CH102/10000)*'Assumptions (edit)'!B7),"")</f>
      </c>
      <c r="CI452" s="8">
        <f>IF((0=1),((CI102/10000)*'Assumptions (edit)'!B7),"")</f>
      </c>
      <c r="CJ452" s="8">
        <f>IF((0=1),((CJ102/10000)*'Assumptions (edit)'!B7),"")</f>
      </c>
      <c r="CK452" s="8">
        <f>IF((0=1),((CK102/10000)*'Assumptions (edit)'!B7),"")</f>
      </c>
      <c r="CL452" s="8">
        <f>IF((0=1),((CL102/10000)*'Assumptions (edit)'!B7),"")</f>
      </c>
      <c r="CM452" s="8">
        <f>IF((0=1),((CM102/10000)*'Assumptions (edit)'!B7),"")</f>
      </c>
      <c r="CN452" s="8">
        <f>IF((0=1),((CN102/10000)*'Assumptions (edit)'!B7),"")</f>
      </c>
      <c r="CO452" s="8">
        <f>IF((0=1),((CO102/10000)*'Assumptions (edit)'!B7),"")</f>
      </c>
      <c r="CP452" s="8">
        <f>IF((0=1),((CP102/10000)*'Assumptions (edit)'!B7),"")</f>
      </c>
      <c r="CQ452" s="8">
        <f>IF((0=1),((CQ102/10000)*'Assumptions (edit)'!B7),"")</f>
      </c>
      <c r="CR452" s="8">
        <f>IF((0=1),((CR102/10000)*'Assumptions (edit)'!B7),"")</f>
      </c>
      <c r="CS452" s="8">
        <f>IF((0=1),((CS102/10000)*'Assumptions (edit)'!B7),"")</f>
      </c>
      <c r="CT452" s="8">
        <f>IF((0=1),((CT102/10000)*'Assumptions (edit)'!B7),"")</f>
      </c>
      <c r="CU452" s="8">
        <f>IF((0=1),((CU102/10000)*'Assumptions (edit)'!B7),"")</f>
      </c>
      <c r="CV452" s="8">
        <f>IF((0=1),((CV102/10000)*'Assumptions (edit)'!B7),"")</f>
      </c>
      <c r="CW452" s="8">
        <f>IF((0=1),((CW102/10000)*'Assumptions (edit)'!B7),"")</f>
      </c>
      <c r="CX452" s="8">
        <f>IF((0=1),((CX102/10000)*'Assumptions (edit)'!B7),"")</f>
      </c>
    </row>
    <row r="453">
      <c r="A453" s="0" t="inlineStr">
        <is>
          <t xml:space="preserve">Net P&amp;L on notional, $</t>
        </is>
      </c>
      <c r="B453" s="0" t="inlineStr">
        <is>
          <t xml:space="preserve">Random 17</t>
        </is>
      </c>
      <c r="C453" s="8">
        <f>IF((1=1),((C103/10000)*'Assumptions (edit)'!B7),"")</f>
        <v>-134.42999999999998</v>
      </c>
      <c r="D453" s="8">
        <f>IF((0=1),((D103/10000)*'Assumptions (edit)'!B7),"")</f>
      </c>
      <c r="E453" s="8">
        <f>IF((0=1),((E103/10000)*'Assumptions (edit)'!B7),"")</f>
      </c>
      <c r="F453" s="8">
        <f>IF((0=1),((F103/10000)*'Assumptions (edit)'!B7),"")</f>
      </c>
      <c r="G453" s="8">
        <f>IF((0=1),((G103/10000)*'Assumptions (edit)'!B7),"")</f>
      </c>
      <c r="H453" s="8">
        <f>IF((0=1),((H103/10000)*'Assumptions (edit)'!B7),"")</f>
      </c>
      <c r="I453" s="8">
        <f>IF((0=1),((I103/10000)*'Assumptions (edit)'!B7),"")</f>
      </c>
      <c r="J453" s="8">
        <f>IF((0=1),((J103/10000)*'Assumptions (edit)'!B7),"")</f>
      </c>
      <c r="K453" s="8">
        <f>IF((0=1),((K103/10000)*'Assumptions (edit)'!B7),"")</f>
      </c>
      <c r="L453" s="8">
        <f>IF((0=1),((L103/10000)*'Assumptions (edit)'!B7),"")</f>
      </c>
      <c r="M453" s="8">
        <f>IF((0=1),((M103/10000)*'Assumptions (edit)'!B7),"")</f>
      </c>
      <c r="N453" s="8">
        <f>IF((0=1),((N103/10000)*'Assumptions (edit)'!B7),"")</f>
      </c>
      <c r="O453" s="8">
        <f>IF((0=1),((O103/10000)*'Assumptions (edit)'!B7),"")</f>
      </c>
      <c r="P453" s="8">
        <f>IF((0=1),((P103/10000)*'Assumptions (edit)'!B7),"")</f>
      </c>
      <c r="Q453" s="8">
        <f>IF((0=1),((Q103/10000)*'Assumptions (edit)'!B7),"")</f>
      </c>
      <c r="R453" s="8">
        <f>IF((0=1),((R103/10000)*'Assumptions (edit)'!B7),"")</f>
      </c>
      <c r="S453" s="8">
        <f>IF((0=1),((S103/10000)*'Assumptions (edit)'!B7),"")</f>
      </c>
      <c r="T453" s="8">
        <f>IF((0=1),((T103/10000)*'Assumptions (edit)'!B7),"")</f>
      </c>
      <c r="U453" s="8">
        <f>IF((0=1),((U103/10000)*'Assumptions (edit)'!B7),"")</f>
      </c>
      <c r="V453" s="8">
        <f>IF((0=1),((V103/10000)*'Assumptions (edit)'!B7),"")</f>
      </c>
      <c r="W453" s="8">
        <f>IF((0=1),((W103/10000)*'Assumptions (edit)'!B7),"")</f>
      </c>
      <c r="X453" s="8">
        <f>IF((0=1),((X103/10000)*'Assumptions (edit)'!B7),"")</f>
      </c>
      <c r="Y453" s="8">
        <f>IF((0=1),((Y103/10000)*'Assumptions (edit)'!B7),"")</f>
      </c>
      <c r="Z453" s="8">
        <f>IF((0=1),((Z103/10000)*'Assumptions (edit)'!B7),"")</f>
      </c>
      <c r="AA453" s="8">
        <f>IF((0=1),((AA103/10000)*'Assumptions (edit)'!B7),"")</f>
      </c>
      <c r="AB453" s="8">
        <f>IF((0=1),((AB103/10000)*'Assumptions (edit)'!B7),"")</f>
      </c>
      <c r="AC453" s="8">
        <f>IF((0=1),((AC103/10000)*'Assumptions (edit)'!B7),"")</f>
      </c>
      <c r="AD453" s="8">
        <f>IF((0=1),((AD103/10000)*'Assumptions (edit)'!B7),"")</f>
      </c>
      <c r="AE453" s="8">
        <f>IF((0=1),((AE103/10000)*'Assumptions (edit)'!B7),"")</f>
      </c>
      <c r="AF453" s="8">
        <f>IF((0=1),((AF103/10000)*'Assumptions (edit)'!B7),"")</f>
      </c>
      <c r="AG453" s="8">
        <f>IF((0=1),((AG103/10000)*'Assumptions (edit)'!B7),"")</f>
      </c>
      <c r="AH453" s="8">
        <f>IF((0=1),((AH103/10000)*'Assumptions (edit)'!B7),"")</f>
      </c>
      <c r="AI453" s="8">
        <f>IF((0=1),((AI103/10000)*'Assumptions (edit)'!B7),"")</f>
      </c>
      <c r="AJ453" s="8">
        <f>IF((0=1),((AJ103/10000)*'Assumptions (edit)'!B7),"")</f>
      </c>
      <c r="AK453" s="8">
        <f>IF((0=1),((AK103/10000)*'Assumptions (edit)'!B7),"")</f>
      </c>
      <c r="AL453" s="8">
        <f>IF((0=1),((AL103/10000)*'Assumptions (edit)'!B7),"")</f>
      </c>
      <c r="AM453" s="8">
        <f>IF((0=1),((AM103/10000)*'Assumptions (edit)'!B7),"")</f>
      </c>
      <c r="AN453" s="8">
        <f>IF((0=1),((AN103/10000)*'Assumptions (edit)'!B7),"")</f>
      </c>
      <c r="AO453" s="8">
        <f>IF((0=1),((AO103/10000)*'Assumptions (edit)'!B7),"")</f>
      </c>
      <c r="AP453" s="8">
        <f>IF((0=1),((AP103/10000)*'Assumptions (edit)'!B7),"")</f>
      </c>
      <c r="AQ453" s="8">
        <f>IF((0=1),((AQ103/10000)*'Assumptions (edit)'!B7),"")</f>
      </c>
      <c r="AR453" s="8">
        <f>IF((0=1),((AR103/10000)*'Assumptions (edit)'!B7),"")</f>
      </c>
      <c r="AS453" s="8">
        <f>IF((0=1),((AS103/10000)*'Assumptions (edit)'!B7),"")</f>
      </c>
      <c r="AT453" s="8">
        <f>IF((0=1),((AT103/10000)*'Assumptions (edit)'!B7),"")</f>
      </c>
      <c r="AU453" s="8">
        <f>IF((0=1),((AU103/10000)*'Assumptions (edit)'!B7),"")</f>
      </c>
      <c r="AV453" s="8">
        <f>IF((0=1),((AV103/10000)*'Assumptions (edit)'!B7),"")</f>
      </c>
      <c r="AW453" s="8">
        <f>IF((0=1),((AW103/10000)*'Assumptions (edit)'!B7),"")</f>
      </c>
      <c r="AX453" s="8">
        <f>IF((0=1),((AX103/10000)*'Assumptions (edit)'!B7),"")</f>
      </c>
      <c r="AY453" s="8">
        <f>IF((0=1),((AY103/10000)*'Assumptions (edit)'!B7),"")</f>
      </c>
      <c r="AZ453" s="8">
        <f>IF((0=1),((AZ103/10000)*'Assumptions (edit)'!B7),"")</f>
      </c>
      <c r="BA453" s="8">
        <f>IF((0=1),((BA103/10000)*'Assumptions (edit)'!B7),"")</f>
      </c>
      <c r="BB453" s="8">
        <f>IF((0=1),((BB103/10000)*'Assumptions (edit)'!B7),"")</f>
      </c>
      <c r="BC453" s="8">
        <f>IF((0=1),((BC103/10000)*'Assumptions (edit)'!B7),"")</f>
      </c>
      <c r="BD453" s="8">
        <f>IF((0=1),((BD103/10000)*'Assumptions (edit)'!B7),"")</f>
      </c>
      <c r="BE453" s="8">
        <f>IF((0=1),((BE103/10000)*'Assumptions (edit)'!B7),"")</f>
      </c>
      <c r="BF453" s="8">
        <f>IF((0=1),((BF103/10000)*'Assumptions (edit)'!B7),"")</f>
      </c>
      <c r="BG453" s="8">
        <f>IF((0=1),((BG103/10000)*'Assumptions (edit)'!B7),"")</f>
      </c>
      <c r="BH453" s="8">
        <f>IF((0=1),((BH103/10000)*'Assumptions (edit)'!B7),"")</f>
      </c>
      <c r="BI453" s="8">
        <f>IF((0=1),((BI103/10000)*'Assumptions (edit)'!B7),"")</f>
      </c>
      <c r="BJ453" s="8">
        <f>IF((0=1),((BJ103/10000)*'Assumptions (edit)'!B7),"")</f>
      </c>
      <c r="BK453" s="8">
        <f>IF((0=1),((BK103/10000)*'Assumptions (edit)'!B7),"")</f>
      </c>
      <c r="BL453" s="8">
        <f>IF((0=1),((BL103/10000)*'Assumptions (edit)'!B7),"")</f>
      </c>
      <c r="BM453" s="8">
        <f>IF((0=1),((BM103/10000)*'Assumptions (edit)'!B7),"")</f>
      </c>
      <c r="BN453" s="8">
        <f>IF((0=1),((BN103/10000)*'Assumptions (edit)'!B7),"")</f>
      </c>
      <c r="BO453" s="8">
        <f>IF((0=1),((BO103/10000)*'Assumptions (edit)'!B7),"")</f>
      </c>
      <c r="BP453" s="8">
        <f>IF((0=1),((BP103/10000)*'Assumptions (edit)'!B7),"")</f>
      </c>
      <c r="BQ453" s="8">
        <f>IF((0=1),((BQ103/10000)*'Assumptions (edit)'!B7),"")</f>
      </c>
      <c r="BR453" s="8">
        <f>IF((0=1),((BR103/10000)*'Assumptions (edit)'!B7),"")</f>
      </c>
      <c r="BS453" s="8">
        <f>IF((0=1),((BS103/10000)*'Assumptions (edit)'!B7),"")</f>
      </c>
      <c r="BT453" s="8">
        <f>IF((0=1),((BT103/10000)*'Assumptions (edit)'!B7),"")</f>
      </c>
      <c r="BU453" s="8">
        <f>IF((0=1),((BU103/10000)*'Assumptions (edit)'!B7),"")</f>
      </c>
      <c r="BV453" s="8">
        <f>IF((0=1),((BV103/10000)*'Assumptions (edit)'!B7),"")</f>
      </c>
      <c r="BW453" s="8">
        <f>IF((0=1),((BW103/10000)*'Assumptions (edit)'!B7),"")</f>
      </c>
      <c r="BX453" s="8">
        <f>IF((0=1),((BX103/10000)*'Assumptions (edit)'!B7),"")</f>
      </c>
      <c r="BY453" s="8">
        <f>IF((0=1),((BY103/10000)*'Assumptions (edit)'!B7),"")</f>
      </c>
      <c r="BZ453" s="8">
        <f>IF((0=1),((BZ103/10000)*'Assumptions (edit)'!B7),"")</f>
      </c>
      <c r="CA453" s="8">
        <f>IF((0=1),((CA103/10000)*'Assumptions (edit)'!B7),"")</f>
      </c>
      <c r="CB453" s="8">
        <f>IF((0=1),((CB103/10000)*'Assumptions (edit)'!B7),"")</f>
      </c>
      <c r="CC453" s="8">
        <f>IF((0=1),((CC103/10000)*'Assumptions (edit)'!B7),"")</f>
      </c>
      <c r="CD453" s="8">
        <f>IF((0=1),((CD103/10000)*'Assumptions (edit)'!B7),"")</f>
      </c>
      <c r="CE453" s="8">
        <f>IF((0=1),((CE103/10000)*'Assumptions (edit)'!B7),"")</f>
      </c>
      <c r="CF453" s="8">
        <f>IF((0=1),((CF103/10000)*'Assumptions (edit)'!B7),"")</f>
      </c>
      <c r="CG453" s="8">
        <f>IF((0=1),((CG103/10000)*'Assumptions (edit)'!B7),"")</f>
      </c>
      <c r="CH453" s="8">
        <f>IF((0=1),((CH103/10000)*'Assumptions (edit)'!B7),"")</f>
      </c>
      <c r="CI453" s="8">
        <f>IF((0=1),((CI103/10000)*'Assumptions (edit)'!B7),"")</f>
      </c>
      <c r="CJ453" s="8">
        <f>IF((0=1),((CJ103/10000)*'Assumptions (edit)'!B7),"")</f>
      </c>
      <c r="CK453" s="8">
        <f>IF((0=1),((CK103/10000)*'Assumptions (edit)'!B7),"")</f>
      </c>
      <c r="CL453" s="8">
        <f>IF((0=1),((CL103/10000)*'Assumptions (edit)'!B7),"")</f>
      </c>
      <c r="CM453" s="8">
        <f>IF((0=1),((CM103/10000)*'Assumptions (edit)'!B7),"")</f>
      </c>
      <c r="CN453" s="8">
        <f>IF((0=1),((CN103/10000)*'Assumptions (edit)'!B7),"")</f>
      </c>
      <c r="CO453" s="8">
        <f>IF((0=1),((CO103/10000)*'Assumptions (edit)'!B7),"")</f>
      </c>
      <c r="CP453" s="8">
        <f>IF((0=1),((CP103/10000)*'Assumptions (edit)'!B7),"")</f>
      </c>
      <c r="CQ453" s="8">
        <f>IF((0=1),((CQ103/10000)*'Assumptions (edit)'!B7),"")</f>
      </c>
      <c r="CR453" s="8">
        <f>IF((0=1),((CR103/10000)*'Assumptions (edit)'!B7),"")</f>
      </c>
      <c r="CS453" s="8">
        <f>IF((0=1),((CS103/10000)*'Assumptions (edit)'!B7),"")</f>
      </c>
      <c r="CT453" s="8">
        <f>IF((0=1),((CT103/10000)*'Assumptions (edit)'!B7),"")</f>
      </c>
      <c r="CU453" s="8">
        <f>IF((0=1),((CU103/10000)*'Assumptions (edit)'!B7),"")</f>
      </c>
      <c r="CV453" s="8">
        <f>IF((0=1),((CV103/10000)*'Assumptions (edit)'!B7),"")</f>
      </c>
      <c r="CW453" s="8">
        <f>IF((0=1),((CW103/10000)*'Assumptions (edit)'!B7),"")</f>
      </c>
      <c r="CX453" s="8">
        <f>IF((0=1),((CX103/10000)*'Assumptions (edit)'!B7),"")</f>
      </c>
    </row>
    <row r="454">
      <c r="A454" s="0" t="inlineStr">
        <is>
          <t xml:space="preserve">Net P&amp;L on notional, $</t>
        </is>
      </c>
      <c r="B454" s="0" t="inlineStr">
        <is>
          <t xml:space="preserve">Random 18</t>
        </is>
      </c>
      <c r="C454" s="8">
        <f>IF((1=1),((C104/10000)*'Assumptions (edit)'!B7),"")</f>
        <v>-18.100000000000005</v>
      </c>
      <c r="D454" s="8">
        <f>IF((0=1),((D104/10000)*'Assumptions (edit)'!B7),"")</f>
      </c>
      <c r="E454" s="8">
        <f>IF((0=1),((E104/10000)*'Assumptions (edit)'!B7),"")</f>
      </c>
      <c r="F454" s="8">
        <f>IF((0=1),((F104/10000)*'Assumptions (edit)'!B7),"")</f>
      </c>
      <c r="G454" s="8">
        <f>IF((0=1),((G104/10000)*'Assumptions (edit)'!B7),"")</f>
      </c>
      <c r="H454" s="8">
        <f>IF((0=1),((H104/10000)*'Assumptions (edit)'!B7),"")</f>
      </c>
      <c r="I454" s="8">
        <f>IF((0=1),((I104/10000)*'Assumptions (edit)'!B7),"")</f>
      </c>
      <c r="J454" s="8">
        <f>IF((0=1),((J104/10000)*'Assumptions (edit)'!B7),"")</f>
      </c>
      <c r="K454" s="8">
        <f>IF((0=1),((K104/10000)*'Assumptions (edit)'!B7),"")</f>
      </c>
      <c r="L454" s="8">
        <f>IF((0=1),((L104/10000)*'Assumptions (edit)'!B7),"")</f>
      </c>
      <c r="M454" s="8">
        <f>IF((0=1),((M104/10000)*'Assumptions (edit)'!B7),"")</f>
      </c>
      <c r="N454" s="8">
        <f>IF((0=1),((N104/10000)*'Assumptions (edit)'!B7),"")</f>
      </c>
      <c r="O454" s="8">
        <f>IF((0=1),((O104/10000)*'Assumptions (edit)'!B7),"")</f>
      </c>
      <c r="P454" s="8">
        <f>IF((0=1),((P104/10000)*'Assumptions (edit)'!B7),"")</f>
      </c>
      <c r="Q454" s="8">
        <f>IF((0=1),((Q104/10000)*'Assumptions (edit)'!B7),"")</f>
      </c>
      <c r="R454" s="8">
        <f>IF((0=1),((R104/10000)*'Assumptions (edit)'!B7),"")</f>
      </c>
      <c r="S454" s="8">
        <f>IF((0=1),((S104/10000)*'Assumptions (edit)'!B7),"")</f>
      </c>
      <c r="T454" s="8">
        <f>IF((0=1),((T104/10000)*'Assumptions (edit)'!B7),"")</f>
      </c>
      <c r="U454" s="8">
        <f>IF((0=1),((U104/10000)*'Assumptions (edit)'!B7),"")</f>
      </c>
      <c r="V454" s="8">
        <f>IF((0=1),((V104/10000)*'Assumptions (edit)'!B7),"")</f>
      </c>
      <c r="W454" s="8">
        <f>IF((0=1),((W104/10000)*'Assumptions (edit)'!B7),"")</f>
      </c>
      <c r="X454" s="8">
        <f>IF((0=1),((X104/10000)*'Assumptions (edit)'!B7),"")</f>
      </c>
      <c r="Y454" s="8">
        <f>IF((0=1),((Y104/10000)*'Assumptions (edit)'!B7),"")</f>
      </c>
      <c r="Z454" s="8">
        <f>IF((0=1),((Z104/10000)*'Assumptions (edit)'!B7),"")</f>
      </c>
      <c r="AA454" s="8">
        <f>IF((0=1),((AA104/10000)*'Assumptions (edit)'!B7),"")</f>
      </c>
      <c r="AB454" s="8">
        <f>IF((0=1),((AB104/10000)*'Assumptions (edit)'!B7),"")</f>
      </c>
      <c r="AC454" s="8">
        <f>IF((0=1),((AC104/10000)*'Assumptions (edit)'!B7),"")</f>
      </c>
      <c r="AD454" s="8">
        <f>IF((0=1),((AD104/10000)*'Assumptions (edit)'!B7),"")</f>
      </c>
      <c r="AE454" s="8">
        <f>IF((0=1),((AE104/10000)*'Assumptions (edit)'!B7),"")</f>
      </c>
      <c r="AF454" s="8">
        <f>IF((0=1),((AF104/10000)*'Assumptions (edit)'!B7),"")</f>
      </c>
      <c r="AG454" s="8">
        <f>IF((0=1),((AG104/10000)*'Assumptions (edit)'!B7),"")</f>
      </c>
      <c r="AH454" s="8">
        <f>IF((0=1),((AH104/10000)*'Assumptions (edit)'!B7),"")</f>
      </c>
      <c r="AI454" s="8">
        <f>IF((0=1),((AI104/10000)*'Assumptions (edit)'!B7),"")</f>
      </c>
      <c r="AJ454" s="8">
        <f>IF((0=1),((AJ104/10000)*'Assumptions (edit)'!B7),"")</f>
      </c>
      <c r="AK454" s="8">
        <f>IF((0=1),((AK104/10000)*'Assumptions (edit)'!B7),"")</f>
      </c>
      <c r="AL454" s="8">
        <f>IF((0=1),((AL104/10000)*'Assumptions (edit)'!B7),"")</f>
      </c>
      <c r="AM454" s="8">
        <f>IF((0=1),((AM104/10000)*'Assumptions (edit)'!B7),"")</f>
      </c>
      <c r="AN454" s="8">
        <f>IF((0=1),((AN104/10000)*'Assumptions (edit)'!B7),"")</f>
      </c>
      <c r="AO454" s="8">
        <f>IF((0=1),((AO104/10000)*'Assumptions (edit)'!B7),"")</f>
      </c>
      <c r="AP454" s="8">
        <f>IF((0=1),((AP104/10000)*'Assumptions (edit)'!B7),"")</f>
      </c>
      <c r="AQ454" s="8">
        <f>IF((0=1),((AQ104/10000)*'Assumptions (edit)'!B7),"")</f>
      </c>
      <c r="AR454" s="8">
        <f>IF((0=1),((AR104/10000)*'Assumptions (edit)'!B7),"")</f>
      </c>
      <c r="AS454" s="8">
        <f>IF((0=1),((AS104/10000)*'Assumptions (edit)'!B7),"")</f>
      </c>
      <c r="AT454" s="8">
        <f>IF((0=1),((AT104/10000)*'Assumptions (edit)'!B7),"")</f>
      </c>
      <c r="AU454" s="8">
        <f>IF((0=1),((AU104/10000)*'Assumptions (edit)'!B7),"")</f>
      </c>
      <c r="AV454" s="8">
        <f>IF((0=1),((AV104/10000)*'Assumptions (edit)'!B7),"")</f>
      </c>
      <c r="AW454" s="8">
        <f>IF((0=1),((AW104/10000)*'Assumptions (edit)'!B7),"")</f>
      </c>
      <c r="AX454" s="8">
        <f>IF((0=1),((AX104/10000)*'Assumptions (edit)'!B7),"")</f>
      </c>
      <c r="AY454" s="8">
        <f>IF((0=1),((AY104/10000)*'Assumptions (edit)'!B7),"")</f>
      </c>
      <c r="AZ454" s="8">
        <f>IF((0=1),((AZ104/10000)*'Assumptions (edit)'!B7),"")</f>
      </c>
      <c r="BA454" s="8">
        <f>IF((0=1),((BA104/10000)*'Assumptions (edit)'!B7),"")</f>
      </c>
      <c r="BB454" s="8">
        <f>IF((0=1),((BB104/10000)*'Assumptions (edit)'!B7),"")</f>
      </c>
      <c r="BC454" s="8">
        <f>IF((0=1),((BC104/10000)*'Assumptions (edit)'!B7),"")</f>
      </c>
      <c r="BD454" s="8">
        <f>IF((0=1),((BD104/10000)*'Assumptions (edit)'!B7),"")</f>
      </c>
      <c r="BE454" s="8">
        <f>IF((0=1),((BE104/10000)*'Assumptions (edit)'!B7),"")</f>
      </c>
      <c r="BF454" s="8">
        <f>IF((0=1),((BF104/10000)*'Assumptions (edit)'!B7),"")</f>
      </c>
      <c r="BG454" s="8">
        <f>IF((0=1),((BG104/10000)*'Assumptions (edit)'!B7),"")</f>
      </c>
      <c r="BH454" s="8">
        <f>IF((0=1),((BH104/10000)*'Assumptions (edit)'!B7),"")</f>
      </c>
      <c r="BI454" s="8">
        <f>IF((0=1),((BI104/10000)*'Assumptions (edit)'!B7),"")</f>
      </c>
      <c r="BJ454" s="8">
        <f>IF((0=1),((BJ104/10000)*'Assumptions (edit)'!B7),"")</f>
      </c>
      <c r="BK454" s="8">
        <f>IF((0=1),((BK104/10000)*'Assumptions (edit)'!B7),"")</f>
      </c>
      <c r="BL454" s="8">
        <f>IF((0=1),((BL104/10000)*'Assumptions (edit)'!B7),"")</f>
      </c>
      <c r="BM454" s="8">
        <f>IF((0=1),((BM104/10000)*'Assumptions (edit)'!B7),"")</f>
      </c>
      <c r="BN454" s="8">
        <f>IF((0=1),((BN104/10000)*'Assumptions (edit)'!B7),"")</f>
      </c>
      <c r="BO454" s="8">
        <f>IF((0=1),((BO104/10000)*'Assumptions (edit)'!B7),"")</f>
      </c>
      <c r="BP454" s="8">
        <f>IF((0=1),((BP104/10000)*'Assumptions (edit)'!B7),"")</f>
      </c>
      <c r="BQ454" s="8">
        <f>IF((0=1),((BQ104/10000)*'Assumptions (edit)'!B7),"")</f>
      </c>
      <c r="BR454" s="8">
        <f>IF((0=1),((BR104/10000)*'Assumptions (edit)'!B7),"")</f>
      </c>
      <c r="BS454" s="8">
        <f>IF((0=1),((BS104/10000)*'Assumptions (edit)'!B7),"")</f>
      </c>
      <c r="BT454" s="8">
        <f>IF((0=1),((BT104/10000)*'Assumptions (edit)'!B7),"")</f>
      </c>
      <c r="BU454" s="8">
        <f>IF((0=1),((BU104/10000)*'Assumptions (edit)'!B7),"")</f>
      </c>
      <c r="BV454" s="8">
        <f>IF((0=1),((BV104/10000)*'Assumptions (edit)'!B7),"")</f>
      </c>
      <c r="BW454" s="8">
        <f>IF((0=1),((BW104/10000)*'Assumptions (edit)'!B7),"")</f>
      </c>
      <c r="BX454" s="8">
        <f>IF((0=1),((BX104/10000)*'Assumptions (edit)'!B7),"")</f>
      </c>
      <c r="BY454" s="8">
        <f>IF((0=1),((BY104/10000)*'Assumptions (edit)'!B7),"")</f>
      </c>
      <c r="BZ454" s="8">
        <f>IF((0=1),((BZ104/10000)*'Assumptions (edit)'!B7),"")</f>
      </c>
      <c r="CA454" s="8">
        <f>IF((0=1),((CA104/10000)*'Assumptions (edit)'!B7),"")</f>
      </c>
      <c r="CB454" s="8">
        <f>IF((0=1),((CB104/10000)*'Assumptions (edit)'!B7),"")</f>
      </c>
      <c r="CC454" s="8">
        <f>IF((0=1),((CC104/10000)*'Assumptions (edit)'!B7),"")</f>
      </c>
      <c r="CD454" s="8">
        <f>IF((0=1),((CD104/10000)*'Assumptions (edit)'!B7),"")</f>
      </c>
      <c r="CE454" s="8">
        <f>IF((0=1),((CE104/10000)*'Assumptions (edit)'!B7),"")</f>
      </c>
      <c r="CF454" s="8">
        <f>IF((0=1),((CF104/10000)*'Assumptions (edit)'!B7),"")</f>
      </c>
      <c r="CG454" s="8">
        <f>IF((0=1),((CG104/10000)*'Assumptions (edit)'!B7),"")</f>
      </c>
      <c r="CH454" s="8">
        <f>IF((0=1),((CH104/10000)*'Assumptions (edit)'!B7),"")</f>
      </c>
      <c r="CI454" s="8">
        <f>IF((0=1),((CI104/10000)*'Assumptions (edit)'!B7),"")</f>
      </c>
      <c r="CJ454" s="8">
        <f>IF((0=1),((CJ104/10000)*'Assumptions (edit)'!B7),"")</f>
      </c>
      <c r="CK454" s="8">
        <f>IF((0=1),((CK104/10000)*'Assumptions (edit)'!B7),"")</f>
      </c>
      <c r="CL454" s="8">
        <f>IF((0=1),((CL104/10000)*'Assumptions (edit)'!B7),"")</f>
      </c>
      <c r="CM454" s="8">
        <f>IF((0=1),((CM104/10000)*'Assumptions (edit)'!B7),"")</f>
      </c>
      <c r="CN454" s="8">
        <f>IF((0=1),((CN104/10000)*'Assumptions (edit)'!B7),"")</f>
      </c>
      <c r="CO454" s="8">
        <f>IF((0=1),((CO104/10000)*'Assumptions (edit)'!B7),"")</f>
      </c>
      <c r="CP454" s="8">
        <f>IF((0=1),((CP104/10000)*'Assumptions (edit)'!B7),"")</f>
      </c>
      <c r="CQ454" s="8">
        <f>IF((0=1),((CQ104/10000)*'Assumptions (edit)'!B7),"")</f>
      </c>
      <c r="CR454" s="8">
        <f>IF((0=1),((CR104/10000)*'Assumptions (edit)'!B7),"")</f>
      </c>
      <c r="CS454" s="8">
        <f>IF((0=1),((CS104/10000)*'Assumptions (edit)'!B7),"")</f>
      </c>
      <c r="CT454" s="8">
        <f>IF((0=1),((CT104/10000)*'Assumptions (edit)'!B7),"")</f>
      </c>
      <c r="CU454" s="8">
        <f>IF((0=1),((CU104/10000)*'Assumptions (edit)'!B7),"")</f>
      </c>
      <c r="CV454" s="8">
        <f>IF((0=1),((CV104/10000)*'Assumptions (edit)'!B7),"")</f>
      </c>
      <c r="CW454" s="8">
        <f>IF((0=1),((CW104/10000)*'Assumptions (edit)'!B7),"")</f>
      </c>
      <c r="CX454" s="8">
        <f>IF((0=1),((CX104/10000)*'Assumptions (edit)'!B7),"")</f>
      </c>
    </row>
    <row r="455">
      <c r="A455" s="0" t="inlineStr">
        <is>
          <t xml:space="preserve">Net P&amp;L on notional, $</t>
        </is>
      </c>
      <c r="B455" s="0" t="inlineStr">
        <is>
          <t xml:space="preserve">Random 19</t>
        </is>
      </c>
      <c r="C455" s="8">
        <f>IF((1=1),((C105/10000)*'Assumptions (edit)'!B7),"")</f>
        <v>-86.38</v>
      </c>
      <c r="D455" s="8">
        <f>IF((0=1),((D105/10000)*'Assumptions (edit)'!B7),"")</f>
      </c>
      <c r="E455" s="8">
        <f>IF((0=1),((E105/10000)*'Assumptions (edit)'!B7),"")</f>
      </c>
      <c r="F455" s="8">
        <f>IF((0=1),((F105/10000)*'Assumptions (edit)'!B7),"")</f>
      </c>
      <c r="G455" s="8">
        <f>IF((0=1),((G105/10000)*'Assumptions (edit)'!B7),"")</f>
      </c>
      <c r="H455" s="8">
        <f>IF((0=1),((H105/10000)*'Assumptions (edit)'!B7),"")</f>
      </c>
      <c r="I455" s="8">
        <f>IF((0=1),((I105/10000)*'Assumptions (edit)'!B7),"")</f>
      </c>
      <c r="J455" s="8">
        <f>IF((0=1),((J105/10000)*'Assumptions (edit)'!B7),"")</f>
      </c>
      <c r="K455" s="8">
        <f>IF((0=1),((K105/10000)*'Assumptions (edit)'!B7),"")</f>
      </c>
      <c r="L455" s="8">
        <f>IF((0=1),((L105/10000)*'Assumptions (edit)'!B7),"")</f>
      </c>
      <c r="M455" s="8">
        <f>IF((0=1),((M105/10000)*'Assumptions (edit)'!B7),"")</f>
      </c>
      <c r="N455" s="8">
        <f>IF((0=1),((N105/10000)*'Assumptions (edit)'!B7),"")</f>
      </c>
      <c r="O455" s="8">
        <f>IF((0=1),((O105/10000)*'Assumptions (edit)'!B7),"")</f>
      </c>
      <c r="P455" s="8">
        <f>IF((0=1),((P105/10000)*'Assumptions (edit)'!B7),"")</f>
      </c>
      <c r="Q455" s="8">
        <f>IF((0=1),((Q105/10000)*'Assumptions (edit)'!B7),"")</f>
      </c>
      <c r="R455" s="8">
        <f>IF((0=1),((R105/10000)*'Assumptions (edit)'!B7),"")</f>
      </c>
      <c r="S455" s="8">
        <f>IF((0=1),((S105/10000)*'Assumptions (edit)'!B7),"")</f>
      </c>
      <c r="T455" s="8">
        <f>IF((0=1),((T105/10000)*'Assumptions (edit)'!B7),"")</f>
      </c>
      <c r="U455" s="8">
        <f>IF((0=1),((U105/10000)*'Assumptions (edit)'!B7),"")</f>
      </c>
      <c r="V455" s="8">
        <f>IF((0=1),((V105/10000)*'Assumptions (edit)'!B7),"")</f>
      </c>
      <c r="W455" s="8">
        <f>IF((0=1),((W105/10000)*'Assumptions (edit)'!B7),"")</f>
      </c>
      <c r="X455" s="8">
        <f>IF((0=1),((X105/10000)*'Assumptions (edit)'!B7),"")</f>
      </c>
      <c r="Y455" s="8">
        <f>IF((0=1),((Y105/10000)*'Assumptions (edit)'!B7),"")</f>
      </c>
      <c r="Z455" s="8">
        <f>IF((0=1),((Z105/10000)*'Assumptions (edit)'!B7),"")</f>
      </c>
      <c r="AA455" s="8">
        <f>IF((0=1),((AA105/10000)*'Assumptions (edit)'!B7),"")</f>
      </c>
      <c r="AB455" s="8">
        <f>IF((0=1),((AB105/10000)*'Assumptions (edit)'!B7),"")</f>
      </c>
      <c r="AC455" s="8">
        <f>IF((0=1),((AC105/10000)*'Assumptions (edit)'!B7),"")</f>
      </c>
      <c r="AD455" s="8">
        <f>IF((0=1),((AD105/10000)*'Assumptions (edit)'!B7),"")</f>
      </c>
      <c r="AE455" s="8">
        <f>IF((0=1),((AE105/10000)*'Assumptions (edit)'!B7),"")</f>
      </c>
      <c r="AF455" s="8">
        <f>IF((0=1),((AF105/10000)*'Assumptions (edit)'!B7),"")</f>
      </c>
      <c r="AG455" s="8">
        <f>IF((0=1),((AG105/10000)*'Assumptions (edit)'!B7),"")</f>
      </c>
      <c r="AH455" s="8">
        <f>IF((0=1),((AH105/10000)*'Assumptions (edit)'!B7),"")</f>
      </c>
      <c r="AI455" s="8">
        <f>IF((0=1),((AI105/10000)*'Assumptions (edit)'!B7),"")</f>
      </c>
      <c r="AJ455" s="8">
        <f>IF((0=1),((AJ105/10000)*'Assumptions (edit)'!B7),"")</f>
      </c>
      <c r="AK455" s="8">
        <f>IF((0=1),((AK105/10000)*'Assumptions (edit)'!B7),"")</f>
      </c>
      <c r="AL455" s="8">
        <f>IF((0=1),((AL105/10000)*'Assumptions (edit)'!B7),"")</f>
      </c>
      <c r="AM455" s="8">
        <f>IF((0=1),((AM105/10000)*'Assumptions (edit)'!B7),"")</f>
      </c>
      <c r="AN455" s="8">
        <f>IF((0=1),((AN105/10000)*'Assumptions (edit)'!B7),"")</f>
      </c>
      <c r="AO455" s="8">
        <f>IF((0=1),((AO105/10000)*'Assumptions (edit)'!B7),"")</f>
      </c>
      <c r="AP455" s="8">
        <f>IF((0=1),((AP105/10000)*'Assumptions (edit)'!B7),"")</f>
      </c>
      <c r="AQ455" s="8">
        <f>IF((0=1),((AQ105/10000)*'Assumptions (edit)'!B7),"")</f>
      </c>
      <c r="AR455" s="8">
        <f>IF((0=1),((AR105/10000)*'Assumptions (edit)'!B7),"")</f>
      </c>
      <c r="AS455" s="8">
        <f>IF((0=1),((AS105/10000)*'Assumptions (edit)'!B7),"")</f>
      </c>
      <c r="AT455" s="8">
        <f>IF((0=1),((AT105/10000)*'Assumptions (edit)'!B7),"")</f>
      </c>
      <c r="AU455" s="8">
        <f>IF((0=1),((AU105/10000)*'Assumptions (edit)'!B7),"")</f>
      </c>
      <c r="AV455" s="8">
        <f>IF((0=1),((AV105/10000)*'Assumptions (edit)'!B7),"")</f>
      </c>
      <c r="AW455" s="8">
        <f>IF((0=1),((AW105/10000)*'Assumptions (edit)'!B7),"")</f>
      </c>
      <c r="AX455" s="8">
        <f>IF((0=1),((AX105/10000)*'Assumptions (edit)'!B7),"")</f>
      </c>
      <c r="AY455" s="8">
        <f>IF((0=1),((AY105/10000)*'Assumptions (edit)'!B7),"")</f>
      </c>
      <c r="AZ455" s="8">
        <f>IF((0=1),((AZ105/10000)*'Assumptions (edit)'!B7),"")</f>
      </c>
      <c r="BA455" s="8">
        <f>IF((0=1),((BA105/10000)*'Assumptions (edit)'!B7),"")</f>
      </c>
      <c r="BB455" s="8">
        <f>IF((0=1),((BB105/10000)*'Assumptions (edit)'!B7),"")</f>
      </c>
      <c r="BC455" s="8">
        <f>IF((0=1),((BC105/10000)*'Assumptions (edit)'!B7),"")</f>
      </c>
      <c r="BD455" s="8">
        <f>IF((0=1),((BD105/10000)*'Assumptions (edit)'!B7),"")</f>
      </c>
      <c r="BE455" s="8">
        <f>IF((0=1),((BE105/10000)*'Assumptions (edit)'!B7),"")</f>
      </c>
      <c r="BF455" s="8">
        <f>IF((0=1),((BF105/10000)*'Assumptions (edit)'!B7),"")</f>
      </c>
      <c r="BG455" s="8">
        <f>IF((0=1),((BG105/10000)*'Assumptions (edit)'!B7),"")</f>
      </c>
      <c r="BH455" s="8">
        <f>IF((0=1),((BH105/10000)*'Assumptions (edit)'!B7),"")</f>
      </c>
      <c r="BI455" s="8">
        <f>IF((0=1),((BI105/10000)*'Assumptions (edit)'!B7),"")</f>
      </c>
      <c r="BJ455" s="8">
        <f>IF((0=1),((BJ105/10000)*'Assumptions (edit)'!B7),"")</f>
      </c>
      <c r="BK455" s="8">
        <f>IF((0=1),((BK105/10000)*'Assumptions (edit)'!B7),"")</f>
      </c>
      <c r="BL455" s="8">
        <f>IF((0=1),((BL105/10000)*'Assumptions (edit)'!B7),"")</f>
      </c>
      <c r="BM455" s="8">
        <f>IF((0=1),((BM105/10000)*'Assumptions (edit)'!B7),"")</f>
      </c>
      <c r="BN455" s="8">
        <f>IF((0=1),((BN105/10000)*'Assumptions (edit)'!B7),"")</f>
      </c>
      <c r="BO455" s="8">
        <f>IF((0=1),((BO105/10000)*'Assumptions (edit)'!B7),"")</f>
      </c>
      <c r="BP455" s="8">
        <f>IF((0=1),((BP105/10000)*'Assumptions (edit)'!B7),"")</f>
      </c>
      <c r="BQ455" s="8">
        <f>IF((0=1),((BQ105/10000)*'Assumptions (edit)'!B7),"")</f>
      </c>
      <c r="BR455" s="8">
        <f>IF((0=1),((BR105/10000)*'Assumptions (edit)'!B7),"")</f>
      </c>
      <c r="BS455" s="8">
        <f>IF((0=1),((BS105/10000)*'Assumptions (edit)'!B7),"")</f>
      </c>
      <c r="BT455" s="8">
        <f>IF((0=1),((BT105/10000)*'Assumptions (edit)'!B7),"")</f>
      </c>
      <c r="BU455" s="8">
        <f>IF((0=1),((BU105/10000)*'Assumptions (edit)'!B7),"")</f>
      </c>
      <c r="BV455" s="8">
        <f>IF((0=1),((BV105/10000)*'Assumptions (edit)'!B7),"")</f>
      </c>
      <c r="BW455" s="8">
        <f>IF((0=1),((BW105/10000)*'Assumptions (edit)'!B7),"")</f>
      </c>
      <c r="BX455" s="8">
        <f>IF((0=1),((BX105/10000)*'Assumptions (edit)'!B7),"")</f>
      </c>
      <c r="BY455" s="8">
        <f>IF((0=1),((BY105/10000)*'Assumptions (edit)'!B7),"")</f>
      </c>
      <c r="BZ455" s="8">
        <f>IF((0=1),((BZ105/10000)*'Assumptions (edit)'!B7),"")</f>
      </c>
      <c r="CA455" s="8">
        <f>IF((0=1),((CA105/10000)*'Assumptions (edit)'!B7),"")</f>
      </c>
      <c r="CB455" s="8">
        <f>IF((0=1),((CB105/10000)*'Assumptions (edit)'!B7),"")</f>
      </c>
      <c r="CC455" s="8">
        <f>IF((0=1),((CC105/10000)*'Assumptions (edit)'!B7),"")</f>
      </c>
      <c r="CD455" s="8">
        <f>IF((0=1),((CD105/10000)*'Assumptions (edit)'!B7),"")</f>
      </c>
      <c r="CE455" s="8">
        <f>IF((0=1),((CE105/10000)*'Assumptions (edit)'!B7),"")</f>
      </c>
      <c r="CF455" s="8">
        <f>IF((0=1),((CF105/10000)*'Assumptions (edit)'!B7),"")</f>
      </c>
      <c r="CG455" s="8">
        <f>IF((0=1),((CG105/10000)*'Assumptions (edit)'!B7),"")</f>
      </c>
      <c r="CH455" s="8">
        <f>IF((0=1),((CH105/10000)*'Assumptions (edit)'!B7),"")</f>
      </c>
      <c r="CI455" s="8">
        <f>IF((0=1),((CI105/10000)*'Assumptions (edit)'!B7),"")</f>
      </c>
      <c r="CJ455" s="8">
        <f>IF((0=1),((CJ105/10000)*'Assumptions (edit)'!B7),"")</f>
      </c>
      <c r="CK455" s="8">
        <f>IF((0=1),((CK105/10000)*'Assumptions (edit)'!B7),"")</f>
      </c>
      <c r="CL455" s="8">
        <f>IF((0=1),((CL105/10000)*'Assumptions (edit)'!B7),"")</f>
      </c>
      <c r="CM455" s="8">
        <f>IF((0=1),((CM105/10000)*'Assumptions (edit)'!B7),"")</f>
      </c>
      <c r="CN455" s="8">
        <f>IF((0=1),((CN105/10000)*'Assumptions (edit)'!B7),"")</f>
      </c>
      <c r="CO455" s="8">
        <f>IF((0=1),((CO105/10000)*'Assumptions (edit)'!B7),"")</f>
      </c>
      <c r="CP455" s="8">
        <f>IF((0=1),((CP105/10000)*'Assumptions (edit)'!B7),"")</f>
      </c>
      <c r="CQ455" s="8">
        <f>IF((0=1),((CQ105/10000)*'Assumptions (edit)'!B7),"")</f>
      </c>
      <c r="CR455" s="8">
        <f>IF((0=1),((CR105/10000)*'Assumptions (edit)'!B7),"")</f>
      </c>
      <c r="CS455" s="8">
        <f>IF((0=1),((CS105/10000)*'Assumptions (edit)'!B7),"")</f>
      </c>
      <c r="CT455" s="8">
        <f>IF((0=1),((CT105/10000)*'Assumptions (edit)'!B7),"")</f>
      </c>
      <c r="CU455" s="8">
        <f>IF((0=1),((CU105/10000)*'Assumptions (edit)'!B7),"")</f>
      </c>
      <c r="CV455" s="8">
        <f>IF((0=1),((CV105/10000)*'Assumptions (edit)'!B7),"")</f>
      </c>
      <c r="CW455" s="8">
        <f>IF((0=1),((CW105/10000)*'Assumptions (edit)'!B7),"")</f>
      </c>
      <c r="CX455" s="8">
        <f>IF((0=1),((CX105/10000)*'Assumptions (edit)'!B7),"")</f>
      </c>
    </row>
    <row r="456">
      <c r="A456" s="0" t="inlineStr">
        <is>
          <t xml:space="preserve">Net P&amp;L on notional, $</t>
        </is>
      </c>
      <c r="B456" s="0" t="inlineStr">
        <is>
          <t xml:space="preserve">Random 20</t>
        </is>
      </c>
      <c r="C456" s="8">
        <f>IF((1=1),((C106/10000)*'Assumptions (edit)'!B7),"")</f>
        <v>-48.61</v>
      </c>
      <c r="D456" s="8">
        <f>IF((0=1),((D106/10000)*'Assumptions (edit)'!B7),"")</f>
      </c>
      <c r="E456" s="8">
        <f>IF((0=1),((E106/10000)*'Assumptions (edit)'!B7),"")</f>
      </c>
      <c r="F456" s="8">
        <f>IF((0=1),((F106/10000)*'Assumptions (edit)'!B7),"")</f>
      </c>
      <c r="G456" s="8">
        <f>IF((0=1),((G106/10000)*'Assumptions (edit)'!B7),"")</f>
      </c>
      <c r="H456" s="8">
        <f>IF((0=1),((H106/10000)*'Assumptions (edit)'!B7),"")</f>
      </c>
      <c r="I456" s="8">
        <f>IF((0=1),((I106/10000)*'Assumptions (edit)'!B7),"")</f>
      </c>
      <c r="J456" s="8">
        <f>IF((0=1),((J106/10000)*'Assumptions (edit)'!B7),"")</f>
      </c>
      <c r="K456" s="8">
        <f>IF((0=1),((K106/10000)*'Assumptions (edit)'!B7),"")</f>
      </c>
      <c r="L456" s="8">
        <f>IF((0=1),((L106/10000)*'Assumptions (edit)'!B7),"")</f>
      </c>
      <c r="M456" s="8">
        <f>IF((0=1),((M106/10000)*'Assumptions (edit)'!B7),"")</f>
      </c>
      <c r="N456" s="8">
        <f>IF((0=1),((N106/10000)*'Assumptions (edit)'!B7),"")</f>
      </c>
      <c r="O456" s="8">
        <f>IF((0=1),((O106/10000)*'Assumptions (edit)'!B7),"")</f>
      </c>
      <c r="P456" s="8">
        <f>IF((0=1),((P106/10000)*'Assumptions (edit)'!B7),"")</f>
      </c>
      <c r="Q456" s="8">
        <f>IF((0=1),((Q106/10000)*'Assumptions (edit)'!B7),"")</f>
      </c>
      <c r="R456" s="8">
        <f>IF((0=1),((R106/10000)*'Assumptions (edit)'!B7),"")</f>
      </c>
      <c r="S456" s="8">
        <f>IF((0=1),((S106/10000)*'Assumptions (edit)'!B7),"")</f>
      </c>
      <c r="T456" s="8">
        <f>IF((0=1),((T106/10000)*'Assumptions (edit)'!B7),"")</f>
      </c>
      <c r="U456" s="8">
        <f>IF((0=1),((U106/10000)*'Assumptions (edit)'!B7),"")</f>
      </c>
      <c r="V456" s="8">
        <f>IF((0=1),((V106/10000)*'Assumptions (edit)'!B7),"")</f>
      </c>
      <c r="W456" s="8">
        <f>IF((0=1),((W106/10000)*'Assumptions (edit)'!B7),"")</f>
      </c>
      <c r="X456" s="8">
        <f>IF((0=1),((X106/10000)*'Assumptions (edit)'!B7),"")</f>
      </c>
      <c r="Y456" s="8">
        <f>IF((0=1),((Y106/10000)*'Assumptions (edit)'!B7),"")</f>
      </c>
      <c r="Z456" s="8">
        <f>IF((0=1),((Z106/10000)*'Assumptions (edit)'!B7),"")</f>
      </c>
      <c r="AA456" s="8">
        <f>IF((0=1),((AA106/10000)*'Assumptions (edit)'!B7),"")</f>
      </c>
      <c r="AB456" s="8">
        <f>IF((0=1),((AB106/10000)*'Assumptions (edit)'!B7),"")</f>
      </c>
      <c r="AC456" s="8">
        <f>IF((0=1),((AC106/10000)*'Assumptions (edit)'!B7),"")</f>
      </c>
      <c r="AD456" s="8">
        <f>IF((0=1),((AD106/10000)*'Assumptions (edit)'!B7),"")</f>
      </c>
      <c r="AE456" s="8">
        <f>IF((0=1),((AE106/10000)*'Assumptions (edit)'!B7),"")</f>
      </c>
      <c r="AF456" s="8">
        <f>IF((0=1),((AF106/10000)*'Assumptions (edit)'!B7),"")</f>
      </c>
      <c r="AG456" s="8">
        <f>IF((0=1),((AG106/10000)*'Assumptions (edit)'!B7),"")</f>
      </c>
      <c r="AH456" s="8">
        <f>IF((0=1),((AH106/10000)*'Assumptions (edit)'!B7),"")</f>
      </c>
      <c r="AI456" s="8">
        <f>IF((0=1),((AI106/10000)*'Assumptions (edit)'!B7),"")</f>
      </c>
      <c r="AJ456" s="8">
        <f>IF((0=1),((AJ106/10000)*'Assumptions (edit)'!B7),"")</f>
      </c>
      <c r="AK456" s="8">
        <f>IF((0=1),((AK106/10000)*'Assumptions (edit)'!B7),"")</f>
      </c>
      <c r="AL456" s="8">
        <f>IF((0=1),((AL106/10000)*'Assumptions (edit)'!B7),"")</f>
      </c>
      <c r="AM456" s="8">
        <f>IF((0=1),((AM106/10000)*'Assumptions (edit)'!B7),"")</f>
      </c>
      <c r="AN456" s="8">
        <f>IF((0=1),((AN106/10000)*'Assumptions (edit)'!B7),"")</f>
      </c>
      <c r="AO456" s="8">
        <f>IF((0=1),((AO106/10000)*'Assumptions (edit)'!B7),"")</f>
      </c>
      <c r="AP456" s="8">
        <f>IF((0=1),((AP106/10000)*'Assumptions (edit)'!B7),"")</f>
      </c>
      <c r="AQ456" s="8">
        <f>IF((0=1),((AQ106/10000)*'Assumptions (edit)'!B7),"")</f>
      </c>
      <c r="AR456" s="8">
        <f>IF((0=1),((AR106/10000)*'Assumptions (edit)'!B7),"")</f>
      </c>
      <c r="AS456" s="8">
        <f>IF((0=1),((AS106/10000)*'Assumptions (edit)'!B7),"")</f>
      </c>
      <c r="AT456" s="8">
        <f>IF((0=1),((AT106/10000)*'Assumptions (edit)'!B7),"")</f>
      </c>
      <c r="AU456" s="8">
        <f>IF((0=1),((AU106/10000)*'Assumptions (edit)'!B7),"")</f>
      </c>
      <c r="AV456" s="8">
        <f>IF((0=1),((AV106/10000)*'Assumptions (edit)'!B7),"")</f>
      </c>
      <c r="AW456" s="8">
        <f>IF((0=1),((AW106/10000)*'Assumptions (edit)'!B7),"")</f>
      </c>
      <c r="AX456" s="8">
        <f>IF((0=1),((AX106/10000)*'Assumptions (edit)'!B7),"")</f>
      </c>
      <c r="AY456" s="8">
        <f>IF((0=1),((AY106/10000)*'Assumptions (edit)'!B7),"")</f>
      </c>
      <c r="AZ456" s="8">
        <f>IF((0=1),((AZ106/10000)*'Assumptions (edit)'!B7),"")</f>
      </c>
      <c r="BA456" s="8">
        <f>IF((0=1),((BA106/10000)*'Assumptions (edit)'!B7),"")</f>
      </c>
      <c r="BB456" s="8">
        <f>IF((0=1),((BB106/10000)*'Assumptions (edit)'!B7),"")</f>
      </c>
      <c r="BC456" s="8">
        <f>IF((0=1),((BC106/10000)*'Assumptions (edit)'!B7),"")</f>
      </c>
      <c r="BD456" s="8">
        <f>IF((0=1),((BD106/10000)*'Assumptions (edit)'!B7),"")</f>
      </c>
      <c r="BE456" s="8">
        <f>IF((0=1),((BE106/10000)*'Assumptions (edit)'!B7),"")</f>
      </c>
      <c r="BF456" s="8">
        <f>IF((0=1),((BF106/10000)*'Assumptions (edit)'!B7),"")</f>
      </c>
      <c r="BG456" s="8">
        <f>IF((0=1),((BG106/10000)*'Assumptions (edit)'!B7),"")</f>
      </c>
      <c r="BH456" s="8">
        <f>IF((0=1),((BH106/10000)*'Assumptions (edit)'!B7),"")</f>
      </c>
      <c r="BI456" s="8">
        <f>IF((0=1),((BI106/10000)*'Assumptions (edit)'!B7),"")</f>
      </c>
      <c r="BJ456" s="8">
        <f>IF((0=1),((BJ106/10000)*'Assumptions (edit)'!B7),"")</f>
      </c>
      <c r="BK456" s="8">
        <f>IF((0=1),((BK106/10000)*'Assumptions (edit)'!B7),"")</f>
      </c>
      <c r="BL456" s="8">
        <f>IF((0=1),((BL106/10000)*'Assumptions (edit)'!B7),"")</f>
      </c>
      <c r="BM456" s="8">
        <f>IF((0=1),((BM106/10000)*'Assumptions (edit)'!B7),"")</f>
      </c>
      <c r="BN456" s="8">
        <f>IF((0=1),((BN106/10000)*'Assumptions (edit)'!B7),"")</f>
      </c>
      <c r="BO456" s="8">
        <f>IF((0=1),((BO106/10000)*'Assumptions (edit)'!B7),"")</f>
      </c>
      <c r="BP456" s="8">
        <f>IF((0=1),((BP106/10000)*'Assumptions (edit)'!B7),"")</f>
      </c>
      <c r="BQ456" s="8">
        <f>IF((0=1),((BQ106/10000)*'Assumptions (edit)'!B7),"")</f>
      </c>
      <c r="BR456" s="8">
        <f>IF((0=1),((BR106/10000)*'Assumptions (edit)'!B7),"")</f>
      </c>
      <c r="BS456" s="8">
        <f>IF((0=1),((BS106/10000)*'Assumptions (edit)'!B7),"")</f>
      </c>
      <c r="BT456" s="8">
        <f>IF((0=1),((BT106/10000)*'Assumptions (edit)'!B7),"")</f>
      </c>
      <c r="BU456" s="8">
        <f>IF((0=1),((BU106/10000)*'Assumptions (edit)'!B7),"")</f>
      </c>
      <c r="BV456" s="8">
        <f>IF((0=1),((BV106/10000)*'Assumptions (edit)'!B7),"")</f>
      </c>
      <c r="BW456" s="8">
        <f>IF((0=1),((BW106/10000)*'Assumptions (edit)'!B7),"")</f>
      </c>
      <c r="BX456" s="8">
        <f>IF((0=1),((BX106/10000)*'Assumptions (edit)'!B7),"")</f>
      </c>
      <c r="BY456" s="8">
        <f>IF((0=1),((BY106/10000)*'Assumptions (edit)'!B7),"")</f>
      </c>
      <c r="BZ456" s="8">
        <f>IF((0=1),((BZ106/10000)*'Assumptions (edit)'!B7),"")</f>
      </c>
      <c r="CA456" s="8">
        <f>IF((0=1),((CA106/10000)*'Assumptions (edit)'!B7),"")</f>
      </c>
      <c r="CB456" s="8">
        <f>IF((0=1),((CB106/10000)*'Assumptions (edit)'!B7),"")</f>
      </c>
      <c r="CC456" s="8">
        <f>IF((0=1),((CC106/10000)*'Assumptions (edit)'!B7),"")</f>
      </c>
      <c r="CD456" s="8">
        <f>IF((0=1),((CD106/10000)*'Assumptions (edit)'!B7),"")</f>
      </c>
      <c r="CE456" s="8">
        <f>IF((0=1),((CE106/10000)*'Assumptions (edit)'!B7),"")</f>
      </c>
      <c r="CF456" s="8">
        <f>IF((0=1),((CF106/10000)*'Assumptions (edit)'!B7),"")</f>
      </c>
      <c r="CG456" s="8">
        <f>IF((0=1),((CG106/10000)*'Assumptions (edit)'!B7),"")</f>
      </c>
      <c r="CH456" s="8">
        <f>IF((0=1),((CH106/10000)*'Assumptions (edit)'!B7),"")</f>
      </c>
      <c r="CI456" s="8">
        <f>IF((0=1),((CI106/10000)*'Assumptions (edit)'!B7),"")</f>
      </c>
      <c r="CJ456" s="8">
        <f>IF((0=1),((CJ106/10000)*'Assumptions (edit)'!B7),"")</f>
      </c>
      <c r="CK456" s="8">
        <f>IF((0=1),((CK106/10000)*'Assumptions (edit)'!B7),"")</f>
      </c>
      <c r="CL456" s="8">
        <f>IF((0=1),((CL106/10000)*'Assumptions (edit)'!B7),"")</f>
      </c>
      <c r="CM456" s="8">
        <f>IF((0=1),((CM106/10000)*'Assumptions (edit)'!B7),"")</f>
      </c>
      <c r="CN456" s="8">
        <f>IF((0=1),((CN106/10000)*'Assumptions (edit)'!B7),"")</f>
      </c>
      <c r="CO456" s="8">
        <f>IF((0=1),((CO106/10000)*'Assumptions (edit)'!B7),"")</f>
      </c>
      <c r="CP456" s="8">
        <f>IF((0=1),((CP106/10000)*'Assumptions (edit)'!B7),"")</f>
      </c>
      <c r="CQ456" s="8">
        <f>IF((0=1),((CQ106/10000)*'Assumptions (edit)'!B7),"")</f>
      </c>
      <c r="CR456" s="8">
        <f>IF((0=1),((CR106/10000)*'Assumptions (edit)'!B7),"")</f>
      </c>
      <c r="CS456" s="8">
        <f>IF((0=1),((CS106/10000)*'Assumptions (edit)'!B7),"")</f>
      </c>
      <c r="CT456" s="8">
        <f>IF((0=1),((CT106/10000)*'Assumptions (edit)'!B7),"")</f>
      </c>
      <c r="CU456" s="8">
        <f>IF((0=1),((CU106/10000)*'Assumptions (edit)'!B7),"")</f>
      </c>
      <c r="CV456" s="8">
        <f>IF((0=1),((CV106/10000)*'Assumptions (edit)'!B7),"")</f>
      </c>
      <c r="CW456" s="8">
        <f>IF((0=1),((CW106/10000)*'Assumptions (edit)'!B7),"")</f>
      </c>
      <c r="CX456" s="8">
        <f>IF((0=1),((CX106/10000)*'Assumptions (edit)'!B7),"")</f>
      </c>
    </row>
    <row r="457">
      <c r="A457" s="0" t="inlineStr">
        <is>
          <t xml:space="preserve">Cumulative net P&amp;L, $</t>
        </is>
      </c>
      <c r="B457" s="0" t="inlineStr">
        <is>
          <t xml:space="preserve">worst 100 by yesterday's close-to-close return</t>
        </is>
      </c>
      <c r="C457" s="8">
        <f>IF((1=1),SUM(C422),"")</f>
        <v>273.78999999999996</v>
      </c>
      <c r="D457" s="8">
        <f>IF((0=1),SUM(C422:D422),"")</f>
      </c>
      <c r="E457" s="8">
        <f>IF((0=1),SUM(C422:E422),"")</f>
      </c>
      <c r="F457" s="8">
        <f>IF((0=1),SUM(C422:F422),"")</f>
      </c>
      <c r="G457" s="8">
        <f>IF((0=1),SUM(C422:G422),"")</f>
      </c>
      <c r="H457" s="8">
        <f>IF((0=1),SUM(C422:H422),"")</f>
      </c>
      <c r="I457" s="8">
        <f>IF((0=1),SUM(C422:I422),"")</f>
      </c>
      <c r="J457" s="8">
        <f>IF((0=1),SUM(C422:J422),"")</f>
      </c>
      <c r="K457" s="8">
        <f>IF((0=1),SUM(C422:K422),"")</f>
      </c>
      <c r="L457" s="8">
        <f>IF((0=1),SUM(C422:L422),"")</f>
      </c>
      <c r="M457" s="8">
        <f>IF((0=1),SUM(C422:M422),"")</f>
      </c>
      <c r="N457" s="8">
        <f>IF((0=1),SUM(C422:N422),"")</f>
      </c>
      <c r="O457" s="8">
        <f>IF((0=1),SUM(C422:O422),"")</f>
      </c>
      <c r="P457" s="8">
        <f>IF((0=1),SUM(C422:P422),"")</f>
      </c>
      <c r="Q457" s="8">
        <f>IF((0=1),SUM(C422:Q422),"")</f>
      </c>
      <c r="R457" s="8">
        <f>IF((0=1),SUM(C422:R422),"")</f>
      </c>
      <c r="S457" s="8">
        <f>IF((0=1),SUM(C422:S422),"")</f>
      </c>
      <c r="T457" s="8">
        <f>IF((0=1),SUM(C422:T422),"")</f>
      </c>
      <c r="U457" s="8">
        <f>IF((0=1),SUM(C422:U422),"")</f>
      </c>
      <c r="V457" s="8">
        <f>IF((0=1),SUM(C422:V422),"")</f>
      </c>
      <c r="W457" s="8">
        <f>IF((0=1),SUM(C422:W422),"")</f>
      </c>
      <c r="X457" s="8">
        <f>IF((0=1),SUM(C422:X422),"")</f>
      </c>
      <c r="Y457" s="8">
        <f>IF((0=1),SUM(C422:Y422),"")</f>
      </c>
      <c r="Z457" s="8">
        <f>IF((0=1),SUM(C422:Z422),"")</f>
      </c>
      <c r="AA457" s="8">
        <f>IF((0=1),SUM(C422:AA422),"")</f>
      </c>
      <c r="AB457" s="8">
        <f>IF((0=1),SUM(C422:AB422),"")</f>
      </c>
      <c r="AC457" s="8">
        <f>IF((0=1),SUM(C422:AC422),"")</f>
      </c>
      <c r="AD457" s="8">
        <f>IF((0=1),SUM(C422:AD422),"")</f>
      </c>
      <c r="AE457" s="8">
        <f>IF((0=1),SUM(C422:AE422),"")</f>
      </c>
      <c r="AF457" s="8">
        <f>IF((0=1),SUM(C422:AF422),"")</f>
      </c>
      <c r="AG457" s="8">
        <f>IF((0=1),SUM(C422:AG422),"")</f>
      </c>
      <c r="AH457" s="8">
        <f>IF((0=1),SUM(C422:AH422),"")</f>
      </c>
      <c r="AI457" s="8">
        <f>IF((0=1),SUM(C422:AI422),"")</f>
      </c>
      <c r="AJ457" s="8">
        <f>IF((0=1),SUM(C422:AJ422),"")</f>
      </c>
      <c r="AK457" s="8">
        <f>IF((0=1),SUM(C422:AK422),"")</f>
      </c>
      <c r="AL457" s="8">
        <f>IF((0=1),SUM(C422:AL422),"")</f>
      </c>
      <c r="AM457" s="8">
        <f>IF((0=1),SUM(C422:AM422),"")</f>
      </c>
      <c r="AN457" s="8">
        <f>IF((0=1),SUM(C422:AN422),"")</f>
      </c>
      <c r="AO457" s="8">
        <f>IF((0=1),SUM(C422:AO422),"")</f>
      </c>
      <c r="AP457" s="8">
        <f>IF((0=1),SUM(C422:AP422),"")</f>
      </c>
      <c r="AQ457" s="8">
        <f>IF((0=1),SUM(C422:AQ422),"")</f>
      </c>
      <c r="AR457" s="8">
        <f>IF((0=1),SUM(C422:AR422),"")</f>
      </c>
      <c r="AS457" s="8">
        <f>IF((0=1),SUM(C422:AS422),"")</f>
      </c>
      <c r="AT457" s="8">
        <f>IF((0=1),SUM(C422:AT422),"")</f>
      </c>
      <c r="AU457" s="8">
        <f>IF((0=1),SUM(C422:AU422),"")</f>
      </c>
      <c r="AV457" s="8">
        <f>IF((0=1),SUM(C422:AV422),"")</f>
      </c>
      <c r="AW457" s="8">
        <f>IF((0=1),SUM(C422:AW422),"")</f>
      </c>
      <c r="AX457" s="8">
        <f>IF((0=1),SUM(C422:AX422),"")</f>
      </c>
      <c r="AY457" s="8">
        <f>IF((0=1),SUM(C422:AY422),"")</f>
      </c>
      <c r="AZ457" s="8">
        <f>IF((0=1),SUM(C422:AZ422),"")</f>
      </c>
      <c r="BA457" s="8">
        <f>IF((0=1),SUM(C422:BA422),"")</f>
      </c>
      <c r="BB457" s="8">
        <f>IF((0=1),SUM(C422:BB422),"")</f>
      </c>
      <c r="BC457" s="8">
        <f>IF((0=1),SUM(C422:BC422),"")</f>
      </c>
      <c r="BD457" s="8">
        <f>IF((0=1),SUM(C422:BD422),"")</f>
      </c>
      <c r="BE457" s="8">
        <f>IF((0=1),SUM(C422:BE422),"")</f>
      </c>
      <c r="BF457" s="8">
        <f>IF((0=1),SUM(C422:BF422),"")</f>
      </c>
      <c r="BG457" s="8">
        <f>IF((0=1),SUM(C422:BG422),"")</f>
      </c>
      <c r="BH457" s="8">
        <f>IF((0=1),SUM(C422:BH422),"")</f>
      </c>
      <c r="BI457" s="8">
        <f>IF((0=1),SUM(C422:BI422),"")</f>
      </c>
      <c r="BJ457" s="8">
        <f>IF((0=1),SUM(C422:BJ422),"")</f>
      </c>
      <c r="BK457" s="8">
        <f>IF((0=1),SUM(C422:BK422),"")</f>
      </c>
      <c r="BL457" s="8">
        <f>IF((0=1),SUM(C422:BL422),"")</f>
      </c>
      <c r="BM457" s="8">
        <f>IF((0=1),SUM(C422:BM422),"")</f>
      </c>
      <c r="BN457" s="8">
        <f>IF((0=1),SUM(C422:BN422),"")</f>
      </c>
      <c r="BO457" s="8">
        <f>IF((0=1),SUM(C422:BO422),"")</f>
      </c>
      <c r="BP457" s="8">
        <f>IF((0=1),SUM(C422:BP422),"")</f>
      </c>
      <c r="BQ457" s="8">
        <f>IF((0=1),SUM(C422:BQ422),"")</f>
      </c>
      <c r="BR457" s="8">
        <f>IF((0=1),SUM(C422:BR422),"")</f>
      </c>
      <c r="BS457" s="8">
        <f>IF((0=1),SUM(C422:BS422),"")</f>
      </c>
      <c r="BT457" s="8">
        <f>IF((0=1),SUM(C422:BT422),"")</f>
      </c>
      <c r="BU457" s="8">
        <f>IF((0=1),SUM(C422:BU422),"")</f>
      </c>
      <c r="BV457" s="8">
        <f>IF((0=1),SUM(C422:BV422),"")</f>
      </c>
      <c r="BW457" s="8">
        <f>IF((0=1),SUM(C422:BW422),"")</f>
      </c>
      <c r="BX457" s="8">
        <f>IF((0=1),SUM(C422:BX422),"")</f>
      </c>
      <c r="BY457" s="8">
        <f>IF((0=1),SUM(C422:BY422),"")</f>
      </c>
      <c r="BZ457" s="8">
        <f>IF((0=1),SUM(C422:BZ422),"")</f>
      </c>
      <c r="CA457" s="8">
        <f>IF((0=1),SUM(C422:CA422),"")</f>
      </c>
      <c r="CB457" s="8">
        <f>IF((0=1),SUM(C422:CB422),"")</f>
      </c>
      <c r="CC457" s="8">
        <f>IF((0=1),SUM(C422:CC422),"")</f>
      </c>
      <c r="CD457" s="8">
        <f>IF((0=1),SUM(C422:CD422),"")</f>
      </c>
      <c r="CE457" s="8">
        <f>IF((0=1),SUM(C422:CE422),"")</f>
      </c>
      <c r="CF457" s="8">
        <f>IF((0=1),SUM(C422:CF422),"")</f>
      </c>
      <c r="CG457" s="8">
        <f>IF((0=1),SUM(C422:CG422),"")</f>
      </c>
      <c r="CH457" s="8">
        <f>IF((0=1),SUM(C422:CH422),"")</f>
      </c>
      <c r="CI457" s="8">
        <f>IF((0=1),SUM(C422:CI422),"")</f>
      </c>
      <c r="CJ457" s="8">
        <f>IF((0=1),SUM(C422:CJ422),"")</f>
      </c>
      <c r="CK457" s="8">
        <f>IF((0=1),SUM(C422:CK422),"")</f>
      </c>
      <c r="CL457" s="8">
        <f>IF((0=1),SUM(C422:CL422),"")</f>
      </c>
      <c r="CM457" s="8">
        <f>IF((0=1),SUM(C422:CM422),"")</f>
      </c>
      <c r="CN457" s="8">
        <f>IF((0=1),SUM(C422:CN422),"")</f>
      </c>
      <c r="CO457" s="8">
        <f>IF((0=1),SUM(C422:CO422),"")</f>
      </c>
      <c r="CP457" s="8">
        <f>IF((0=1),SUM(C422:CP422),"")</f>
      </c>
      <c r="CQ457" s="8">
        <f>IF((0=1),SUM(C422:CQ422),"")</f>
      </c>
      <c r="CR457" s="8">
        <f>IF((0=1),SUM(C422:CR422),"")</f>
      </c>
      <c r="CS457" s="8">
        <f>IF((0=1),SUM(C422:CS422),"")</f>
      </c>
      <c r="CT457" s="8">
        <f>IF((0=1),SUM(C422:CT422),"")</f>
      </c>
      <c r="CU457" s="8">
        <f>IF((0=1),SUM(C422:CU422),"")</f>
      </c>
      <c r="CV457" s="8">
        <f>IF((0=1),SUM(C422:CV422),"")</f>
      </c>
      <c r="CW457" s="8">
        <f>IF((0=1),SUM(C422:CW422),"")</f>
      </c>
      <c r="CX457" s="8">
        <f>IF((0=1),SUM(C422:CX422),"")</f>
      </c>
    </row>
    <row r="458">
      <c r="A458" s="0" t="inlineStr">
        <is>
          <t xml:space="preserve">Cumulative net P&amp;L, $</t>
        </is>
      </c>
      <c r="B458" s="0" t="inlineStr">
        <is>
          <t xml:space="preserve">lowest 100 by 60-day volatility</t>
        </is>
      </c>
      <c r="C458" s="8">
        <f>IF((1=1),SUM(C423),"")</f>
        <v>-147.09</v>
      </c>
      <c r="D458" s="8">
        <f>IF((0=1),SUM(C423:D423),"")</f>
      </c>
      <c r="E458" s="8">
        <f>IF((0=1),SUM(C423:E423),"")</f>
      </c>
      <c r="F458" s="8">
        <f>IF((0=1),SUM(C423:F423),"")</f>
      </c>
      <c r="G458" s="8">
        <f>IF((0=1),SUM(C423:G423),"")</f>
      </c>
      <c r="H458" s="8">
        <f>IF((0=1),SUM(C423:H423),"")</f>
      </c>
      <c r="I458" s="8">
        <f>IF((0=1),SUM(C423:I423),"")</f>
      </c>
      <c r="J458" s="8">
        <f>IF((0=1),SUM(C423:J423),"")</f>
      </c>
      <c r="K458" s="8">
        <f>IF((0=1),SUM(C423:K423),"")</f>
      </c>
      <c r="L458" s="8">
        <f>IF((0=1),SUM(C423:L423),"")</f>
      </c>
      <c r="M458" s="8">
        <f>IF((0=1),SUM(C423:M423),"")</f>
      </c>
      <c r="N458" s="8">
        <f>IF((0=1),SUM(C423:N423),"")</f>
      </c>
      <c r="O458" s="8">
        <f>IF((0=1),SUM(C423:O423),"")</f>
      </c>
      <c r="P458" s="8">
        <f>IF((0=1),SUM(C423:P423),"")</f>
      </c>
      <c r="Q458" s="8">
        <f>IF((0=1),SUM(C423:Q423),"")</f>
      </c>
      <c r="R458" s="8">
        <f>IF((0=1),SUM(C423:R423),"")</f>
      </c>
      <c r="S458" s="8">
        <f>IF((0=1),SUM(C423:S423),"")</f>
      </c>
      <c r="T458" s="8">
        <f>IF((0=1),SUM(C423:T423),"")</f>
      </c>
      <c r="U458" s="8">
        <f>IF((0=1),SUM(C423:U423),"")</f>
      </c>
      <c r="V458" s="8">
        <f>IF((0=1),SUM(C423:V423),"")</f>
      </c>
      <c r="W458" s="8">
        <f>IF((0=1),SUM(C423:W423),"")</f>
      </c>
      <c r="X458" s="8">
        <f>IF((0=1),SUM(C423:X423),"")</f>
      </c>
      <c r="Y458" s="8">
        <f>IF((0=1),SUM(C423:Y423),"")</f>
      </c>
      <c r="Z458" s="8">
        <f>IF((0=1),SUM(C423:Z423),"")</f>
      </c>
      <c r="AA458" s="8">
        <f>IF((0=1),SUM(C423:AA423),"")</f>
      </c>
      <c r="AB458" s="8">
        <f>IF((0=1),SUM(C423:AB423),"")</f>
      </c>
      <c r="AC458" s="8">
        <f>IF((0=1),SUM(C423:AC423),"")</f>
      </c>
      <c r="AD458" s="8">
        <f>IF((0=1),SUM(C423:AD423),"")</f>
      </c>
      <c r="AE458" s="8">
        <f>IF((0=1),SUM(C423:AE423),"")</f>
      </c>
      <c r="AF458" s="8">
        <f>IF((0=1),SUM(C423:AF423),"")</f>
      </c>
      <c r="AG458" s="8">
        <f>IF((0=1),SUM(C423:AG423),"")</f>
      </c>
      <c r="AH458" s="8">
        <f>IF((0=1),SUM(C423:AH423),"")</f>
      </c>
      <c r="AI458" s="8">
        <f>IF((0=1),SUM(C423:AI423),"")</f>
      </c>
      <c r="AJ458" s="8">
        <f>IF((0=1),SUM(C423:AJ423),"")</f>
      </c>
      <c r="AK458" s="8">
        <f>IF((0=1),SUM(C423:AK423),"")</f>
      </c>
      <c r="AL458" s="8">
        <f>IF((0=1),SUM(C423:AL423),"")</f>
      </c>
      <c r="AM458" s="8">
        <f>IF((0=1),SUM(C423:AM423),"")</f>
      </c>
      <c r="AN458" s="8">
        <f>IF((0=1),SUM(C423:AN423),"")</f>
      </c>
      <c r="AO458" s="8">
        <f>IF((0=1),SUM(C423:AO423),"")</f>
      </c>
      <c r="AP458" s="8">
        <f>IF((0=1),SUM(C423:AP423),"")</f>
      </c>
      <c r="AQ458" s="8">
        <f>IF((0=1),SUM(C423:AQ423),"")</f>
      </c>
      <c r="AR458" s="8">
        <f>IF((0=1),SUM(C423:AR423),"")</f>
      </c>
      <c r="AS458" s="8">
        <f>IF((0=1),SUM(C423:AS423),"")</f>
      </c>
      <c r="AT458" s="8">
        <f>IF((0=1),SUM(C423:AT423),"")</f>
      </c>
      <c r="AU458" s="8">
        <f>IF((0=1),SUM(C423:AU423),"")</f>
      </c>
      <c r="AV458" s="8">
        <f>IF((0=1),SUM(C423:AV423),"")</f>
      </c>
      <c r="AW458" s="8">
        <f>IF((0=1),SUM(C423:AW423),"")</f>
      </c>
      <c r="AX458" s="8">
        <f>IF((0=1),SUM(C423:AX423),"")</f>
      </c>
      <c r="AY458" s="8">
        <f>IF((0=1),SUM(C423:AY423),"")</f>
      </c>
      <c r="AZ458" s="8">
        <f>IF((0=1),SUM(C423:AZ423),"")</f>
      </c>
      <c r="BA458" s="8">
        <f>IF((0=1),SUM(C423:BA423),"")</f>
      </c>
      <c r="BB458" s="8">
        <f>IF((0=1),SUM(C423:BB423),"")</f>
      </c>
      <c r="BC458" s="8">
        <f>IF((0=1),SUM(C423:BC423),"")</f>
      </c>
      <c r="BD458" s="8">
        <f>IF((0=1),SUM(C423:BD423),"")</f>
      </c>
      <c r="BE458" s="8">
        <f>IF((0=1),SUM(C423:BE423),"")</f>
      </c>
      <c r="BF458" s="8">
        <f>IF((0=1),SUM(C423:BF423),"")</f>
      </c>
      <c r="BG458" s="8">
        <f>IF((0=1),SUM(C423:BG423),"")</f>
      </c>
      <c r="BH458" s="8">
        <f>IF((0=1),SUM(C423:BH423),"")</f>
      </c>
      <c r="BI458" s="8">
        <f>IF((0=1),SUM(C423:BI423),"")</f>
      </c>
      <c r="BJ458" s="8">
        <f>IF((0=1),SUM(C423:BJ423),"")</f>
      </c>
      <c r="BK458" s="8">
        <f>IF((0=1),SUM(C423:BK423),"")</f>
      </c>
      <c r="BL458" s="8">
        <f>IF((0=1),SUM(C423:BL423),"")</f>
      </c>
      <c r="BM458" s="8">
        <f>IF((0=1),SUM(C423:BM423),"")</f>
      </c>
      <c r="BN458" s="8">
        <f>IF((0=1),SUM(C423:BN423),"")</f>
      </c>
      <c r="BO458" s="8">
        <f>IF((0=1),SUM(C423:BO423),"")</f>
      </c>
      <c r="BP458" s="8">
        <f>IF((0=1),SUM(C423:BP423),"")</f>
      </c>
      <c r="BQ458" s="8">
        <f>IF((0=1),SUM(C423:BQ423),"")</f>
      </c>
      <c r="BR458" s="8">
        <f>IF((0=1),SUM(C423:BR423),"")</f>
      </c>
      <c r="BS458" s="8">
        <f>IF((0=1),SUM(C423:BS423),"")</f>
      </c>
      <c r="BT458" s="8">
        <f>IF((0=1),SUM(C423:BT423),"")</f>
      </c>
      <c r="BU458" s="8">
        <f>IF((0=1),SUM(C423:BU423),"")</f>
      </c>
      <c r="BV458" s="8">
        <f>IF((0=1),SUM(C423:BV423),"")</f>
      </c>
      <c r="BW458" s="8">
        <f>IF((0=1),SUM(C423:BW423),"")</f>
      </c>
      <c r="BX458" s="8">
        <f>IF((0=1),SUM(C423:BX423),"")</f>
      </c>
      <c r="BY458" s="8">
        <f>IF((0=1),SUM(C423:BY423),"")</f>
      </c>
      <c r="BZ458" s="8">
        <f>IF((0=1),SUM(C423:BZ423),"")</f>
      </c>
      <c r="CA458" s="8">
        <f>IF((0=1),SUM(C423:CA423),"")</f>
      </c>
      <c r="CB458" s="8">
        <f>IF((0=1),SUM(C423:CB423),"")</f>
      </c>
      <c r="CC458" s="8">
        <f>IF((0=1),SUM(C423:CC423),"")</f>
      </c>
      <c r="CD458" s="8">
        <f>IF((0=1),SUM(C423:CD423),"")</f>
      </c>
      <c r="CE458" s="8">
        <f>IF((0=1),SUM(C423:CE423),"")</f>
      </c>
      <c r="CF458" s="8">
        <f>IF((0=1),SUM(C423:CF423),"")</f>
      </c>
      <c r="CG458" s="8">
        <f>IF((0=1),SUM(C423:CG423),"")</f>
      </c>
      <c r="CH458" s="8">
        <f>IF((0=1),SUM(C423:CH423),"")</f>
      </c>
      <c r="CI458" s="8">
        <f>IF((0=1),SUM(C423:CI423),"")</f>
      </c>
      <c r="CJ458" s="8">
        <f>IF((0=1),SUM(C423:CJ423),"")</f>
      </c>
      <c r="CK458" s="8">
        <f>IF((0=1),SUM(C423:CK423),"")</f>
      </c>
      <c r="CL458" s="8">
        <f>IF((0=1),SUM(C423:CL423),"")</f>
      </c>
      <c r="CM458" s="8">
        <f>IF((0=1),SUM(C423:CM423),"")</f>
      </c>
      <c r="CN458" s="8">
        <f>IF((0=1),SUM(C423:CN423),"")</f>
      </c>
      <c r="CO458" s="8">
        <f>IF((0=1),SUM(C423:CO423),"")</f>
      </c>
      <c r="CP458" s="8">
        <f>IF((0=1),SUM(C423:CP423),"")</f>
      </c>
      <c r="CQ458" s="8">
        <f>IF((0=1),SUM(C423:CQ423),"")</f>
      </c>
      <c r="CR458" s="8">
        <f>IF((0=1),SUM(C423:CR423),"")</f>
      </c>
      <c r="CS458" s="8">
        <f>IF((0=1),SUM(C423:CS423),"")</f>
      </c>
      <c r="CT458" s="8">
        <f>IF((0=1),SUM(C423:CT423),"")</f>
      </c>
      <c r="CU458" s="8">
        <f>IF((0=1),SUM(C423:CU423),"")</f>
      </c>
      <c r="CV458" s="8">
        <f>IF((0=1),SUM(C423:CV423),"")</f>
      </c>
      <c r="CW458" s="8">
        <f>IF((0=1),SUM(C423:CW423),"")</f>
      </c>
      <c r="CX458" s="8">
        <f>IF((0=1),SUM(C423:CX423),"")</f>
      </c>
    </row>
    <row r="459">
      <c r="A459" s="0" t="inlineStr">
        <is>
          <t xml:space="preserve">Cumulative net P&amp;L, $</t>
        </is>
      </c>
      <c r="B459" s="0" t="inlineStr">
        <is>
          <t xml:space="preserve">largest 100 by market cap</t>
        </is>
      </c>
      <c r="C459" s="8">
        <f>IF((1=1),SUM(C424),"")</f>
        <v>49.64</v>
      </c>
      <c r="D459" s="8">
        <f>IF((0=1),SUM(C424:D424),"")</f>
      </c>
      <c r="E459" s="8">
        <f>IF((0=1),SUM(C424:E424),"")</f>
      </c>
      <c r="F459" s="8">
        <f>IF((0=1),SUM(C424:F424),"")</f>
      </c>
      <c r="G459" s="8">
        <f>IF((0=1),SUM(C424:G424),"")</f>
      </c>
      <c r="H459" s="8">
        <f>IF((0=1),SUM(C424:H424),"")</f>
      </c>
      <c r="I459" s="8">
        <f>IF((0=1),SUM(C424:I424),"")</f>
      </c>
      <c r="J459" s="8">
        <f>IF((0=1),SUM(C424:J424),"")</f>
      </c>
      <c r="K459" s="8">
        <f>IF((0=1),SUM(C424:K424),"")</f>
      </c>
      <c r="L459" s="8">
        <f>IF((0=1),SUM(C424:L424),"")</f>
      </c>
      <c r="M459" s="8">
        <f>IF((0=1),SUM(C424:M424),"")</f>
      </c>
      <c r="N459" s="8">
        <f>IF((0=1),SUM(C424:N424),"")</f>
      </c>
      <c r="O459" s="8">
        <f>IF((0=1),SUM(C424:O424),"")</f>
      </c>
      <c r="P459" s="8">
        <f>IF((0=1),SUM(C424:P424),"")</f>
      </c>
      <c r="Q459" s="8">
        <f>IF((0=1),SUM(C424:Q424),"")</f>
      </c>
      <c r="R459" s="8">
        <f>IF((0=1),SUM(C424:R424),"")</f>
      </c>
      <c r="S459" s="8">
        <f>IF((0=1),SUM(C424:S424),"")</f>
      </c>
      <c r="T459" s="8">
        <f>IF((0=1),SUM(C424:T424),"")</f>
      </c>
      <c r="U459" s="8">
        <f>IF((0=1),SUM(C424:U424),"")</f>
      </c>
      <c r="V459" s="8">
        <f>IF((0=1),SUM(C424:V424),"")</f>
      </c>
      <c r="W459" s="8">
        <f>IF((0=1),SUM(C424:W424),"")</f>
      </c>
      <c r="X459" s="8">
        <f>IF((0=1),SUM(C424:X424),"")</f>
      </c>
      <c r="Y459" s="8">
        <f>IF((0=1),SUM(C424:Y424),"")</f>
      </c>
      <c r="Z459" s="8">
        <f>IF((0=1),SUM(C424:Z424),"")</f>
      </c>
      <c r="AA459" s="8">
        <f>IF((0=1),SUM(C424:AA424),"")</f>
      </c>
      <c r="AB459" s="8">
        <f>IF((0=1),SUM(C424:AB424),"")</f>
      </c>
      <c r="AC459" s="8">
        <f>IF((0=1),SUM(C424:AC424),"")</f>
      </c>
      <c r="AD459" s="8">
        <f>IF((0=1),SUM(C424:AD424),"")</f>
      </c>
      <c r="AE459" s="8">
        <f>IF((0=1),SUM(C424:AE424),"")</f>
      </c>
      <c r="AF459" s="8">
        <f>IF((0=1),SUM(C424:AF424),"")</f>
      </c>
      <c r="AG459" s="8">
        <f>IF((0=1),SUM(C424:AG424),"")</f>
      </c>
      <c r="AH459" s="8">
        <f>IF((0=1),SUM(C424:AH424),"")</f>
      </c>
      <c r="AI459" s="8">
        <f>IF((0=1),SUM(C424:AI424),"")</f>
      </c>
      <c r="AJ459" s="8">
        <f>IF((0=1),SUM(C424:AJ424),"")</f>
      </c>
      <c r="AK459" s="8">
        <f>IF((0=1),SUM(C424:AK424),"")</f>
      </c>
      <c r="AL459" s="8">
        <f>IF((0=1),SUM(C424:AL424),"")</f>
      </c>
      <c r="AM459" s="8">
        <f>IF((0=1),SUM(C424:AM424),"")</f>
      </c>
      <c r="AN459" s="8">
        <f>IF((0=1),SUM(C424:AN424),"")</f>
      </c>
      <c r="AO459" s="8">
        <f>IF((0=1),SUM(C424:AO424),"")</f>
      </c>
      <c r="AP459" s="8">
        <f>IF((0=1),SUM(C424:AP424),"")</f>
      </c>
      <c r="AQ459" s="8">
        <f>IF((0=1),SUM(C424:AQ424),"")</f>
      </c>
      <c r="AR459" s="8">
        <f>IF((0=1),SUM(C424:AR424),"")</f>
      </c>
      <c r="AS459" s="8">
        <f>IF((0=1),SUM(C424:AS424),"")</f>
      </c>
      <c r="AT459" s="8">
        <f>IF((0=1),SUM(C424:AT424),"")</f>
      </c>
      <c r="AU459" s="8">
        <f>IF((0=1),SUM(C424:AU424),"")</f>
      </c>
      <c r="AV459" s="8">
        <f>IF((0=1),SUM(C424:AV424),"")</f>
      </c>
      <c r="AW459" s="8">
        <f>IF((0=1),SUM(C424:AW424),"")</f>
      </c>
      <c r="AX459" s="8">
        <f>IF((0=1),SUM(C424:AX424),"")</f>
      </c>
      <c r="AY459" s="8">
        <f>IF((0=1),SUM(C424:AY424),"")</f>
      </c>
      <c r="AZ459" s="8">
        <f>IF((0=1),SUM(C424:AZ424),"")</f>
      </c>
      <c r="BA459" s="8">
        <f>IF((0=1),SUM(C424:BA424),"")</f>
      </c>
      <c r="BB459" s="8">
        <f>IF((0=1),SUM(C424:BB424),"")</f>
      </c>
      <c r="BC459" s="8">
        <f>IF((0=1),SUM(C424:BC424),"")</f>
      </c>
      <c r="BD459" s="8">
        <f>IF((0=1),SUM(C424:BD424),"")</f>
      </c>
      <c r="BE459" s="8">
        <f>IF((0=1),SUM(C424:BE424),"")</f>
      </c>
      <c r="BF459" s="8">
        <f>IF((0=1),SUM(C424:BF424),"")</f>
      </c>
      <c r="BG459" s="8">
        <f>IF((0=1),SUM(C424:BG424),"")</f>
      </c>
      <c r="BH459" s="8">
        <f>IF((0=1),SUM(C424:BH424),"")</f>
      </c>
      <c r="BI459" s="8">
        <f>IF((0=1),SUM(C424:BI424),"")</f>
      </c>
      <c r="BJ459" s="8">
        <f>IF((0=1),SUM(C424:BJ424),"")</f>
      </c>
      <c r="BK459" s="8">
        <f>IF((0=1),SUM(C424:BK424),"")</f>
      </c>
      <c r="BL459" s="8">
        <f>IF((0=1),SUM(C424:BL424),"")</f>
      </c>
      <c r="BM459" s="8">
        <f>IF((0=1),SUM(C424:BM424),"")</f>
      </c>
      <c r="BN459" s="8">
        <f>IF((0=1),SUM(C424:BN424),"")</f>
      </c>
      <c r="BO459" s="8">
        <f>IF((0=1),SUM(C424:BO424),"")</f>
      </c>
      <c r="BP459" s="8">
        <f>IF((0=1),SUM(C424:BP424),"")</f>
      </c>
      <c r="BQ459" s="8">
        <f>IF((0=1),SUM(C424:BQ424),"")</f>
      </c>
      <c r="BR459" s="8">
        <f>IF((0=1),SUM(C424:BR424),"")</f>
      </c>
      <c r="BS459" s="8">
        <f>IF((0=1),SUM(C424:BS424),"")</f>
      </c>
      <c r="BT459" s="8">
        <f>IF((0=1),SUM(C424:BT424),"")</f>
      </c>
      <c r="BU459" s="8">
        <f>IF((0=1),SUM(C424:BU424),"")</f>
      </c>
      <c r="BV459" s="8">
        <f>IF((0=1),SUM(C424:BV424),"")</f>
      </c>
      <c r="BW459" s="8">
        <f>IF((0=1),SUM(C424:BW424),"")</f>
      </c>
      <c r="BX459" s="8">
        <f>IF((0=1),SUM(C424:BX424),"")</f>
      </c>
      <c r="BY459" s="8">
        <f>IF((0=1),SUM(C424:BY424),"")</f>
      </c>
      <c r="BZ459" s="8">
        <f>IF((0=1),SUM(C424:BZ424),"")</f>
      </c>
      <c r="CA459" s="8">
        <f>IF((0=1),SUM(C424:CA424),"")</f>
      </c>
      <c r="CB459" s="8">
        <f>IF((0=1),SUM(C424:CB424),"")</f>
      </c>
      <c r="CC459" s="8">
        <f>IF((0=1),SUM(C424:CC424),"")</f>
      </c>
      <c r="CD459" s="8">
        <f>IF((0=1),SUM(C424:CD424),"")</f>
      </c>
      <c r="CE459" s="8">
        <f>IF((0=1),SUM(C424:CE424),"")</f>
      </c>
      <c r="CF459" s="8">
        <f>IF((0=1),SUM(C424:CF424),"")</f>
      </c>
      <c r="CG459" s="8">
        <f>IF((0=1),SUM(C424:CG424),"")</f>
      </c>
      <c r="CH459" s="8">
        <f>IF((0=1),SUM(C424:CH424),"")</f>
      </c>
      <c r="CI459" s="8">
        <f>IF((0=1),SUM(C424:CI424),"")</f>
      </c>
      <c r="CJ459" s="8">
        <f>IF((0=1),SUM(C424:CJ424),"")</f>
      </c>
      <c r="CK459" s="8">
        <f>IF((0=1),SUM(C424:CK424),"")</f>
      </c>
      <c r="CL459" s="8">
        <f>IF((0=1),SUM(C424:CL424),"")</f>
      </c>
      <c r="CM459" s="8">
        <f>IF((0=1),SUM(C424:CM424),"")</f>
      </c>
      <c r="CN459" s="8">
        <f>IF((0=1),SUM(C424:CN424),"")</f>
      </c>
      <c r="CO459" s="8">
        <f>IF((0=1),SUM(C424:CO424),"")</f>
      </c>
      <c r="CP459" s="8">
        <f>IF((0=1),SUM(C424:CP424),"")</f>
      </c>
      <c r="CQ459" s="8">
        <f>IF((0=1),SUM(C424:CQ424),"")</f>
      </c>
      <c r="CR459" s="8">
        <f>IF((0=1),SUM(C424:CR424),"")</f>
      </c>
      <c r="CS459" s="8">
        <f>IF((0=1),SUM(C424:CS424),"")</f>
      </c>
      <c r="CT459" s="8">
        <f>IF((0=1),SUM(C424:CT424),"")</f>
      </c>
      <c r="CU459" s="8">
        <f>IF((0=1),SUM(C424:CU424),"")</f>
      </c>
      <c r="CV459" s="8">
        <f>IF((0=1),SUM(C424:CV424),"")</f>
      </c>
      <c r="CW459" s="8">
        <f>IF((0=1),SUM(C424:CW424),"")</f>
      </c>
      <c r="CX459" s="8">
        <f>IF((0=1),SUM(C424:CX424),"")</f>
      </c>
    </row>
    <row r="460">
      <c r="A460" s="0" t="inlineStr">
        <is>
          <t xml:space="preserve">Cumulative net P&amp;L, $</t>
        </is>
      </c>
      <c r="B460" s="0" t="inlineStr">
        <is>
          <t xml:space="preserve">top 100 by 12-1 month return</t>
        </is>
      </c>
      <c r="C460" s="8">
        <f>IF((1=1),SUM(C425),"")</f>
        <v>-126.03</v>
      </c>
      <c r="D460" s="8">
        <f>IF((0=1),SUM(C425:D425),"")</f>
      </c>
      <c r="E460" s="8">
        <f>IF((0=1),SUM(C425:E425),"")</f>
      </c>
      <c r="F460" s="8">
        <f>IF((0=1),SUM(C425:F425),"")</f>
      </c>
      <c r="G460" s="8">
        <f>IF((0=1),SUM(C425:G425),"")</f>
      </c>
      <c r="H460" s="8">
        <f>IF((0=1),SUM(C425:H425),"")</f>
      </c>
      <c r="I460" s="8">
        <f>IF((0=1),SUM(C425:I425),"")</f>
      </c>
      <c r="J460" s="8">
        <f>IF((0=1),SUM(C425:J425),"")</f>
      </c>
      <c r="K460" s="8">
        <f>IF((0=1),SUM(C425:K425),"")</f>
      </c>
      <c r="L460" s="8">
        <f>IF((0=1),SUM(C425:L425),"")</f>
      </c>
      <c r="M460" s="8">
        <f>IF((0=1),SUM(C425:M425),"")</f>
      </c>
      <c r="N460" s="8">
        <f>IF((0=1),SUM(C425:N425),"")</f>
      </c>
      <c r="O460" s="8">
        <f>IF((0=1),SUM(C425:O425),"")</f>
      </c>
      <c r="P460" s="8">
        <f>IF((0=1),SUM(C425:P425),"")</f>
      </c>
      <c r="Q460" s="8">
        <f>IF((0=1),SUM(C425:Q425),"")</f>
      </c>
      <c r="R460" s="8">
        <f>IF((0=1),SUM(C425:R425),"")</f>
      </c>
      <c r="S460" s="8">
        <f>IF((0=1),SUM(C425:S425),"")</f>
      </c>
      <c r="T460" s="8">
        <f>IF((0=1),SUM(C425:T425),"")</f>
      </c>
      <c r="U460" s="8">
        <f>IF((0=1),SUM(C425:U425),"")</f>
      </c>
      <c r="V460" s="8">
        <f>IF((0=1),SUM(C425:V425),"")</f>
      </c>
      <c r="W460" s="8">
        <f>IF((0=1),SUM(C425:W425),"")</f>
      </c>
      <c r="X460" s="8">
        <f>IF((0=1),SUM(C425:X425),"")</f>
      </c>
      <c r="Y460" s="8">
        <f>IF((0=1),SUM(C425:Y425),"")</f>
      </c>
      <c r="Z460" s="8">
        <f>IF((0=1),SUM(C425:Z425),"")</f>
      </c>
      <c r="AA460" s="8">
        <f>IF((0=1),SUM(C425:AA425),"")</f>
      </c>
      <c r="AB460" s="8">
        <f>IF((0=1),SUM(C425:AB425),"")</f>
      </c>
      <c r="AC460" s="8">
        <f>IF((0=1),SUM(C425:AC425),"")</f>
      </c>
      <c r="AD460" s="8">
        <f>IF((0=1),SUM(C425:AD425),"")</f>
      </c>
      <c r="AE460" s="8">
        <f>IF((0=1),SUM(C425:AE425),"")</f>
      </c>
      <c r="AF460" s="8">
        <f>IF((0=1),SUM(C425:AF425),"")</f>
      </c>
      <c r="AG460" s="8">
        <f>IF((0=1),SUM(C425:AG425),"")</f>
      </c>
      <c r="AH460" s="8">
        <f>IF((0=1),SUM(C425:AH425),"")</f>
      </c>
      <c r="AI460" s="8">
        <f>IF((0=1),SUM(C425:AI425),"")</f>
      </c>
      <c r="AJ460" s="8">
        <f>IF((0=1),SUM(C425:AJ425),"")</f>
      </c>
      <c r="AK460" s="8">
        <f>IF((0=1),SUM(C425:AK425),"")</f>
      </c>
      <c r="AL460" s="8">
        <f>IF((0=1),SUM(C425:AL425),"")</f>
      </c>
      <c r="AM460" s="8">
        <f>IF((0=1),SUM(C425:AM425),"")</f>
      </c>
      <c r="AN460" s="8">
        <f>IF((0=1),SUM(C425:AN425),"")</f>
      </c>
      <c r="AO460" s="8">
        <f>IF((0=1),SUM(C425:AO425),"")</f>
      </c>
      <c r="AP460" s="8">
        <f>IF((0=1),SUM(C425:AP425),"")</f>
      </c>
      <c r="AQ460" s="8">
        <f>IF((0=1),SUM(C425:AQ425),"")</f>
      </c>
      <c r="AR460" s="8">
        <f>IF((0=1),SUM(C425:AR425),"")</f>
      </c>
      <c r="AS460" s="8">
        <f>IF((0=1),SUM(C425:AS425),"")</f>
      </c>
      <c r="AT460" s="8">
        <f>IF((0=1),SUM(C425:AT425),"")</f>
      </c>
      <c r="AU460" s="8">
        <f>IF((0=1),SUM(C425:AU425),"")</f>
      </c>
      <c r="AV460" s="8">
        <f>IF((0=1),SUM(C425:AV425),"")</f>
      </c>
      <c r="AW460" s="8">
        <f>IF((0=1),SUM(C425:AW425),"")</f>
      </c>
      <c r="AX460" s="8">
        <f>IF((0=1),SUM(C425:AX425),"")</f>
      </c>
      <c r="AY460" s="8">
        <f>IF((0=1),SUM(C425:AY425),"")</f>
      </c>
      <c r="AZ460" s="8">
        <f>IF((0=1),SUM(C425:AZ425),"")</f>
      </c>
      <c r="BA460" s="8">
        <f>IF((0=1),SUM(C425:BA425),"")</f>
      </c>
      <c r="BB460" s="8">
        <f>IF((0=1),SUM(C425:BB425),"")</f>
      </c>
      <c r="BC460" s="8">
        <f>IF((0=1),SUM(C425:BC425),"")</f>
      </c>
      <c r="BD460" s="8">
        <f>IF((0=1),SUM(C425:BD425),"")</f>
      </c>
      <c r="BE460" s="8">
        <f>IF((0=1),SUM(C425:BE425),"")</f>
      </c>
      <c r="BF460" s="8">
        <f>IF((0=1),SUM(C425:BF425),"")</f>
      </c>
      <c r="BG460" s="8">
        <f>IF((0=1),SUM(C425:BG425),"")</f>
      </c>
      <c r="BH460" s="8">
        <f>IF((0=1),SUM(C425:BH425),"")</f>
      </c>
      <c r="BI460" s="8">
        <f>IF((0=1),SUM(C425:BI425),"")</f>
      </c>
      <c r="BJ460" s="8">
        <f>IF((0=1),SUM(C425:BJ425),"")</f>
      </c>
      <c r="BK460" s="8">
        <f>IF((0=1),SUM(C425:BK425),"")</f>
      </c>
      <c r="BL460" s="8">
        <f>IF((0=1),SUM(C425:BL425),"")</f>
      </c>
      <c r="BM460" s="8">
        <f>IF((0=1),SUM(C425:BM425),"")</f>
      </c>
      <c r="BN460" s="8">
        <f>IF((0=1),SUM(C425:BN425),"")</f>
      </c>
      <c r="BO460" s="8">
        <f>IF((0=1),SUM(C425:BO425),"")</f>
      </c>
      <c r="BP460" s="8">
        <f>IF((0=1),SUM(C425:BP425),"")</f>
      </c>
      <c r="BQ460" s="8">
        <f>IF((0=1),SUM(C425:BQ425),"")</f>
      </c>
      <c r="BR460" s="8">
        <f>IF((0=1),SUM(C425:BR425),"")</f>
      </c>
      <c r="BS460" s="8">
        <f>IF((0=1),SUM(C425:BS425),"")</f>
      </c>
      <c r="BT460" s="8">
        <f>IF((0=1),SUM(C425:BT425),"")</f>
      </c>
      <c r="BU460" s="8">
        <f>IF((0=1),SUM(C425:BU425),"")</f>
      </c>
      <c r="BV460" s="8">
        <f>IF((0=1),SUM(C425:BV425),"")</f>
      </c>
      <c r="BW460" s="8">
        <f>IF((0=1),SUM(C425:BW425),"")</f>
      </c>
      <c r="BX460" s="8">
        <f>IF((0=1),SUM(C425:BX425),"")</f>
      </c>
      <c r="BY460" s="8">
        <f>IF((0=1),SUM(C425:BY425),"")</f>
      </c>
      <c r="BZ460" s="8">
        <f>IF((0=1),SUM(C425:BZ425),"")</f>
      </c>
      <c r="CA460" s="8">
        <f>IF((0=1),SUM(C425:CA425),"")</f>
      </c>
      <c r="CB460" s="8">
        <f>IF((0=1),SUM(C425:CB425),"")</f>
      </c>
      <c r="CC460" s="8">
        <f>IF((0=1),SUM(C425:CC425),"")</f>
      </c>
      <c r="CD460" s="8">
        <f>IF((0=1),SUM(C425:CD425),"")</f>
      </c>
      <c r="CE460" s="8">
        <f>IF((0=1),SUM(C425:CE425),"")</f>
      </c>
      <c r="CF460" s="8">
        <f>IF((0=1),SUM(C425:CF425),"")</f>
      </c>
      <c r="CG460" s="8">
        <f>IF((0=1),SUM(C425:CG425),"")</f>
      </c>
      <c r="CH460" s="8">
        <f>IF((0=1),SUM(C425:CH425),"")</f>
      </c>
      <c r="CI460" s="8">
        <f>IF((0=1),SUM(C425:CI425),"")</f>
      </c>
      <c r="CJ460" s="8">
        <f>IF((0=1),SUM(C425:CJ425),"")</f>
      </c>
      <c r="CK460" s="8">
        <f>IF((0=1),SUM(C425:CK425),"")</f>
      </c>
      <c r="CL460" s="8">
        <f>IF((0=1),SUM(C425:CL425),"")</f>
      </c>
      <c r="CM460" s="8">
        <f>IF((0=1),SUM(C425:CM425),"")</f>
      </c>
      <c r="CN460" s="8">
        <f>IF((0=1),SUM(C425:CN425),"")</f>
      </c>
      <c r="CO460" s="8">
        <f>IF((0=1),SUM(C425:CO425),"")</f>
      </c>
      <c r="CP460" s="8">
        <f>IF((0=1),SUM(C425:CP425),"")</f>
      </c>
      <c r="CQ460" s="8">
        <f>IF((0=1),SUM(C425:CQ425),"")</f>
      </c>
      <c r="CR460" s="8">
        <f>IF((0=1),SUM(C425:CR425),"")</f>
      </c>
      <c r="CS460" s="8">
        <f>IF((0=1),SUM(C425:CS425),"")</f>
      </c>
      <c r="CT460" s="8">
        <f>IF((0=1),SUM(C425:CT425),"")</f>
      </c>
      <c r="CU460" s="8">
        <f>IF((0=1),SUM(C425:CU425),"")</f>
      </c>
      <c r="CV460" s="8">
        <f>IF((0=1),SUM(C425:CV425),"")</f>
      </c>
      <c r="CW460" s="8">
        <f>IF((0=1),SUM(C425:CW425),"")</f>
      </c>
      <c r="CX460" s="8">
        <f>IF((0=1),SUM(C425:CX425),"")</f>
      </c>
    </row>
    <row r="461">
      <c r="A461" s="0" t="inlineStr">
        <is>
          <t xml:space="preserve">Cumulative net P&amp;L, $</t>
        </is>
      </c>
      <c r="B461" s="0" t="inlineStr">
        <is>
          <t xml:space="preserve">best 100 by yesterday's close-to-close return</t>
        </is>
      </c>
      <c r="C461" s="8">
        <f>IF((1=1),SUM(C426),"")</f>
        <v>-56.7</v>
      </c>
      <c r="D461" s="8">
        <f>IF((0=1),SUM(C426:D426),"")</f>
      </c>
      <c r="E461" s="8">
        <f>IF((0=1),SUM(C426:E426),"")</f>
      </c>
      <c r="F461" s="8">
        <f>IF((0=1),SUM(C426:F426),"")</f>
      </c>
      <c r="G461" s="8">
        <f>IF((0=1),SUM(C426:G426),"")</f>
      </c>
      <c r="H461" s="8">
        <f>IF((0=1),SUM(C426:H426),"")</f>
      </c>
      <c r="I461" s="8">
        <f>IF((0=1),SUM(C426:I426),"")</f>
      </c>
      <c r="J461" s="8">
        <f>IF((0=1),SUM(C426:J426),"")</f>
      </c>
      <c r="K461" s="8">
        <f>IF((0=1),SUM(C426:K426),"")</f>
      </c>
      <c r="L461" s="8">
        <f>IF((0=1),SUM(C426:L426),"")</f>
      </c>
      <c r="M461" s="8">
        <f>IF((0=1),SUM(C426:M426),"")</f>
      </c>
      <c r="N461" s="8">
        <f>IF((0=1),SUM(C426:N426),"")</f>
      </c>
      <c r="O461" s="8">
        <f>IF((0=1),SUM(C426:O426),"")</f>
      </c>
      <c r="P461" s="8">
        <f>IF((0=1),SUM(C426:P426),"")</f>
      </c>
      <c r="Q461" s="8">
        <f>IF((0=1),SUM(C426:Q426),"")</f>
      </c>
      <c r="R461" s="8">
        <f>IF((0=1),SUM(C426:R426),"")</f>
      </c>
      <c r="S461" s="8">
        <f>IF((0=1),SUM(C426:S426),"")</f>
      </c>
      <c r="T461" s="8">
        <f>IF((0=1),SUM(C426:T426),"")</f>
      </c>
      <c r="U461" s="8">
        <f>IF((0=1),SUM(C426:U426),"")</f>
      </c>
      <c r="V461" s="8">
        <f>IF((0=1),SUM(C426:V426),"")</f>
      </c>
      <c r="W461" s="8">
        <f>IF((0=1),SUM(C426:W426),"")</f>
      </c>
      <c r="X461" s="8">
        <f>IF((0=1),SUM(C426:X426),"")</f>
      </c>
      <c r="Y461" s="8">
        <f>IF((0=1),SUM(C426:Y426),"")</f>
      </c>
      <c r="Z461" s="8">
        <f>IF((0=1),SUM(C426:Z426),"")</f>
      </c>
      <c r="AA461" s="8">
        <f>IF((0=1),SUM(C426:AA426),"")</f>
      </c>
      <c r="AB461" s="8">
        <f>IF((0=1),SUM(C426:AB426),"")</f>
      </c>
      <c r="AC461" s="8">
        <f>IF((0=1),SUM(C426:AC426),"")</f>
      </c>
      <c r="AD461" s="8">
        <f>IF((0=1),SUM(C426:AD426),"")</f>
      </c>
      <c r="AE461" s="8">
        <f>IF((0=1),SUM(C426:AE426),"")</f>
      </c>
      <c r="AF461" s="8">
        <f>IF((0=1),SUM(C426:AF426),"")</f>
      </c>
      <c r="AG461" s="8">
        <f>IF((0=1),SUM(C426:AG426),"")</f>
      </c>
      <c r="AH461" s="8">
        <f>IF((0=1),SUM(C426:AH426),"")</f>
      </c>
      <c r="AI461" s="8">
        <f>IF((0=1),SUM(C426:AI426),"")</f>
      </c>
      <c r="AJ461" s="8">
        <f>IF((0=1),SUM(C426:AJ426),"")</f>
      </c>
      <c r="AK461" s="8">
        <f>IF((0=1),SUM(C426:AK426),"")</f>
      </c>
      <c r="AL461" s="8">
        <f>IF((0=1),SUM(C426:AL426),"")</f>
      </c>
      <c r="AM461" s="8">
        <f>IF((0=1),SUM(C426:AM426),"")</f>
      </c>
      <c r="AN461" s="8">
        <f>IF((0=1),SUM(C426:AN426),"")</f>
      </c>
      <c r="AO461" s="8">
        <f>IF((0=1),SUM(C426:AO426),"")</f>
      </c>
      <c r="AP461" s="8">
        <f>IF((0=1),SUM(C426:AP426),"")</f>
      </c>
      <c r="AQ461" s="8">
        <f>IF((0=1),SUM(C426:AQ426),"")</f>
      </c>
      <c r="AR461" s="8">
        <f>IF((0=1),SUM(C426:AR426),"")</f>
      </c>
      <c r="AS461" s="8">
        <f>IF((0=1),SUM(C426:AS426),"")</f>
      </c>
      <c r="AT461" s="8">
        <f>IF((0=1),SUM(C426:AT426),"")</f>
      </c>
      <c r="AU461" s="8">
        <f>IF((0=1),SUM(C426:AU426),"")</f>
      </c>
      <c r="AV461" s="8">
        <f>IF((0=1),SUM(C426:AV426),"")</f>
      </c>
      <c r="AW461" s="8">
        <f>IF((0=1),SUM(C426:AW426),"")</f>
      </c>
      <c r="AX461" s="8">
        <f>IF((0=1),SUM(C426:AX426),"")</f>
      </c>
      <c r="AY461" s="8">
        <f>IF((0=1),SUM(C426:AY426),"")</f>
      </c>
      <c r="AZ461" s="8">
        <f>IF((0=1),SUM(C426:AZ426),"")</f>
      </c>
      <c r="BA461" s="8">
        <f>IF((0=1),SUM(C426:BA426),"")</f>
      </c>
      <c r="BB461" s="8">
        <f>IF((0=1),SUM(C426:BB426),"")</f>
      </c>
      <c r="BC461" s="8">
        <f>IF((0=1),SUM(C426:BC426),"")</f>
      </c>
      <c r="BD461" s="8">
        <f>IF((0=1),SUM(C426:BD426),"")</f>
      </c>
      <c r="BE461" s="8">
        <f>IF((0=1),SUM(C426:BE426),"")</f>
      </c>
      <c r="BF461" s="8">
        <f>IF((0=1),SUM(C426:BF426),"")</f>
      </c>
      <c r="BG461" s="8">
        <f>IF((0=1),SUM(C426:BG426),"")</f>
      </c>
      <c r="BH461" s="8">
        <f>IF((0=1),SUM(C426:BH426),"")</f>
      </c>
      <c r="BI461" s="8">
        <f>IF((0=1),SUM(C426:BI426),"")</f>
      </c>
      <c r="BJ461" s="8">
        <f>IF((0=1),SUM(C426:BJ426),"")</f>
      </c>
      <c r="BK461" s="8">
        <f>IF((0=1),SUM(C426:BK426),"")</f>
      </c>
      <c r="BL461" s="8">
        <f>IF((0=1),SUM(C426:BL426),"")</f>
      </c>
      <c r="BM461" s="8">
        <f>IF((0=1),SUM(C426:BM426),"")</f>
      </c>
      <c r="BN461" s="8">
        <f>IF((0=1),SUM(C426:BN426),"")</f>
      </c>
      <c r="BO461" s="8">
        <f>IF((0=1),SUM(C426:BO426),"")</f>
      </c>
      <c r="BP461" s="8">
        <f>IF((0=1),SUM(C426:BP426),"")</f>
      </c>
      <c r="BQ461" s="8">
        <f>IF((0=1),SUM(C426:BQ426),"")</f>
      </c>
      <c r="BR461" s="8">
        <f>IF((0=1),SUM(C426:BR426),"")</f>
      </c>
      <c r="BS461" s="8">
        <f>IF((0=1),SUM(C426:BS426),"")</f>
      </c>
      <c r="BT461" s="8">
        <f>IF((0=1),SUM(C426:BT426),"")</f>
      </c>
      <c r="BU461" s="8">
        <f>IF((0=1),SUM(C426:BU426),"")</f>
      </c>
      <c r="BV461" s="8">
        <f>IF((0=1),SUM(C426:BV426),"")</f>
      </c>
      <c r="BW461" s="8">
        <f>IF((0=1),SUM(C426:BW426),"")</f>
      </c>
      <c r="BX461" s="8">
        <f>IF((0=1),SUM(C426:BX426),"")</f>
      </c>
      <c r="BY461" s="8">
        <f>IF((0=1),SUM(C426:BY426),"")</f>
      </c>
      <c r="BZ461" s="8">
        <f>IF((0=1),SUM(C426:BZ426),"")</f>
      </c>
      <c r="CA461" s="8">
        <f>IF((0=1),SUM(C426:CA426),"")</f>
      </c>
      <c r="CB461" s="8">
        <f>IF((0=1),SUM(C426:CB426),"")</f>
      </c>
      <c r="CC461" s="8">
        <f>IF((0=1),SUM(C426:CC426),"")</f>
      </c>
      <c r="CD461" s="8">
        <f>IF((0=1),SUM(C426:CD426),"")</f>
      </c>
      <c r="CE461" s="8">
        <f>IF((0=1),SUM(C426:CE426),"")</f>
      </c>
      <c r="CF461" s="8">
        <f>IF((0=1),SUM(C426:CF426),"")</f>
      </c>
      <c r="CG461" s="8">
        <f>IF((0=1),SUM(C426:CG426),"")</f>
      </c>
      <c r="CH461" s="8">
        <f>IF((0=1),SUM(C426:CH426),"")</f>
      </c>
      <c r="CI461" s="8">
        <f>IF((0=1),SUM(C426:CI426),"")</f>
      </c>
      <c r="CJ461" s="8">
        <f>IF((0=1),SUM(C426:CJ426),"")</f>
      </c>
      <c r="CK461" s="8">
        <f>IF((0=1),SUM(C426:CK426),"")</f>
      </c>
      <c r="CL461" s="8">
        <f>IF((0=1),SUM(C426:CL426),"")</f>
      </c>
      <c r="CM461" s="8">
        <f>IF((0=1),SUM(C426:CM426),"")</f>
      </c>
      <c r="CN461" s="8">
        <f>IF((0=1),SUM(C426:CN426),"")</f>
      </c>
      <c r="CO461" s="8">
        <f>IF((0=1),SUM(C426:CO426),"")</f>
      </c>
      <c r="CP461" s="8">
        <f>IF((0=1),SUM(C426:CP426),"")</f>
      </c>
      <c r="CQ461" s="8">
        <f>IF((0=1),SUM(C426:CQ426),"")</f>
      </c>
      <c r="CR461" s="8">
        <f>IF((0=1),SUM(C426:CR426),"")</f>
      </c>
      <c r="CS461" s="8">
        <f>IF((0=1),SUM(C426:CS426),"")</f>
      </c>
      <c r="CT461" s="8">
        <f>IF((0=1),SUM(C426:CT426),"")</f>
      </c>
      <c r="CU461" s="8">
        <f>IF((0=1),SUM(C426:CU426),"")</f>
      </c>
      <c r="CV461" s="8">
        <f>IF((0=1),SUM(C426:CV426),"")</f>
      </c>
      <c r="CW461" s="8">
        <f>IF((0=1),SUM(C426:CW426),"")</f>
      </c>
      <c r="CX461" s="8">
        <f>IF((0=1),SUM(C426:CX426),"")</f>
      </c>
    </row>
    <row r="462">
      <c r="A462" s="0" t="inlineStr">
        <is>
          <t xml:space="preserve">Cumulative net P&amp;L, $</t>
        </is>
      </c>
      <c r="B462" s="0" t="inlineStr">
        <is>
          <t xml:space="preserve">Retail Attention Overnight</t>
        </is>
      </c>
      <c r="C462" s="8">
        <f>IF((1=1),SUM(C427),"")</f>
        <v>-272.27000000000004</v>
      </c>
      <c r="D462" s="8">
        <f>IF((0=1),SUM(C427:D427),"")</f>
      </c>
      <c r="E462" s="8">
        <f>IF((0=1),SUM(C427:E427),"")</f>
      </c>
      <c r="F462" s="8">
        <f>IF((0=1),SUM(C427:F427),"")</f>
      </c>
      <c r="G462" s="8">
        <f>IF((0=1),SUM(C427:G427),"")</f>
      </c>
      <c r="H462" s="8">
        <f>IF((0=1),SUM(C427:H427),"")</f>
      </c>
      <c r="I462" s="8">
        <f>IF((0=1),SUM(C427:I427),"")</f>
      </c>
      <c r="J462" s="8">
        <f>IF((0=1),SUM(C427:J427),"")</f>
      </c>
      <c r="K462" s="8">
        <f>IF((0=1),SUM(C427:K427),"")</f>
      </c>
      <c r="L462" s="8">
        <f>IF((0=1),SUM(C427:L427),"")</f>
      </c>
      <c r="M462" s="8">
        <f>IF((0=1),SUM(C427:M427),"")</f>
      </c>
      <c r="N462" s="8">
        <f>IF((0=1),SUM(C427:N427),"")</f>
      </c>
      <c r="O462" s="8">
        <f>IF((0=1),SUM(C427:O427),"")</f>
      </c>
      <c r="P462" s="8">
        <f>IF((0=1),SUM(C427:P427),"")</f>
      </c>
      <c r="Q462" s="8">
        <f>IF((0=1),SUM(C427:Q427),"")</f>
      </c>
      <c r="R462" s="8">
        <f>IF((0=1),SUM(C427:R427),"")</f>
      </c>
      <c r="S462" s="8">
        <f>IF((0=1),SUM(C427:S427),"")</f>
      </c>
      <c r="T462" s="8">
        <f>IF((0=1),SUM(C427:T427),"")</f>
      </c>
      <c r="U462" s="8">
        <f>IF((0=1),SUM(C427:U427),"")</f>
      </c>
      <c r="V462" s="8">
        <f>IF((0=1),SUM(C427:V427),"")</f>
      </c>
      <c r="W462" s="8">
        <f>IF((0=1),SUM(C427:W427),"")</f>
      </c>
      <c r="X462" s="8">
        <f>IF((0=1),SUM(C427:X427),"")</f>
      </c>
      <c r="Y462" s="8">
        <f>IF((0=1),SUM(C427:Y427),"")</f>
      </c>
      <c r="Z462" s="8">
        <f>IF((0=1),SUM(C427:Z427),"")</f>
      </c>
      <c r="AA462" s="8">
        <f>IF((0=1),SUM(C427:AA427),"")</f>
      </c>
      <c r="AB462" s="8">
        <f>IF((0=1),SUM(C427:AB427),"")</f>
      </c>
      <c r="AC462" s="8">
        <f>IF((0=1),SUM(C427:AC427),"")</f>
      </c>
      <c r="AD462" s="8">
        <f>IF((0=1),SUM(C427:AD427),"")</f>
      </c>
      <c r="AE462" s="8">
        <f>IF((0=1),SUM(C427:AE427),"")</f>
      </c>
      <c r="AF462" s="8">
        <f>IF((0=1),SUM(C427:AF427),"")</f>
      </c>
      <c r="AG462" s="8">
        <f>IF((0=1),SUM(C427:AG427),"")</f>
      </c>
      <c r="AH462" s="8">
        <f>IF((0=1),SUM(C427:AH427),"")</f>
      </c>
      <c r="AI462" s="8">
        <f>IF((0=1),SUM(C427:AI427),"")</f>
      </c>
      <c r="AJ462" s="8">
        <f>IF((0=1),SUM(C427:AJ427),"")</f>
      </c>
      <c r="AK462" s="8">
        <f>IF((0=1),SUM(C427:AK427),"")</f>
      </c>
      <c r="AL462" s="8">
        <f>IF((0=1),SUM(C427:AL427),"")</f>
      </c>
      <c r="AM462" s="8">
        <f>IF((0=1),SUM(C427:AM427),"")</f>
      </c>
      <c r="AN462" s="8">
        <f>IF((0=1),SUM(C427:AN427),"")</f>
      </c>
      <c r="AO462" s="8">
        <f>IF((0=1),SUM(C427:AO427),"")</f>
      </c>
      <c r="AP462" s="8">
        <f>IF((0=1),SUM(C427:AP427),"")</f>
      </c>
      <c r="AQ462" s="8">
        <f>IF((0=1),SUM(C427:AQ427),"")</f>
      </c>
      <c r="AR462" s="8">
        <f>IF((0=1),SUM(C427:AR427),"")</f>
      </c>
      <c r="AS462" s="8">
        <f>IF((0=1),SUM(C427:AS427),"")</f>
      </c>
      <c r="AT462" s="8">
        <f>IF((0=1),SUM(C427:AT427),"")</f>
      </c>
      <c r="AU462" s="8">
        <f>IF((0=1),SUM(C427:AU427),"")</f>
      </c>
      <c r="AV462" s="8">
        <f>IF((0=1),SUM(C427:AV427),"")</f>
      </c>
      <c r="AW462" s="8">
        <f>IF((0=1),SUM(C427:AW427),"")</f>
      </c>
      <c r="AX462" s="8">
        <f>IF((0=1),SUM(C427:AX427),"")</f>
      </c>
      <c r="AY462" s="8">
        <f>IF((0=1),SUM(C427:AY427),"")</f>
      </c>
      <c r="AZ462" s="8">
        <f>IF((0=1),SUM(C427:AZ427),"")</f>
      </c>
      <c r="BA462" s="8">
        <f>IF((0=1),SUM(C427:BA427),"")</f>
      </c>
      <c r="BB462" s="8">
        <f>IF((0=1),SUM(C427:BB427),"")</f>
      </c>
      <c r="BC462" s="8">
        <f>IF((0=1),SUM(C427:BC427),"")</f>
      </c>
      <c r="BD462" s="8">
        <f>IF((0=1),SUM(C427:BD427),"")</f>
      </c>
      <c r="BE462" s="8">
        <f>IF((0=1),SUM(C427:BE427),"")</f>
      </c>
      <c r="BF462" s="8">
        <f>IF((0=1),SUM(C427:BF427),"")</f>
      </c>
      <c r="BG462" s="8">
        <f>IF((0=1),SUM(C427:BG427),"")</f>
      </c>
      <c r="BH462" s="8">
        <f>IF((0=1),SUM(C427:BH427),"")</f>
      </c>
      <c r="BI462" s="8">
        <f>IF((0=1),SUM(C427:BI427),"")</f>
      </c>
      <c r="BJ462" s="8">
        <f>IF((0=1),SUM(C427:BJ427),"")</f>
      </c>
      <c r="BK462" s="8">
        <f>IF((0=1),SUM(C427:BK427),"")</f>
      </c>
      <c r="BL462" s="8">
        <f>IF((0=1),SUM(C427:BL427),"")</f>
      </c>
      <c r="BM462" s="8">
        <f>IF((0=1),SUM(C427:BM427),"")</f>
      </c>
      <c r="BN462" s="8">
        <f>IF((0=1),SUM(C427:BN427),"")</f>
      </c>
      <c r="BO462" s="8">
        <f>IF((0=1),SUM(C427:BO427),"")</f>
      </c>
      <c r="BP462" s="8">
        <f>IF((0=1),SUM(C427:BP427),"")</f>
      </c>
      <c r="BQ462" s="8">
        <f>IF((0=1),SUM(C427:BQ427),"")</f>
      </c>
      <c r="BR462" s="8">
        <f>IF((0=1),SUM(C427:BR427),"")</f>
      </c>
      <c r="BS462" s="8">
        <f>IF((0=1),SUM(C427:BS427),"")</f>
      </c>
      <c r="BT462" s="8">
        <f>IF((0=1),SUM(C427:BT427),"")</f>
      </c>
      <c r="BU462" s="8">
        <f>IF((0=1),SUM(C427:BU427),"")</f>
      </c>
      <c r="BV462" s="8">
        <f>IF((0=1),SUM(C427:BV427),"")</f>
      </c>
      <c r="BW462" s="8">
        <f>IF((0=1),SUM(C427:BW427),"")</f>
      </c>
      <c r="BX462" s="8">
        <f>IF((0=1),SUM(C427:BX427),"")</f>
      </c>
      <c r="BY462" s="8">
        <f>IF((0=1),SUM(C427:BY427),"")</f>
      </c>
      <c r="BZ462" s="8">
        <f>IF((0=1),SUM(C427:BZ427),"")</f>
      </c>
      <c r="CA462" s="8">
        <f>IF((0=1),SUM(C427:CA427),"")</f>
      </c>
      <c r="CB462" s="8">
        <f>IF((0=1),SUM(C427:CB427),"")</f>
      </c>
      <c r="CC462" s="8">
        <f>IF((0=1),SUM(C427:CC427),"")</f>
      </c>
      <c r="CD462" s="8">
        <f>IF((0=1),SUM(C427:CD427),"")</f>
      </c>
      <c r="CE462" s="8">
        <f>IF((0=1),SUM(C427:CE427),"")</f>
      </c>
      <c r="CF462" s="8">
        <f>IF((0=1),SUM(C427:CF427),"")</f>
      </c>
      <c r="CG462" s="8">
        <f>IF((0=1),SUM(C427:CG427),"")</f>
      </c>
      <c r="CH462" s="8">
        <f>IF((0=1),SUM(C427:CH427),"")</f>
      </c>
      <c r="CI462" s="8">
        <f>IF((0=1),SUM(C427:CI427),"")</f>
      </c>
      <c r="CJ462" s="8">
        <f>IF((0=1),SUM(C427:CJ427),"")</f>
      </c>
      <c r="CK462" s="8">
        <f>IF((0=1),SUM(C427:CK427),"")</f>
      </c>
      <c r="CL462" s="8">
        <f>IF((0=1),SUM(C427:CL427),"")</f>
      </c>
      <c r="CM462" s="8">
        <f>IF((0=1),SUM(C427:CM427),"")</f>
      </c>
      <c r="CN462" s="8">
        <f>IF((0=1),SUM(C427:CN427),"")</f>
      </c>
      <c r="CO462" s="8">
        <f>IF((0=1),SUM(C427:CO427),"")</f>
      </c>
      <c r="CP462" s="8">
        <f>IF((0=1),SUM(C427:CP427),"")</f>
      </c>
      <c r="CQ462" s="8">
        <f>IF((0=1),SUM(C427:CQ427),"")</f>
      </c>
      <c r="CR462" s="8">
        <f>IF((0=1),SUM(C427:CR427),"")</f>
      </c>
      <c r="CS462" s="8">
        <f>IF((0=1),SUM(C427:CS427),"")</f>
      </c>
      <c r="CT462" s="8">
        <f>IF((0=1),SUM(C427:CT427),"")</f>
      </c>
      <c r="CU462" s="8">
        <f>IF((0=1),SUM(C427:CU427),"")</f>
      </c>
      <c r="CV462" s="8">
        <f>IF((0=1),SUM(C427:CV427),"")</f>
      </c>
      <c r="CW462" s="8">
        <f>IF((0=1),SUM(C427:CW427),"")</f>
      </c>
      <c r="CX462" s="8">
        <f>IF((0=1),SUM(C427:CX427),"")</f>
      </c>
    </row>
    <row r="463">
      <c r="A463" s="0" t="inlineStr">
        <is>
          <t xml:space="preserve">Cumulative net P&amp;L, $</t>
        </is>
      </c>
      <c r="B463" s="0" t="inlineStr">
        <is>
          <t xml:space="preserve">Post-Earnings Drift, Overnight Leg</t>
        </is>
      </c>
      <c r="C463" s="8">
        <f>IF((1=1),SUM(C428),"")</f>
        <v>52.29</v>
      </c>
      <c r="D463" s="8">
        <f>IF((0=1),SUM(C428:D428),"")</f>
      </c>
      <c r="E463" s="8">
        <f>IF((0=1),SUM(C428:E428),"")</f>
      </c>
      <c r="F463" s="8">
        <f>IF((0=1),SUM(C428:F428),"")</f>
      </c>
      <c r="G463" s="8">
        <f>IF((0=1),SUM(C428:G428),"")</f>
      </c>
      <c r="H463" s="8">
        <f>IF((0=1),SUM(C428:H428),"")</f>
      </c>
      <c r="I463" s="8">
        <f>IF((0=1),SUM(C428:I428),"")</f>
      </c>
      <c r="J463" s="8">
        <f>IF((0=1),SUM(C428:J428),"")</f>
      </c>
      <c r="K463" s="8">
        <f>IF((0=1),SUM(C428:K428),"")</f>
      </c>
      <c r="L463" s="8">
        <f>IF((0=1),SUM(C428:L428),"")</f>
      </c>
      <c r="M463" s="8">
        <f>IF((0=1),SUM(C428:M428),"")</f>
      </c>
      <c r="N463" s="8">
        <f>IF((0=1),SUM(C428:N428),"")</f>
      </c>
      <c r="O463" s="8">
        <f>IF((0=1),SUM(C428:O428),"")</f>
      </c>
      <c r="P463" s="8">
        <f>IF((0=1),SUM(C428:P428),"")</f>
      </c>
      <c r="Q463" s="8">
        <f>IF((0=1),SUM(C428:Q428),"")</f>
      </c>
      <c r="R463" s="8">
        <f>IF((0=1),SUM(C428:R428),"")</f>
      </c>
      <c r="S463" s="8">
        <f>IF((0=1),SUM(C428:S428),"")</f>
      </c>
      <c r="T463" s="8">
        <f>IF((0=1),SUM(C428:T428),"")</f>
      </c>
      <c r="U463" s="8">
        <f>IF((0=1),SUM(C428:U428),"")</f>
      </c>
      <c r="V463" s="8">
        <f>IF((0=1),SUM(C428:V428),"")</f>
      </c>
      <c r="W463" s="8">
        <f>IF((0=1),SUM(C428:W428),"")</f>
      </c>
      <c r="X463" s="8">
        <f>IF((0=1),SUM(C428:X428),"")</f>
      </c>
      <c r="Y463" s="8">
        <f>IF((0=1),SUM(C428:Y428),"")</f>
      </c>
      <c r="Z463" s="8">
        <f>IF((0=1),SUM(C428:Z428),"")</f>
      </c>
      <c r="AA463" s="8">
        <f>IF((0=1),SUM(C428:AA428),"")</f>
      </c>
      <c r="AB463" s="8">
        <f>IF((0=1),SUM(C428:AB428),"")</f>
      </c>
      <c r="AC463" s="8">
        <f>IF((0=1),SUM(C428:AC428),"")</f>
      </c>
      <c r="AD463" s="8">
        <f>IF((0=1),SUM(C428:AD428),"")</f>
      </c>
      <c r="AE463" s="8">
        <f>IF((0=1),SUM(C428:AE428),"")</f>
      </c>
      <c r="AF463" s="8">
        <f>IF((0=1),SUM(C428:AF428),"")</f>
      </c>
      <c r="AG463" s="8">
        <f>IF((0=1),SUM(C428:AG428),"")</f>
      </c>
      <c r="AH463" s="8">
        <f>IF((0=1),SUM(C428:AH428),"")</f>
      </c>
      <c r="AI463" s="8">
        <f>IF((0=1),SUM(C428:AI428),"")</f>
      </c>
      <c r="AJ463" s="8">
        <f>IF((0=1),SUM(C428:AJ428),"")</f>
      </c>
      <c r="AK463" s="8">
        <f>IF((0=1),SUM(C428:AK428),"")</f>
      </c>
      <c r="AL463" s="8">
        <f>IF((0=1),SUM(C428:AL428),"")</f>
      </c>
      <c r="AM463" s="8">
        <f>IF((0=1),SUM(C428:AM428),"")</f>
      </c>
      <c r="AN463" s="8">
        <f>IF((0=1),SUM(C428:AN428),"")</f>
      </c>
      <c r="AO463" s="8">
        <f>IF((0=1),SUM(C428:AO428),"")</f>
      </c>
      <c r="AP463" s="8">
        <f>IF((0=1),SUM(C428:AP428),"")</f>
      </c>
      <c r="AQ463" s="8">
        <f>IF((0=1),SUM(C428:AQ428),"")</f>
      </c>
      <c r="AR463" s="8">
        <f>IF((0=1),SUM(C428:AR428),"")</f>
      </c>
      <c r="AS463" s="8">
        <f>IF((0=1),SUM(C428:AS428),"")</f>
      </c>
      <c r="AT463" s="8">
        <f>IF((0=1),SUM(C428:AT428),"")</f>
      </c>
      <c r="AU463" s="8">
        <f>IF((0=1),SUM(C428:AU428),"")</f>
      </c>
      <c r="AV463" s="8">
        <f>IF((0=1),SUM(C428:AV428),"")</f>
      </c>
      <c r="AW463" s="8">
        <f>IF((0=1),SUM(C428:AW428),"")</f>
      </c>
      <c r="AX463" s="8">
        <f>IF((0=1),SUM(C428:AX428),"")</f>
      </c>
      <c r="AY463" s="8">
        <f>IF((0=1),SUM(C428:AY428),"")</f>
      </c>
      <c r="AZ463" s="8">
        <f>IF((0=1),SUM(C428:AZ428),"")</f>
      </c>
      <c r="BA463" s="8">
        <f>IF((0=1),SUM(C428:BA428),"")</f>
      </c>
      <c r="BB463" s="8">
        <f>IF((0=1),SUM(C428:BB428),"")</f>
      </c>
      <c r="BC463" s="8">
        <f>IF((0=1),SUM(C428:BC428),"")</f>
      </c>
      <c r="BD463" s="8">
        <f>IF((0=1),SUM(C428:BD428),"")</f>
      </c>
      <c r="BE463" s="8">
        <f>IF((0=1),SUM(C428:BE428),"")</f>
      </c>
      <c r="BF463" s="8">
        <f>IF((0=1),SUM(C428:BF428),"")</f>
      </c>
      <c r="BG463" s="8">
        <f>IF((0=1),SUM(C428:BG428),"")</f>
      </c>
      <c r="BH463" s="8">
        <f>IF((0=1),SUM(C428:BH428),"")</f>
      </c>
      <c r="BI463" s="8">
        <f>IF((0=1),SUM(C428:BI428),"")</f>
      </c>
      <c r="BJ463" s="8">
        <f>IF((0=1),SUM(C428:BJ428),"")</f>
      </c>
      <c r="BK463" s="8">
        <f>IF((0=1),SUM(C428:BK428),"")</f>
      </c>
      <c r="BL463" s="8">
        <f>IF((0=1),SUM(C428:BL428),"")</f>
      </c>
      <c r="BM463" s="8">
        <f>IF((0=1),SUM(C428:BM428),"")</f>
      </c>
      <c r="BN463" s="8">
        <f>IF((0=1),SUM(C428:BN428),"")</f>
      </c>
      <c r="BO463" s="8">
        <f>IF((0=1),SUM(C428:BO428),"")</f>
      </c>
      <c r="BP463" s="8">
        <f>IF((0=1),SUM(C428:BP428),"")</f>
      </c>
      <c r="BQ463" s="8">
        <f>IF((0=1),SUM(C428:BQ428),"")</f>
      </c>
      <c r="BR463" s="8">
        <f>IF((0=1),SUM(C428:BR428),"")</f>
      </c>
      <c r="BS463" s="8">
        <f>IF((0=1),SUM(C428:BS428),"")</f>
      </c>
      <c r="BT463" s="8">
        <f>IF((0=1),SUM(C428:BT428),"")</f>
      </c>
      <c r="BU463" s="8">
        <f>IF((0=1),SUM(C428:BU428),"")</f>
      </c>
      <c r="BV463" s="8">
        <f>IF((0=1),SUM(C428:BV428),"")</f>
      </c>
      <c r="BW463" s="8">
        <f>IF((0=1),SUM(C428:BW428),"")</f>
      </c>
      <c r="BX463" s="8">
        <f>IF((0=1),SUM(C428:BX428),"")</f>
      </c>
      <c r="BY463" s="8">
        <f>IF((0=1),SUM(C428:BY428),"")</f>
      </c>
      <c r="BZ463" s="8">
        <f>IF((0=1),SUM(C428:BZ428),"")</f>
      </c>
      <c r="CA463" s="8">
        <f>IF((0=1),SUM(C428:CA428),"")</f>
      </c>
      <c r="CB463" s="8">
        <f>IF((0=1),SUM(C428:CB428),"")</f>
      </c>
      <c r="CC463" s="8">
        <f>IF((0=1),SUM(C428:CC428),"")</f>
      </c>
      <c r="CD463" s="8">
        <f>IF((0=1),SUM(C428:CD428),"")</f>
      </c>
      <c r="CE463" s="8">
        <f>IF((0=1),SUM(C428:CE428),"")</f>
      </c>
      <c r="CF463" s="8">
        <f>IF((0=1),SUM(C428:CF428),"")</f>
      </c>
      <c r="CG463" s="8">
        <f>IF((0=1),SUM(C428:CG428),"")</f>
      </c>
      <c r="CH463" s="8">
        <f>IF((0=1),SUM(C428:CH428),"")</f>
      </c>
      <c r="CI463" s="8">
        <f>IF((0=1),SUM(C428:CI428),"")</f>
      </c>
      <c r="CJ463" s="8">
        <f>IF((0=1),SUM(C428:CJ428),"")</f>
      </c>
      <c r="CK463" s="8">
        <f>IF((0=1),SUM(C428:CK428),"")</f>
      </c>
      <c r="CL463" s="8">
        <f>IF((0=1),SUM(C428:CL428),"")</f>
      </c>
      <c r="CM463" s="8">
        <f>IF((0=1),SUM(C428:CM428),"")</f>
      </c>
      <c r="CN463" s="8">
        <f>IF((0=1),SUM(C428:CN428),"")</f>
      </c>
      <c r="CO463" s="8">
        <f>IF((0=1),SUM(C428:CO428),"")</f>
      </c>
      <c r="CP463" s="8">
        <f>IF((0=1),SUM(C428:CP428),"")</f>
      </c>
      <c r="CQ463" s="8">
        <f>IF((0=1),SUM(C428:CQ428),"")</f>
      </c>
      <c r="CR463" s="8">
        <f>IF((0=1),SUM(C428:CR428),"")</f>
      </c>
      <c r="CS463" s="8">
        <f>IF((0=1),SUM(C428:CS428),"")</f>
      </c>
      <c r="CT463" s="8">
        <f>IF((0=1),SUM(C428:CT428),"")</f>
      </c>
      <c r="CU463" s="8">
        <f>IF((0=1),SUM(C428:CU428),"")</f>
      </c>
      <c r="CV463" s="8">
        <f>IF((0=1),SUM(C428:CV428),"")</f>
      </c>
      <c r="CW463" s="8">
        <f>IF((0=1),SUM(C428:CW428),"")</f>
      </c>
      <c r="CX463" s="8">
        <f>IF((0=1),SUM(C428:CX428),"")</f>
      </c>
    </row>
    <row r="464">
      <c r="A464" s="0" t="inlineStr">
        <is>
          <t xml:space="preserve">Cumulative net P&amp;L, $</t>
        </is>
      </c>
      <c r="B464" s="0" t="inlineStr">
        <is>
          <t xml:space="preserve">Intraday-to-Overnight Reversal</t>
        </is>
      </c>
      <c r="C464" s="8">
        <f>IF((1=1),SUM(C429),"")</f>
        <v>-74.53</v>
      </c>
      <c r="D464" s="8">
        <f>IF((0=1),SUM(C429:D429),"")</f>
      </c>
      <c r="E464" s="8">
        <f>IF((0=1),SUM(C429:E429),"")</f>
      </c>
      <c r="F464" s="8">
        <f>IF((0=1),SUM(C429:F429),"")</f>
      </c>
      <c r="G464" s="8">
        <f>IF((0=1),SUM(C429:G429),"")</f>
      </c>
      <c r="H464" s="8">
        <f>IF((0=1),SUM(C429:H429),"")</f>
      </c>
      <c r="I464" s="8">
        <f>IF((0=1),SUM(C429:I429),"")</f>
      </c>
      <c r="J464" s="8">
        <f>IF((0=1),SUM(C429:J429),"")</f>
      </c>
      <c r="K464" s="8">
        <f>IF((0=1),SUM(C429:K429),"")</f>
      </c>
      <c r="L464" s="8">
        <f>IF((0=1),SUM(C429:L429),"")</f>
      </c>
      <c r="M464" s="8">
        <f>IF((0=1),SUM(C429:M429),"")</f>
      </c>
      <c r="N464" s="8">
        <f>IF((0=1),SUM(C429:N429),"")</f>
      </c>
      <c r="O464" s="8">
        <f>IF((0=1),SUM(C429:O429),"")</f>
      </c>
      <c r="P464" s="8">
        <f>IF((0=1),SUM(C429:P429),"")</f>
      </c>
      <c r="Q464" s="8">
        <f>IF((0=1),SUM(C429:Q429),"")</f>
      </c>
      <c r="R464" s="8">
        <f>IF((0=1),SUM(C429:R429),"")</f>
      </c>
      <c r="S464" s="8">
        <f>IF((0=1),SUM(C429:S429),"")</f>
      </c>
      <c r="T464" s="8">
        <f>IF((0=1),SUM(C429:T429),"")</f>
      </c>
      <c r="U464" s="8">
        <f>IF((0=1),SUM(C429:U429),"")</f>
      </c>
      <c r="V464" s="8">
        <f>IF((0=1),SUM(C429:V429),"")</f>
      </c>
      <c r="W464" s="8">
        <f>IF((0=1),SUM(C429:W429),"")</f>
      </c>
      <c r="X464" s="8">
        <f>IF((0=1),SUM(C429:X429),"")</f>
      </c>
      <c r="Y464" s="8">
        <f>IF((0=1),SUM(C429:Y429),"")</f>
      </c>
      <c r="Z464" s="8">
        <f>IF((0=1),SUM(C429:Z429),"")</f>
      </c>
      <c r="AA464" s="8">
        <f>IF((0=1),SUM(C429:AA429),"")</f>
      </c>
      <c r="AB464" s="8">
        <f>IF((0=1),SUM(C429:AB429),"")</f>
      </c>
      <c r="AC464" s="8">
        <f>IF((0=1),SUM(C429:AC429),"")</f>
      </c>
      <c r="AD464" s="8">
        <f>IF((0=1),SUM(C429:AD429),"")</f>
      </c>
      <c r="AE464" s="8">
        <f>IF((0=1),SUM(C429:AE429),"")</f>
      </c>
      <c r="AF464" s="8">
        <f>IF((0=1),SUM(C429:AF429),"")</f>
      </c>
      <c r="AG464" s="8">
        <f>IF((0=1),SUM(C429:AG429),"")</f>
      </c>
      <c r="AH464" s="8">
        <f>IF((0=1),SUM(C429:AH429),"")</f>
      </c>
      <c r="AI464" s="8">
        <f>IF((0=1),SUM(C429:AI429),"")</f>
      </c>
      <c r="AJ464" s="8">
        <f>IF((0=1),SUM(C429:AJ429),"")</f>
      </c>
      <c r="AK464" s="8">
        <f>IF((0=1),SUM(C429:AK429),"")</f>
      </c>
      <c r="AL464" s="8">
        <f>IF((0=1),SUM(C429:AL429),"")</f>
      </c>
      <c r="AM464" s="8">
        <f>IF((0=1),SUM(C429:AM429),"")</f>
      </c>
      <c r="AN464" s="8">
        <f>IF((0=1),SUM(C429:AN429),"")</f>
      </c>
      <c r="AO464" s="8">
        <f>IF((0=1),SUM(C429:AO429),"")</f>
      </c>
      <c r="AP464" s="8">
        <f>IF((0=1),SUM(C429:AP429),"")</f>
      </c>
      <c r="AQ464" s="8">
        <f>IF((0=1),SUM(C429:AQ429),"")</f>
      </c>
      <c r="AR464" s="8">
        <f>IF((0=1),SUM(C429:AR429),"")</f>
      </c>
      <c r="AS464" s="8">
        <f>IF((0=1),SUM(C429:AS429),"")</f>
      </c>
      <c r="AT464" s="8">
        <f>IF((0=1),SUM(C429:AT429),"")</f>
      </c>
      <c r="AU464" s="8">
        <f>IF((0=1),SUM(C429:AU429),"")</f>
      </c>
      <c r="AV464" s="8">
        <f>IF((0=1),SUM(C429:AV429),"")</f>
      </c>
      <c r="AW464" s="8">
        <f>IF((0=1),SUM(C429:AW429),"")</f>
      </c>
      <c r="AX464" s="8">
        <f>IF((0=1),SUM(C429:AX429),"")</f>
      </c>
      <c r="AY464" s="8">
        <f>IF((0=1),SUM(C429:AY429),"")</f>
      </c>
      <c r="AZ464" s="8">
        <f>IF((0=1),SUM(C429:AZ429),"")</f>
      </c>
      <c r="BA464" s="8">
        <f>IF((0=1),SUM(C429:BA429),"")</f>
      </c>
      <c r="BB464" s="8">
        <f>IF((0=1),SUM(C429:BB429),"")</f>
      </c>
      <c r="BC464" s="8">
        <f>IF((0=1),SUM(C429:BC429),"")</f>
      </c>
      <c r="BD464" s="8">
        <f>IF((0=1),SUM(C429:BD429),"")</f>
      </c>
      <c r="BE464" s="8">
        <f>IF((0=1),SUM(C429:BE429),"")</f>
      </c>
      <c r="BF464" s="8">
        <f>IF((0=1),SUM(C429:BF429),"")</f>
      </c>
      <c r="BG464" s="8">
        <f>IF((0=1),SUM(C429:BG429),"")</f>
      </c>
      <c r="BH464" s="8">
        <f>IF((0=1),SUM(C429:BH429),"")</f>
      </c>
      <c r="BI464" s="8">
        <f>IF((0=1),SUM(C429:BI429),"")</f>
      </c>
      <c r="BJ464" s="8">
        <f>IF((0=1),SUM(C429:BJ429),"")</f>
      </c>
      <c r="BK464" s="8">
        <f>IF((0=1),SUM(C429:BK429),"")</f>
      </c>
      <c r="BL464" s="8">
        <f>IF((0=1),SUM(C429:BL429),"")</f>
      </c>
      <c r="BM464" s="8">
        <f>IF((0=1),SUM(C429:BM429),"")</f>
      </c>
      <c r="BN464" s="8">
        <f>IF((0=1),SUM(C429:BN429),"")</f>
      </c>
      <c r="BO464" s="8">
        <f>IF((0=1),SUM(C429:BO429),"")</f>
      </c>
      <c r="BP464" s="8">
        <f>IF((0=1),SUM(C429:BP429),"")</f>
      </c>
      <c r="BQ464" s="8">
        <f>IF((0=1),SUM(C429:BQ429),"")</f>
      </c>
      <c r="BR464" s="8">
        <f>IF((0=1),SUM(C429:BR429),"")</f>
      </c>
      <c r="BS464" s="8">
        <f>IF((0=1),SUM(C429:BS429),"")</f>
      </c>
      <c r="BT464" s="8">
        <f>IF((0=1),SUM(C429:BT429),"")</f>
      </c>
      <c r="BU464" s="8">
        <f>IF((0=1),SUM(C429:BU429),"")</f>
      </c>
      <c r="BV464" s="8">
        <f>IF((0=1),SUM(C429:BV429),"")</f>
      </c>
      <c r="BW464" s="8">
        <f>IF((0=1),SUM(C429:BW429),"")</f>
      </c>
      <c r="BX464" s="8">
        <f>IF((0=1),SUM(C429:BX429),"")</f>
      </c>
      <c r="BY464" s="8">
        <f>IF((0=1),SUM(C429:BY429),"")</f>
      </c>
      <c r="BZ464" s="8">
        <f>IF((0=1),SUM(C429:BZ429),"")</f>
      </c>
      <c r="CA464" s="8">
        <f>IF((0=1),SUM(C429:CA429),"")</f>
      </c>
      <c r="CB464" s="8">
        <f>IF((0=1),SUM(C429:CB429),"")</f>
      </c>
      <c r="CC464" s="8">
        <f>IF((0=1),SUM(C429:CC429),"")</f>
      </c>
      <c r="CD464" s="8">
        <f>IF((0=1),SUM(C429:CD429),"")</f>
      </c>
      <c r="CE464" s="8">
        <f>IF((0=1),SUM(C429:CE429),"")</f>
      </c>
      <c r="CF464" s="8">
        <f>IF((0=1),SUM(C429:CF429),"")</f>
      </c>
      <c r="CG464" s="8">
        <f>IF((0=1),SUM(C429:CG429),"")</f>
      </c>
      <c r="CH464" s="8">
        <f>IF((0=1),SUM(C429:CH429),"")</f>
      </c>
      <c r="CI464" s="8">
        <f>IF((0=1),SUM(C429:CI429),"")</f>
      </c>
      <c r="CJ464" s="8">
        <f>IF((0=1),SUM(C429:CJ429),"")</f>
      </c>
      <c r="CK464" s="8">
        <f>IF((0=1),SUM(C429:CK429),"")</f>
      </c>
      <c r="CL464" s="8">
        <f>IF((0=1),SUM(C429:CL429),"")</f>
      </c>
      <c r="CM464" s="8">
        <f>IF((0=1),SUM(C429:CM429),"")</f>
      </c>
      <c r="CN464" s="8">
        <f>IF((0=1),SUM(C429:CN429),"")</f>
      </c>
      <c r="CO464" s="8">
        <f>IF((0=1),SUM(C429:CO429),"")</f>
      </c>
      <c r="CP464" s="8">
        <f>IF((0=1),SUM(C429:CP429),"")</f>
      </c>
      <c r="CQ464" s="8">
        <f>IF((0=1),SUM(C429:CQ429),"")</f>
      </c>
      <c r="CR464" s="8">
        <f>IF((0=1),SUM(C429:CR429),"")</f>
      </c>
      <c r="CS464" s="8">
        <f>IF((0=1),SUM(C429:CS429),"")</f>
      </c>
      <c r="CT464" s="8">
        <f>IF((0=1),SUM(C429:CT429),"")</f>
      </c>
      <c r="CU464" s="8">
        <f>IF((0=1),SUM(C429:CU429),"")</f>
      </c>
      <c r="CV464" s="8">
        <f>IF((0=1),SUM(C429:CV429),"")</f>
      </c>
      <c r="CW464" s="8">
        <f>IF((0=1),SUM(C429:CW429),"")</f>
      </c>
      <c r="CX464" s="8">
        <f>IF((0=1),SUM(C429:CX429),"")</f>
      </c>
    </row>
    <row r="465">
      <c r="A465" s="0" t="inlineStr">
        <is>
          <t xml:space="preserve">Cumulative net P&amp;L, $</t>
        </is>
      </c>
      <c r="B465" s="0" t="inlineStr">
        <is>
          <t xml:space="preserve">Analyst Revision Momentum</t>
        </is>
      </c>
      <c r="C465" s="8">
        <f>IF((1=1),SUM(C430),"")</f>
        <v>-162.85</v>
      </c>
      <c r="D465" s="8">
        <f>IF((0=1),SUM(C430:D430),"")</f>
      </c>
      <c r="E465" s="8">
        <f>IF((0=1),SUM(C430:E430),"")</f>
      </c>
      <c r="F465" s="8">
        <f>IF((0=1),SUM(C430:F430),"")</f>
      </c>
      <c r="G465" s="8">
        <f>IF((0=1),SUM(C430:G430),"")</f>
      </c>
      <c r="H465" s="8">
        <f>IF((0=1),SUM(C430:H430),"")</f>
      </c>
      <c r="I465" s="8">
        <f>IF((0=1),SUM(C430:I430),"")</f>
      </c>
      <c r="J465" s="8">
        <f>IF((0=1),SUM(C430:J430),"")</f>
      </c>
      <c r="K465" s="8">
        <f>IF((0=1),SUM(C430:K430),"")</f>
      </c>
      <c r="L465" s="8">
        <f>IF((0=1),SUM(C430:L430),"")</f>
      </c>
      <c r="M465" s="8">
        <f>IF((0=1),SUM(C430:M430),"")</f>
      </c>
      <c r="N465" s="8">
        <f>IF((0=1),SUM(C430:N430),"")</f>
      </c>
      <c r="O465" s="8">
        <f>IF((0=1),SUM(C430:O430),"")</f>
      </c>
      <c r="P465" s="8">
        <f>IF((0=1),SUM(C430:P430),"")</f>
      </c>
      <c r="Q465" s="8">
        <f>IF((0=1),SUM(C430:Q430),"")</f>
      </c>
      <c r="R465" s="8">
        <f>IF((0=1),SUM(C430:R430),"")</f>
      </c>
      <c r="S465" s="8">
        <f>IF((0=1),SUM(C430:S430),"")</f>
      </c>
      <c r="T465" s="8">
        <f>IF((0=1),SUM(C430:T430),"")</f>
      </c>
      <c r="U465" s="8">
        <f>IF((0=1),SUM(C430:U430),"")</f>
      </c>
      <c r="V465" s="8">
        <f>IF((0=1),SUM(C430:V430),"")</f>
      </c>
      <c r="W465" s="8">
        <f>IF((0=1),SUM(C430:W430),"")</f>
      </c>
      <c r="X465" s="8">
        <f>IF((0=1),SUM(C430:X430),"")</f>
      </c>
      <c r="Y465" s="8">
        <f>IF((0=1),SUM(C430:Y430),"")</f>
      </c>
      <c r="Z465" s="8">
        <f>IF((0=1),SUM(C430:Z430),"")</f>
      </c>
      <c r="AA465" s="8">
        <f>IF((0=1),SUM(C430:AA430),"")</f>
      </c>
      <c r="AB465" s="8">
        <f>IF((0=1),SUM(C430:AB430),"")</f>
      </c>
      <c r="AC465" s="8">
        <f>IF((0=1),SUM(C430:AC430),"")</f>
      </c>
      <c r="AD465" s="8">
        <f>IF((0=1),SUM(C430:AD430),"")</f>
      </c>
      <c r="AE465" s="8">
        <f>IF((0=1),SUM(C430:AE430),"")</f>
      </c>
      <c r="AF465" s="8">
        <f>IF((0=1),SUM(C430:AF430),"")</f>
      </c>
      <c r="AG465" s="8">
        <f>IF((0=1),SUM(C430:AG430),"")</f>
      </c>
      <c r="AH465" s="8">
        <f>IF((0=1),SUM(C430:AH430),"")</f>
      </c>
      <c r="AI465" s="8">
        <f>IF((0=1),SUM(C430:AI430),"")</f>
      </c>
      <c r="AJ465" s="8">
        <f>IF((0=1),SUM(C430:AJ430),"")</f>
      </c>
      <c r="AK465" s="8">
        <f>IF((0=1),SUM(C430:AK430),"")</f>
      </c>
      <c r="AL465" s="8">
        <f>IF((0=1),SUM(C430:AL430),"")</f>
      </c>
      <c r="AM465" s="8">
        <f>IF((0=1),SUM(C430:AM430),"")</f>
      </c>
      <c r="AN465" s="8">
        <f>IF((0=1),SUM(C430:AN430),"")</f>
      </c>
      <c r="AO465" s="8">
        <f>IF((0=1),SUM(C430:AO430),"")</f>
      </c>
      <c r="AP465" s="8">
        <f>IF((0=1),SUM(C430:AP430),"")</f>
      </c>
      <c r="AQ465" s="8">
        <f>IF((0=1),SUM(C430:AQ430),"")</f>
      </c>
      <c r="AR465" s="8">
        <f>IF((0=1),SUM(C430:AR430),"")</f>
      </c>
      <c r="AS465" s="8">
        <f>IF((0=1),SUM(C430:AS430),"")</f>
      </c>
      <c r="AT465" s="8">
        <f>IF((0=1),SUM(C430:AT430),"")</f>
      </c>
      <c r="AU465" s="8">
        <f>IF((0=1),SUM(C430:AU430),"")</f>
      </c>
      <c r="AV465" s="8">
        <f>IF((0=1),SUM(C430:AV430),"")</f>
      </c>
      <c r="AW465" s="8">
        <f>IF((0=1),SUM(C430:AW430),"")</f>
      </c>
      <c r="AX465" s="8">
        <f>IF((0=1),SUM(C430:AX430),"")</f>
      </c>
      <c r="AY465" s="8">
        <f>IF((0=1),SUM(C430:AY430),"")</f>
      </c>
      <c r="AZ465" s="8">
        <f>IF((0=1),SUM(C430:AZ430),"")</f>
      </c>
      <c r="BA465" s="8">
        <f>IF((0=1),SUM(C430:BA430),"")</f>
      </c>
      <c r="BB465" s="8">
        <f>IF((0=1),SUM(C430:BB430),"")</f>
      </c>
      <c r="BC465" s="8">
        <f>IF((0=1),SUM(C430:BC430),"")</f>
      </c>
      <c r="BD465" s="8">
        <f>IF((0=1),SUM(C430:BD430),"")</f>
      </c>
      <c r="BE465" s="8">
        <f>IF((0=1),SUM(C430:BE430),"")</f>
      </c>
      <c r="BF465" s="8">
        <f>IF((0=1),SUM(C430:BF430),"")</f>
      </c>
      <c r="BG465" s="8">
        <f>IF((0=1),SUM(C430:BG430),"")</f>
      </c>
      <c r="BH465" s="8">
        <f>IF((0=1),SUM(C430:BH430),"")</f>
      </c>
      <c r="BI465" s="8">
        <f>IF((0=1),SUM(C430:BI430),"")</f>
      </c>
      <c r="BJ465" s="8">
        <f>IF((0=1),SUM(C430:BJ430),"")</f>
      </c>
      <c r="BK465" s="8">
        <f>IF((0=1),SUM(C430:BK430),"")</f>
      </c>
      <c r="BL465" s="8">
        <f>IF((0=1),SUM(C430:BL430),"")</f>
      </c>
      <c r="BM465" s="8">
        <f>IF((0=1),SUM(C430:BM430),"")</f>
      </c>
      <c r="BN465" s="8">
        <f>IF((0=1),SUM(C430:BN430),"")</f>
      </c>
      <c r="BO465" s="8">
        <f>IF((0=1),SUM(C430:BO430),"")</f>
      </c>
      <c r="BP465" s="8">
        <f>IF((0=1),SUM(C430:BP430),"")</f>
      </c>
      <c r="BQ465" s="8">
        <f>IF((0=1),SUM(C430:BQ430),"")</f>
      </c>
      <c r="BR465" s="8">
        <f>IF((0=1),SUM(C430:BR430),"")</f>
      </c>
      <c r="BS465" s="8">
        <f>IF((0=1),SUM(C430:BS430),"")</f>
      </c>
      <c r="BT465" s="8">
        <f>IF((0=1),SUM(C430:BT430),"")</f>
      </c>
      <c r="BU465" s="8">
        <f>IF((0=1),SUM(C430:BU430),"")</f>
      </c>
      <c r="BV465" s="8">
        <f>IF((0=1),SUM(C430:BV430),"")</f>
      </c>
      <c r="BW465" s="8">
        <f>IF((0=1),SUM(C430:BW430),"")</f>
      </c>
      <c r="BX465" s="8">
        <f>IF((0=1),SUM(C430:BX430),"")</f>
      </c>
      <c r="BY465" s="8">
        <f>IF((0=1),SUM(C430:BY430),"")</f>
      </c>
      <c r="BZ465" s="8">
        <f>IF((0=1),SUM(C430:BZ430),"")</f>
      </c>
      <c r="CA465" s="8">
        <f>IF((0=1),SUM(C430:CA430),"")</f>
      </c>
      <c r="CB465" s="8">
        <f>IF((0=1),SUM(C430:CB430),"")</f>
      </c>
      <c r="CC465" s="8">
        <f>IF((0=1),SUM(C430:CC430),"")</f>
      </c>
      <c r="CD465" s="8">
        <f>IF((0=1),SUM(C430:CD430),"")</f>
      </c>
      <c r="CE465" s="8">
        <f>IF((0=1),SUM(C430:CE430),"")</f>
      </c>
      <c r="CF465" s="8">
        <f>IF((0=1),SUM(C430:CF430),"")</f>
      </c>
      <c r="CG465" s="8">
        <f>IF((0=1),SUM(C430:CG430),"")</f>
      </c>
      <c r="CH465" s="8">
        <f>IF((0=1),SUM(C430:CH430),"")</f>
      </c>
      <c r="CI465" s="8">
        <f>IF((0=1),SUM(C430:CI430),"")</f>
      </c>
      <c r="CJ465" s="8">
        <f>IF((0=1),SUM(C430:CJ430),"")</f>
      </c>
      <c r="CK465" s="8">
        <f>IF((0=1),SUM(C430:CK430),"")</f>
      </c>
      <c r="CL465" s="8">
        <f>IF((0=1),SUM(C430:CL430),"")</f>
      </c>
      <c r="CM465" s="8">
        <f>IF((0=1),SUM(C430:CM430),"")</f>
      </c>
      <c r="CN465" s="8">
        <f>IF((0=1),SUM(C430:CN430),"")</f>
      </c>
      <c r="CO465" s="8">
        <f>IF((0=1),SUM(C430:CO430),"")</f>
      </c>
      <c r="CP465" s="8">
        <f>IF((0=1),SUM(C430:CP430),"")</f>
      </c>
      <c r="CQ465" s="8">
        <f>IF((0=1),SUM(C430:CQ430),"")</f>
      </c>
      <c r="CR465" s="8">
        <f>IF((0=1),SUM(C430:CR430),"")</f>
      </c>
      <c r="CS465" s="8">
        <f>IF((0=1),SUM(C430:CS430),"")</f>
      </c>
      <c r="CT465" s="8">
        <f>IF((0=1),SUM(C430:CT430),"")</f>
      </c>
      <c r="CU465" s="8">
        <f>IF((0=1),SUM(C430:CU430),"")</f>
      </c>
      <c r="CV465" s="8">
        <f>IF((0=1),SUM(C430:CV430),"")</f>
      </c>
      <c r="CW465" s="8">
        <f>IF((0=1),SUM(C430:CW430),"")</f>
      </c>
      <c r="CX465" s="8">
        <f>IF((0=1),SUM(C430:CX430),"")</f>
      </c>
    </row>
    <row r="466">
      <c r="A466" s="0" t="inlineStr">
        <is>
          <t xml:space="preserve">Cumulative net P&amp;L, $</t>
        </is>
      </c>
      <c r="B466" s="0" t="inlineStr">
        <is>
          <t xml:space="preserve">Clustered Insider Buying</t>
        </is>
      </c>
      <c r="C466" s="8">
        <f>IF((1=1),SUM(C431),"")</f>
        <v>41.95</v>
      </c>
      <c r="D466" s="8">
        <f>IF((0=1),SUM(C431:D431),"")</f>
      </c>
      <c r="E466" s="8">
        <f>IF((0=1),SUM(C431:E431),"")</f>
      </c>
      <c r="F466" s="8">
        <f>IF((0=1),SUM(C431:F431),"")</f>
      </c>
      <c r="G466" s="8">
        <f>IF((0=1),SUM(C431:G431),"")</f>
      </c>
      <c r="H466" s="8">
        <f>IF((0=1),SUM(C431:H431),"")</f>
      </c>
      <c r="I466" s="8">
        <f>IF((0=1),SUM(C431:I431),"")</f>
      </c>
      <c r="J466" s="8">
        <f>IF((0=1),SUM(C431:J431),"")</f>
      </c>
      <c r="K466" s="8">
        <f>IF((0=1),SUM(C431:K431),"")</f>
      </c>
      <c r="L466" s="8">
        <f>IF((0=1),SUM(C431:L431),"")</f>
      </c>
      <c r="M466" s="8">
        <f>IF((0=1),SUM(C431:M431),"")</f>
      </c>
      <c r="N466" s="8">
        <f>IF((0=1),SUM(C431:N431),"")</f>
      </c>
      <c r="O466" s="8">
        <f>IF((0=1),SUM(C431:O431),"")</f>
      </c>
      <c r="P466" s="8">
        <f>IF((0=1),SUM(C431:P431),"")</f>
      </c>
      <c r="Q466" s="8">
        <f>IF((0=1),SUM(C431:Q431),"")</f>
      </c>
      <c r="R466" s="8">
        <f>IF((0=1),SUM(C431:R431),"")</f>
      </c>
      <c r="S466" s="8">
        <f>IF((0=1),SUM(C431:S431),"")</f>
      </c>
      <c r="T466" s="8">
        <f>IF((0=1),SUM(C431:T431),"")</f>
      </c>
      <c r="U466" s="8">
        <f>IF((0=1),SUM(C431:U431),"")</f>
      </c>
      <c r="V466" s="8">
        <f>IF((0=1),SUM(C431:V431),"")</f>
      </c>
      <c r="W466" s="8">
        <f>IF((0=1),SUM(C431:W431),"")</f>
      </c>
      <c r="X466" s="8">
        <f>IF((0=1),SUM(C431:X431),"")</f>
      </c>
      <c r="Y466" s="8">
        <f>IF((0=1),SUM(C431:Y431),"")</f>
      </c>
      <c r="Z466" s="8">
        <f>IF((0=1),SUM(C431:Z431),"")</f>
      </c>
      <c r="AA466" s="8">
        <f>IF((0=1),SUM(C431:AA431),"")</f>
      </c>
      <c r="AB466" s="8">
        <f>IF((0=1),SUM(C431:AB431),"")</f>
      </c>
      <c r="AC466" s="8">
        <f>IF((0=1),SUM(C431:AC431),"")</f>
      </c>
      <c r="AD466" s="8">
        <f>IF((0=1),SUM(C431:AD431),"")</f>
      </c>
      <c r="AE466" s="8">
        <f>IF((0=1),SUM(C431:AE431),"")</f>
      </c>
      <c r="AF466" s="8">
        <f>IF((0=1),SUM(C431:AF431),"")</f>
      </c>
      <c r="AG466" s="8">
        <f>IF((0=1),SUM(C431:AG431),"")</f>
      </c>
      <c r="AH466" s="8">
        <f>IF((0=1),SUM(C431:AH431),"")</f>
      </c>
      <c r="AI466" s="8">
        <f>IF((0=1),SUM(C431:AI431),"")</f>
      </c>
      <c r="AJ466" s="8">
        <f>IF((0=1),SUM(C431:AJ431),"")</f>
      </c>
      <c r="AK466" s="8">
        <f>IF((0=1),SUM(C431:AK431),"")</f>
      </c>
      <c r="AL466" s="8">
        <f>IF((0=1),SUM(C431:AL431),"")</f>
      </c>
      <c r="AM466" s="8">
        <f>IF((0=1),SUM(C431:AM431),"")</f>
      </c>
      <c r="AN466" s="8">
        <f>IF((0=1),SUM(C431:AN431),"")</f>
      </c>
      <c r="AO466" s="8">
        <f>IF((0=1),SUM(C431:AO431),"")</f>
      </c>
      <c r="AP466" s="8">
        <f>IF((0=1),SUM(C431:AP431),"")</f>
      </c>
      <c r="AQ466" s="8">
        <f>IF((0=1),SUM(C431:AQ431),"")</f>
      </c>
      <c r="AR466" s="8">
        <f>IF((0=1),SUM(C431:AR431),"")</f>
      </c>
      <c r="AS466" s="8">
        <f>IF((0=1),SUM(C431:AS431),"")</f>
      </c>
      <c r="AT466" s="8">
        <f>IF((0=1),SUM(C431:AT431),"")</f>
      </c>
      <c r="AU466" s="8">
        <f>IF((0=1),SUM(C431:AU431),"")</f>
      </c>
      <c r="AV466" s="8">
        <f>IF((0=1),SUM(C431:AV431),"")</f>
      </c>
      <c r="AW466" s="8">
        <f>IF((0=1),SUM(C431:AW431),"")</f>
      </c>
      <c r="AX466" s="8">
        <f>IF((0=1),SUM(C431:AX431),"")</f>
      </c>
      <c r="AY466" s="8">
        <f>IF((0=1),SUM(C431:AY431),"")</f>
      </c>
      <c r="AZ466" s="8">
        <f>IF((0=1),SUM(C431:AZ431),"")</f>
      </c>
      <c r="BA466" s="8">
        <f>IF((0=1),SUM(C431:BA431),"")</f>
      </c>
      <c r="BB466" s="8">
        <f>IF((0=1),SUM(C431:BB431),"")</f>
      </c>
      <c r="BC466" s="8">
        <f>IF((0=1),SUM(C431:BC431),"")</f>
      </c>
      <c r="BD466" s="8">
        <f>IF((0=1),SUM(C431:BD431),"")</f>
      </c>
      <c r="BE466" s="8">
        <f>IF((0=1),SUM(C431:BE431),"")</f>
      </c>
      <c r="BF466" s="8">
        <f>IF((0=1),SUM(C431:BF431),"")</f>
      </c>
      <c r="BG466" s="8">
        <f>IF((0=1),SUM(C431:BG431),"")</f>
      </c>
      <c r="BH466" s="8">
        <f>IF((0=1),SUM(C431:BH431),"")</f>
      </c>
      <c r="BI466" s="8">
        <f>IF((0=1),SUM(C431:BI431),"")</f>
      </c>
      <c r="BJ466" s="8">
        <f>IF((0=1),SUM(C431:BJ431),"")</f>
      </c>
      <c r="BK466" s="8">
        <f>IF((0=1),SUM(C431:BK431),"")</f>
      </c>
      <c r="BL466" s="8">
        <f>IF((0=1),SUM(C431:BL431),"")</f>
      </c>
      <c r="BM466" s="8">
        <f>IF((0=1),SUM(C431:BM431),"")</f>
      </c>
      <c r="BN466" s="8">
        <f>IF((0=1),SUM(C431:BN431),"")</f>
      </c>
      <c r="BO466" s="8">
        <f>IF((0=1),SUM(C431:BO431),"")</f>
      </c>
      <c r="BP466" s="8">
        <f>IF((0=1),SUM(C431:BP431),"")</f>
      </c>
      <c r="BQ466" s="8">
        <f>IF((0=1),SUM(C431:BQ431),"")</f>
      </c>
      <c r="BR466" s="8">
        <f>IF((0=1),SUM(C431:BR431),"")</f>
      </c>
      <c r="BS466" s="8">
        <f>IF((0=1),SUM(C431:BS431),"")</f>
      </c>
      <c r="BT466" s="8">
        <f>IF((0=1),SUM(C431:BT431),"")</f>
      </c>
      <c r="BU466" s="8">
        <f>IF((0=1),SUM(C431:BU431),"")</f>
      </c>
      <c r="BV466" s="8">
        <f>IF((0=1),SUM(C431:BV431),"")</f>
      </c>
      <c r="BW466" s="8">
        <f>IF((0=1),SUM(C431:BW431),"")</f>
      </c>
      <c r="BX466" s="8">
        <f>IF((0=1),SUM(C431:BX431),"")</f>
      </c>
      <c r="BY466" s="8">
        <f>IF((0=1),SUM(C431:BY431),"")</f>
      </c>
      <c r="BZ466" s="8">
        <f>IF((0=1),SUM(C431:BZ431),"")</f>
      </c>
      <c r="CA466" s="8">
        <f>IF((0=1),SUM(C431:CA431),"")</f>
      </c>
      <c r="CB466" s="8">
        <f>IF((0=1),SUM(C431:CB431),"")</f>
      </c>
      <c r="CC466" s="8">
        <f>IF((0=1),SUM(C431:CC431),"")</f>
      </c>
      <c r="CD466" s="8">
        <f>IF((0=1),SUM(C431:CD431),"")</f>
      </c>
      <c r="CE466" s="8">
        <f>IF((0=1),SUM(C431:CE431),"")</f>
      </c>
      <c r="CF466" s="8">
        <f>IF((0=1),SUM(C431:CF431),"")</f>
      </c>
      <c r="CG466" s="8">
        <f>IF((0=1),SUM(C431:CG431),"")</f>
      </c>
      <c r="CH466" s="8">
        <f>IF((0=1),SUM(C431:CH431),"")</f>
      </c>
      <c r="CI466" s="8">
        <f>IF((0=1),SUM(C431:CI431),"")</f>
      </c>
      <c r="CJ466" s="8">
        <f>IF((0=1),SUM(C431:CJ431),"")</f>
      </c>
      <c r="CK466" s="8">
        <f>IF((0=1),SUM(C431:CK431),"")</f>
      </c>
      <c r="CL466" s="8">
        <f>IF((0=1),SUM(C431:CL431),"")</f>
      </c>
      <c r="CM466" s="8">
        <f>IF((0=1),SUM(C431:CM431),"")</f>
      </c>
      <c r="CN466" s="8">
        <f>IF((0=1),SUM(C431:CN431),"")</f>
      </c>
      <c r="CO466" s="8">
        <f>IF((0=1),SUM(C431:CO431),"")</f>
      </c>
      <c r="CP466" s="8">
        <f>IF((0=1),SUM(C431:CP431),"")</f>
      </c>
      <c r="CQ466" s="8">
        <f>IF((0=1),SUM(C431:CQ431),"")</f>
      </c>
      <c r="CR466" s="8">
        <f>IF((0=1),SUM(C431:CR431),"")</f>
      </c>
      <c r="CS466" s="8">
        <f>IF((0=1),SUM(C431:CS431),"")</f>
      </c>
      <c r="CT466" s="8">
        <f>IF((0=1),SUM(C431:CT431),"")</f>
      </c>
      <c r="CU466" s="8">
        <f>IF((0=1),SUM(C431:CU431),"")</f>
      </c>
      <c r="CV466" s="8">
        <f>IF((0=1),SUM(C431:CV431),"")</f>
      </c>
      <c r="CW466" s="8">
        <f>IF((0=1),SUM(C431:CW431),"")</f>
      </c>
      <c r="CX466" s="8">
        <f>IF((0=1),SUM(C431:CX431),"")</f>
      </c>
    </row>
    <row r="467">
      <c r="A467" s="0" t="inlineStr">
        <is>
          <t xml:space="preserve">Cumulative net P&amp;L, $</t>
        </is>
      </c>
      <c r="B467" s="0" t="inlineStr">
        <is>
          <t xml:space="preserve">Same-Month Seasonality</t>
        </is>
      </c>
      <c r="C467" s="8">
        <f>IF((1=1),SUM(C432),"")</f>
        <v>-182.98000000000002</v>
      </c>
      <c r="D467" s="8">
        <f>IF((0=1),SUM(C432:D432),"")</f>
      </c>
      <c r="E467" s="8">
        <f>IF((0=1),SUM(C432:E432),"")</f>
      </c>
      <c r="F467" s="8">
        <f>IF((0=1),SUM(C432:F432),"")</f>
      </c>
      <c r="G467" s="8">
        <f>IF((0=1),SUM(C432:G432),"")</f>
      </c>
      <c r="H467" s="8">
        <f>IF((0=1),SUM(C432:H432),"")</f>
      </c>
      <c r="I467" s="8">
        <f>IF((0=1),SUM(C432:I432),"")</f>
      </c>
      <c r="J467" s="8">
        <f>IF((0=1),SUM(C432:J432),"")</f>
      </c>
      <c r="K467" s="8">
        <f>IF((0=1),SUM(C432:K432),"")</f>
      </c>
      <c r="L467" s="8">
        <f>IF((0=1),SUM(C432:L432),"")</f>
      </c>
      <c r="M467" s="8">
        <f>IF((0=1),SUM(C432:M432),"")</f>
      </c>
      <c r="N467" s="8">
        <f>IF((0=1),SUM(C432:N432),"")</f>
      </c>
      <c r="O467" s="8">
        <f>IF((0=1),SUM(C432:O432),"")</f>
      </c>
      <c r="P467" s="8">
        <f>IF((0=1),SUM(C432:P432),"")</f>
      </c>
      <c r="Q467" s="8">
        <f>IF((0=1),SUM(C432:Q432),"")</f>
      </c>
      <c r="R467" s="8">
        <f>IF((0=1),SUM(C432:R432),"")</f>
      </c>
      <c r="S467" s="8">
        <f>IF((0=1),SUM(C432:S432),"")</f>
      </c>
      <c r="T467" s="8">
        <f>IF((0=1),SUM(C432:T432),"")</f>
      </c>
      <c r="U467" s="8">
        <f>IF((0=1),SUM(C432:U432),"")</f>
      </c>
      <c r="V467" s="8">
        <f>IF((0=1),SUM(C432:V432),"")</f>
      </c>
      <c r="W467" s="8">
        <f>IF((0=1),SUM(C432:W432),"")</f>
      </c>
      <c r="X467" s="8">
        <f>IF((0=1),SUM(C432:X432),"")</f>
      </c>
      <c r="Y467" s="8">
        <f>IF((0=1),SUM(C432:Y432),"")</f>
      </c>
      <c r="Z467" s="8">
        <f>IF((0=1),SUM(C432:Z432),"")</f>
      </c>
      <c r="AA467" s="8">
        <f>IF((0=1),SUM(C432:AA432),"")</f>
      </c>
      <c r="AB467" s="8">
        <f>IF((0=1),SUM(C432:AB432),"")</f>
      </c>
      <c r="AC467" s="8">
        <f>IF((0=1),SUM(C432:AC432),"")</f>
      </c>
      <c r="AD467" s="8">
        <f>IF((0=1),SUM(C432:AD432),"")</f>
      </c>
      <c r="AE467" s="8">
        <f>IF((0=1),SUM(C432:AE432),"")</f>
      </c>
      <c r="AF467" s="8">
        <f>IF((0=1),SUM(C432:AF432),"")</f>
      </c>
      <c r="AG467" s="8">
        <f>IF((0=1),SUM(C432:AG432),"")</f>
      </c>
      <c r="AH467" s="8">
        <f>IF((0=1),SUM(C432:AH432),"")</f>
      </c>
      <c r="AI467" s="8">
        <f>IF((0=1),SUM(C432:AI432),"")</f>
      </c>
      <c r="AJ467" s="8">
        <f>IF((0=1),SUM(C432:AJ432),"")</f>
      </c>
      <c r="AK467" s="8">
        <f>IF((0=1),SUM(C432:AK432),"")</f>
      </c>
      <c r="AL467" s="8">
        <f>IF((0=1),SUM(C432:AL432),"")</f>
      </c>
      <c r="AM467" s="8">
        <f>IF((0=1),SUM(C432:AM432),"")</f>
      </c>
      <c r="AN467" s="8">
        <f>IF((0=1),SUM(C432:AN432),"")</f>
      </c>
      <c r="AO467" s="8">
        <f>IF((0=1),SUM(C432:AO432),"")</f>
      </c>
      <c r="AP467" s="8">
        <f>IF((0=1),SUM(C432:AP432),"")</f>
      </c>
      <c r="AQ467" s="8">
        <f>IF((0=1),SUM(C432:AQ432),"")</f>
      </c>
      <c r="AR467" s="8">
        <f>IF((0=1),SUM(C432:AR432),"")</f>
      </c>
      <c r="AS467" s="8">
        <f>IF((0=1),SUM(C432:AS432),"")</f>
      </c>
      <c r="AT467" s="8">
        <f>IF((0=1),SUM(C432:AT432),"")</f>
      </c>
      <c r="AU467" s="8">
        <f>IF((0=1),SUM(C432:AU432),"")</f>
      </c>
      <c r="AV467" s="8">
        <f>IF((0=1),SUM(C432:AV432),"")</f>
      </c>
      <c r="AW467" s="8">
        <f>IF((0=1),SUM(C432:AW432),"")</f>
      </c>
      <c r="AX467" s="8">
        <f>IF((0=1),SUM(C432:AX432),"")</f>
      </c>
      <c r="AY467" s="8">
        <f>IF((0=1),SUM(C432:AY432),"")</f>
      </c>
      <c r="AZ467" s="8">
        <f>IF((0=1),SUM(C432:AZ432),"")</f>
      </c>
      <c r="BA467" s="8">
        <f>IF((0=1),SUM(C432:BA432),"")</f>
      </c>
      <c r="BB467" s="8">
        <f>IF((0=1),SUM(C432:BB432),"")</f>
      </c>
      <c r="BC467" s="8">
        <f>IF((0=1),SUM(C432:BC432),"")</f>
      </c>
      <c r="BD467" s="8">
        <f>IF((0=1),SUM(C432:BD432),"")</f>
      </c>
      <c r="BE467" s="8">
        <f>IF((0=1),SUM(C432:BE432),"")</f>
      </c>
      <c r="BF467" s="8">
        <f>IF((0=1),SUM(C432:BF432),"")</f>
      </c>
      <c r="BG467" s="8">
        <f>IF((0=1),SUM(C432:BG432),"")</f>
      </c>
      <c r="BH467" s="8">
        <f>IF((0=1),SUM(C432:BH432),"")</f>
      </c>
      <c r="BI467" s="8">
        <f>IF((0=1),SUM(C432:BI432),"")</f>
      </c>
      <c r="BJ467" s="8">
        <f>IF((0=1),SUM(C432:BJ432),"")</f>
      </c>
      <c r="BK467" s="8">
        <f>IF((0=1),SUM(C432:BK432),"")</f>
      </c>
      <c r="BL467" s="8">
        <f>IF((0=1),SUM(C432:BL432),"")</f>
      </c>
      <c r="BM467" s="8">
        <f>IF((0=1),SUM(C432:BM432),"")</f>
      </c>
      <c r="BN467" s="8">
        <f>IF((0=1),SUM(C432:BN432),"")</f>
      </c>
      <c r="BO467" s="8">
        <f>IF((0=1),SUM(C432:BO432),"")</f>
      </c>
      <c r="BP467" s="8">
        <f>IF((0=1),SUM(C432:BP432),"")</f>
      </c>
      <c r="BQ467" s="8">
        <f>IF((0=1),SUM(C432:BQ432),"")</f>
      </c>
      <c r="BR467" s="8">
        <f>IF((0=1),SUM(C432:BR432),"")</f>
      </c>
      <c r="BS467" s="8">
        <f>IF((0=1),SUM(C432:BS432),"")</f>
      </c>
      <c r="BT467" s="8">
        <f>IF((0=1),SUM(C432:BT432),"")</f>
      </c>
      <c r="BU467" s="8">
        <f>IF((0=1),SUM(C432:BU432),"")</f>
      </c>
      <c r="BV467" s="8">
        <f>IF((0=1),SUM(C432:BV432),"")</f>
      </c>
      <c r="BW467" s="8">
        <f>IF((0=1),SUM(C432:BW432),"")</f>
      </c>
      <c r="BX467" s="8">
        <f>IF((0=1),SUM(C432:BX432),"")</f>
      </c>
      <c r="BY467" s="8">
        <f>IF((0=1),SUM(C432:BY432),"")</f>
      </c>
      <c r="BZ467" s="8">
        <f>IF((0=1),SUM(C432:BZ432),"")</f>
      </c>
      <c r="CA467" s="8">
        <f>IF((0=1),SUM(C432:CA432),"")</f>
      </c>
      <c r="CB467" s="8">
        <f>IF((0=1),SUM(C432:CB432),"")</f>
      </c>
      <c r="CC467" s="8">
        <f>IF((0=1),SUM(C432:CC432),"")</f>
      </c>
      <c r="CD467" s="8">
        <f>IF((0=1),SUM(C432:CD432),"")</f>
      </c>
      <c r="CE467" s="8">
        <f>IF((0=1),SUM(C432:CE432),"")</f>
      </c>
      <c r="CF467" s="8">
        <f>IF((0=1),SUM(C432:CF432),"")</f>
      </c>
      <c r="CG467" s="8">
        <f>IF((0=1),SUM(C432:CG432),"")</f>
      </c>
      <c r="CH467" s="8">
        <f>IF((0=1),SUM(C432:CH432),"")</f>
      </c>
      <c r="CI467" s="8">
        <f>IF((0=1),SUM(C432:CI432),"")</f>
      </c>
      <c r="CJ467" s="8">
        <f>IF((0=1),SUM(C432:CJ432),"")</f>
      </c>
      <c r="CK467" s="8">
        <f>IF((0=1),SUM(C432:CK432),"")</f>
      </c>
      <c r="CL467" s="8">
        <f>IF((0=1),SUM(C432:CL432),"")</f>
      </c>
      <c r="CM467" s="8">
        <f>IF((0=1),SUM(C432:CM432),"")</f>
      </c>
      <c r="CN467" s="8">
        <f>IF((0=1),SUM(C432:CN432),"")</f>
      </c>
      <c r="CO467" s="8">
        <f>IF((0=1),SUM(C432:CO432),"")</f>
      </c>
      <c r="CP467" s="8">
        <f>IF((0=1),SUM(C432:CP432),"")</f>
      </c>
      <c r="CQ467" s="8">
        <f>IF((0=1),SUM(C432:CQ432),"")</f>
      </c>
      <c r="CR467" s="8">
        <f>IF((0=1),SUM(C432:CR432),"")</f>
      </c>
      <c r="CS467" s="8">
        <f>IF((0=1),SUM(C432:CS432),"")</f>
      </c>
      <c r="CT467" s="8">
        <f>IF((0=1),SUM(C432:CT432),"")</f>
      </c>
      <c r="CU467" s="8">
        <f>IF((0=1),SUM(C432:CU432),"")</f>
      </c>
      <c r="CV467" s="8">
        <f>IF((0=1),SUM(C432:CV432),"")</f>
      </c>
      <c r="CW467" s="8">
        <f>IF((0=1),SUM(C432:CW432),"")</f>
      </c>
      <c r="CX467" s="8">
        <f>IF((0=1),SUM(C432:CX432),"")</f>
      </c>
    </row>
    <row r="468">
      <c r="A468" s="0" t="inlineStr">
        <is>
          <t xml:space="preserve">Cumulative net P&amp;L, $</t>
        </is>
      </c>
      <c r="B468" s="0" t="inlineStr">
        <is>
          <t xml:space="preserve">Quality at a Reasonable Price</t>
        </is>
      </c>
      <c r="C468" s="8">
        <f>IF((1=1),SUM(C433),"")</f>
        <v>1.899999999999995</v>
      </c>
      <c r="D468" s="8">
        <f>IF((0=1),SUM(C433:D433),"")</f>
      </c>
      <c r="E468" s="8">
        <f>IF((0=1),SUM(C433:E433),"")</f>
      </c>
      <c r="F468" s="8">
        <f>IF((0=1),SUM(C433:F433),"")</f>
      </c>
      <c r="G468" s="8">
        <f>IF((0=1),SUM(C433:G433),"")</f>
      </c>
      <c r="H468" s="8">
        <f>IF((0=1),SUM(C433:H433),"")</f>
      </c>
      <c r="I468" s="8">
        <f>IF((0=1),SUM(C433:I433),"")</f>
      </c>
      <c r="J468" s="8">
        <f>IF((0=1),SUM(C433:J433),"")</f>
      </c>
      <c r="K468" s="8">
        <f>IF((0=1),SUM(C433:K433),"")</f>
      </c>
      <c r="L468" s="8">
        <f>IF((0=1),SUM(C433:L433),"")</f>
      </c>
      <c r="M468" s="8">
        <f>IF((0=1),SUM(C433:M433),"")</f>
      </c>
      <c r="N468" s="8">
        <f>IF((0=1),SUM(C433:N433),"")</f>
      </c>
      <c r="O468" s="8">
        <f>IF((0=1),SUM(C433:O433),"")</f>
      </c>
      <c r="P468" s="8">
        <f>IF((0=1),SUM(C433:P433),"")</f>
      </c>
      <c r="Q468" s="8">
        <f>IF((0=1),SUM(C433:Q433),"")</f>
      </c>
      <c r="R468" s="8">
        <f>IF((0=1),SUM(C433:R433),"")</f>
      </c>
      <c r="S468" s="8">
        <f>IF((0=1),SUM(C433:S433),"")</f>
      </c>
      <c r="T468" s="8">
        <f>IF((0=1),SUM(C433:T433),"")</f>
      </c>
      <c r="U468" s="8">
        <f>IF((0=1),SUM(C433:U433),"")</f>
      </c>
      <c r="V468" s="8">
        <f>IF((0=1),SUM(C433:V433),"")</f>
      </c>
      <c r="W468" s="8">
        <f>IF((0=1),SUM(C433:W433),"")</f>
      </c>
      <c r="X468" s="8">
        <f>IF((0=1),SUM(C433:X433),"")</f>
      </c>
      <c r="Y468" s="8">
        <f>IF((0=1),SUM(C433:Y433),"")</f>
      </c>
      <c r="Z468" s="8">
        <f>IF((0=1),SUM(C433:Z433),"")</f>
      </c>
      <c r="AA468" s="8">
        <f>IF((0=1),SUM(C433:AA433),"")</f>
      </c>
      <c r="AB468" s="8">
        <f>IF((0=1),SUM(C433:AB433),"")</f>
      </c>
      <c r="AC468" s="8">
        <f>IF((0=1),SUM(C433:AC433),"")</f>
      </c>
      <c r="AD468" s="8">
        <f>IF((0=1),SUM(C433:AD433),"")</f>
      </c>
      <c r="AE468" s="8">
        <f>IF((0=1),SUM(C433:AE433),"")</f>
      </c>
      <c r="AF468" s="8">
        <f>IF((0=1),SUM(C433:AF433),"")</f>
      </c>
      <c r="AG468" s="8">
        <f>IF((0=1),SUM(C433:AG433),"")</f>
      </c>
      <c r="AH468" s="8">
        <f>IF((0=1),SUM(C433:AH433),"")</f>
      </c>
      <c r="AI468" s="8">
        <f>IF((0=1),SUM(C433:AI433),"")</f>
      </c>
      <c r="AJ468" s="8">
        <f>IF((0=1),SUM(C433:AJ433),"")</f>
      </c>
      <c r="AK468" s="8">
        <f>IF((0=1),SUM(C433:AK433),"")</f>
      </c>
      <c r="AL468" s="8">
        <f>IF((0=1),SUM(C433:AL433),"")</f>
      </c>
      <c r="AM468" s="8">
        <f>IF((0=1),SUM(C433:AM433),"")</f>
      </c>
      <c r="AN468" s="8">
        <f>IF((0=1),SUM(C433:AN433),"")</f>
      </c>
      <c r="AO468" s="8">
        <f>IF((0=1),SUM(C433:AO433),"")</f>
      </c>
      <c r="AP468" s="8">
        <f>IF((0=1),SUM(C433:AP433),"")</f>
      </c>
      <c r="AQ468" s="8">
        <f>IF((0=1),SUM(C433:AQ433),"")</f>
      </c>
      <c r="AR468" s="8">
        <f>IF((0=1),SUM(C433:AR433),"")</f>
      </c>
      <c r="AS468" s="8">
        <f>IF((0=1),SUM(C433:AS433),"")</f>
      </c>
      <c r="AT468" s="8">
        <f>IF((0=1),SUM(C433:AT433),"")</f>
      </c>
      <c r="AU468" s="8">
        <f>IF((0=1),SUM(C433:AU433),"")</f>
      </c>
      <c r="AV468" s="8">
        <f>IF((0=1),SUM(C433:AV433),"")</f>
      </c>
      <c r="AW468" s="8">
        <f>IF((0=1),SUM(C433:AW433),"")</f>
      </c>
      <c r="AX468" s="8">
        <f>IF((0=1),SUM(C433:AX433),"")</f>
      </c>
      <c r="AY468" s="8">
        <f>IF((0=1),SUM(C433:AY433),"")</f>
      </c>
      <c r="AZ468" s="8">
        <f>IF((0=1),SUM(C433:AZ433),"")</f>
      </c>
      <c r="BA468" s="8">
        <f>IF((0=1),SUM(C433:BA433),"")</f>
      </c>
      <c r="BB468" s="8">
        <f>IF((0=1),SUM(C433:BB433),"")</f>
      </c>
      <c r="BC468" s="8">
        <f>IF((0=1),SUM(C433:BC433),"")</f>
      </c>
      <c r="BD468" s="8">
        <f>IF((0=1),SUM(C433:BD433),"")</f>
      </c>
      <c r="BE468" s="8">
        <f>IF((0=1),SUM(C433:BE433),"")</f>
      </c>
      <c r="BF468" s="8">
        <f>IF((0=1),SUM(C433:BF433),"")</f>
      </c>
      <c r="BG468" s="8">
        <f>IF((0=1),SUM(C433:BG433),"")</f>
      </c>
      <c r="BH468" s="8">
        <f>IF((0=1),SUM(C433:BH433),"")</f>
      </c>
      <c r="BI468" s="8">
        <f>IF((0=1),SUM(C433:BI433),"")</f>
      </c>
      <c r="BJ468" s="8">
        <f>IF((0=1),SUM(C433:BJ433),"")</f>
      </c>
      <c r="BK468" s="8">
        <f>IF((0=1),SUM(C433:BK433),"")</f>
      </c>
      <c r="BL468" s="8">
        <f>IF((0=1),SUM(C433:BL433),"")</f>
      </c>
      <c r="BM468" s="8">
        <f>IF((0=1),SUM(C433:BM433),"")</f>
      </c>
      <c r="BN468" s="8">
        <f>IF((0=1),SUM(C433:BN433),"")</f>
      </c>
      <c r="BO468" s="8">
        <f>IF((0=1),SUM(C433:BO433),"")</f>
      </c>
      <c r="BP468" s="8">
        <f>IF((0=1),SUM(C433:BP433),"")</f>
      </c>
      <c r="BQ468" s="8">
        <f>IF((0=1),SUM(C433:BQ433),"")</f>
      </c>
      <c r="BR468" s="8">
        <f>IF((0=1),SUM(C433:BR433),"")</f>
      </c>
      <c r="BS468" s="8">
        <f>IF((0=1),SUM(C433:BS433),"")</f>
      </c>
      <c r="BT468" s="8">
        <f>IF((0=1),SUM(C433:BT433),"")</f>
      </c>
      <c r="BU468" s="8">
        <f>IF((0=1),SUM(C433:BU433),"")</f>
      </c>
      <c r="BV468" s="8">
        <f>IF((0=1),SUM(C433:BV433),"")</f>
      </c>
      <c r="BW468" s="8">
        <f>IF((0=1),SUM(C433:BW433),"")</f>
      </c>
      <c r="BX468" s="8">
        <f>IF((0=1),SUM(C433:BX433),"")</f>
      </c>
      <c r="BY468" s="8">
        <f>IF((0=1),SUM(C433:BY433),"")</f>
      </c>
      <c r="BZ468" s="8">
        <f>IF((0=1),SUM(C433:BZ433),"")</f>
      </c>
      <c r="CA468" s="8">
        <f>IF((0=1),SUM(C433:CA433),"")</f>
      </c>
      <c r="CB468" s="8">
        <f>IF((0=1),SUM(C433:CB433),"")</f>
      </c>
      <c r="CC468" s="8">
        <f>IF((0=1),SUM(C433:CC433),"")</f>
      </c>
      <c r="CD468" s="8">
        <f>IF((0=1),SUM(C433:CD433),"")</f>
      </c>
      <c r="CE468" s="8">
        <f>IF((0=1),SUM(C433:CE433),"")</f>
      </c>
      <c r="CF468" s="8">
        <f>IF((0=1),SUM(C433:CF433),"")</f>
      </c>
      <c r="CG468" s="8">
        <f>IF((0=1),SUM(C433:CG433),"")</f>
      </c>
      <c r="CH468" s="8">
        <f>IF((0=1),SUM(C433:CH433),"")</f>
      </c>
      <c r="CI468" s="8">
        <f>IF((0=1),SUM(C433:CI433),"")</f>
      </c>
      <c r="CJ468" s="8">
        <f>IF((0=1),SUM(C433:CJ433),"")</f>
      </c>
      <c r="CK468" s="8">
        <f>IF((0=1),SUM(C433:CK433),"")</f>
      </c>
      <c r="CL468" s="8">
        <f>IF((0=1),SUM(C433:CL433),"")</f>
      </c>
      <c r="CM468" s="8">
        <f>IF((0=1),SUM(C433:CM433),"")</f>
      </c>
      <c r="CN468" s="8">
        <f>IF((0=1),SUM(C433:CN433),"")</f>
      </c>
      <c r="CO468" s="8">
        <f>IF((0=1),SUM(C433:CO433),"")</f>
      </c>
      <c r="CP468" s="8">
        <f>IF((0=1),SUM(C433:CP433),"")</f>
      </c>
      <c r="CQ468" s="8">
        <f>IF((0=1),SUM(C433:CQ433),"")</f>
      </c>
      <c r="CR468" s="8">
        <f>IF((0=1),SUM(C433:CR433),"")</f>
      </c>
      <c r="CS468" s="8">
        <f>IF((0=1),SUM(C433:CS433),"")</f>
      </c>
      <c r="CT468" s="8">
        <f>IF((0=1),SUM(C433:CT433),"")</f>
      </c>
      <c r="CU468" s="8">
        <f>IF((0=1),SUM(C433:CU433),"")</f>
      </c>
      <c r="CV468" s="8">
        <f>IF((0=1),SUM(C433:CV433),"")</f>
      </c>
      <c r="CW468" s="8">
        <f>IF((0=1),SUM(C433:CW433),"")</f>
      </c>
      <c r="CX468" s="8">
        <f>IF((0=1),SUM(C433:CX433),"")</f>
      </c>
    </row>
    <row r="469">
      <c r="A469" s="0" t="inlineStr">
        <is>
          <t xml:space="preserve">Cumulative net P&amp;L, $</t>
        </is>
      </c>
      <c r="B469" s="0" t="inlineStr">
        <is>
          <t xml:space="preserve">Residual Momentum</t>
        </is>
      </c>
      <c r="C469" s="8">
        <f>IF((1=1),SUM(C434),"")</f>
        <v>48.330000000000005</v>
      </c>
      <c r="D469" s="8">
        <f>IF((0=1),SUM(C434:D434),"")</f>
      </c>
      <c r="E469" s="8">
        <f>IF((0=1),SUM(C434:E434),"")</f>
      </c>
      <c r="F469" s="8">
        <f>IF((0=1),SUM(C434:F434),"")</f>
      </c>
      <c r="G469" s="8">
        <f>IF((0=1),SUM(C434:G434),"")</f>
      </c>
      <c r="H469" s="8">
        <f>IF((0=1),SUM(C434:H434),"")</f>
      </c>
      <c r="I469" s="8">
        <f>IF((0=1),SUM(C434:I434),"")</f>
      </c>
      <c r="J469" s="8">
        <f>IF((0=1),SUM(C434:J434),"")</f>
      </c>
      <c r="K469" s="8">
        <f>IF((0=1),SUM(C434:K434),"")</f>
      </c>
      <c r="L469" s="8">
        <f>IF((0=1),SUM(C434:L434),"")</f>
      </c>
      <c r="M469" s="8">
        <f>IF((0=1),SUM(C434:M434),"")</f>
      </c>
      <c r="N469" s="8">
        <f>IF((0=1),SUM(C434:N434),"")</f>
      </c>
      <c r="O469" s="8">
        <f>IF((0=1),SUM(C434:O434),"")</f>
      </c>
      <c r="P469" s="8">
        <f>IF((0=1),SUM(C434:P434),"")</f>
      </c>
      <c r="Q469" s="8">
        <f>IF((0=1),SUM(C434:Q434),"")</f>
      </c>
      <c r="R469" s="8">
        <f>IF((0=1),SUM(C434:R434),"")</f>
      </c>
      <c r="S469" s="8">
        <f>IF((0=1),SUM(C434:S434),"")</f>
      </c>
      <c r="T469" s="8">
        <f>IF((0=1),SUM(C434:T434),"")</f>
      </c>
      <c r="U469" s="8">
        <f>IF((0=1),SUM(C434:U434),"")</f>
      </c>
      <c r="V469" s="8">
        <f>IF((0=1),SUM(C434:V434),"")</f>
      </c>
      <c r="W469" s="8">
        <f>IF((0=1),SUM(C434:W434),"")</f>
      </c>
      <c r="X469" s="8">
        <f>IF((0=1),SUM(C434:X434),"")</f>
      </c>
      <c r="Y469" s="8">
        <f>IF((0=1),SUM(C434:Y434),"")</f>
      </c>
      <c r="Z469" s="8">
        <f>IF((0=1),SUM(C434:Z434),"")</f>
      </c>
      <c r="AA469" s="8">
        <f>IF((0=1),SUM(C434:AA434),"")</f>
      </c>
      <c r="AB469" s="8">
        <f>IF((0=1),SUM(C434:AB434),"")</f>
      </c>
      <c r="AC469" s="8">
        <f>IF((0=1),SUM(C434:AC434),"")</f>
      </c>
      <c r="AD469" s="8">
        <f>IF((0=1),SUM(C434:AD434),"")</f>
      </c>
      <c r="AE469" s="8">
        <f>IF((0=1),SUM(C434:AE434),"")</f>
      </c>
      <c r="AF469" s="8">
        <f>IF((0=1),SUM(C434:AF434),"")</f>
      </c>
      <c r="AG469" s="8">
        <f>IF((0=1),SUM(C434:AG434),"")</f>
      </c>
      <c r="AH469" s="8">
        <f>IF((0=1),SUM(C434:AH434),"")</f>
      </c>
      <c r="AI469" s="8">
        <f>IF((0=1),SUM(C434:AI434),"")</f>
      </c>
      <c r="AJ469" s="8">
        <f>IF((0=1),SUM(C434:AJ434),"")</f>
      </c>
      <c r="AK469" s="8">
        <f>IF((0=1),SUM(C434:AK434),"")</f>
      </c>
      <c r="AL469" s="8">
        <f>IF((0=1),SUM(C434:AL434),"")</f>
      </c>
      <c r="AM469" s="8">
        <f>IF((0=1),SUM(C434:AM434),"")</f>
      </c>
      <c r="AN469" s="8">
        <f>IF((0=1),SUM(C434:AN434),"")</f>
      </c>
      <c r="AO469" s="8">
        <f>IF((0=1),SUM(C434:AO434),"")</f>
      </c>
      <c r="AP469" s="8">
        <f>IF((0=1),SUM(C434:AP434),"")</f>
      </c>
      <c r="AQ469" s="8">
        <f>IF((0=1),SUM(C434:AQ434),"")</f>
      </c>
      <c r="AR469" s="8">
        <f>IF((0=1),SUM(C434:AR434),"")</f>
      </c>
      <c r="AS469" s="8">
        <f>IF((0=1),SUM(C434:AS434),"")</f>
      </c>
      <c r="AT469" s="8">
        <f>IF((0=1),SUM(C434:AT434),"")</f>
      </c>
      <c r="AU469" s="8">
        <f>IF((0=1),SUM(C434:AU434),"")</f>
      </c>
      <c r="AV469" s="8">
        <f>IF((0=1),SUM(C434:AV434),"")</f>
      </c>
      <c r="AW469" s="8">
        <f>IF((0=1),SUM(C434:AW434),"")</f>
      </c>
      <c r="AX469" s="8">
        <f>IF((0=1),SUM(C434:AX434),"")</f>
      </c>
      <c r="AY469" s="8">
        <f>IF((0=1),SUM(C434:AY434),"")</f>
      </c>
      <c r="AZ469" s="8">
        <f>IF((0=1),SUM(C434:AZ434),"")</f>
      </c>
      <c r="BA469" s="8">
        <f>IF((0=1),SUM(C434:BA434),"")</f>
      </c>
      <c r="BB469" s="8">
        <f>IF((0=1),SUM(C434:BB434),"")</f>
      </c>
      <c r="BC469" s="8">
        <f>IF((0=1),SUM(C434:BC434),"")</f>
      </c>
      <c r="BD469" s="8">
        <f>IF((0=1),SUM(C434:BD434),"")</f>
      </c>
      <c r="BE469" s="8">
        <f>IF((0=1),SUM(C434:BE434),"")</f>
      </c>
      <c r="BF469" s="8">
        <f>IF((0=1),SUM(C434:BF434),"")</f>
      </c>
      <c r="BG469" s="8">
        <f>IF((0=1),SUM(C434:BG434),"")</f>
      </c>
      <c r="BH469" s="8">
        <f>IF((0=1),SUM(C434:BH434),"")</f>
      </c>
      <c r="BI469" s="8">
        <f>IF((0=1),SUM(C434:BI434),"")</f>
      </c>
      <c r="BJ469" s="8">
        <f>IF((0=1),SUM(C434:BJ434),"")</f>
      </c>
      <c r="BK469" s="8">
        <f>IF((0=1),SUM(C434:BK434),"")</f>
      </c>
      <c r="BL469" s="8">
        <f>IF((0=1),SUM(C434:BL434),"")</f>
      </c>
      <c r="BM469" s="8">
        <f>IF((0=1),SUM(C434:BM434),"")</f>
      </c>
      <c r="BN469" s="8">
        <f>IF((0=1),SUM(C434:BN434),"")</f>
      </c>
      <c r="BO469" s="8">
        <f>IF((0=1),SUM(C434:BO434),"")</f>
      </c>
      <c r="BP469" s="8">
        <f>IF((0=1),SUM(C434:BP434),"")</f>
      </c>
      <c r="BQ469" s="8">
        <f>IF((0=1),SUM(C434:BQ434),"")</f>
      </c>
      <c r="BR469" s="8">
        <f>IF((0=1),SUM(C434:BR434),"")</f>
      </c>
      <c r="BS469" s="8">
        <f>IF((0=1),SUM(C434:BS434),"")</f>
      </c>
      <c r="BT469" s="8">
        <f>IF((0=1),SUM(C434:BT434),"")</f>
      </c>
      <c r="BU469" s="8">
        <f>IF((0=1),SUM(C434:BU434),"")</f>
      </c>
      <c r="BV469" s="8">
        <f>IF((0=1),SUM(C434:BV434),"")</f>
      </c>
      <c r="BW469" s="8">
        <f>IF((0=1),SUM(C434:BW434),"")</f>
      </c>
      <c r="BX469" s="8">
        <f>IF((0=1),SUM(C434:BX434),"")</f>
      </c>
      <c r="BY469" s="8">
        <f>IF((0=1),SUM(C434:BY434),"")</f>
      </c>
      <c r="BZ469" s="8">
        <f>IF((0=1),SUM(C434:BZ434),"")</f>
      </c>
      <c r="CA469" s="8">
        <f>IF((0=1),SUM(C434:CA434),"")</f>
      </c>
      <c r="CB469" s="8">
        <f>IF((0=1),SUM(C434:CB434),"")</f>
      </c>
      <c r="CC469" s="8">
        <f>IF((0=1),SUM(C434:CC434),"")</f>
      </c>
      <c r="CD469" s="8">
        <f>IF((0=1),SUM(C434:CD434),"")</f>
      </c>
      <c r="CE469" s="8">
        <f>IF((0=1),SUM(C434:CE434),"")</f>
      </c>
      <c r="CF469" s="8">
        <f>IF((0=1),SUM(C434:CF434),"")</f>
      </c>
      <c r="CG469" s="8">
        <f>IF((0=1),SUM(C434:CG434),"")</f>
      </c>
      <c r="CH469" s="8">
        <f>IF((0=1),SUM(C434:CH434),"")</f>
      </c>
      <c r="CI469" s="8">
        <f>IF((0=1),SUM(C434:CI434),"")</f>
      </c>
      <c r="CJ469" s="8">
        <f>IF((0=1),SUM(C434:CJ434),"")</f>
      </c>
      <c r="CK469" s="8">
        <f>IF((0=1),SUM(C434:CK434),"")</f>
      </c>
      <c r="CL469" s="8">
        <f>IF((0=1),SUM(C434:CL434),"")</f>
      </c>
      <c r="CM469" s="8">
        <f>IF((0=1),SUM(C434:CM434),"")</f>
      </c>
      <c r="CN469" s="8">
        <f>IF((0=1),SUM(C434:CN434),"")</f>
      </c>
      <c r="CO469" s="8">
        <f>IF((0=1),SUM(C434:CO434),"")</f>
      </c>
      <c r="CP469" s="8">
        <f>IF((0=1),SUM(C434:CP434),"")</f>
      </c>
      <c r="CQ469" s="8">
        <f>IF((0=1),SUM(C434:CQ434),"")</f>
      </c>
      <c r="CR469" s="8">
        <f>IF((0=1),SUM(C434:CR434),"")</f>
      </c>
      <c r="CS469" s="8">
        <f>IF((0=1),SUM(C434:CS434),"")</f>
      </c>
      <c r="CT469" s="8">
        <f>IF((0=1),SUM(C434:CT434),"")</f>
      </c>
      <c r="CU469" s="8">
        <f>IF((0=1),SUM(C434:CU434),"")</f>
      </c>
      <c r="CV469" s="8">
        <f>IF((0=1),SUM(C434:CV434),"")</f>
      </c>
      <c r="CW469" s="8">
        <f>IF((0=1),SUM(C434:CW434),"")</f>
      </c>
      <c r="CX469" s="8">
        <f>IF((0=1),SUM(C434:CX434),"")</f>
      </c>
    </row>
    <row r="470">
      <c r="A470" s="0" t="inlineStr">
        <is>
          <t xml:space="preserve">Cumulative net P&amp;L, $</t>
        </is>
      </c>
      <c r="B470" s="0" t="inlineStr">
        <is>
          <t xml:space="preserve">Overnight Return Persistence</t>
        </is>
      </c>
      <c r="C470" s="8">
        <f>IF((1=1),SUM(C435),"")</f>
        <v>-85.22</v>
      </c>
      <c r="D470" s="8">
        <f>IF((0=1),SUM(C435:D435),"")</f>
      </c>
      <c r="E470" s="8">
        <f>IF((0=1),SUM(C435:E435),"")</f>
      </c>
      <c r="F470" s="8">
        <f>IF((0=1),SUM(C435:F435),"")</f>
      </c>
      <c r="G470" s="8">
        <f>IF((0=1),SUM(C435:G435),"")</f>
      </c>
      <c r="H470" s="8">
        <f>IF((0=1),SUM(C435:H435),"")</f>
      </c>
      <c r="I470" s="8">
        <f>IF((0=1),SUM(C435:I435),"")</f>
      </c>
      <c r="J470" s="8">
        <f>IF((0=1),SUM(C435:J435),"")</f>
      </c>
      <c r="K470" s="8">
        <f>IF((0=1),SUM(C435:K435),"")</f>
      </c>
      <c r="L470" s="8">
        <f>IF((0=1),SUM(C435:L435),"")</f>
      </c>
      <c r="M470" s="8">
        <f>IF((0=1),SUM(C435:M435),"")</f>
      </c>
      <c r="N470" s="8">
        <f>IF((0=1),SUM(C435:N435),"")</f>
      </c>
      <c r="O470" s="8">
        <f>IF((0=1),SUM(C435:O435),"")</f>
      </c>
      <c r="P470" s="8">
        <f>IF((0=1),SUM(C435:P435),"")</f>
      </c>
      <c r="Q470" s="8">
        <f>IF((0=1),SUM(C435:Q435),"")</f>
      </c>
      <c r="R470" s="8">
        <f>IF((0=1),SUM(C435:R435),"")</f>
      </c>
      <c r="S470" s="8">
        <f>IF((0=1),SUM(C435:S435),"")</f>
      </c>
      <c r="T470" s="8">
        <f>IF((0=1),SUM(C435:T435),"")</f>
      </c>
      <c r="U470" s="8">
        <f>IF((0=1),SUM(C435:U435),"")</f>
      </c>
      <c r="V470" s="8">
        <f>IF((0=1),SUM(C435:V435),"")</f>
      </c>
      <c r="W470" s="8">
        <f>IF((0=1),SUM(C435:W435),"")</f>
      </c>
      <c r="X470" s="8">
        <f>IF((0=1),SUM(C435:X435),"")</f>
      </c>
      <c r="Y470" s="8">
        <f>IF((0=1),SUM(C435:Y435),"")</f>
      </c>
      <c r="Z470" s="8">
        <f>IF((0=1),SUM(C435:Z435),"")</f>
      </c>
      <c r="AA470" s="8">
        <f>IF((0=1),SUM(C435:AA435),"")</f>
      </c>
      <c r="AB470" s="8">
        <f>IF((0=1),SUM(C435:AB435),"")</f>
      </c>
      <c r="AC470" s="8">
        <f>IF((0=1),SUM(C435:AC435),"")</f>
      </c>
      <c r="AD470" s="8">
        <f>IF((0=1),SUM(C435:AD435),"")</f>
      </c>
      <c r="AE470" s="8">
        <f>IF((0=1),SUM(C435:AE435),"")</f>
      </c>
      <c r="AF470" s="8">
        <f>IF((0=1),SUM(C435:AF435),"")</f>
      </c>
      <c r="AG470" s="8">
        <f>IF((0=1),SUM(C435:AG435),"")</f>
      </c>
      <c r="AH470" s="8">
        <f>IF((0=1),SUM(C435:AH435),"")</f>
      </c>
      <c r="AI470" s="8">
        <f>IF((0=1),SUM(C435:AI435),"")</f>
      </c>
      <c r="AJ470" s="8">
        <f>IF((0=1),SUM(C435:AJ435),"")</f>
      </c>
      <c r="AK470" s="8">
        <f>IF((0=1),SUM(C435:AK435),"")</f>
      </c>
      <c r="AL470" s="8">
        <f>IF((0=1),SUM(C435:AL435),"")</f>
      </c>
      <c r="AM470" s="8">
        <f>IF((0=1),SUM(C435:AM435),"")</f>
      </c>
      <c r="AN470" s="8">
        <f>IF((0=1),SUM(C435:AN435),"")</f>
      </c>
      <c r="AO470" s="8">
        <f>IF((0=1),SUM(C435:AO435),"")</f>
      </c>
      <c r="AP470" s="8">
        <f>IF((0=1),SUM(C435:AP435),"")</f>
      </c>
      <c r="AQ470" s="8">
        <f>IF((0=1),SUM(C435:AQ435),"")</f>
      </c>
      <c r="AR470" s="8">
        <f>IF((0=1),SUM(C435:AR435),"")</f>
      </c>
      <c r="AS470" s="8">
        <f>IF((0=1),SUM(C435:AS435),"")</f>
      </c>
      <c r="AT470" s="8">
        <f>IF((0=1),SUM(C435:AT435),"")</f>
      </c>
      <c r="AU470" s="8">
        <f>IF((0=1),SUM(C435:AU435),"")</f>
      </c>
      <c r="AV470" s="8">
        <f>IF((0=1),SUM(C435:AV435),"")</f>
      </c>
      <c r="AW470" s="8">
        <f>IF((0=1),SUM(C435:AW435),"")</f>
      </c>
      <c r="AX470" s="8">
        <f>IF((0=1),SUM(C435:AX435),"")</f>
      </c>
      <c r="AY470" s="8">
        <f>IF((0=1),SUM(C435:AY435),"")</f>
      </c>
      <c r="AZ470" s="8">
        <f>IF((0=1),SUM(C435:AZ435),"")</f>
      </c>
      <c r="BA470" s="8">
        <f>IF((0=1),SUM(C435:BA435),"")</f>
      </c>
      <c r="BB470" s="8">
        <f>IF((0=1),SUM(C435:BB435),"")</f>
      </c>
      <c r="BC470" s="8">
        <f>IF((0=1),SUM(C435:BC435),"")</f>
      </c>
      <c r="BD470" s="8">
        <f>IF((0=1),SUM(C435:BD435),"")</f>
      </c>
      <c r="BE470" s="8">
        <f>IF((0=1),SUM(C435:BE435),"")</f>
      </c>
      <c r="BF470" s="8">
        <f>IF((0=1),SUM(C435:BF435),"")</f>
      </c>
      <c r="BG470" s="8">
        <f>IF((0=1),SUM(C435:BG435),"")</f>
      </c>
      <c r="BH470" s="8">
        <f>IF((0=1),SUM(C435:BH435),"")</f>
      </c>
      <c r="BI470" s="8">
        <f>IF((0=1),SUM(C435:BI435),"")</f>
      </c>
      <c r="BJ470" s="8">
        <f>IF((0=1),SUM(C435:BJ435),"")</f>
      </c>
      <c r="BK470" s="8">
        <f>IF((0=1),SUM(C435:BK435),"")</f>
      </c>
      <c r="BL470" s="8">
        <f>IF((0=1),SUM(C435:BL435),"")</f>
      </c>
      <c r="BM470" s="8">
        <f>IF((0=1),SUM(C435:BM435),"")</f>
      </c>
      <c r="BN470" s="8">
        <f>IF((0=1),SUM(C435:BN435),"")</f>
      </c>
      <c r="BO470" s="8">
        <f>IF((0=1),SUM(C435:BO435),"")</f>
      </c>
      <c r="BP470" s="8">
        <f>IF((0=1),SUM(C435:BP435),"")</f>
      </c>
      <c r="BQ470" s="8">
        <f>IF((0=1),SUM(C435:BQ435),"")</f>
      </c>
      <c r="BR470" s="8">
        <f>IF((0=1),SUM(C435:BR435),"")</f>
      </c>
      <c r="BS470" s="8">
        <f>IF((0=1),SUM(C435:BS435),"")</f>
      </c>
      <c r="BT470" s="8">
        <f>IF((0=1),SUM(C435:BT435),"")</f>
      </c>
      <c r="BU470" s="8">
        <f>IF((0=1),SUM(C435:BU435),"")</f>
      </c>
      <c r="BV470" s="8">
        <f>IF((0=1),SUM(C435:BV435),"")</f>
      </c>
      <c r="BW470" s="8">
        <f>IF((0=1),SUM(C435:BW435),"")</f>
      </c>
      <c r="BX470" s="8">
        <f>IF((0=1),SUM(C435:BX435),"")</f>
      </c>
      <c r="BY470" s="8">
        <f>IF((0=1),SUM(C435:BY435),"")</f>
      </c>
      <c r="BZ470" s="8">
        <f>IF((0=1),SUM(C435:BZ435),"")</f>
      </c>
      <c r="CA470" s="8">
        <f>IF((0=1),SUM(C435:CA435),"")</f>
      </c>
      <c r="CB470" s="8">
        <f>IF((0=1),SUM(C435:CB435),"")</f>
      </c>
      <c r="CC470" s="8">
        <f>IF((0=1),SUM(C435:CC435),"")</f>
      </c>
      <c r="CD470" s="8">
        <f>IF((0=1),SUM(C435:CD435),"")</f>
      </c>
      <c r="CE470" s="8">
        <f>IF((0=1),SUM(C435:CE435),"")</f>
      </c>
      <c r="CF470" s="8">
        <f>IF((0=1),SUM(C435:CF435),"")</f>
      </c>
      <c r="CG470" s="8">
        <f>IF((0=1),SUM(C435:CG435),"")</f>
      </c>
      <c r="CH470" s="8">
        <f>IF((0=1),SUM(C435:CH435),"")</f>
      </c>
      <c r="CI470" s="8">
        <f>IF((0=1),SUM(C435:CI435),"")</f>
      </c>
      <c r="CJ470" s="8">
        <f>IF((0=1),SUM(C435:CJ435),"")</f>
      </c>
      <c r="CK470" s="8">
        <f>IF((0=1),SUM(C435:CK435),"")</f>
      </c>
      <c r="CL470" s="8">
        <f>IF((0=1),SUM(C435:CL435),"")</f>
      </c>
      <c r="CM470" s="8">
        <f>IF((0=1),SUM(C435:CM435),"")</f>
      </c>
      <c r="CN470" s="8">
        <f>IF((0=1),SUM(C435:CN435),"")</f>
      </c>
      <c r="CO470" s="8">
        <f>IF((0=1),SUM(C435:CO435),"")</f>
      </c>
      <c r="CP470" s="8">
        <f>IF((0=1),SUM(C435:CP435),"")</f>
      </c>
      <c r="CQ470" s="8">
        <f>IF((0=1),SUM(C435:CQ435),"")</f>
      </c>
      <c r="CR470" s="8">
        <f>IF((0=1),SUM(C435:CR435),"")</f>
      </c>
      <c r="CS470" s="8">
        <f>IF((0=1),SUM(C435:CS435),"")</f>
      </c>
      <c r="CT470" s="8">
        <f>IF((0=1),SUM(C435:CT435),"")</f>
      </c>
      <c r="CU470" s="8">
        <f>IF((0=1),SUM(C435:CU435),"")</f>
      </c>
      <c r="CV470" s="8">
        <f>IF((0=1),SUM(C435:CV435),"")</f>
      </c>
      <c r="CW470" s="8">
        <f>IF((0=1),SUM(C435:CW435),"")</f>
      </c>
      <c r="CX470" s="8">
        <f>IF((0=1),SUM(C435:CX435),"")</f>
      </c>
    </row>
    <row r="471">
      <c r="A471" s="0" t="inlineStr">
        <is>
          <t xml:space="preserve">Cumulative net P&amp;L, $</t>
        </is>
      </c>
      <c r="B471" s="0" t="inlineStr">
        <is>
          <t xml:space="preserve">52-Week-High Anchoring</t>
        </is>
      </c>
      <c r="C471" s="8">
        <f>IF((1=1),SUM(C436),"")</f>
        <v>291.10999999999996</v>
      </c>
      <c r="D471" s="8">
        <f>IF((0=1),SUM(C436:D436),"")</f>
      </c>
      <c r="E471" s="8">
        <f>IF((0=1),SUM(C436:E436),"")</f>
      </c>
      <c r="F471" s="8">
        <f>IF((0=1),SUM(C436:F436),"")</f>
      </c>
      <c r="G471" s="8">
        <f>IF((0=1),SUM(C436:G436),"")</f>
      </c>
      <c r="H471" s="8">
        <f>IF((0=1),SUM(C436:H436),"")</f>
      </c>
      <c r="I471" s="8">
        <f>IF((0=1),SUM(C436:I436),"")</f>
      </c>
      <c r="J471" s="8">
        <f>IF((0=1),SUM(C436:J436),"")</f>
      </c>
      <c r="K471" s="8">
        <f>IF((0=1),SUM(C436:K436),"")</f>
      </c>
      <c r="L471" s="8">
        <f>IF((0=1),SUM(C436:L436),"")</f>
      </c>
      <c r="M471" s="8">
        <f>IF((0=1),SUM(C436:M436),"")</f>
      </c>
      <c r="N471" s="8">
        <f>IF((0=1),SUM(C436:N436),"")</f>
      </c>
      <c r="O471" s="8">
        <f>IF((0=1),SUM(C436:O436),"")</f>
      </c>
      <c r="P471" s="8">
        <f>IF((0=1),SUM(C436:P436),"")</f>
      </c>
      <c r="Q471" s="8">
        <f>IF((0=1),SUM(C436:Q436),"")</f>
      </c>
      <c r="R471" s="8">
        <f>IF((0=1),SUM(C436:R436),"")</f>
      </c>
      <c r="S471" s="8">
        <f>IF((0=1),SUM(C436:S436),"")</f>
      </c>
      <c r="T471" s="8">
        <f>IF((0=1),SUM(C436:T436),"")</f>
      </c>
      <c r="U471" s="8">
        <f>IF((0=1),SUM(C436:U436),"")</f>
      </c>
      <c r="V471" s="8">
        <f>IF((0=1),SUM(C436:V436),"")</f>
      </c>
      <c r="W471" s="8">
        <f>IF((0=1),SUM(C436:W436),"")</f>
      </c>
      <c r="X471" s="8">
        <f>IF((0=1),SUM(C436:X436),"")</f>
      </c>
      <c r="Y471" s="8">
        <f>IF((0=1),SUM(C436:Y436),"")</f>
      </c>
      <c r="Z471" s="8">
        <f>IF((0=1),SUM(C436:Z436),"")</f>
      </c>
      <c r="AA471" s="8">
        <f>IF((0=1),SUM(C436:AA436),"")</f>
      </c>
      <c r="AB471" s="8">
        <f>IF((0=1),SUM(C436:AB436),"")</f>
      </c>
      <c r="AC471" s="8">
        <f>IF((0=1),SUM(C436:AC436),"")</f>
      </c>
      <c r="AD471" s="8">
        <f>IF((0=1),SUM(C436:AD436),"")</f>
      </c>
      <c r="AE471" s="8">
        <f>IF((0=1),SUM(C436:AE436),"")</f>
      </c>
      <c r="AF471" s="8">
        <f>IF((0=1),SUM(C436:AF436),"")</f>
      </c>
      <c r="AG471" s="8">
        <f>IF((0=1),SUM(C436:AG436),"")</f>
      </c>
      <c r="AH471" s="8">
        <f>IF((0=1),SUM(C436:AH436),"")</f>
      </c>
      <c r="AI471" s="8">
        <f>IF((0=1),SUM(C436:AI436),"")</f>
      </c>
      <c r="AJ471" s="8">
        <f>IF((0=1),SUM(C436:AJ436),"")</f>
      </c>
      <c r="AK471" s="8">
        <f>IF((0=1),SUM(C436:AK436),"")</f>
      </c>
      <c r="AL471" s="8">
        <f>IF((0=1),SUM(C436:AL436),"")</f>
      </c>
      <c r="AM471" s="8">
        <f>IF((0=1),SUM(C436:AM436),"")</f>
      </c>
      <c r="AN471" s="8">
        <f>IF((0=1),SUM(C436:AN436),"")</f>
      </c>
      <c r="AO471" s="8">
        <f>IF((0=1),SUM(C436:AO436),"")</f>
      </c>
      <c r="AP471" s="8">
        <f>IF((0=1),SUM(C436:AP436),"")</f>
      </c>
      <c r="AQ471" s="8">
        <f>IF((0=1),SUM(C436:AQ436),"")</f>
      </c>
      <c r="AR471" s="8">
        <f>IF((0=1),SUM(C436:AR436),"")</f>
      </c>
      <c r="AS471" s="8">
        <f>IF((0=1),SUM(C436:AS436),"")</f>
      </c>
      <c r="AT471" s="8">
        <f>IF((0=1),SUM(C436:AT436),"")</f>
      </c>
      <c r="AU471" s="8">
        <f>IF((0=1),SUM(C436:AU436),"")</f>
      </c>
      <c r="AV471" s="8">
        <f>IF((0=1),SUM(C436:AV436),"")</f>
      </c>
      <c r="AW471" s="8">
        <f>IF((0=1),SUM(C436:AW436),"")</f>
      </c>
      <c r="AX471" s="8">
        <f>IF((0=1),SUM(C436:AX436),"")</f>
      </c>
      <c r="AY471" s="8">
        <f>IF((0=1),SUM(C436:AY436),"")</f>
      </c>
      <c r="AZ471" s="8">
        <f>IF((0=1),SUM(C436:AZ436),"")</f>
      </c>
      <c r="BA471" s="8">
        <f>IF((0=1),SUM(C436:BA436),"")</f>
      </c>
      <c r="BB471" s="8">
        <f>IF((0=1),SUM(C436:BB436),"")</f>
      </c>
      <c r="BC471" s="8">
        <f>IF((0=1),SUM(C436:BC436),"")</f>
      </c>
      <c r="BD471" s="8">
        <f>IF((0=1),SUM(C436:BD436),"")</f>
      </c>
      <c r="BE471" s="8">
        <f>IF((0=1),SUM(C436:BE436),"")</f>
      </c>
      <c r="BF471" s="8">
        <f>IF((0=1),SUM(C436:BF436),"")</f>
      </c>
      <c r="BG471" s="8">
        <f>IF((0=1),SUM(C436:BG436),"")</f>
      </c>
      <c r="BH471" s="8">
        <f>IF((0=1),SUM(C436:BH436),"")</f>
      </c>
      <c r="BI471" s="8">
        <f>IF((0=1),SUM(C436:BI436),"")</f>
      </c>
      <c r="BJ471" s="8">
        <f>IF((0=1),SUM(C436:BJ436),"")</f>
      </c>
      <c r="BK471" s="8">
        <f>IF((0=1),SUM(C436:BK436),"")</f>
      </c>
      <c r="BL471" s="8">
        <f>IF((0=1),SUM(C436:BL436),"")</f>
      </c>
      <c r="BM471" s="8">
        <f>IF((0=1),SUM(C436:BM436),"")</f>
      </c>
      <c r="BN471" s="8">
        <f>IF((0=1),SUM(C436:BN436),"")</f>
      </c>
      <c r="BO471" s="8">
        <f>IF((0=1),SUM(C436:BO436),"")</f>
      </c>
      <c r="BP471" s="8">
        <f>IF((0=1),SUM(C436:BP436),"")</f>
      </c>
      <c r="BQ471" s="8">
        <f>IF((0=1),SUM(C436:BQ436),"")</f>
      </c>
      <c r="BR471" s="8">
        <f>IF((0=1),SUM(C436:BR436),"")</f>
      </c>
      <c r="BS471" s="8">
        <f>IF((0=1),SUM(C436:BS436),"")</f>
      </c>
      <c r="BT471" s="8">
        <f>IF((0=1),SUM(C436:BT436),"")</f>
      </c>
      <c r="BU471" s="8">
        <f>IF((0=1),SUM(C436:BU436),"")</f>
      </c>
      <c r="BV471" s="8">
        <f>IF((0=1),SUM(C436:BV436),"")</f>
      </c>
      <c r="BW471" s="8">
        <f>IF((0=1),SUM(C436:BW436),"")</f>
      </c>
      <c r="BX471" s="8">
        <f>IF((0=1),SUM(C436:BX436),"")</f>
      </c>
      <c r="BY471" s="8">
        <f>IF((0=1),SUM(C436:BY436),"")</f>
      </c>
      <c r="BZ471" s="8">
        <f>IF((0=1),SUM(C436:BZ436),"")</f>
      </c>
      <c r="CA471" s="8">
        <f>IF((0=1),SUM(C436:CA436),"")</f>
      </c>
      <c r="CB471" s="8">
        <f>IF((0=1),SUM(C436:CB436),"")</f>
      </c>
      <c r="CC471" s="8">
        <f>IF((0=1),SUM(C436:CC436),"")</f>
      </c>
      <c r="CD471" s="8">
        <f>IF((0=1),SUM(C436:CD436),"")</f>
      </c>
      <c r="CE471" s="8">
        <f>IF((0=1),SUM(C436:CE436),"")</f>
      </c>
      <c r="CF471" s="8">
        <f>IF((0=1),SUM(C436:CF436),"")</f>
      </c>
      <c r="CG471" s="8">
        <f>IF((0=1),SUM(C436:CG436),"")</f>
      </c>
      <c r="CH471" s="8">
        <f>IF((0=1),SUM(C436:CH436),"")</f>
      </c>
      <c r="CI471" s="8">
        <f>IF((0=1),SUM(C436:CI436),"")</f>
      </c>
      <c r="CJ471" s="8">
        <f>IF((0=1),SUM(C436:CJ436),"")</f>
      </c>
      <c r="CK471" s="8">
        <f>IF((0=1),SUM(C436:CK436),"")</f>
      </c>
      <c r="CL471" s="8">
        <f>IF((0=1),SUM(C436:CL436),"")</f>
      </c>
      <c r="CM471" s="8">
        <f>IF((0=1),SUM(C436:CM436),"")</f>
      </c>
      <c r="CN471" s="8">
        <f>IF((0=1),SUM(C436:CN436),"")</f>
      </c>
      <c r="CO471" s="8">
        <f>IF((0=1),SUM(C436:CO436),"")</f>
      </c>
      <c r="CP471" s="8">
        <f>IF((0=1),SUM(C436:CP436),"")</f>
      </c>
      <c r="CQ471" s="8">
        <f>IF((0=1),SUM(C436:CQ436),"")</f>
      </c>
      <c r="CR471" s="8">
        <f>IF((0=1),SUM(C436:CR436),"")</f>
      </c>
      <c r="CS471" s="8">
        <f>IF((0=1),SUM(C436:CS436),"")</f>
      </c>
      <c r="CT471" s="8">
        <f>IF((0=1),SUM(C436:CT436),"")</f>
      </c>
      <c r="CU471" s="8">
        <f>IF((0=1),SUM(C436:CU436),"")</f>
      </c>
      <c r="CV471" s="8">
        <f>IF((0=1),SUM(C436:CV436),"")</f>
      </c>
      <c r="CW471" s="8">
        <f>IF((0=1),SUM(C436:CW436),"")</f>
      </c>
      <c r="CX471" s="8">
        <f>IF((0=1),SUM(C436:CX436),"")</f>
      </c>
    </row>
    <row r="472">
      <c r="A472" s="0" t="inlineStr">
        <is>
          <t xml:space="preserve">Cumulative net P&amp;L, $</t>
        </is>
      </c>
      <c r="B472" s="0" t="inlineStr">
        <is>
          <t xml:space="preserve">Random 1</t>
        </is>
      </c>
      <c r="C472" s="8">
        <f>IF((1=1),SUM(C437),"")</f>
        <v>-129.33</v>
      </c>
      <c r="D472" s="8">
        <f>IF((0=1),SUM(C437:D437),"")</f>
      </c>
      <c r="E472" s="8">
        <f>IF((0=1),SUM(C437:E437),"")</f>
      </c>
      <c r="F472" s="8">
        <f>IF((0=1),SUM(C437:F437),"")</f>
      </c>
      <c r="G472" s="8">
        <f>IF((0=1),SUM(C437:G437),"")</f>
      </c>
      <c r="H472" s="8">
        <f>IF((0=1),SUM(C437:H437),"")</f>
      </c>
      <c r="I472" s="8">
        <f>IF((0=1),SUM(C437:I437),"")</f>
      </c>
      <c r="J472" s="8">
        <f>IF((0=1),SUM(C437:J437),"")</f>
      </c>
      <c r="K472" s="8">
        <f>IF((0=1),SUM(C437:K437),"")</f>
      </c>
      <c r="L472" s="8">
        <f>IF((0=1),SUM(C437:L437),"")</f>
      </c>
      <c r="M472" s="8">
        <f>IF((0=1),SUM(C437:M437),"")</f>
      </c>
      <c r="N472" s="8">
        <f>IF((0=1),SUM(C437:N437),"")</f>
      </c>
      <c r="O472" s="8">
        <f>IF((0=1),SUM(C437:O437),"")</f>
      </c>
      <c r="P472" s="8">
        <f>IF((0=1),SUM(C437:P437),"")</f>
      </c>
      <c r="Q472" s="8">
        <f>IF((0=1),SUM(C437:Q437),"")</f>
      </c>
      <c r="R472" s="8">
        <f>IF((0=1),SUM(C437:R437),"")</f>
      </c>
      <c r="S472" s="8">
        <f>IF((0=1),SUM(C437:S437),"")</f>
      </c>
      <c r="T472" s="8">
        <f>IF((0=1),SUM(C437:T437),"")</f>
      </c>
      <c r="U472" s="8">
        <f>IF((0=1),SUM(C437:U437),"")</f>
      </c>
      <c r="V472" s="8">
        <f>IF((0=1),SUM(C437:V437),"")</f>
      </c>
      <c r="W472" s="8">
        <f>IF((0=1),SUM(C437:W437),"")</f>
      </c>
      <c r="X472" s="8">
        <f>IF((0=1),SUM(C437:X437),"")</f>
      </c>
      <c r="Y472" s="8">
        <f>IF((0=1),SUM(C437:Y437),"")</f>
      </c>
      <c r="Z472" s="8">
        <f>IF((0=1),SUM(C437:Z437),"")</f>
      </c>
      <c r="AA472" s="8">
        <f>IF((0=1),SUM(C437:AA437),"")</f>
      </c>
      <c r="AB472" s="8">
        <f>IF((0=1),SUM(C437:AB437),"")</f>
      </c>
      <c r="AC472" s="8">
        <f>IF((0=1),SUM(C437:AC437),"")</f>
      </c>
      <c r="AD472" s="8">
        <f>IF((0=1),SUM(C437:AD437),"")</f>
      </c>
      <c r="AE472" s="8">
        <f>IF((0=1),SUM(C437:AE437),"")</f>
      </c>
      <c r="AF472" s="8">
        <f>IF((0=1),SUM(C437:AF437),"")</f>
      </c>
      <c r="AG472" s="8">
        <f>IF((0=1),SUM(C437:AG437),"")</f>
      </c>
      <c r="AH472" s="8">
        <f>IF((0=1),SUM(C437:AH437),"")</f>
      </c>
      <c r="AI472" s="8">
        <f>IF((0=1),SUM(C437:AI437),"")</f>
      </c>
      <c r="AJ472" s="8">
        <f>IF((0=1),SUM(C437:AJ437),"")</f>
      </c>
      <c r="AK472" s="8">
        <f>IF((0=1),SUM(C437:AK437),"")</f>
      </c>
      <c r="AL472" s="8">
        <f>IF((0=1),SUM(C437:AL437),"")</f>
      </c>
      <c r="AM472" s="8">
        <f>IF((0=1),SUM(C437:AM437),"")</f>
      </c>
      <c r="AN472" s="8">
        <f>IF((0=1),SUM(C437:AN437),"")</f>
      </c>
      <c r="AO472" s="8">
        <f>IF((0=1),SUM(C437:AO437),"")</f>
      </c>
      <c r="AP472" s="8">
        <f>IF((0=1),SUM(C437:AP437),"")</f>
      </c>
      <c r="AQ472" s="8">
        <f>IF((0=1),SUM(C437:AQ437),"")</f>
      </c>
      <c r="AR472" s="8">
        <f>IF((0=1),SUM(C437:AR437),"")</f>
      </c>
      <c r="AS472" s="8">
        <f>IF((0=1),SUM(C437:AS437),"")</f>
      </c>
      <c r="AT472" s="8">
        <f>IF((0=1),SUM(C437:AT437),"")</f>
      </c>
      <c r="AU472" s="8">
        <f>IF((0=1),SUM(C437:AU437),"")</f>
      </c>
      <c r="AV472" s="8">
        <f>IF((0=1),SUM(C437:AV437),"")</f>
      </c>
      <c r="AW472" s="8">
        <f>IF((0=1),SUM(C437:AW437),"")</f>
      </c>
      <c r="AX472" s="8">
        <f>IF((0=1),SUM(C437:AX437),"")</f>
      </c>
      <c r="AY472" s="8">
        <f>IF((0=1),SUM(C437:AY437),"")</f>
      </c>
      <c r="AZ472" s="8">
        <f>IF((0=1),SUM(C437:AZ437),"")</f>
      </c>
      <c r="BA472" s="8">
        <f>IF((0=1),SUM(C437:BA437),"")</f>
      </c>
      <c r="BB472" s="8">
        <f>IF((0=1),SUM(C437:BB437),"")</f>
      </c>
      <c r="BC472" s="8">
        <f>IF((0=1),SUM(C437:BC437),"")</f>
      </c>
      <c r="BD472" s="8">
        <f>IF((0=1),SUM(C437:BD437),"")</f>
      </c>
      <c r="BE472" s="8">
        <f>IF((0=1),SUM(C437:BE437),"")</f>
      </c>
      <c r="BF472" s="8">
        <f>IF((0=1),SUM(C437:BF437),"")</f>
      </c>
      <c r="BG472" s="8">
        <f>IF((0=1),SUM(C437:BG437),"")</f>
      </c>
      <c r="BH472" s="8">
        <f>IF((0=1),SUM(C437:BH437),"")</f>
      </c>
      <c r="BI472" s="8">
        <f>IF((0=1),SUM(C437:BI437),"")</f>
      </c>
      <c r="BJ472" s="8">
        <f>IF((0=1),SUM(C437:BJ437),"")</f>
      </c>
      <c r="BK472" s="8">
        <f>IF((0=1),SUM(C437:BK437),"")</f>
      </c>
      <c r="BL472" s="8">
        <f>IF((0=1),SUM(C437:BL437),"")</f>
      </c>
      <c r="BM472" s="8">
        <f>IF((0=1),SUM(C437:BM437),"")</f>
      </c>
      <c r="BN472" s="8">
        <f>IF((0=1),SUM(C437:BN437),"")</f>
      </c>
      <c r="BO472" s="8">
        <f>IF((0=1),SUM(C437:BO437),"")</f>
      </c>
      <c r="BP472" s="8">
        <f>IF((0=1),SUM(C437:BP437),"")</f>
      </c>
      <c r="BQ472" s="8">
        <f>IF((0=1),SUM(C437:BQ437),"")</f>
      </c>
      <c r="BR472" s="8">
        <f>IF((0=1),SUM(C437:BR437),"")</f>
      </c>
      <c r="BS472" s="8">
        <f>IF((0=1),SUM(C437:BS437),"")</f>
      </c>
      <c r="BT472" s="8">
        <f>IF((0=1),SUM(C437:BT437),"")</f>
      </c>
      <c r="BU472" s="8">
        <f>IF((0=1),SUM(C437:BU437),"")</f>
      </c>
      <c r="BV472" s="8">
        <f>IF((0=1),SUM(C437:BV437),"")</f>
      </c>
      <c r="BW472" s="8">
        <f>IF((0=1),SUM(C437:BW437),"")</f>
      </c>
      <c r="BX472" s="8">
        <f>IF((0=1),SUM(C437:BX437),"")</f>
      </c>
      <c r="BY472" s="8">
        <f>IF((0=1),SUM(C437:BY437),"")</f>
      </c>
      <c r="BZ472" s="8">
        <f>IF((0=1),SUM(C437:BZ437),"")</f>
      </c>
      <c r="CA472" s="8">
        <f>IF((0=1),SUM(C437:CA437),"")</f>
      </c>
      <c r="CB472" s="8">
        <f>IF((0=1),SUM(C437:CB437),"")</f>
      </c>
      <c r="CC472" s="8">
        <f>IF((0=1),SUM(C437:CC437),"")</f>
      </c>
      <c r="CD472" s="8">
        <f>IF((0=1),SUM(C437:CD437),"")</f>
      </c>
      <c r="CE472" s="8">
        <f>IF((0=1),SUM(C437:CE437),"")</f>
      </c>
      <c r="CF472" s="8">
        <f>IF((0=1),SUM(C437:CF437),"")</f>
      </c>
      <c r="CG472" s="8">
        <f>IF((0=1),SUM(C437:CG437),"")</f>
      </c>
      <c r="CH472" s="8">
        <f>IF((0=1),SUM(C437:CH437),"")</f>
      </c>
      <c r="CI472" s="8">
        <f>IF((0=1),SUM(C437:CI437),"")</f>
      </c>
      <c r="CJ472" s="8">
        <f>IF((0=1),SUM(C437:CJ437),"")</f>
      </c>
      <c r="CK472" s="8">
        <f>IF((0=1),SUM(C437:CK437),"")</f>
      </c>
      <c r="CL472" s="8">
        <f>IF((0=1),SUM(C437:CL437),"")</f>
      </c>
      <c r="CM472" s="8">
        <f>IF((0=1),SUM(C437:CM437),"")</f>
      </c>
      <c r="CN472" s="8">
        <f>IF((0=1),SUM(C437:CN437),"")</f>
      </c>
      <c r="CO472" s="8">
        <f>IF((0=1),SUM(C437:CO437),"")</f>
      </c>
      <c r="CP472" s="8">
        <f>IF((0=1),SUM(C437:CP437),"")</f>
      </c>
      <c r="CQ472" s="8">
        <f>IF((0=1),SUM(C437:CQ437),"")</f>
      </c>
      <c r="CR472" s="8">
        <f>IF((0=1),SUM(C437:CR437),"")</f>
      </c>
      <c r="CS472" s="8">
        <f>IF((0=1),SUM(C437:CS437),"")</f>
      </c>
      <c r="CT472" s="8">
        <f>IF((0=1),SUM(C437:CT437),"")</f>
      </c>
      <c r="CU472" s="8">
        <f>IF((0=1),SUM(C437:CU437),"")</f>
      </c>
      <c r="CV472" s="8">
        <f>IF((0=1),SUM(C437:CV437),"")</f>
      </c>
      <c r="CW472" s="8">
        <f>IF((0=1),SUM(C437:CW437),"")</f>
      </c>
      <c r="CX472" s="8">
        <f>IF((0=1),SUM(C437:CX437),"")</f>
      </c>
    </row>
    <row r="473">
      <c r="A473" s="0" t="inlineStr">
        <is>
          <t xml:space="preserve">Cumulative net P&amp;L, $</t>
        </is>
      </c>
      <c r="B473" s="0" t="inlineStr">
        <is>
          <t xml:space="preserve">Random 2</t>
        </is>
      </c>
      <c r="C473" s="8">
        <f>IF((1=1),SUM(C438),"")</f>
        <v>-120.48999999999998</v>
      </c>
      <c r="D473" s="8">
        <f>IF((0=1),SUM(C438:D438),"")</f>
      </c>
      <c r="E473" s="8">
        <f>IF((0=1),SUM(C438:E438),"")</f>
      </c>
      <c r="F473" s="8">
        <f>IF((0=1),SUM(C438:F438),"")</f>
      </c>
      <c r="G473" s="8">
        <f>IF((0=1),SUM(C438:G438),"")</f>
      </c>
      <c r="H473" s="8">
        <f>IF((0=1),SUM(C438:H438),"")</f>
      </c>
      <c r="I473" s="8">
        <f>IF((0=1),SUM(C438:I438),"")</f>
      </c>
      <c r="J473" s="8">
        <f>IF((0=1),SUM(C438:J438),"")</f>
      </c>
      <c r="K473" s="8">
        <f>IF((0=1),SUM(C438:K438),"")</f>
      </c>
      <c r="L473" s="8">
        <f>IF((0=1),SUM(C438:L438),"")</f>
      </c>
      <c r="M473" s="8">
        <f>IF((0=1),SUM(C438:M438),"")</f>
      </c>
      <c r="N473" s="8">
        <f>IF((0=1),SUM(C438:N438),"")</f>
      </c>
      <c r="O473" s="8">
        <f>IF((0=1),SUM(C438:O438),"")</f>
      </c>
      <c r="P473" s="8">
        <f>IF((0=1),SUM(C438:P438),"")</f>
      </c>
      <c r="Q473" s="8">
        <f>IF((0=1),SUM(C438:Q438),"")</f>
      </c>
      <c r="R473" s="8">
        <f>IF((0=1),SUM(C438:R438),"")</f>
      </c>
      <c r="S473" s="8">
        <f>IF((0=1),SUM(C438:S438),"")</f>
      </c>
      <c r="T473" s="8">
        <f>IF((0=1),SUM(C438:T438),"")</f>
      </c>
      <c r="U473" s="8">
        <f>IF((0=1),SUM(C438:U438),"")</f>
      </c>
      <c r="V473" s="8">
        <f>IF((0=1),SUM(C438:V438),"")</f>
      </c>
      <c r="W473" s="8">
        <f>IF((0=1),SUM(C438:W438),"")</f>
      </c>
      <c r="X473" s="8">
        <f>IF((0=1),SUM(C438:X438),"")</f>
      </c>
      <c r="Y473" s="8">
        <f>IF((0=1),SUM(C438:Y438),"")</f>
      </c>
      <c r="Z473" s="8">
        <f>IF((0=1),SUM(C438:Z438),"")</f>
      </c>
      <c r="AA473" s="8">
        <f>IF((0=1),SUM(C438:AA438),"")</f>
      </c>
      <c r="AB473" s="8">
        <f>IF((0=1),SUM(C438:AB438),"")</f>
      </c>
      <c r="AC473" s="8">
        <f>IF((0=1),SUM(C438:AC438),"")</f>
      </c>
      <c r="AD473" s="8">
        <f>IF((0=1),SUM(C438:AD438),"")</f>
      </c>
      <c r="AE473" s="8">
        <f>IF((0=1),SUM(C438:AE438),"")</f>
      </c>
      <c r="AF473" s="8">
        <f>IF((0=1),SUM(C438:AF438),"")</f>
      </c>
      <c r="AG473" s="8">
        <f>IF((0=1),SUM(C438:AG438),"")</f>
      </c>
      <c r="AH473" s="8">
        <f>IF((0=1),SUM(C438:AH438),"")</f>
      </c>
      <c r="AI473" s="8">
        <f>IF((0=1),SUM(C438:AI438),"")</f>
      </c>
      <c r="AJ473" s="8">
        <f>IF((0=1),SUM(C438:AJ438),"")</f>
      </c>
      <c r="AK473" s="8">
        <f>IF((0=1),SUM(C438:AK438),"")</f>
      </c>
      <c r="AL473" s="8">
        <f>IF((0=1),SUM(C438:AL438),"")</f>
      </c>
      <c r="AM473" s="8">
        <f>IF((0=1),SUM(C438:AM438),"")</f>
      </c>
      <c r="AN473" s="8">
        <f>IF((0=1),SUM(C438:AN438),"")</f>
      </c>
      <c r="AO473" s="8">
        <f>IF((0=1),SUM(C438:AO438),"")</f>
      </c>
      <c r="AP473" s="8">
        <f>IF((0=1),SUM(C438:AP438),"")</f>
      </c>
      <c r="AQ473" s="8">
        <f>IF((0=1),SUM(C438:AQ438),"")</f>
      </c>
      <c r="AR473" s="8">
        <f>IF((0=1),SUM(C438:AR438),"")</f>
      </c>
      <c r="AS473" s="8">
        <f>IF((0=1),SUM(C438:AS438),"")</f>
      </c>
      <c r="AT473" s="8">
        <f>IF((0=1),SUM(C438:AT438),"")</f>
      </c>
      <c r="AU473" s="8">
        <f>IF((0=1),SUM(C438:AU438),"")</f>
      </c>
      <c r="AV473" s="8">
        <f>IF((0=1),SUM(C438:AV438),"")</f>
      </c>
      <c r="AW473" s="8">
        <f>IF((0=1),SUM(C438:AW438),"")</f>
      </c>
      <c r="AX473" s="8">
        <f>IF((0=1),SUM(C438:AX438),"")</f>
      </c>
      <c r="AY473" s="8">
        <f>IF((0=1),SUM(C438:AY438),"")</f>
      </c>
      <c r="AZ473" s="8">
        <f>IF((0=1),SUM(C438:AZ438),"")</f>
      </c>
      <c r="BA473" s="8">
        <f>IF((0=1),SUM(C438:BA438),"")</f>
      </c>
      <c r="BB473" s="8">
        <f>IF((0=1),SUM(C438:BB438),"")</f>
      </c>
      <c r="BC473" s="8">
        <f>IF((0=1),SUM(C438:BC438),"")</f>
      </c>
      <c r="BD473" s="8">
        <f>IF((0=1),SUM(C438:BD438),"")</f>
      </c>
      <c r="BE473" s="8">
        <f>IF((0=1),SUM(C438:BE438),"")</f>
      </c>
      <c r="BF473" s="8">
        <f>IF((0=1),SUM(C438:BF438),"")</f>
      </c>
      <c r="BG473" s="8">
        <f>IF((0=1),SUM(C438:BG438),"")</f>
      </c>
      <c r="BH473" s="8">
        <f>IF((0=1),SUM(C438:BH438),"")</f>
      </c>
      <c r="BI473" s="8">
        <f>IF((0=1),SUM(C438:BI438),"")</f>
      </c>
      <c r="BJ473" s="8">
        <f>IF((0=1),SUM(C438:BJ438),"")</f>
      </c>
      <c r="BK473" s="8">
        <f>IF((0=1),SUM(C438:BK438),"")</f>
      </c>
      <c r="BL473" s="8">
        <f>IF((0=1),SUM(C438:BL438),"")</f>
      </c>
      <c r="BM473" s="8">
        <f>IF((0=1),SUM(C438:BM438),"")</f>
      </c>
      <c r="BN473" s="8">
        <f>IF((0=1),SUM(C438:BN438),"")</f>
      </c>
      <c r="BO473" s="8">
        <f>IF((0=1),SUM(C438:BO438),"")</f>
      </c>
      <c r="BP473" s="8">
        <f>IF((0=1),SUM(C438:BP438),"")</f>
      </c>
      <c r="BQ473" s="8">
        <f>IF((0=1),SUM(C438:BQ438),"")</f>
      </c>
      <c r="BR473" s="8">
        <f>IF((0=1),SUM(C438:BR438),"")</f>
      </c>
      <c r="BS473" s="8">
        <f>IF((0=1),SUM(C438:BS438),"")</f>
      </c>
      <c r="BT473" s="8">
        <f>IF((0=1),SUM(C438:BT438),"")</f>
      </c>
      <c r="BU473" s="8">
        <f>IF((0=1),SUM(C438:BU438),"")</f>
      </c>
      <c r="BV473" s="8">
        <f>IF((0=1),SUM(C438:BV438),"")</f>
      </c>
      <c r="BW473" s="8">
        <f>IF((0=1),SUM(C438:BW438),"")</f>
      </c>
      <c r="BX473" s="8">
        <f>IF((0=1),SUM(C438:BX438),"")</f>
      </c>
      <c r="BY473" s="8">
        <f>IF((0=1),SUM(C438:BY438),"")</f>
      </c>
      <c r="BZ473" s="8">
        <f>IF((0=1),SUM(C438:BZ438),"")</f>
      </c>
      <c r="CA473" s="8">
        <f>IF((0=1),SUM(C438:CA438),"")</f>
      </c>
      <c r="CB473" s="8">
        <f>IF((0=1),SUM(C438:CB438),"")</f>
      </c>
      <c r="CC473" s="8">
        <f>IF((0=1),SUM(C438:CC438),"")</f>
      </c>
      <c r="CD473" s="8">
        <f>IF((0=1),SUM(C438:CD438),"")</f>
      </c>
      <c r="CE473" s="8">
        <f>IF((0=1),SUM(C438:CE438),"")</f>
      </c>
      <c r="CF473" s="8">
        <f>IF((0=1),SUM(C438:CF438),"")</f>
      </c>
      <c r="CG473" s="8">
        <f>IF((0=1),SUM(C438:CG438),"")</f>
      </c>
      <c r="CH473" s="8">
        <f>IF((0=1),SUM(C438:CH438),"")</f>
      </c>
      <c r="CI473" s="8">
        <f>IF((0=1),SUM(C438:CI438),"")</f>
      </c>
      <c r="CJ473" s="8">
        <f>IF((0=1),SUM(C438:CJ438),"")</f>
      </c>
      <c r="CK473" s="8">
        <f>IF((0=1),SUM(C438:CK438),"")</f>
      </c>
      <c r="CL473" s="8">
        <f>IF((0=1),SUM(C438:CL438),"")</f>
      </c>
      <c r="CM473" s="8">
        <f>IF((0=1),SUM(C438:CM438),"")</f>
      </c>
      <c r="CN473" s="8">
        <f>IF((0=1),SUM(C438:CN438),"")</f>
      </c>
      <c r="CO473" s="8">
        <f>IF((0=1),SUM(C438:CO438),"")</f>
      </c>
      <c r="CP473" s="8">
        <f>IF((0=1),SUM(C438:CP438),"")</f>
      </c>
      <c r="CQ473" s="8">
        <f>IF((0=1),SUM(C438:CQ438),"")</f>
      </c>
      <c r="CR473" s="8">
        <f>IF((0=1),SUM(C438:CR438),"")</f>
      </c>
      <c r="CS473" s="8">
        <f>IF((0=1),SUM(C438:CS438),"")</f>
      </c>
      <c r="CT473" s="8">
        <f>IF((0=1),SUM(C438:CT438),"")</f>
      </c>
      <c r="CU473" s="8">
        <f>IF((0=1),SUM(C438:CU438),"")</f>
      </c>
      <c r="CV473" s="8">
        <f>IF((0=1),SUM(C438:CV438),"")</f>
      </c>
      <c r="CW473" s="8">
        <f>IF((0=1),SUM(C438:CW438),"")</f>
      </c>
      <c r="CX473" s="8">
        <f>IF((0=1),SUM(C438:CX438),"")</f>
      </c>
    </row>
    <row r="474">
      <c r="A474" s="0" t="inlineStr">
        <is>
          <t xml:space="preserve">Cumulative net P&amp;L, $</t>
        </is>
      </c>
      <c r="B474" s="0" t="inlineStr">
        <is>
          <t xml:space="preserve">Random 3</t>
        </is>
      </c>
      <c r="C474" s="4">
        <f>IF((1=1),SUM(C439),"")</f>
        <v>-41</v>
      </c>
      <c r="D474" s="4">
        <f>IF((0=1),SUM(C439:D439),"")</f>
      </c>
      <c r="E474" s="4">
        <f>IF((0=1),SUM(C439:E439),"")</f>
      </c>
      <c r="F474" s="4">
        <f>IF((0=1),SUM(C439:F439),"")</f>
      </c>
      <c r="G474" s="4">
        <f>IF((0=1),SUM(C439:G439),"")</f>
      </c>
      <c r="H474" s="4">
        <f>IF((0=1),SUM(C439:H439),"")</f>
      </c>
      <c r="I474" s="4">
        <f>IF((0=1),SUM(C439:I439),"")</f>
      </c>
      <c r="J474" s="4">
        <f>IF((0=1),SUM(C439:J439),"")</f>
      </c>
      <c r="K474" s="4">
        <f>IF((0=1),SUM(C439:K439),"")</f>
      </c>
      <c r="L474" s="4">
        <f>IF((0=1),SUM(C439:L439),"")</f>
      </c>
      <c r="M474" s="4">
        <f>IF((0=1),SUM(C439:M439),"")</f>
      </c>
      <c r="N474" s="4">
        <f>IF((0=1),SUM(C439:N439),"")</f>
      </c>
      <c r="O474" s="4">
        <f>IF((0=1),SUM(C439:O439),"")</f>
      </c>
      <c r="P474" s="4">
        <f>IF((0=1),SUM(C439:P439),"")</f>
      </c>
      <c r="Q474" s="4">
        <f>IF((0=1),SUM(C439:Q439),"")</f>
      </c>
      <c r="R474" s="4">
        <f>IF((0=1),SUM(C439:R439),"")</f>
      </c>
      <c r="S474" s="4">
        <f>IF((0=1),SUM(C439:S439),"")</f>
      </c>
      <c r="T474" s="4">
        <f>IF((0=1),SUM(C439:T439),"")</f>
      </c>
      <c r="U474" s="4">
        <f>IF((0=1),SUM(C439:U439),"")</f>
      </c>
      <c r="V474" s="4">
        <f>IF((0=1),SUM(C439:V439),"")</f>
      </c>
      <c r="W474" s="4">
        <f>IF((0=1),SUM(C439:W439),"")</f>
      </c>
      <c r="X474" s="4">
        <f>IF((0=1),SUM(C439:X439),"")</f>
      </c>
      <c r="Y474" s="4">
        <f>IF((0=1),SUM(C439:Y439),"")</f>
      </c>
      <c r="Z474" s="4">
        <f>IF((0=1),SUM(C439:Z439),"")</f>
      </c>
      <c r="AA474" s="4">
        <f>IF((0=1),SUM(C439:AA439),"")</f>
      </c>
      <c r="AB474" s="4">
        <f>IF((0=1),SUM(C439:AB439),"")</f>
      </c>
      <c r="AC474" s="4">
        <f>IF((0=1),SUM(C439:AC439),"")</f>
      </c>
      <c r="AD474" s="4">
        <f>IF((0=1),SUM(C439:AD439),"")</f>
      </c>
      <c r="AE474" s="4">
        <f>IF((0=1),SUM(C439:AE439),"")</f>
      </c>
      <c r="AF474" s="4">
        <f>IF((0=1),SUM(C439:AF439),"")</f>
      </c>
      <c r="AG474" s="4">
        <f>IF((0=1),SUM(C439:AG439),"")</f>
      </c>
      <c r="AH474" s="4">
        <f>IF((0=1),SUM(C439:AH439),"")</f>
      </c>
      <c r="AI474" s="4">
        <f>IF((0=1),SUM(C439:AI439),"")</f>
      </c>
      <c r="AJ474" s="4">
        <f>IF((0=1),SUM(C439:AJ439),"")</f>
      </c>
      <c r="AK474" s="4">
        <f>IF((0=1),SUM(C439:AK439),"")</f>
      </c>
      <c r="AL474" s="4">
        <f>IF((0=1),SUM(C439:AL439),"")</f>
      </c>
      <c r="AM474" s="4">
        <f>IF((0=1),SUM(C439:AM439),"")</f>
      </c>
      <c r="AN474" s="4">
        <f>IF((0=1),SUM(C439:AN439),"")</f>
      </c>
      <c r="AO474" s="4">
        <f>IF((0=1),SUM(C439:AO439),"")</f>
      </c>
      <c r="AP474" s="4">
        <f>IF((0=1),SUM(C439:AP439),"")</f>
      </c>
      <c r="AQ474" s="4">
        <f>IF((0=1),SUM(C439:AQ439),"")</f>
      </c>
      <c r="AR474" s="4">
        <f>IF((0=1),SUM(C439:AR439),"")</f>
      </c>
      <c r="AS474" s="4">
        <f>IF((0=1),SUM(C439:AS439),"")</f>
      </c>
      <c r="AT474" s="4">
        <f>IF((0=1),SUM(C439:AT439),"")</f>
      </c>
      <c r="AU474" s="4">
        <f>IF((0=1),SUM(C439:AU439),"")</f>
      </c>
      <c r="AV474" s="4">
        <f>IF((0=1),SUM(C439:AV439),"")</f>
      </c>
      <c r="AW474" s="4">
        <f>IF((0=1),SUM(C439:AW439),"")</f>
      </c>
      <c r="AX474" s="4">
        <f>IF((0=1),SUM(C439:AX439),"")</f>
      </c>
      <c r="AY474" s="4">
        <f>IF((0=1),SUM(C439:AY439),"")</f>
      </c>
      <c r="AZ474" s="4">
        <f>IF((0=1),SUM(C439:AZ439),"")</f>
      </c>
      <c r="BA474" s="4">
        <f>IF((0=1),SUM(C439:BA439),"")</f>
      </c>
      <c r="BB474" s="4">
        <f>IF((0=1),SUM(C439:BB439),"")</f>
      </c>
      <c r="BC474" s="4">
        <f>IF((0=1),SUM(C439:BC439),"")</f>
      </c>
      <c r="BD474" s="4">
        <f>IF((0=1),SUM(C439:BD439),"")</f>
      </c>
      <c r="BE474" s="4">
        <f>IF((0=1),SUM(C439:BE439),"")</f>
      </c>
      <c r="BF474" s="4">
        <f>IF((0=1),SUM(C439:BF439),"")</f>
      </c>
      <c r="BG474" s="4">
        <f>IF((0=1),SUM(C439:BG439),"")</f>
      </c>
      <c r="BH474" s="4">
        <f>IF((0=1),SUM(C439:BH439),"")</f>
      </c>
      <c r="BI474" s="4">
        <f>IF((0=1),SUM(C439:BI439),"")</f>
      </c>
      <c r="BJ474" s="4">
        <f>IF((0=1),SUM(C439:BJ439),"")</f>
      </c>
      <c r="BK474" s="4">
        <f>IF((0=1),SUM(C439:BK439),"")</f>
      </c>
      <c r="BL474" s="4">
        <f>IF((0=1),SUM(C439:BL439),"")</f>
      </c>
      <c r="BM474" s="4">
        <f>IF((0=1),SUM(C439:BM439),"")</f>
      </c>
      <c r="BN474" s="4">
        <f>IF((0=1),SUM(C439:BN439),"")</f>
      </c>
      <c r="BO474" s="4">
        <f>IF((0=1),SUM(C439:BO439),"")</f>
      </c>
      <c r="BP474" s="4">
        <f>IF((0=1),SUM(C439:BP439),"")</f>
      </c>
      <c r="BQ474" s="4">
        <f>IF((0=1),SUM(C439:BQ439),"")</f>
      </c>
      <c r="BR474" s="4">
        <f>IF((0=1),SUM(C439:BR439),"")</f>
      </c>
      <c r="BS474" s="4">
        <f>IF((0=1),SUM(C439:BS439),"")</f>
      </c>
      <c r="BT474" s="4">
        <f>IF((0=1),SUM(C439:BT439),"")</f>
      </c>
      <c r="BU474" s="4">
        <f>IF((0=1),SUM(C439:BU439),"")</f>
      </c>
      <c r="BV474" s="4">
        <f>IF((0=1),SUM(C439:BV439),"")</f>
      </c>
      <c r="BW474" s="4">
        <f>IF((0=1),SUM(C439:BW439),"")</f>
      </c>
      <c r="BX474" s="4">
        <f>IF((0=1),SUM(C439:BX439),"")</f>
      </c>
      <c r="BY474" s="4">
        <f>IF((0=1),SUM(C439:BY439),"")</f>
      </c>
      <c r="BZ474" s="4">
        <f>IF((0=1),SUM(C439:BZ439),"")</f>
      </c>
      <c r="CA474" s="4">
        <f>IF((0=1),SUM(C439:CA439),"")</f>
      </c>
      <c r="CB474" s="4">
        <f>IF((0=1),SUM(C439:CB439),"")</f>
      </c>
      <c r="CC474" s="4">
        <f>IF((0=1),SUM(C439:CC439),"")</f>
      </c>
      <c r="CD474" s="4">
        <f>IF((0=1),SUM(C439:CD439),"")</f>
      </c>
      <c r="CE474" s="4">
        <f>IF((0=1),SUM(C439:CE439),"")</f>
      </c>
      <c r="CF474" s="4">
        <f>IF((0=1),SUM(C439:CF439),"")</f>
      </c>
      <c r="CG474" s="4">
        <f>IF((0=1),SUM(C439:CG439),"")</f>
      </c>
      <c r="CH474" s="4">
        <f>IF((0=1),SUM(C439:CH439),"")</f>
      </c>
      <c r="CI474" s="4">
        <f>IF((0=1),SUM(C439:CI439),"")</f>
      </c>
      <c r="CJ474" s="4">
        <f>IF((0=1),SUM(C439:CJ439),"")</f>
      </c>
      <c r="CK474" s="4">
        <f>IF((0=1),SUM(C439:CK439),"")</f>
      </c>
      <c r="CL474" s="4">
        <f>IF((0=1),SUM(C439:CL439),"")</f>
      </c>
      <c r="CM474" s="4">
        <f>IF((0=1),SUM(C439:CM439),"")</f>
      </c>
      <c r="CN474" s="4">
        <f>IF((0=1),SUM(C439:CN439),"")</f>
      </c>
      <c r="CO474" s="4">
        <f>IF((0=1),SUM(C439:CO439),"")</f>
      </c>
      <c r="CP474" s="4">
        <f>IF((0=1),SUM(C439:CP439),"")</f>
      </c>
      <c r="CQ474" s="4">
        <f>IF((0=1),SUM(C439:CQ439),"")</f>
      </c>
      <c r="CR474" s="4">
        <f>IF((0=1),SUM(C439:CR439),"")</f>
      </c>
      <c r="CS474" s="4">
        <f>IF((0=1),SUM(C439:CS439),"")</f>
      </c>
      <c r="CT474" s="4">
        <f>IF((0=1),SUM(C439:CT439),"")</f>
      </c>
      <c r="CU474" s="4">
        <f>IF((0=1),SUM(C439:CU439),"")</f>
      </c>
      <c r="CV474" s="4">
        <f>IF((0=1),SUM(C439:CV439),"")</f>
      </c>
      <c r="CW474" s="4">
        <f>IF((0=1),SUM(C439:CW439),"")</f>
      </c>
      <c r="CX474" s="4">
        <f>IF((0=1),SUM(C439:CX439),"")</f>
      </c>
    </row>
    <row r="475">
      <c r="A475" s="0" t="inlineStr">
        <is>
          <t xml:space="preserve">Cumulative net P&amp;L, $</t>
        </is>
      </c>
      <c r="B475" s="0" t="inlineStr">
        <is>
          <t xml:space="preserve">Random 4</t>
        </is>
      </c>
      <c r="C475" s="8">
        <f>IF((1=1),SUM(C440),"")</f>
        <v>-154.97</v>
      </c>
      <c r="D475" s="8">
        <f>IF((0=1),SUM(C440:D440),"")</f>
      </c>
      <c r="E475" s="8">
        <f>IF((0=1),SUM(C440:E440),"")</f>
      </c>
      <c r="F475" s="8">
        <f>IF((0=1),SUM(C440:F440),"")</f>
      </c>
      <c r="G475" s="8">
        <f>IF((0=1),SUM(C440:G440),"")</f>
      </c>
      <c r="H475" s="8">
        <f>IF((0=1),SUM(C440:H440),"")</f>
      </c>
      <c r="I475" s="8">
        <f>IF((0=1),SUM(C440:I440),"")</f>
      </c>
      <c r="J475" s="8">
        <f>IF((0=1),SUM(C440:J440),"")</f>
      </c>
      <c r="K475" s="8">
        <f>IF((0=1),SUM(C440:K440),"")</f>
      </c>
      <c r="L475" s="8">
        <f>IF((0=1),SUM(C440:L440),"")</f>
      </c>
      <c r="M475" s="8">
        <f>IF((0=1),SUM(C440:M440),"")</f>
      </c>
      <c r="N475" s="8">
        <f>IF((0=1),SUM(C440:N440),"")</f>
      </c>
      <c r="O475" s="8">
        <f>IF((0=1),SUM(C440:O440),"")</f>
      </c>
      <c r="P475" s="8">
        <f>IF((0=1),SUM(C440:P440),"")</f>
      </c>
      <c r="Q475" s="8">
        <f>IF((0=1),SUM(C440:Q440),"")</f>
      </c>
      <c r="R475" s="8">
        <f>IF((0=1),SUM(C440:R440),"")</f>
      </c>
      <c r="S475" s="8">
        <f>IF((0=1),SUM(C440:S440),"")</f>
      </c>
      <c r="T475" s="8">
        <f>IF((0=1),SUM(C440:T440),"")</f>
      </c>
      <c r="U475" s="8">
        <f>IF((0=1),SUM(C440:U440),"")</f>
      </c>
      <c r="V475" s="8">
        <f>IF((0=1),SUM(C440:V440),"")</f>
      </c>
      <c r="W475" s="8">
        <f>IF((0=1),SUM(C440:W440),"")</f>
      </c>
      <c r="X475" s="8">
        <f>IF((0=1),SUM(C440:X440),"")</f>
      </c>
      <c r="Y475" s="8">
        <f>IF((0=1),SUM(C440:Y440),"")</f>
      </c>
      <c r="Z475" s="8">
        <f>IF((0=1),SUM(C440:Z440),"")</f>
      </c>
      <c r="AA475" s="8">
        <f>IF((0=1),SUM(C440:AA440),"")</f>
      </c>
      <c r="AB475" s="8">
        <f>IF((0=1),SUM(C440:AB440),"")</f>
      </c>
      <c r="AC475" s="8">
        <f>IF((0=1),SUM(C440:AC440),"")</f>
      </c>
      <c r="AD475" s="8">
        <f>IF((0=1),SUM(C440:AD440),"")</f>
      </c>
      <c r="AE475" s="8">
        <f>IF((0=1),SUM(C440:AE440),"")</f>
      </c>
      <c r="AF475" s="8">
        <f>IF((0=1),SUM(C440:AF440),"")</f>
      </c>
      <c r="AG475" s="8">
        <f>IF((0=1),SUM(C440:AG440),"")</f>
      </c>
      <c r="AH475" s="8">
        <f>IF((0=1),SUM(C440:AH440),"")</f>
      </c>
      <c r="AI475" s="8">
        <f>IF((0=1),SUM(C440:AI440),"")</f>
      </c>
      <c r="AJ475" s="8">
        <f>IF((0=1),SUM(C440:AJ440),"")</f>
      </c>
      <c r="AK475" s="8">
        <f>IF((0=1),SUM(C440:AK440),"")</f>
      </c>
      <c r="AL475" s="8">
        <f>IF((0=1),SUM(C440:AL440),"")</f>
      </c>
      <c r="AM475" s="8">
        <f>IF((0=1),SUM(C440:AM440),"")</f>
      </c>
      <c r="AN475" s="8">
        <f>IF((0=1),SUM(C440:AN440),"")</f>
      </c>
      <c r="AO475" s="8">
        <f>IF((0=1),SUM(C440:AO440),"")</f>
      </c>
      <c r="AP475" s="8">
        <f>IF((0=1),SUM(C440:AP440),"")</f>
      </c>
      <c r="AQ475" s="8">
        <f>IF((0=1),SUM(C440:AQ440),"")</f>
      </c>
      <c r="AR475" s="8">
        <f>IF((0=1),SUM(C440:AR440),"")</f>
      </c>
      <c r="AS475" s="8">
        <f>IF((0=1),SUM(C440:AS440),"")</f>
      </c>
      <c r="AT475" s="8">
        <f>IF((0=1),SUM(C440:AT440),"")</f>
      </c>
      <c r="AU475" s="8">
        <f>IF((0=1),SUM(C440:AU440),"")</f>
      </c>
      <c r="AV475" s="8">
        <f>IF((0=1),SUM(C440:AV440),"")</f>
      </c>
      <c r="AW475" s="8">
        <f>IF((0=1),SUM(C440:AW440),"")</f>
      </c>
      <c r="AX475" s="8">
        <f>IF((0=1),SUM(C440:AX440),"")</f>
      </c>
      <c r="AY475" s="8">
        <f>IF((0=1),SUM(C440:AY440),"")</f>
      </c>
      <c r="AZ475" s="8">
        <f>IF((0=1),SUM(C440:AZ440),"")</f>
      </c>
      <c r="BA475" s="8">
        <f>IF((0=1),SUM(C440:BA440),"")</f>
      </c>
      <c r="BB475" s="8">
        <f>IF((0=1),SUM(C440:BB440),"")</f>
      </c>
      <c r="BC475" s="8">
        <f>IF((0=1),SUM(C440:BC440),"")</f>
      </c>
      <c r="BD475" s="8">
        <f>IF((0=1),SUM(C440:BD440),"")</f>
      </c>
      <c r="BE475" s="8">
        <f>IF((0=1),SUM(C440:BE440),"")</f>
      </c>
      <c r="BF475" s="8">
        <f>IF((0=1),SUM(C440:BF440),"")</f>
      </c>
      <c r="BG475" s="8">
        <f>IF((0=1),SUM(C440:BG440),"")</f>
      </c>
      <c r="BH475" s="8">
        <f>IF((0=1),SUM(C440:BH440),"")</f>
      </c>
      <c r="BI475" s="8">
        <f>IF((0=1),SUM(C440:BI440),"")</f>
      </c>
      <c r="BJ475" s="8">
        <f>IF((0=1),SUM(C440:BJ440),"")</f>
      </c>
      <c r="BK475" s="8">
        <f>IF((0=1),SUM(C440:BK440),"")</f>
      </c>
      <c r="BL475" s="8">
        <f>IF((0=1),SUM(C440:BL440),"")</f>
      </c>
      <c r="BM475" s="8">
        <f>IF((0=1),SUM(C440:BM440),"")</f>
      </c>
      <c r="BN475" s="8">
        <f>IF((0=1),SUM(C440:BN440),"")</f>
      </c>
      <c r="BO475" s="8">
        <f>IF((0=1),SUM(C440:BO440),"")</f>
      </c>
      <c r="BP475" s="8">
        <f>IF((0=1),SUM(C440:BP440),"")</f>
      </c>
      <c r="BQ475" s="8">
        <f>IF((0=1),SUM(C440:BQ440),"")</f>
      </c>
      <c r="BR475" s="8">
        <f>IF((0=1),SUM(C440:BR440),"")</f>
      </c>
      <c r="BS475" s="8">
        <f>IF((0=1),SUM(C440:BS440),"")</f>
      </c>
      <c r="BT475" s="8">
        <f>IF((0=1),SUM(C440:BT440),"")</f>
      </c>
      <c r="BU475" s="8">
        <f>IF((0=1),SUM(C440:BU440),"")</f>
      </c>
      <c r="BV475" s="8">
        <f>IF((0=1),SUM(C440:BV440),"")</f>
      </c>
      <c r="BW475" s="8">
        <f>IF((0=1),SUM(C440:BW440),"")</f>
      </c>
      <c r="BX475" s="8">
        <f>IF((0=1),SUM(C440:BX440),"")</f>
      </c>
      <c r="BY475" s="8">
        <f>IF((0=1),SUM(C440:BY440),"")</f>
      </c>
      <c r="BZ475" s="8">
        <f>IF((0=1),SUM(C440:BZ440),"")</f>
      </c>
      <c r="CA475" s="8">
        <f>IF((0=1),SUM(C440:CA440),"")</f>
      </c>
      <c r="CB475" s="8">
        <f>IF((0=1),SUM(C440:CB440),"")</f>
      </c>
      <c r="CC475" s="8">
        <f>IF((0=1),SUM(C440:CC440),"")</f>
      </c>
      <c r="CD475" s="8">
        <f>IF((0=1),SUM(C440:CD440),"")</f>
      </c>
      <c r="CE475" s="8">
        <f>IF((0=1),SUM(C440:CE440),"")</f>
      </c>
      <c r="CF475" s="8">
        <f>IF((0=1),SUM(C440:CF440),"")</f>
      </c>
      <c r="CG475" s="8">
        <f>IF((0=1),SUM(C440:CG440),"")</f>
      </c>
      <c r="CH475" s="8">
        <f>IF((0=1),SUM(C440:CH440),"")</f>
      </c>
      <c r="CI475" s="8">
        <f>IF((0=1),SUM(C440:CI440),"")</f>
      </c>
      <c r="CJ475" s="8">
        <f>IF((0=1),SUM(C440:CJ440),"")</f>
      </c>
      <c r="CK475" s="8">
        <f>IF((0=1),SUM(C440:CK440),"")</f>
      </c>
      <c r="CL475" s="8">
        <f>IF((0=1),SUM(C440:CL440),"")</f>
      </c>
      <c r="CM475" s="8">
        <f>IF((0=1),SUM(C440:CM440),"")</f>
      </c>
      <c r="CN475" s="8">
        <f>IF((0=1),SUM(C440:CN440),"")</f>
      </c>
      <c r="CO475" s="8">
        <f>IF((0=1),SUM(C440:CO440),"")</f>
      </c>
      <c r="CP475" s="8">
        <f>IF((0=1),SUM(C440:CP440),"")</f>
      </c>
      <c r="CQ475" s="8">
        <f>IF((0=1),SUM(C440:CQ440),"")</f>
      </c>
      <c r="CR475" s="8">
        <f>IF((0=1),SUM(C440:CR440),"")</f>
      </c>
      <c r="CS475" s="8">
        <f>IF((0=1),SUM(C440:CS440),"")</f>
      </c>
      <c r="CT475" s="8">
        <f>IF((0=1),SUM(C440:CT440),"")</f>
      </c>
      <c r="CU475" s="8">
        <f>IF((0=1),SUM(C440:CU440),"")</f>
      </c>
      <c r="CV475" s="8">
        <f>IF((0=1),SUM(C440:CV440),"")</f>
      </c>
      <c r="CW475" s="8">
        <f>IF((0=1),SUM(C440:CW440),"")</f>
      </c>
      <c r="CX475" s="8">
        <f>IF((0=1),SUM(C440:CX440),"")</f>
      </c>
    </row>
    <row r="476">
      <c r="A476" s="0" t="inlineStr">
        <is>
          <t xml:space="preserve">Cumulative net P&amp;L, $</t>
        </is>
      </c>
      <c r="B476" s="0" t="inlineStr">
        <is>
          <t xml:space="preserve">Random 5</t>
        </is>
      </c>
      <c r="C476" s="8">
        <f>IF((1=1),SUM(C441),"")</f>
        <v>-72.58</v>
      </c>
      <c r="D476" s="8">
        <f>IF((0=1),SUM(C441:D441),"")</f>
      </c>
      <c r="E476" s="8">
        <f>IF((0=1),SUM(C441:E441),"")</f>
      </c>
      <c r="F476" s="8">
        <f>IF((0=1),SUM(C441:F441),"")</f>
      </c>
      <c r="G476" s="8">
        <f>IF((0=1),SUM(C441:G441),"")</f>
      </c>
      <c r="H476" s="8">
        <f>IF((0=1),SUM(C441:H441),"")</f>
      </c>
      <c r="I476" s="8">
        <f>IF((0=1),SUM(C441:I441),"")</f>
      </c>
      <c r="J476" s="8">
        <f>IF((0=1),SUM(C441:J441),"")</f>
      </c>
      <c r="K476" s="8">
        <f>IF((0=1),SUM(C441:K441),"")</f>
      </c>
      <c r="L476" s="8">
        <f>IF((0=1),SUM(C441:L441),"")</f>
      </c>
      <c r="M476" s="8">
        <f>IF((0=1),SUM(C441:M441),"")</f>
      </c>
      <c r="N476" s="8">
        <f>IF((0=1),SUM(C441:N441),"")</f>
      </c>
      <c r="O476" s="8">
        <f>IF((0=1),SUM(C441:O441),"")</f>
      </c>
      <c r="P476" s="8">
        <f>IF((0=1),SUM(C441:P441),"")</f>
      </c>
      <c r="Q476" s="8">
        <f>IF((0=1),SUM(C441:Q441),"")</f>
      </c>
      <c r="R476" s="8">
        <f>IF((0=1),SUM(C441:R441),"")</f>
      </c>
      <c r="S476" s="8">
        <f>IF((0=1),SUM(C441:S441),"")</f>
      </c>
      <c r="T476" s="8">
        <f>IF((0=1),SUM(C441:T441),"")</f>
      </c>
      <c r="U476" s="8">
        <f>IF((0=1),SUM(C441:U441),"")</f>
      </c>
      <c r="V476" s="8">
        <f>IF((0=1),SUM(C441:V441),"")</f>
      </c>
      <c r="W476" s="8">
        <f>IF((0=1),SUM(C441:W441),"")</f>
      </c>
      <c r="X476" s="8">
        <f>IF((0=1),SUM(C441:X441),"")</f>
      </c>
      <c r="Y476" s="8">
        <f>IF((0=1),SUM(C441:Y441),"")</f>
      </c>
      <c r="Z476" s="8">
        <f>IF((0=1),SUM(C441:Z441),"")</f>
      </c>
      <c r="AA476" s="8">
        <f>IF((0=1),SUM(C441:AA441),"")</f>
      </c>
      <c r="AB476" s="8">
        <f>IF((0=1),SUM(C441:AB441),"")</f>
      </c>
      <c r="AC476" s="8">
        <f>IF((0=1),SUM(C441:AC441),"")</f>
      </c>
      <c r="AD476" s="8">
        <f>IF((0=1),SUM(C441:AD441),"")</f>
      </c>
      <c r="AE476" s="8">
        <f>IF((0=1),SUM(C441:AE441),"")</f>
      </c>
      <c r="AF476" s="8">
        <f>IF((0=1),SUM(C441:AF441),"")</f>
      </c>
      <c r="AG476" s="8">
        <f>IF((0=1),SUM(C441:AG441),"")</f>
      </c>
      <c r="AH476" s="8">
        <f>IF((0=1),SUM(C441:AH441),"")</f>
      </c>
      <c r="AI476" s="8">
        <f>IF((0=1),SUM(C441:AI441),"")</f>
      </c>
      <c r="AJ476" s="8">
        <f>IF((0=1),SUM(C441:AJ441),"")</f>
      </c>
      <c r="AK476" s="8">
        <f>IF((0=1),SUM(C441:AK441),"")</f>
      </c>
      <c r="AL476" s="8">
        <f>IF((0=1),SUM(C441:AL441),"")</f>
      </c>
      <c r="AM476" s="8">
        <f>IF((0=1),SUM(C441:AM441),"")</f>
      </c>
      <c r="AN476" s="8">
        <f>IF((0=1),SUM(C441:AN441),"")</f>
      </c>
      <c r="AO476" s="8">
        <f>IF((0=1),SUM(C441:AO441),"")</f>
      </c>
      <c r="AP476" s="8">
        <f>IF((0=1),SUM(C441:AP441),"")</f>
      </c>
      <c r="AQ476" s="8">
        <f>IF((0=1),SUM(C441:AQ441),"")</f>
      </c>
      <c r="AR476" s="8">
        <f>IF((0=1),SUM(C441:AR441),"")</f>
      </c>
      <c r="AS476" s="8">
        <f>IF((0=1),SUM(C441:AS441),"")</f>
      </c>
      <c r="AT476" s="8">
        <f>IF((0=1),SUM(C441:AT441),"")</f>
      </c>
      <c r="AU476" s="8">
        <f>IF((0=1),SUM(C441:AU441),"")</f>
      </c>
      <c r="AV476" s="8">
        <f>IF((0=1),SUM(C441:AV441),"")</f>
      </c>
      <c r="AW476" s="8">
        <f>IF((0=1),SUM(C441:AW441),"")</f>
      </c>
      <c r="AX476" s="8">
        <f>IF((0=1),SUM(C441:AX441),"")</f>
      </c>
      <c r="AY476" s="8">
        <f>IF((0=1),SUM(C441:AY441),"")</f>
      </c>
      <c r="AZ476" s="8">
        <f>IF((0=1),SUM(C441:AZ441),"")</f>
      </c>
      <c r="BA476" s="8">
        <f>IF((0=1),SUM(C441:BA441),"")</f>
      </c>
      <c r="BB476" s="8">
        <f>IF((0=1),SUM(C441:BB441),"")</f>
      </c>
      <c r="BC476" s="8">
        <f>IF((0=1),SUM(C441:BC441),"")</f>
      </c>
      <c r="BD476" s="8">
        <f>IF((0=1),SUM(C441:BD441),"")</f>
      </c>
      <c r="BE476" s="8">
        <f>IF((0=1),SUM(C441:BE441),"")</f>
      </c>
      <c r="BF476" s="8">
        <f>IF((0=1),SUM(C441:BF441),"")</f>
      </c>
      <c r="BG476" s="8">
        <f>IF((0=1),SUM(C441:BG441),"")</f>
      </c>
      <c r="BH476" s="8">
        <f>IF((0=1),SUM(C441:BH441),"")</f>
      </c>
      <c r="BI476" s="8">
        <f>IF((0=1),SUM(C441:BI441),"")</f>
      </c>
      <c r="BJ476" s="8">
        <f>IF((0=1),SUM(C441:BJ441),"")</f>
      </c>
      <c r="BK476" s="8">
        <f>IF((0=1),SUM(C441:BK441),"")</f>
      </c>
      <c r="BL476" s="8">
        <f>IF((0=1),SUM(C441:BL441),"")</f>
      </c>
      <c r="BM476" s="8">
        <f>IF((0=1),SUM(C441:BM441),"")</f>
      </c>
      <c r="BN476" s="8">
        <f>IF((0=1),SUM(C441:BN441),"")</f>
      </c>
      <c r="BO476" s="8">
        <f>IF((0=1),SUM(C441:BO441),"")</f>
      </c>
      <c r="BP476" s="8">
        <f>IF((0=1),SUM(C441:BP441),"")</f>
      </c>
      <c r="BQ476" s="8">
        <f>IF((0=1),SUM(C441:BQ441),"")</f>
      </c>
      <c r="BR476" s="8">
        <f>IF((0=1),SUM(C441:BR441),"")</f>
      </c>
      <c r="BS476" s="8">
        <f>IF((0=1),SUM(C441:BS441),"")</f>
      </c>
      <c r="BT476" s="8">
        <f>IF((0=1),SUM(C441:BT441),"")</f>
      </c>
      <c r="BU476" s="8">
        <f>IF((0=1),SUM(C441:BU441),"")</f>
      </c>
      <c r="BV476" s="8">
        <f>IF((0=1),SUM(C441:BV441),"")</f>
      </c>
      <c r="BW476" s="8">
        <f>IF((0=1),SUM(C441:BW441),"")</f>
      </c>
      <c r="BX476" s="8">
        <f>IF((0=1),SUM(C441:BX441),"")</f>
      </c>
      <c r="BY476" s="8">
        <f>IF((0=1),SUM(C441:BY441),"")</f>
      </c>
      <c r="BZ476" s="8">
        <f>IF((0=1),SUM(C441:BZ441),"")</f>
      </c>
      <c r="CA476" s="8">
        <f>IF((0=1),SUM(C441:CA441),"")</f>
      </c>
      <c r="CB476" s="8">
        <f>IF((0=1),SUM(C441:CB441),"")</f>
      </c>
      <c r="CC476" s="8">
        <f>IF((0=1),SUM(C441:CC441),"")</f>
      </c>
      <c r="CD476" s="8">
        <f>IF((0=1),SUM(C441:CD441),"")</f>
      </c>
      <c r="CE476" s="8">
        <f>IF((0=1),SUM(C441:CE441),"")</f>
      </c>
      <c r="CF476" s="8">
        <f>IF((0=1),SUM(C441:CF441),"")</f>
      </c>
      <c r="CG476" s="8">
        <f>IF((0=1),SUM(C441:CG441),"")</f>
      </c>
      <c r="CH476" s="8">
        <f>IF((0=1),SUM(C441:CH441),"")</f>
      </c>
      <c r="CI476" s="8">
        <f>IF((0=1),SUM(C441:CI441),"")</f>
      </c>
      <c r="CJ476" s="8">
        <f>IF((0=1),SUM(C441:CJ441),"")</f>
      </c>
      <c r="CK476" s="8">
        <f>IF((0=1),SUM(C441:CK441),"")</f>
      </c>
      <c r="CL476" s="8">
        <f>IF((0=1),SUM(C441:CL441),"")</f>
      </c>
      <c r="CM476" s="8">
        <f>IF((0=1),SUM(C441:CM441),"")</f>
      </c>
      <c r="CN476" s="8">
        <f>IF((0=1),SUM(C441:CN441),"")</f>
      </c>
      <c r="CO476" s="8">
        <f>IF((0=1),SUM(C441:CO441),"")</f>
      </c>
      <c r="CP476" s="8">
        <f>IF((0=1),SUM(C441:CP441),"")</f>
      </c>
      <c r="CQ476" s="8">
        <f>IF((0=1),SUM(C441:CQ441),"")</f>
      </c>
      <c r="CR476" s="8">
        <f>IF((0=1),SUM(C441:CR441),"")</f>
      </c>
      <c r="CS476" s="8">
        <f>IF((0=1),SUM(C441:CS441),"")</f>
      </c>
      <c r="CT476" s="8">
        <f>IF((0=1),SUM(C441:CT441),"")</f>
      </c>
      <c r="CU476" s="8">
        <f>IF((0=1),SUM(C441:CU441),"")</f>
      </c>
      <c r="CV476" s="8">
        <f>IF((0=1),SUM(C441:CV441),"")</f>
      </c>
      <c r="CW476" s="8">
        <f>IF((0=1),SUM(C441:CW441),"")</f>
      </c>
      <c r="CX476" s="8">
        <f>IF((0=1),SUM(C441:CX441),"")</f>
      </c>
    </row>
    <row r="477">
      <c r="A477" s="0" t="inlineStr">
        <is>
          <t xml:space="preserve">Cumulative net P&amp;L, $</t>
        </is>
      </c>
      <c r="B477" s="0" t="inlineStr">
        <is>
          <t xml:space="preserve">Random 6</t>
        </is>
      </c>
      <c r="C477" s="8">
        <f>IF((1=1),SUM(C442),"")</f>
        <v>-139.53</v>
      </c>
      <c r="D477" s="8">
        <f>IF((0=1),SUM(C442:D442),"")</f>
      </c>
      <c r="E477" s="8">
        <f>IF((0=1),SUM(C442:E442),"")</f>
      </c>
      <c r="F477" s="8">
        <f>IF((0=1),SUM(C442:F442),"")</f>
      </c>
      <c r="G477" s="8">
        <f>IF((0=1),SUM(C442:G442),"")</f>
      </c>
      <c r="H477" s="8">
        <f>IF((0=1),SUM(C442:H442),"")</f>
      </c>
      <c r="I477" s="8">
        <f>IF((0=1),SUM(C442:I442),"")</f>
      </c>
      <c r="J477" s="8">
        <f>IF((0=1),SUM(C442:J442),"")</f>
      </c>
      <c r="K477" s="8">
        <f>IF((0=1),SUM(C442:K442),"")</f>
      </c>
      <c r="L477" s="8">
        <f>IF((0=1),SUM(C442:L442),"")</f>
      </c>
      <c r="M477" s="8">
        <f>IF((0=1),SUM(C442:M442),"")</f>
      </c>
      <c r="N477" s="8">
        <f>IF((0=1),SUM(C442:N442),"")</f>
      </c>
      <c r="O477" s="8">
        <f>IF((0=1),SUM(C442:O442),"")</f>
      </c>
      <c r="P477" s="8">
        <f>IF((0=1),SUM(C442:P442),"")</f>
      </c>
      <c r="Q477" s="8">
        <f>IF((0=1),SUM(C442:Q442),"")</f>
      </c>
      <c r="R477" s="8">
        <f>IF((0=1),SUM(C442:R442),"")</f>
      </c>
      <c r="S477" s="8">
        <f>IF((0=1),SUM(C442:S442),"")</f>
      </c>
      <c r="T477" s="8">
        <f>IF((0=1),SUM(C442:T442),"")</f>
      </c>
      <c r="U477" s="8">
        <f>IF((0=1),SUM(C442:U442),"")</f>
      </c>
      <c r="V477" s="8">
        <f>IF((0=1),SUM(C442:V442),"")</f>
      </c>
      <c r="W477" s="8">
        <f>IF((0=1),SUM(C442:W442),"")</f>
      </c>
      <c r="X477" s="8">
        <f>IF((0=1),SUM(C442:X442),"")</f>
      </c>
      <c r="Y477" s="8">
        <f>IF((0=1),SUM(C442:Y442),"")</f>
      </c>
      <c r="Z477" s="8">
        <f>IF((0=1),SUM(C442:Z442),"")</f>
      </c>
      <c r="AA477" s="8">
        <f>IF((0=1),SUM(C442:AA442),"")</f>
      </c>
      <c r="AB477" s="8">
        <f>IF((0=1),SUM(C442:AB442),"")</f>
      </c>
      <c r="AC477" s="8">
        <f>IF((0=1),SUM(C442:AC442),"")</f>
      </c>
      <c r="AD477" s="8">
        <f>IF((0=1),SUM(C442:AD442),"")</f>
      </c>
      <c r="AE477" s="8">
        <f>IF((0=1),SUM(C442:AE442),"")</f>
      </c>
      <c r="AF477" s="8">
        <f>IF((0=1),SUM(C442:AF442),"")</f>
      </c>
      <c r="AG477" s="8">
        <f>IF((0=1),SUM(C442:AG442),"")</f>
      </c>
      <c r="AH477" s="8">
        <f>IF((0=1),SUM(C442:AH442),"")</f>
      </c>
      <c r="AI477" s="8">
        <f>IF((0=1),SUM(C442:AI442),"")</f>
      </c>
      <c r="AJ477" s="8">
        <f>IF((0=1),SUM(C442:AJ442),"")</f>
      </c>
      <c r="AK477" s="8">
        <f>IF((0=1),SUM(C442:AK442),"")</f>
      </c>
      <c r="AL477" s="8">
        <f>IF((0=1),SUM(C442:AL442),"")</f>
      </c>
      <c r="AM477" s="8">
        <f>IF((0=1),SUM(C442:AM442),"")</f>
      </c>
      <c r="AN477" s="8">
        <f>IF((0=1),SUM(C442:AN442),"")</f>
      </c>
      <c r="AO477" s="8">
        <f>IF((0=1),SUM(C442:AO442),"")</f>
      </c>
      <c r="AP477" s="8">
        <f>IF((0=1),SUM(C442:AP442),"")</f>
      </c>
      <c r="AQ477" s="8">
        <f>IF((0=1),SUM(C442:AQ442),"")</f>
      </c>
      <c r="AR477" s="8">
        <f>IF((0=1),SUM(C442:AR442),"")</f>
      </c>
      <c r="AS477" s="8">
        <f>IF((0=1),SUM(C442:AS442),"")</f>
      </c>
      <c r="AT477" s="8">
        <f>IF((0=1),SUM(C442:AT442),"")</f>
      </c>
      <c r="AU477" s="8">
        <f>IF((0=1),SUM(C442:AU442),"")</f>
      </c>
      <c r="AV477" s="8">
        <f>IF((0=1),SUM(C442:AV442),"")</f>
      </c>
      <c r="AW477" s="8">
        <f>IF((0=1),SUM(C442:AW442),"")</f>
      </c>
      <c r="AX477" s="8">
        <f>IF((0=1),SUM(C442:AX442),"")</f>
      </c>
      <c r="AY477" s="8">
        <f>IF((0=1),SUM(C442:AY442),"")</f>
      </c>
      <c r="AZ477" s="8">
        <f>IF((0=1),SUM(C442:AZ442),"")</f>
      </c>
      <c r="BA477" s="8">
        <f>IF((0=1),SUM(C442:BA442),"")</f>
      </c>
      <c r="BB477" s="8">
        <f>IF((0=1),SUM(C442:BB442),"")</f>
      </c>
      <c r="BC477" s="8">
        <f>IF((0=1),SUM(C442:BC442),"")</f>
      </c>
      <c r="BD477" s="8">
        <f>IF((0=1),SUM(C442:BD442),"")</f>
      </c>
      <c r="BE477" s="8">
        <f>IF((0=1),SUM(C442:BE442),"")</f>
      </c>
      <c r="BF477" s="8">
        <f>IF((0=1),SUM(C442:BF442),"")</f>
      </c>
      <c r="BG477" s="8">
        <f>IF((0=1),SUM(C442:BG442),"")</f>
      </c>
      <c r="BH477" s="8">
        <f>IF((0=1),SUM(C442:BH442),"")</f>
      </c>
      <c r="BI477" s="8">
        <f>IF((0=1),SUM(C442:BI442),"")</f>
      </c>
      <c r="BJ477" s="8">
        <f>IF((0=1),SUM(C442:BJ442),"")</f>
      </c>
      <c r="BK477" s="8">
        <f>IF((0=1),SUM(C442:BK442),"")</f>
      </c>
      <c r="BL477" s="8">
        <f>IF((0=1),SUM(C442:BL442),"")</f>
      </c>
      <c r="BM477" s="8">
        <f>IF((0=1),SUM(C442:BM442),"")</f>
      </c>
      <c r="BN477" s="8">
        <f>IF((0=1),SUM(C442:BN442),"")</f>
      </c>
      <c r="BO477" s="8">
        <f>IF((0=1),SUM(C442:BO442),"")</f>
      </c>
      <c r="BP477" s="8">
        <f>IF((0=1),SUM(C442:BP442),"")</f>
      </c>
      <c r="BQ477" s="8">
        <f>IF((0=1),SUM(C442:BQ442),"")</f>
      </c>
      <c r="BR477" s="8">
        <f>IF((0=1),SUM(C442:BR442),"")</f>
      </c>
      <c r="BS477" s="8">
        <f>IF((0=1),SUM(C442:BS442),"")</f>
      </c>
      <c r="BT477" s="8">
        <f>IF((0=1),SUM(C442:BT442),"")</f>
      </c>
      <c r="BU477" s="8">
        <f>IF((0=1),SUM(C442:BU442),"")</f>
      </c>
      <c r="BV477" s="8">
        <f>IF((0=1),SUM(C442:BV442),"")</f>
      </c>
      <c r="BW477" s="8">
        <f>IF((0=1),SUM(C442:BW442),"")</f>
      </c>
      <c r="BX477" s="8">
        <f>IF((0=1),SUM(C442:BX442),"")</f>
      </c>
      <c r="BY477" s="8">
        <f>IF((0=1),SUM(C442:BY442),"")</f>
      </c>
      <c r="BZ477" s="8">
        <f>IF((0=1),SUM(C442:BZ442),"")</f>
      </c>
      <c r="CA477" s="8">
        <f>IF((0=1),SUM(C442:CA442),"")</f>
      </c>
      <c r="CB477" s="8">
        <f>IF((0=1),SUM(C442:CB442),"")</f>
      </c>
      <c r="CC477" s="8">
        <f>IF((0=1),SUM(C442:CC442),"")</f>
      </c>
      <c r="CD477" s="8">
        <f>IF((0=1),SUM(C442:CD442),"")</f>
      </c>
      <c r="CE477" s="8">
        <f>IF((0=1),SUM(C442:CE442),"")</f>
      </c>
      <c r="CF477" s="8">
        <f>IF((0=1),SUM(C442:CF442),"")</f>
      </c>
      <c r="CG477" s="8">
        <f>IF((0=1),SUM(C442:CG442),"")</f>
      </c>
      <c r="CH477" s="8">
        <f>IF((0=1),SUM(C442:CH442),"")</f>
      </c>
      <c r="CI477" s="8">
        <f>IF((0=1),SUM(C442:CI442),"")</f>
      </c>
      <c r="CJ477" s="8">
        <f>IF((0=1),SUM(C442:CJ442),"")</f>
      </c>
      <c r="CK477" s="8">
        <f>IF((0=1),SUM(C442:CK442),"")</f>
      </c>
      <c r="CL477" s="8">
        <f>IF((0=1),SUM(C442:CL442),"")</f>
      </c>
      <c r="CM477" s="8">
        <f>IF((0=1),SUM(C442:CM442),"")</f>
      </c>
      <c r="CN477" s="8">
        <f>IF((0=1),SUM(C442:CN442),"")</f>
      </c>
      <c r="CO477" s="8">
        <f>IF((0=1),SUM(C442:CO442),"")</f>
      </c>
      <c r="CP477" s="8">
        <f>IF((0=1),SUM(C442:CP442),"")</f>
      </c>
      <c r="CQ477" s="8">
        <f>IF((0=1),SUM(C442:CQ442),"")</f>
      </c>
      <c r="CR477" s="8">
        <f>IF((0=1),SUM(C442:CR442),"")</f>
      </c>
      <c r="CS477" s="8">
        <f>IF((0=1),SUM(C442:CS442),"")</f>
      </c>
      <c r="CT477" s="8">
        <f>IF((0=1),SUM(C442:CT442),"")</f>
      </c>
      <c r="CU477" s="8">
        <f>IF((0=1),SUM(C442:CU442),"")</f>
      </c>
      <c r="CV477" s="8">
        <f>IF((0=1),SUM(C442:CV442),"")</f>
      </c>
      <c r="CW477" s="8">
        <f>IF((0=1),SUM(C442:CW442),"")</f>
      </c>
      <c r="CX477" s="8">
        <f>IF((0=1),SUM(C442:CX442),"")</f>
      </c>
    </row>
    <row r="478">
      <c r="A478" s="0" t="inlineStr">
        <is>
          <t xml:space="preserve">Cumulative net P&amp;L, $</t>
        </is>
      </c>
      <c r="B478" s="0" t="inlineStr">
        <is>
          <t xml:space="preserve">Random 7</t>
        </is>
      </c>
      <c r="C478" s="8">
        <f>IF((1=1),SUM(C443),"")</f>
        <v>-98.05</v>
      </c>
      <c r="D478" s="8">
        <f>IF((0=1),SUM(C443:D443),"")</f>
      </c>
      <c r="E478" s="8">
        <f>IF((0=1),SUM(C443:E443),"")</f>
      </c>
      <c r="F478" s="8">
        <f>IF((0=1),SUM(C443:F443),"")</f>
      </c>
      <c r="G478" s="8">
        <f>IF((0=1),SUM(C443:G443),"")</f>
      </c>
      <c r="H478" s="8">
        <f>IF((0=1),SUM(C443:H443),"")</f>
      </c>
      <c r="I478" s="8">
        <f>IF((0=1),SUM(C443:I443),"")</f>
      </c>
      <c r="J478" s="8">
        <f>IF((0=1),SUM(C443:J443),"")</f>
      </c>
      <c r="K478" s="8">
        <f>IF((0=1),SUM(C443:K443),"")</f>
      </c>
      <c r="L478" s="8">
        <f>IF((0=1),SUM(C443:L443),"")</f>
      </c>
      <c r="M478" s="8">
        <f>IF((0=1),SUM(C443:M443),"")</f>
      </c>
      <c r="N478" s="8">
        <f>IF((0=1),SUM(C443:N443),"")</f>
      </c>
      <c r="O478" s="8">
        <f>IF((0=1),SUM(C443:O443),"")</f>
      </c>
      <c r="P478" s="8">
        <f>IF((0=1),SUM(C443:P443),"")</f>
      </c>
      <c r="Q478" s="8">
        <f>IF((0=1),SUM(C443:Q443),"")</f>
      </c>
      <c r="R478" s="8">
        <f>IF((0=1),SUM(C443:R443),"")</f>
      </c>
      <c r="S478" s="8">
        <f>IF((0=1),SUM(C443:S443),"")</f>
      </c>
      <c r="T478" s="8">
        <f>IF((0=1),SUM(C443:T443),"")</f>
      </c>
      <c r="U478" s="8">
        <f>IF((0=1),SUM(C443:U443),"")</f>
      </c>
      <c r="V478" s="8">
        <f>IF((0=1),SUM(C443:V443),"")</f>
      </c>
      <c r="W478" s="8">
        <f>IF((0=1),SUM(C443:W443),"")</f>
      </c>
      <c r="X478" s="8">
        <f>IF((0=1),SUM(C443:X443),"")</f>
      </c>
      <c r="Y478" s="8">
        <f>IF((0=1),SUM(C443:Y443),"")</f>
      </c>
      <c r="Z478" s="8">
        <f>IF((0=1),SUM(C443:Z443),"")</f>
      </c>
      <c r="AA478" s="8">
        <f>IF((0=1),SUM(C443:AA443),"")</f>
      </c>
      <c r="AB478" s="8">
        <f>IF((0=1),SUM(C443:AB443),"")</f>
      </c>
      <c r="AC478" s="8">
        <f>IF((0=1),SUM(C443:AC443),"")</f>
      </c>
      <c r="AD478" s="8">
        <f>IF((0=1),SUM(C443:AD443),"")</f>
      </c>
      <c r="AE478" s="8">
        <f>IF((0=1),SUM(C443:AE443),"")</f>
      </c>
      <c r="AF478" s="8">
        <f>IF((0=1),SUM(C443:AF443),"")</f>
      </c>
      <c r="AG478" s="8">
        <f>IF((0=1),SUM(C443:AG443),"")</f>
      </c>
      <c r="AH478" s="8">
        <f>IF((0=1),SUM(C443:AH443),"")</f>
      </c>
      <c r="AI478" s="8">
        <f>IF((0=1),SUM(C443:AI443),"")</f>
      </c>
      <c r="AJ478" s="8">
        <f>IF((0=1),SUM(C443:AJ443),"")</f>
      </c>
      <c r="AK478" s="8">
        <f>IF((0=1),SUM(C443:AK443),"")</f>
      </c>
      <c r="AL478" s="8">
        <f>IF((0=1),SUM(C443:AL443),"")</f>
      </c>
      <c r="AM478" s="8">
        <f>IF((0=1),SUM(C443:AM443),"")</f>
      </c>
      <c r="AN478" s="8">
        <f>IF((0=1),SUM(C443:AN443),"")</f>
      </c>
      <c r="AO478" s="8">
        <f>IF((0=1),SUM(C443:AO443),"")</f>
      </c>
      <c r="AP478" s="8">
        <f>IF((0=1),SUM(C443:AP443),"")</f>
      </c>
      <c r="AQ478" s="8">
        <f>IF((0=1),SUM(C443:AQ443),"")</f>
      </c>
      <c r="AR478" s="8">
        <f>IF((0=1),SUM(C443:AR443),"")</f>
      </c>
      <c r="AS478" s="8">
        <f>IF((0=1),SUM(C443:AS443),"")</f>
      </c>
      <c r="AT478" s="8">
        <f>IF((0=1),SUM(C443:AT443),"")</f>
      </c>
      <c r="AU478" s="8">
        <f>IF((0=1),SUM(C443:AU443),"")</f>
      </c>
      <c r="AV478" s="8">
        <f>IF((0=1),SUM(C443:AV443),"")</f>
      </c>
      <c r="AW478" s="8">
        <f>IF((0=1),SUM(C443:AW443),"")</f>
      </c>
      <c r="AX478" s="8">
        <f>IF((0=1),SUM(C443:AX443),"")</f>
      </c>
      <c r="AY478" s="8">
        <f>IF((0=1),SUM(C443:AY443),"")</f>
      </c>
      <c r="AZ478" s="8">
        <f>IF((0=1),SUM(C443:AZ443),"")</f>
      </c>
      <c r="BA478" s="8">
        <f>IF((0=1),SUM(C443:BA443),"")</f>
      </c>
      <c r="BB478" s="8">
        <f>IF((0=1),SUM(C443:BB443),"")</f>
      </c>
      <c r="BC478" s="8">
        <f>IF((0=1),SUM(C443:BC443),"")</f>
      </c>
      <c r="BD478" s="8">
        <f>IF((0=1),SUM(C443:BD443),"")</f>
      </c>
      <c r="BE478" s="8">
        <f>IF((0=1),SUM(C443:BE443),"")</f>
      </c>
      <c r="BF478" s="8">
        <f>IF((0=1),SUM(C443:BF443),"")</f>
      </c>
      <c r="BG478" s="8">
        <f>IF((0=1),SUM(C443:BG443),"")</f>
      </c>
      <c r="BH478" s="8">
        <f>IF((0=1),SUM(C443:BH443),"")</f>
      </c>
      <c r="BI478" s="8">
        <f>IF((0=1),SUM(C443:BI443),"")</f>
      </c>
      <c r="BJ478" s="8">
        <f>IF((0=1),SUM(C443:BJ443),"")</f>
      </c>
      <c r="BK478" s="8">
        <f>IF((0=1),SUM(C443:BK443),"")</f>
      </c>
      <c r="BL478" s="8">
        <f>IF((0=1),SUM(C443:BL443),"")</f>
      </c>
      <c r="BM478" s="8">
        <f>IF((0=1),SUM(C443:BM443),"")</f>
      </c>
      <c r="BN478" s="8">
        <f>IF((0=1),SUM(C443:BN443),"")</f>
      </c>
      <c r="BO478" s="8">
        <f>IF((0=1),SUM(C443:BO443),"")</f>
      </c>
      <c r="BP478" s="8">
        <f>IF((0=1),SUM(C443:BP443),"")</f>
      </c>
      <c r="BQ478" s="8">
        <f>IF((0=1),SUM(C443:BQ443),"")</f>
      </c>
      <c r="BR478" s="8">
        <f>IF((0=1),SUM(C443:BR443),"")</f>
      </c>
      <c r="BS478" s="8">
        <f>IF((0=1),SUM(C443:BS443),"")</f>
      </c>
      <c r="BT478" s="8">
        <f>IF((0=1),SUM(C443:BT443),"")</f>
      </c>
      <c r="BU478" s="8">
        <f>IF((0=1),SUM(C443:BU443),"")</f>
      </c>
      <c r="BV478" s="8">
        <f>IF((0=1),SUM(C443:BV443),"")</f>
      </c>
      <c r="BW478" s="8">
        <f>IF((0=1),SUM(C443:BW443),"")</f>
      </c>
      <c r="BX478" s="8">
        <f>IF((0=1),SUM(C443:BX443),"")</f>
      </c>
      <c r="BY478" s="8">
        <f>IF((0=1),SUM(C443:BY443),"")</f>
      </c>
      <c r="BZ478" s="8">
        <f>IF((0=1),SUM(C443:BZ443),"")</f>
      </c>
      <c r="CA478" s="8">
        <f>IF((0=1),SUM(C443:CA443),"")</f>
      </c>
      <c r="CB478" s="8">
        <f>IF((0=1),SUM(C443:CB443),"")</f>
      </c>
      <c r="CC478" s="8">
        <f>IF((0=1),SUM(C443:CC443),"")</f>
      </c>
      <c r="CD478" s="8">
        <f>IF((0=1),SUM(C443:CD443),"")</f>
      </c>
      <c r="CE478" s="8">
        <f>IF((0=1),SUM(C443:CE443),"")</f>
      </c>
      <c r="CF478" s="8">
        <f>IF((0=1),SUM(C443:CF443),"")</f>
      </c>
      <c r="CG478" s="8">
        <f>IF((0=1),SUM(C443:CG443),"")</f>
      </c>
      <c r="CH478" s="8">
        <f>IF((0=1),SUM(C443:CH443),"")</f>
      </c>
      <c r="CI478" s="8">
        <f>IF((0=1),SUM(C443:CI443),"")</f>
      </c>
      <c r="CJ478" s="8">
        <f>IF((0=1),SUM(C443:CJ443),"")</f>
      </c>
      <c r="CK478" s="8">
        <f>IF((0=1),SUM(C443:CK443),"")</f>
      </c>
      <c r="CL478" s="8">
        <f>IF((0=1),SUM(C443:CL443),"")</f>
      </c>
      <c r="CM478" s="8">
        <f>IF((0=1),SUM(C443:CM443),"")</f>
      </c>
      <c r="CN478" s="8">
        <f>IF((0=1),SUM(C443:CN443),"")</f>
      </c>
      <c r="CO478" s="8">
        <f>IF((0=1),SUM(C443:CO443),"")</f>
      </c>
      <c r="CP478" s="8">
        <f>IF((0=1),SUM(C443:CP443),"")</f>
      </c>
      <c r="CQ478" s="8">
        <f>IF((0=1),SUM(C443:CQ443),"")</f>
      </c>
      <c r="CR478" s="8">
        <f>IF((0=1),SUM(C443:CR443),"")</f>
      </c>
      <c r="CS478" s="8">
        <f>IF((0=1),SUM(C443:CS443),"")</f>
      </c>
      <c r="CT478" s="8">
        <f>IF((0=1),SUM(C443:CT443),"")</f>
      </c>
      <c r="CU478" s="8">
        <f>IF((0=1),SUM(C443:CU443),"")</f>
      </c>
      <c r="CV478" s="8">
        <f>IF((0=1),SUM(C443:CV443),"")</f>
      </c>
      <c r="CW478" s="8">
        <f>IF((0=1),SUM(C443:CW443),"")</f>
      </c>
      <c r="CX478" s="8">
        <f>IF((0=1),SUM(C443:CX443),"")</f>
      </c>
    </row>
    <row r="479">
      <c r="A479" s="0" t="inlineStr">
        <is>
          <t xml:space="preserve">Cumulative net P&amp;L, $</t>
        </is>
      </c>
      <c r="B479" s="0" t="inlineStr">
        <is>
          <t xml:space="preserve">Random 8</t>
        </is>
      </c>
      <c r="C479" s="8">
        <f>IF((1=1),SUM(C444),"")</f>
        <v>-45.38</v>
      </c>
      <c r="D479" s="8">
        <f>IF((0=1),SUM(C444:D444),"")</f>
      </c>
      <c r="E479" s="8">
        <f>IF((0=1),SUM(C444:E444),"")</f>
      </c>
      <c r="F479" s="8">
        <f>IF((0=1),SUM(C444:F444),"")</f>
      </c>
      <c r="G479" s="8">
        <f>IF((0=1),SUM(C444:G444),"")</f>
      </c>
      <c r="H479" s="8">
        <f>IF((0=1),SUM(C444:H444),"")</f>
      </c>
      <c r="I479" s="8">
        <f>IF((0=1),SUM(C444:I444),"")</f>
      </c>
      <c r="J479" s="8">
        <f>IF((0=1),SUM(C444:J444),"")</f>
      </c>
      <c r="K479" s="8">
        <f>IF((0=1),SUM(C444:K444),"")</f>
      </c>
      <c r="L479" s="8">
        <f>IF((0=1),SUM(C444:L444),"")</f>
      </c>
      <c r="M479" s="8">
        <f>IF((0=1),SUM(C444:M444),"")</f>
      </c>
      <c r="N479" s="8">
        <f>IF((0=1),SUM(C444:N444),"")</f>
      </c>
      <c r="O479" s="8">
        <f>IF((0=1),SUM(C444:O444),"")</f>
      </c>
      <c r="P479" s="8">
        <f>IF((0=1),SUM(C444:P444),"")</f>
      </c>
      <c r="Q479" s="8">
        <f>IF((0=1),SUM(C444:Q444),"")</f>
      </c>
      <c r="R479" s="8">
        <f>IF((0=1),SUM(C444:R444),"")</f>
      </c>
      <c r="S479" s="8">
        <f>IF((0=1),SUM(C444:S444),"")</f>
      </c>
      <c r="T479" s="8">
        <f>IF((0=1),SUM(C444:T444),"")</f>
      </c>
      <c r="U479" s="8">
        <f>IF((0=1),SUM(C444:U444),"")</f>
      </c>
      <c r="V479" s="8">
        <f>IF((0=1),SUM(C444:V444),"")</f>
      </c>
      <c r="W479" s="8">
        <f>IF((0=1),SUM(C444:W444),"")</f>
      </c>
      <c r="X479" s="8">
        <f>IF((0=1),SUM(C444:X444),"")</f>
      </c>
      <c r="Y479" s="8">
        <f>IF((0=1),SUM(C444:Y444),"")</f>
      </c>
      <c r="Z479" s="8">
        <f>IF((0=1),SUM(C444:Z444),"")</f>
      </c>
      <c r="AA479" s="8">
        <f>IF((0=1),SUM(C444:AA444),"")</f>
      </c>
      <c r="AB479" s="8">
        <f>IF((0=1),SUM(C444:AB444),"")</f>
      </c>
      <c r="AC479" s="8">
        <f>IF((0=1),SUM(C444:AC444),"")</f>
      </c>
      <c r="AD479" s="8">
        <f>IF((0=1),SUM(C444:AD444),"")</f>
      </c>
      <c r="AE479" s="8">
        <f>IF((0=1),SUM(C444:AE444),"")</f>
      </c>
      <c r="AF479" s="8">
        <f>IF((0=1),SUM(C444:AF444),"")</f>
      </c>
      <c r="AG479" s="8">
        <f>IF((0=1),SUM(C444:AG444),"")</f>
      </c>
      <c r="AH479" s="8">
        <f>IF((0=1),SUM(C444:AH444),"")</f>
      </c>
      <c r="AI479" s="8">
        <f>IF((0=1),SUM(C444:AI444),"")</f>
      </c>
      <c r="AJ479" s="8">
        <f>IF((0=1),SUM(C444:AJ444),"")</f>
      </c>
      <c r="AK479" s="8">
        <f>IF((0=1),SUM(C444:AK444),"")</f>
      </c>
      <c r="AL479" s="8">
        <f>IF((0=1),SUM(C444:AL444),"")</f>
      </c>
      <c r="AM479" s="8">
        <f>IF((0=1),SUM(C444:AM444),"")</f>
      </c>
      <c r="AN479" s="8">
        <f>IF((0=1),SUM(C444:AN444),"")</f>
      </c>
      <c r="AO479" s="8">
        <f>IF((0=1),SUM(C444:AO444),"")</f>
      </c>
      <c r="AP479" s="8">
        <f>IF((0=1),SUM(C444:AP444),"")</f>
      </c>
      <c r="AQ479" s="8">
        <f>IF((0=1),SUM(C444:AQ444),"")</f>
      </c>
      <c r="AR479" s="8">
        <f>IF((0=1),SUM(C444:AR444),"")</f>
      </c>
      <c r="AS479" s="8">
        <f>IF((0=1),SUM(C444:AS444),"")</f>
      </c>
      <c r="AT479" s="8">
        <f>IF((0=1),SUM(C444:AT444),"")</f>
      </c>
      <c r="AU479" s="8">
        <f>IF((0=1),SUM(C444:AU444),"")</f>
      </c>
      <c r="AV479" s="8">
        <f>IF((0=1),SUM(C444:AV444),"")</f>
      </c>
      <c r="AW479" s="8">
        <f>IF((0=1),SUM(C444:AW444),"")</f>
      </c>
      <c r="AX479" s="8">
        <f>IF((0=1),SUM(C444:AX444),"")</f>
      </c>
      <c r="AY479" s="8">
        <f>IF((0=1),SUM(C444:AY444),"")</f>
      </c>
      <c r="AZ479" s="8">
        <f>IF((0=1),SUM(C444:AZ444),"")</f>
      </c>
      <c r="BA479" s="8">
        <f>IF((0=1),SUM(C444:BA444),"")</f>
      </c>
      <c r="BB479" s="8">
        <f>IF((0=1),SUM(C444:BB444),"")</f>
      </c>
      <c r="BC479" s="8">
        <f>IF((0=1),SUM(C444:BC444),"")</f>
      </c>
      <c r="BD479" s="8">
        <f>IF((0=1),SUM(C444:BD444),"")</f>
      </c>
      <c r="BE479" s="8">
        <f>IF((0=1),SUM(C444:BE444),"")</f>
      </c>
      <c r="BF479" s="8">
        <f>IF((0=1),SUM(C444:BF444),"")</f>
      </c>
      <c r="BG479" s="8">
        <f>IF((0=1),SUM(C444:BG444),"")</f>
      </c>
      <c r="BH479" s="8">
        <f>IF((0=1),SUM(C444:BH444),"")</f>
      </c>
      <c r="BI479" s="8">
        <f>IF((0=1),SUM(C444:BI444),"")</f>
      </c>
      <c r="BJ479" s="8">
        <f>IF((0=1),SUM(C444:BJ444),"")</f>
      </c>
      <c r="BK479" s="8">
        <f>IF((0=1),SUM(C444:BK444),"")</f>
      </c>
      <c r="BL479" s="8">
        <f>IF((0=1),SUM(C444:BL444),"")</f>
      </c>
      <c r="BM479" s="8">
        <f>IF((0=1),SUM(C444:BM444),"")</f>
      </c>
      <c r="BN479" s="8">
        <f>IF((0=1),SUM(C444:BN444),"")</f>
      </c>
      <c r="BO479" s="8">
        <f>IF((0=1),SUM(C444:BO444),"")</f>
      </c>
      <c r="BP479" s="8">
        <f>IF((0=1),SUM(C444:BP444),"")</f>
      </c>
      <c r="BQ479" s="8">
        <f>IF((0=1),SUM(C444:BQ444),"")</f>
      </c>
      <c r="BR479" s="8">
        <f>IF((0=1),SUM(C444:BR444),"")</f>
      </c>
      <c r="BS479" s="8">
        <f>IF((0=1),SUM(C444:BS444),"")</f>
      </c>
      <c r="BT479" s="8">
        <f>IF((0=1),SUM(C444:BT444),"")</f>
      </c>
      <c r="BU479" s="8">
        <f>IF((0=1),SUM(C444:BU444),"")</f>
      </c>
      <c r="BV479" s="8">
        <f>IF((0=1),SUM(C444:BV444),"")</f>
      </c>
      <c r="BW479" s="8">
        <f>IF((0=1),SUM(C444:BW444),"")</f>
      </c>
      <c r="BX479" s="8">
        <f>IF((0=1),SUM(C444:BX444),"")</f>
      </c>
      <c r="BY479" s="8">
        <f>IF((0=1),SUM(C444:BY444),"")</f>
      </c>
      <c r="BZ479" s="8">
        <f>IF((0=1),SUM(C444:BZ444),"")</f>
      </c>
      <c r="CA479" s="8">
        <f>IF((0=1),SUM(C444:CA444),"")</f>
      </c>
      <c r="CB479" s="8">
        <f>IF((0=1),SUM(C444:CB444),"")</f>
      </c>
      <c r="CC479" s="8">
        <f>IF((0=1),SUM(C444:CC444),"")</f>
      </c>
      <c r="CD479" s="8">
        <f>IF((0=1),SUM(C444:CD444),"")</f>
      </c>
      <c r="CE479" s="8">
        <f>IF((0=1),SUM(C444:CE444),"")</f>
      </c>
      <c r="CF479" s="8">
        <f>IF((0=1),SUM(C444:CF444),"")</f>
      </c>
      <c r="CG479" s="8">
        <f>IF((0=1),SUM(C444:CG444),"")</f>
      </c>
      <c r="CH479" s="8">
        <f>IF((0=1),SUM(C444:CH444),"")</f>
      </c>
      <c r="CI479" s="8">
        <f>IF((0=1),SUM(C444:CI444),"")</f>
      </c>
      <c r="CJ479" s="8">
        <f>IF((0=1),SUM(C444:CJ444),"")</f>
      </c>
      <c r="CK479" s="8">
        <f>IF((0=1),SUM(C444:CK444),"")</f>
      </c>
      <c r="CL479" s="8">
        <f>IF((0=1),SUM(C444:CL444),"")</f>
      </c>
      <c r="CM479" s="8">
        <f>IF((0=1),SUM(C444:CM444),"")</f>
      </c>
      <c r="CN479" s="8">
        <f>IF((0=1),SUM(C444:CN444),"")</f>
      </c>
      <c r="CO479" s="8">
        <f>IF((0=1),SUM(C444:CO444),"")</f>
      </c>
      <c r="CP479" s="8">
        <f>IF((0=1),SUM(C444:CP444),"")</f>
      </c>
      <c r="CQ479" s="8">
        <f>IF((0=1),SUM(C444:CQ444),"")</f>
      </c>
      <c r="CR479" s="8">
        <f>IF((0=1),SUM(C444:CR444),"")</f>
      </c>
      <c r="CS479" s="8">
        <f>IF((0=1),SUM(C444:CS444),"")</f>
      </c>
      <c r="CT479" s="8">
        <f>IF((0=1),SUM(C444:CT444),"")</f>
      </c>
      <c r="CU479" s="8">
        <f>IF((0=1),SUM(C444:CU444),"")</f>
      </c>
      <c r="CV479" s="8">
        <f>IF((0=1),SUM(C444:CV444),"")</f>
      </c>
      <c r="CW479" s="8">
        <f>IF((0=1),SUM(C444:CW444),"")</f>
      </c>
      <c r="CX479" s="8">
        <f>IF((0=1),SUM(C444:CX444),"")</f>
      </c>
    </row>
    <row r="480">
      <c r="A480" s="0" t="inlineStr">
        <is>
          <t xml:space="preserve">Cumulative net P&amp;L, $</t>
        </is>
      </c>
      <c r="B480" s="0" t="inlineStr">
        <is>
          <t xml:space="preserve">Random 9</t>
        </is>
      </c>
      <c r="C480" s="8">
        <f>IF((1=1),SUM(C445),"")</f>
        <v>-109.67999999999999</v>
      </c>
      <c r="D480" s="8">
        <f>IF((0=1),SUM(C445:D445),"")</f>
      </c>
      <c r="E480" s="8">
        <f>IF((0=1),SUM(C445:E445),"")</f>
      </c>
      <c r="F480" s="8">
        <f>IF((0=1),SUM(C445:F445),"")</f>
      </c>
      <c r="G480" s="8">
        <f>IF((0=1),SUM(C445:G445),"")</f>
      </c>
      <c r="H480" s="8">
        <f>IF((0=1),SUM(C445:H445),"")</f>
      </c>
      <c r="I480" s="8">
        <f>IF((0=1),SUM(C445:I445),"")</f>
      </c>
      <c r="J480" s="8">
        <f>IF((0=1),SUM(C445:J445),"")</f>
      </c>
      <c r="K480" s="8">
        <f>IF((0=1),SUM(C445:K445),"")</f>
      </c>
      <c r="L480" s="8">
        <f>IF((0=1),SUM(C445:L445),"")</f>
      </c>
      <c r="M480" s="8">
        <f>IF((0=1),SUM(C445:M445),"")</f>
      </c>
      <c r="N480" s="8">
        <f>IF((0=1),SUM(C445:N445),"")</f>
      </c>
      <c r="O480" s="8">
        <f>IF((0=1),SUM(C445:O445),"")</f>
      </c>
      <c r="P480" s="8">
        <f>IF((0=1),SUM(C445:P445),"")</f>
      </c>
      <c r="Q480" s="8">
        <f>IF((0=1),SUM(C445:Q445),"")</f>
      </c>
      <c r="R480" s="8">
        <f>IF((0=1),SUM(C445:R445),"")</f>
      </c>
      <c r="S480" s="8">
        <f>IF((0=1),SUM(C445:S445),"")</f>
      </c>
      <c r="T480" s="8">
        <f>IF((0=1),SUM(C445:T445),"")</f>
      </c>
      <c r="U480" s="8">
        <f>IF((0=1),SUM(C445:U445),"")</f>
      </c>
      <c r="V480" s="8">
        <f>IF((0=1),SUM(C445:V445),"")</f>
      </c>
      <c r="W480" s="8">
        <f>IF((0=1),SUM(C445:W445),"")</f>
      </c>
      <c r="X480" s="8">
        <f>IF((0=1),SUM(C445:X445),"")</f>
      </c>
      <c r="Y480" s="8">
        <f>IF((0=1),SUM(C445:Y445),"")</f>
      </c>
      <c r="Z480" s="8">
        <f>IF((0=1),SUM(C445:Z445),"")</f>
      </c>
      <c r="AA480" s="8">
        <f>IF((0=1),SUM(C445:AA445),"")</f>
      </c>
      <c r="AB480" s="8">
        <f>IF((0=1),SUM(C445:AB445),"")</f>
      </c>
      <c r="AC480" s="8">
        <f>IF((0=1),SUM(C445:AC445),"")</f>
      </c>
      <c r="AD480" s="8">
        <f>IF((0=1),SUM(C445:AD445),"")</f>
      </c>
      <c r="AE480" s="8">
        <f>IF((0=1),SUM(C445:AE445),"")</f>
      </c>
      <c r="AF480" s="8">
        <f>IF((0=1),SUM(C445:AF445),"")</f>
      </c>
      <c r="AG480" s="8">
        <f>IF((0=1),SUM(C445:AG445),"")</f>
      </c>
      <c r="AH480" s="8">
        <f>IF((0=1),SUM(C445:AH445),"")</f>
      </c>
      <c r="AI480" s="8">
        <f>IF((0=1),SUM(C445:AI445),"")</f>
      </c>
      <c r="AJ480" s="8">
        <f>IF((0=1),SUM(C445:AJ445),"")</f>
      </c>
      <c r="AK480" s="8">
        <f>IF((0=1),SUM(C445:AK445),"")</f>
      </c>
      <c r="AL480" s="8">
        <f>IF((0=1),SUM(C445:AL445),"")</f>
      </c>
      <c r="AM480" s="8">
        <f>IF((0=1),SUM(C445:AM445),"")</f>
      </c>
      <c r="AN480" s="8">
        <f>IF((0=1),SUM(C445:AN445),"")</f>
      </c>
      <c r="AO480" s="8">
        <f>IF((0=1),SUM(C445:AO445),"")</f>
      </c>
      <c r="AP480" s="8">
        <f>IF((0=1),SUM(C445:AP445),"")</f>
      </c>
      <c r="AQ480" s="8">
        <f>IF((0=1),SUM(C445:AQ445),"")</f>
      </c>
      <c r="AR480" s="8">
        <f>IF((0=1),SUM(C445:AR445),"")</f>
      </c>
      <c r="AS480" s="8">
        <f>IF((0=1),SUM(C445:AS445),"")</f>
      </c>
      <c r="AT480" s="8">
        <f>IF((0=1),SUM(C445:AT445),"")</f>
      </c>
      <c r="AU480" s="8">
        <f>IF((0=1),SUM(C445:AU445),"")</f>
      </c>
      <c r="AV480" s="8">
        <f>IF((0=1),SUM(C445:AV445),"")</f>
      </c>
      <c r="AW480" s="8">
        <f>IF((0=1),SUM(C445:AW445),"")</f>
      </c>
      <c r="AX480" s="8">
        <f>IF((0=1),SUM(C445:AX445),"")</f>
      </c>
      <c r="AY480" s="8">
        <f>IF((0=1),SUM(C445:AY445),"")</f>
      </c>
      <c r="AZ480" s="8">
        <f>IF((0=1),SUM(C445:AZ445),"")</f>
      </c>
      <c r="BA480" s="8">
        <f>IF((0=1),SUM(C445:BA445),"")</f>
      </c>
      <c r="BB480" s="8">
        <f>IF((0=1),SUM(C445:BB445),"")</f>
      </c>
      <c r="BC480" s="8">
        <f>IF((0=1),SUM(C445:BC445),"")</f>
      </c>
      <c r="BD480" s="8">
        <f>IF((0=1),SUM(C445:BD445),"")</f>
      </c>
      <c r="BE480" s="8">
        <f>IF((0=1),SUM(C445:BE445),"")</f>
      </c>
      <c r="BF480" s="8">
        <f>IF((0=1),SUM(C445:BF445),"")</f>
      </c>
      <c r="BG480" s="8">
        <f>IF((0=1),SUM(C445:BG445),"")</f>
      </c>
      <c r="BH480" s="8">
        <f>IF((0=1),SUM(C445:BH445),"")</f>
      </c>
      <c r="BI480" s="8">
        <f>IF((0=1),SUM(C445:BI445),"")</f>
      </c>
      <c r="BJ480" s="8">
        <f>IF((0=1),SUM(C445:BJ445),"")</f>
      </c>
      <c r="BK480" s="8">
        <f>IF((0=1),SUM(C445:BK445),"")</f>
      </c>
      <c r="BL480" s="8">
        <f>IF((0=1),SUM(C445:BL445),"")</f>
      </c>
      <c r="BM480" s="8">
        <f>IF((0=1),SUM(C445:BM445),"")</f>
      </c>
      <c r="BN480" s="8">
        <f>IF((0=1),SUM(C445:BN445),"")</f>
      </c>
      <c r="BO480" s="8">
        <f>IF((0=1),SUM(C445:BO445),"")</f>
      </c>
      <c r="BP480" s="8">
        <f>IF((0=1),SUM(C445:BP445),"")</f>
      </c>
      <c r="BQ480" s="8">
        <f>IF((0=1),SUM(C445:BQ445),"")</f>
      </c>
      <c r="BR480" s="8">
        <f>IF((0=1),SUM(C445:BR445),"")</f>
      </c>
      <c r="BS480" s="8">
        <f>IF((0=1),SUM(C445:BS445),"")</f>
      </c>
      <c r="BT480" s="8">
        <f>IF((0=1),SUM(C445:BT445),"")</f>
      </c>
      <c r="BU480" s="8">
        <f>IF((0=1),SUM(C445:BU445),"")</f>
      </c>
      <c r="BV480" s="8">
        <f>IF((0=1),SUM(C445:BV445),"")</f>
      </c>
      <c r="BW480" s="8">
        <f>IF((0=1),SUM(C445:BW445),"")</f>
      </c>
      <c r="BX480" s="8">
        <f>IF((0=1),SUM(C445:BX445),"")</f>
      </c>
      <c r="BY480" s="8">
        <f>IF((0=1),SUM(C445:BY445),"")</f>
      </c>
      <c r="BZ480" s="8">
        <f>IF((0=1),SUM(C445:BZ445),"")</f>
      </c>
      <c r="CA480" s="8">
        <f>IF((0=1),SUM(C445:CA445),"")</f>
      </c>
      <c r="CB480" s="8">
        <f>IF((0=1),SUM(C445:CB445),"")</f>
      </c>
      <c r="CC480" s="8">
        <f>IF((0=1),SUM(C445:CC445),"")</f>
      </c>
      <c r="CD480" s="8">
        <f>IF((0=1),SUM(C445:CD445),"")</f>
      </c>
      <c r="CE480" s="8">
        <f>IF((0=1),SUM(C445:CE445),"")</f>
      </c>
      <c r="CF480" s="8">
        <f>IF((0=1),SUM(C445:CF445),"")</f>
      </c>
      <c r="CG480" s="8">
        <f>IF((0=1),SUM(C445:CG445),"")</f>
      </c>
      <c r="CH480" s="8">
        <f>IF((0=1),SUM(C445:CH445),"")</f>
      </c>
      <c r="CI480" s="8">
        <f>IF((0=1),SUM(C445:CI445),"")</f>
      </c>
      <c r="CJ480" s="8">
        <f>IF((0=1),SUM(C445:CJ445),"")</f>
      </c>
      <c r="CK480" s="8">
        <f>IF((0=1),SUM(C445:CK445),"")</f>
      </c>
      <c r="CL480" s="8">
        <f>IF((0=1),SUM(C445:CL445),"")</f>
      </c>
      <c r="CM480" s="8">
        <f>IF((0=1),SUM(C445:CM445),"")</f>
      </c>
      <c r="CN480" s="8">
        <f>IF((0=1),SUM(C445:CN445),"")</f>
      </c>
      <c r="CO480" s="8">
        <f>IF((0=1),SUM(C445:CO445),"")</f>
      </c>
      <c r="CP480" s="8">
        <f>IF((0=1),SUM(C445:CP445),"")</f>
      </c>
      <c r="CQ480" s="8">
        <f>IF((0=1),SUM(C445:CQ445),"")</f>
      </c>
      <c r="CR480" s="8">
        <f>IF((0=1),SUM(C445:CR445),"")</f>
      </c>
      <c r="CS480" s="8">
        <f>IF((0=1),SUM(C445:CS445),"")</f>
      </c>
      <c r="CT480" s="8">
        <f>IF((0=1),SUM(C445:CT445),"")</f>
      </c>
      <c r="CU480" s="8">
        <f>IF((0=1),SUM(C445:CU445),"")</f>
      </c>
      <c r="CV480" s="8">
        <f>IF((0=1),SUM(C445:CV445),"")</f>
      </c>
      <c r="CW480" s="8">
        <f>IF((0=1),SUM(C445:CW445),"")</f>
      </c>
      <c r="CX480" s="8">
        <f>IF((0=1),SUM(C445:CX445),"")</f>
      </c>
    </row>
    <row r="481">
      <c r="A481" s="0" t="inlineStr">
        <is>
          <t xml:space="preserve">Cumulative net P&amp;L, $</t>
        </is>
      </c>
      <c r="B481" s="0" t="inlineStr">
        <is>
          <t xml:space="preserve">Random 10</t>
        </is>
      </c>
      <c r="C481" s="8">
        <f>IF((1=1),SUM(C446),"")</f>
        <v>-63.51</v>
      </c>
      <c r="D481" s="8">
        <f>IF((0=1),SUM(C446:D446),"")</f>
      </c>
      <c r="E481" s="8">
        <f>IF((0=1),SUM(C446:E446),"")</f>
      </c>
      <c r="F481" s="8">
        <f>IF((0=1),SUM(C446:F446),"")</f>
      </c>
      <c r="G481" s="8">
        <f>IF((0=1),SUM(C446:G446),"")</f>
      </c>
      <c r="H481" s="8">
        <f>IF((0=1),SUM(C446:H446),"")</f>
      </c>
      <c r="I481" s="8">
        <f>IF((0=1),SUM(C446:I446),"")</f>
      </c>
      <c r="J481" s="8">
        <f>IF((0=1),SUM(C446:J446),"")</f>
      </c>
      <c r="K481" s="8">
        <f>IF((0=1),SUM(C446:K446),"")</f>
      </c>
      <c r="L481" s="8">
        <f>IF((0=1),SUM(C446:L446),"")</f>
      </c>
      <c r="M481" s="8">
        <f>IF((0=1),SUM(C446:M446),"")</f>
      </c>
      <c r="N481" s="8">
        <f>IF((0=1),SUM(C446:N446),"")</f>
      </c>
      <c r="O481" s="8">
        <f>IF((0=1),SUM(C446:O446),"")</f>
      </c>
      <c r="P481" s="8">
        <f>IF((0=1),SUM(C446:P446),"")</f>
      </c>
      <c r="Q481" s="8">
        <f>IF((0=1),SUM(C446:Q446),"")</f>
      </c>
      <c r="R481" s="8">
        <f>IF((0=1),SUM(C446:R446),"")</f>
      </c>
      <c r="S481" s="8">
        <f>IF((0=1),SUM(C446:S446),"")</f>
      </c>
      <c r="T481" s="8">
        <f>IF((0=1),SUM(C446:T446),"")</f>
      </c>
      <c r="U481" s="8">
        <f>IF((0=1),SUM(C446:U446),"")</f>
      </c>
      <c r="V481" s="8">
        <f>IF((0=1),SUM(C446:V446),"")</f>
      </c>
      <c r="W481" s="8">
        <f>IF((0=1),SUM(C446:W446),"")</f>
      </c>
      <c r="X481" s="8">
        <f>IF((0=1),SUM(C446:X446),"")</f>
      </c>
      <c r="Y481" s="8">
        <f>IF((0=1),SUM(C446:Y446),"")</f>
      </c>
      <c r="Z481" s="8">
        <f>IF((0=1),SUM(C446:Z446),"")</f>
      </c>
      <c r="AA481" s="8">
        <f>IF((0=1),SUM(C446:AA446),"")</f>
      </c>
      <c r="AB481" s="8">
        <f>IF((0=1),SUM(C446:AB446),"")</f>
      </c>
      <c r="AC481" s="8">
        <f>IF((0=1),SUM(C446:AC446),"")</f>
      </c>
      <c r="AD481" s="8">
        <f>IF((0=1),SUM(C446:AD446),"")</f>
      </c>
      <c r="AE481" s="8">
        <f>IF((0=1),SUM(C446:AE446),"")</f>
      </c>
      <c r="AF481" s="8">
        <f>IF((0=1),SUM(C446:AF446),"")</f>
      </c>
      <c r="AG481" s="8">
        <f>IF((0=1),SUM(C446:AG446),"")</f>
      </c>
      <c r="AH481" s="8">
        <f>IF((0=1),SUM(C446:AH446),"")</f>
      </c>
      <c r="AI481" s="8">
        <f>IF((0=1),SUM(C446:AI446),"")</f>
      </c>
      <c r="AJ481" s="8">
        <f>IF((0=1),SUM(C446:AJ446),"")</f>
      </c>
      <c r="AK481" s="8">
        <f>IF((0=1),SUM(C446:AK446),"")</f>
      </c>
      <c r="AL481" s="8">
        <f>IF((0=1),SUM(C446:AL446),"")</f>
      </c>
      <c r="AM481" s="8">
        <f>IF((0=1),SUM(C446:AM446),"")</f>
      </c>
      <c r="AN481" s="8">
        <f>IF((0=1),SUM(C446:AN446),"")</f>
      </c>
      <c r="AO481" s="8">
        <f>IF((0=1),SUM(C446:AO446),"")</f>
      </c>
      <c r="AP481" s="8">
        <f>IF((0=1),SUM(C446:AP446),"")</f>
      </c>
      <c r="AQ481" s="8">
        <f>IF((0=1),SUM(C446:AQ446),"")</f>
      </c>
      <c r="AR481" s="8">
        <f>IF((0=1),SUM(C446:AR446),"")</f>
      </c>
      <c r="AS481" s="8">
        <f>IF((0=1),SUM(C446:AS446),"")</f>
      </c>
      <c r="AT481" s="8">
        <f>IF((0=1),SUM(C446:AT446),"")</f>
      </c>
      <c r="AU481" s="8">
        <f>IF((0=1),SUM(C446:AU446),"")</f>
      </c>
      <c r="AV481" s="8">
        <f>IF((0=1),SUM(C446:AV446),"")</f>
      </c>
      <c r="AW481" s="8">
        <f>IF((0=1),SUM(C446:AW446),"")</f>
      </c>
      <c r="AX481" s="8">
        <f>IF((0=1),SUM(C446:AX446),"")</f>
      </c>
      <c r="AY481" s="8">
        <f>IF((0=1),SUM(C446:AY446),"")</f>
      </c>
      <c r="AZ481" s="8">
        <f>IF((0=1),SUM(C446:AZ446),"")</f>
      </c>
      <c r="BA481" s="8">
        <f>IF((0=1),SUM(C446:BA446),"")</f>
      </c>
      <c r="BB481" s="8">
        <f>IF((0=1),SUM(C446:BB446),"")</f>
      </c>
      <c r="BC481" s="8">
        <f>IF((0=1),SUM(C446:BC446),"")</f>
      </c>
      <c r="BD481" s="8">
        <f>IF((0=1),SUM(C446:BD446),"")</f>
      </c>
      <c r="BE481" s="8">
        <f>IF((0=1),SUM(C446:BE446),"")</f>
      </c>
      <c r="BF481" s="8">
        <f>IF((0=1),SUM(C446:BF446),"")</f>
      </c>
      <c r="BG481" s="8">
        <f>IF((0=1),SUM(C446:BG446),"")</f>
      </c>
      <c r="BH481" s="8">
        <f>IF((0=1),SUM(C446:BH446),"")</f>
      </c>
      <c r="BI481" s="8">
        <f>IF((0=1),SUM(C446:BI446),"")</f>
      </c>
      <c r="BJ481" s="8">
        <f>IF((0=1),SUM(C446:BJ446),"")</f>
      </c>
      <c r="BK481" s="8">
        <f>IF((0=1),SUM(C446:BK446),"")</f>
      </c>
      <c r="BL481" s="8">
        <f>IF((0=1),SUM(C446:BL446),"")</f>
      </c>
      <c r="BM481" s="8">
        <f>IF((0=1),SUM(C446:BM446),"")</f>
      </c>
      <c r="BN481" s="8">
        <f>IF((0=1),SUM(C446:BN446),"")</f>
      </c>
      <c r="BO481" s="8">
        <f>IF((0=1),SUM(C446:BO446),"")</f>
      </c>
      <c r="BP481" s="8">
        <f>IF((0=1),SUM(C446:BP446),"")</f>
      </c>
      <c r="BQ481" s="8">
        <f>IF((0=1),SUM(C446:BQ446),"")</f>
      </c>
      <c r="BR481" s="8">
        <f>IF((0=1),SUM(C446:BR446),"")</f>
      </c>
      <c r="BS481" s="8">
        <f>IF((0=1),SUM(C446:BS446),"")</f>
      </c>
      <c r="BT481" s="8">
        <f>IF((0=1),SUM(C446:BT446),"")</f>
      </c>
      <c r="BU481" s="8">
        <f>IF((0=1),SUM(C446:BU446),"")</f>
      </c>
      <c r="BV481" s="8">
        <f>IF((0=1),SUM(C446:BV446),"")</f>
      </c>
      <c r="BW481" s="8">
        <f>IF((0=1),SUM(C446:BW446),"")</f>
      </c>
      <c r="BX481" s="8">
        <f>IF((0=1),SUM(C446:BX446),"")</f>
      </c>
      <c r="BY481" s="8">
        <f>IF((0=1),SUM(C446:BY446),"")</f>
      </c>
      <c r="BZ481" s="8">
        <f>IF((0=1),SUM(C446:BZ446),"")</f>
      </c>
      <c r="CA481" s="8">
        <f>IF((0=1),SUM(C446:CA446),"")</f>
      </c>
      <c r="CB481" s="8">
        <f>IF((0=1),SUM(C446:CB446),"")</f>
      </c>
      <c r="CC481" s="8">
        <f>IF((0=1),SUM(C446:CC446),"")</f>
      </c>
      <c r="CD481" s="8">
        <f>IF((0=1),SUM(C446:CD446),"")</f>
      </c>
      <c r="CE481" s="8">
        <f>IF((0=1),SUM(C446:CE446),"")</f>
      </c>
      <c r="CF481" s="8">
        <f>IF((0=1),SUM(C446:CF446),"")</f>
      </c>
      <c r="CG481" s="8">
        <f>IF((0=1),SUM(C446:CG446),"")</f>
      </c>
      <c r="CH481" s="8">
        <f>IF((0=1),SUM(C446:CH446),"")</f>
      </c>
      <c r="CI481" s="8">
        <f>IF((0=1),SUM(C446:CI446),"")</f>
      </c>
      <c r="CJ481" s="8">
        <f>IF((0=1),SUM(C446:CJ446),"")</f>
      </c>
      <c r="CK481" s="8">
        <f>IF((0=1),SUM(C446:CK446),"")</f>
      </c>
      <c r="CL481" s="8">
        <f>IF((0=1),SUM(C446:CL446),"")</f>
      </c>
      <c r="CM481" s="8">
        <f>IF((0=1),SUM(C446:CM446),"")</f>
      </c>
      <c r="CN481" s="8">
        <f>IF((0=1),SUM(C446:CN446),"")</f>
      </c>
      <c r="CO481" s="8">
        <f>IF((0=1),SUM(C446:CO446),"")</f>
      </c>
      <c r="CP481" s="8">
        <f>IF((0=1),SUM(C446:CP446),"")</f>
      </c>
      <c r="CQ481" s="8">
        <f>IF((0=1),SUM(C446:CQ446),"")</f>
      </c>
      <c r="CR481" s="8">
        <f>IF((0=1),SUM(C446:CR446),"")</f>
      </c>
      <c r="CS481" s="8">
        <f>IF((0=1),SUM(C446:CS446),"")</f>
      </c>
      <c r="CT481" s="8">
        <f>IF((0=1),SUM(C446:CT446),"")</f>
      </c>
      <c r="CU481" s="8">
        <f>IF((0=1),SUM(C446:CU446),"")</f>
      </c>
      <c r="CV481" s="8">
        <f>IF((0=1),SUM(C446:CV446),"")</f>
      </c>
      <c r="CW481" s="8">
        <f>IF((0=1),SUM(C446:CW446),"")</f>
      </c>
      <c r="CX481" s="8">
        <f>IF((0=1),SUM(C446:CX446),"")</f>
      </c>
    </row>
    <row r="482">
      <c r="A482" s="0" t="inlineStr">
        <is>
          <t xml:space="preserve">Cumulative net P&amp;L, $</t>
        </is>
      </c>
      <c r="B482" s="0" t="inlineStr">
        <is>
          <t xml:space="preserve">Random 11</t>
        </is>
      </c>
      <c r="C482" s="8">
        <f>IF((1=1),SUM(C447),"")</f>
        <v>15.009999999999993</v>
      </c>
      <c r="D482" s="8">
        <f>IF((0=1),SUM(C447:D447),"")</f>
      </c>
      <c r="E482" s="8">
        <f>IF((0=1),SUM(C447:E447),"")</f>
      </c>
      <c r="F482" s="8">
        <f>IF((0=1),SUM(C447:F447),"")</f>
      </c>
      <c r="G482" s="8">
        <f>IF((0=1),SUM(C447:G447),"")</f>
      </c>
      <c r="H482" s="8">
        <f>IF((0=1),SUM(C447:H447),"")</f>
      </c>
      <c r="I482" s="8">
        <f>IF((0=1),SUM(C447:I447),"")</f>
      </c>
      <c r="J482" s="8">
        <f>IF((0=1),SUM(C447:J447),"")</f>
      </c>
      <c r="K482" s="8">
        <f>IF((0=1),SUM(C447:K447),"")</f>
      </c>
      <c r="L482" s="8">
        <f>IF((0=1),SUM(C447:L447),"")</f>
      </c>
      <c r="M482" s="8">
        <f>IF((0=1),SUM(C447:M447),"")</f>
      </c>
      <c r="N482" s="8">
        <f>IF((0=1),SUM(C447:N447),"")</f>
      </c>
      <c r="O482" s="8">
        <f>IF((0=1),SUM(C447:O447),"")</f>
      </c>
      <c r="P482" s="8">
        <f>IF((0=1),SUM(C447:P447),"")</f>
      </c>
      <c r="Q482" s="8">
        <f>IF((0=1),SUM(C447:Q447),"")</f>
      </c>
      <c r="R482" s="8">
        <f>IF((0=1),SUM(C447:R447),"")</f>
      </c>
      <c r="S482" s="8">
        <f>IF((0=1),SUM(C447:S447),"")</f>
      </c>
      <c r="T482" s="8">
        <f>IF((0=1),SUM(C447:T447),"")</f>
      </c>
      <c r="U482" s="8">
        <f>IF((0=1),SUM(C447:U447),"")</f>
      </c>
      <c r="V482" s="8">
        <f>IF((0=1),SUM(C447:V447),"")</f>
      </c>
      <c r="W482" s="8">
        <f>IF((0=1),SUM(C447:W447),"")</f>
      </c>
      <c r="X482" s="8">
        <f>IF((0=1),SUM(C447:X447),"")</f>
      </c>
      <c r="Y482" s="8">
        <f>IF((0=1),SUM(C447:Y447),"")</f>
      </c>
      <c r="Z482" s="8">
        <f>IF((0=1),SUM(C447:Z447),"")</f>
      </c>
      <c r="AA482" s="8">
        <f>IF((0=1),SUM(C447:AA447),"")</f>
      </c>
      <c r="AB482" s="8">
        <f>IF((0=1),SUM(C447:AB447),"")</f>
      </c>
      <c r="AC482" s="8">
        <f>IF((0=1),SUM(C447:AC447),"")</f>
      </c>
      <c r="AD482" s="8">
        <f>IF((0=1),SUM(C447:AD447),"")</f>
      </c>
      <c r="AE482" s="8">
        <f>IF((0=1),SUM(C447:AE447),"")</f>
      </c>
      <c r="AF482" s="8">
        <f>IF((0=1),SUM(C447:AF447),"")</f>
      </c>
      <c r="AG482" s="8">
        <f>IF((0=1),SUM(C447:AG447),"")</f>
      </c>
      <c r="AH482" s="8">
        <f>IF((0=1),SUM(C447:AH447),"")</f>
      </c>
      <c r="AI482" s="8">
        <f>IF((0=1),SUM(C447:AI447),"")</f>
      </c>
      <c r="AJ482" s="8">
        <f>IF((0=1),SUM(C447:AJ447),"")</f>
      </c>
      <c r="AK482" s="8">
        <f>IF((0=1),SUM(C447:AK447),"")</f>
      </c>
      <c r="AL482" s="8">
        <f>IF((0=1),SUM(C447:AL447),"")</f>
      </c>
      <c r="AM482" s="8">
        <f>IF((0=1),SUM(C447:AM447),"")</f>
      </c>
      <c r="AN482" s="8">
        <f>IF((0=1),SUM(C447:AN447),"")</f>
      </c>
      <c r="AO482" s="8">
        <f>IF((0=1),SUM(C447:AO447),"")</f>
      </c>
      <c r="AP482" s="8">
        <f>IF((0=1),SUM(C447:AP447),"")</f>
      </c>
      <c r="AQ482" s="8">
        <f>IF((0=1),SUM(C447:AQ447),"")</f>
      </c>
      <c r="AR482" s="8">
        <f>IF((0=1),SUM(C447:AR447),"")</f>
      </c>
      <c r="AS482" s="8">
        <f>IF((0=1),SUM(C447:AS447),"")</f>
      </c>
      <c r="AT482" s="8">
        <f>IF((0=1),SUM(C447:AT447),"")</f>
      </c>
      <c r="AU482" s="8">
        <f>IF((0=1),SUM(C447:AU447),"")</f>
      </c>
      <c r="AV482" s="8">
        <f>IF((0=1),SUM(C447:AV447),"")</f>
      </c>
      <c r="AW482" s="8">
        <f>IF((0=1),SUM(C447:AW447),"")</f>
      </c>
      <c r="AX482" s="8">
        <f>IF((0=1),SUM(C447:AX447),"")</f>
      </c>
      <c r="AY482" s="8">
        <f>IF((0=1),SUM(C447:AY447),"")</f>
      </c>
      <c r="AZ482" s="8">
        <f>IF((0=1),SUM(C447:AZ447),"")</f>
      </c>
      <c r="BA482" s="8">
        <f>IF((0=1),SUM(C447:BA447),"")</f>
      </c>
      <c r="BB482" s="8">
        <f>IF((0=1),SUM(C447:BB447),"")</f>
      </c>
      <c r="BC482" s="8">
        <f>IF((0=1),SUM(C447:BC447),"")</f>
      </c>
      <c r="BD482" s="8">
        <f>IF((0=1),SUM(C447:BD447),"")</f>
      </c>
      <c r="BE482" s="8">
        <f>IF((0=1),SUM(C447:BE447),"")</f>
      </c>
      <c r="BF482" s="8">
        <f>IF((0=1),SUM(C447:BF447),"")</f>
      </c>
      <c r="BG482" s="8">
        <f>IF((0=1),SUM(C447:BG447),"")</f>
      </c>
      <c r="BH482" s="8">
        <f>IF((0=1),SUM(C447:BH447),"")</f>
      </c>
      <c r="BI482" s="8">
        <f>IF((0=1),SUM(C447:BI447),"")</f>
      </c>
      <c r="BJ482" s="8">
        <f>IF((0=1),SUM(C447:BJ447),"")</f>
      </c>
      <c r="BK482" s="8">
        <f>IF((0=1),SUM(C447:BK447),"")</f>
      </c>
      <c r="BL482" s="8">
        <f>IF((0=1),SUM(C447:BL447),"")</f>
      </c>
      <c r="BM482" s="8">
        <f>IF((0=1),SUM(C447:BM447),"")</f>
      </c>
      <c r="BN482" s="8">
        <f>IF((0=1),SUM(C447:BN447),"")</f>
      </c>
      <c r="BO482" s="8">
        <f>IF((0=1),SUM(C447:BO447),"")</f>
      </c>
      <c r="BP482" s="8">
        <f>IF((0=1),SUM(C447:BP447),"")</f>
      </c>
      <c r="BQ482" s="8">
        <f>IF((0=1),SUM(C447:BQ447),"")</f>
      </c>
      <c r="BR482" s="8">
        <f>IF((0=1),SUM(C447:BR447),"")</f>
      </c>
      <c r="BS482" s="8">
        <f>IF((0=1),SUM(C447:BS447),"")</f>
      </c>
      <c r="BT482" s="8">
        <f>IF((0=1),SUM(C447:BT447),"")</f>
      </c>
      <c r="BU482" s="8">
        <f>IF((0=1),SUM(C447:BU447),"")</f>
      </c>
      <c r="BV482" s="8">
        <f>IF((0=1),SUM(C447:BV447),"")</f>
      </c>
      <c r="BW482" s="8">
        <f>IF((0=1),SUM(C447:BW447),"")</f>
      </c>
      <c r="BX482" s="8">
        <f>IF((0=1),SUM(C447:BX447),"")</f>
      </c>
      <c r="BY482" s="8">
        <f>IF((0=1),SUM(C447:BY447),"")</f>
      </c>
      <c r="BZ482" s="8">
        <f>IF((0=1),SUM(C447:BZ447),"")</f>
      </c>
      <c r="CA482" s="8">
        <f>IF((0=1),SUM(C447:CA447),"")</f>
      </c>
      <c r="CB482" s="8">
        <f>IF((0=1),SUM(C447:CB447),"")</f>
      </c>
      <c r="CC482" s="8">
        <f>IF((0=1),SUM(C447:CC447),"")</f>
      </c>
      <c r="CD482" s="8">
        <f>IF((0=1),SUM(C447:CD447),"")</f>
      </c>
      <c r="CE482" s="8">
        <f>IF((0=1),SUM(C447:CE447),"")</f>
      </c>
      <c r="CF482" s="8">
        <f>IF((0=1),SUM(C447:CF447),"")</f>
      </c>
      <c r="CG482" s="8">
        <f>IF((0=1),SUM(C447:CG447),"")</f>
      </c>
      <c r="CH482" s="8">
        <f>IF((0=1),SUM(C447:CH447),"")</f>
      </c>
      <c r="CI482" s="8">
        <f>IF((0=1),SUM(C447:CI447),"")</f>
      </c>
      <c r="CJ482" s="8">
        <f>IF((0=1),SUM(C447:CJ447),"")</f>
      </c>
      <c r="CK482" s="8">
        <f>IF((0=1),SUM(C447:CK447),"")</f>
      </c>
      <c r="CL482" s="8">
        <f>IF((0=1),SUM(C447:CL447),"")</f>
      </c>
      <c r="CM482" s="8">
        <f>IF((0=1),SUM(C447:CM447),"")</f>
      </c>
      <c r="CN482" s="8">
        <f>IF((0=1),SUM(C447:CN447),"")</f>
      </c>
      <c r="CO482" s="8">
        <f>IF((0=1),SUM(C447:CO447),"")</f>
      </c>
      <c r="CP482" s="8">
        <f>IF((0=1),SUM(C447:CP447),"")</f>
      </c>
      <c r="CQ482" s="8">
        <f>IF((0=1),SUM(C447:CQ447),"")</f>
      </c>
      <c r="CR482" s="8">
        <f>IF((0=1),SUM(C447:CR447),"")</f>
      </c>
      <c r="CS482" s="8">
        <f>IF((0=1),SUM(C447:CS447),"")</f>
      </c>
      <c r="CT482" s="8">
        <f>IF((0=1),SUM(C447:CT447),"")</f>
      </c>
      <c r="CU482" s="8">
        <f>IF((0=1),SUM(C447:CU447),"")</f>
      </c>
      <c r="CV482" s="8">
        <f>IF((0=1),SUM(C447:CV447),"")</f>
      </c>
      <c r="CW482" s="8">
        <f>IF((0=1),SUM(C447:CW447),"")</f>
      </c>
      <c r="CX482" s="8">
        <f>IF((0=1),SUM(C447:CX447),"")</f>
      </c>
    </row>
    <row r="483">
      <c r="A483" s="0" t="inlineStr">
        <is>
          <t xml:space="preserve">Cumulative net P&amp;L, $</t>
        </is>
      </c>
      <c r="B483" s="0" t="inlineStr">
        <is>
          <t xml:space="preserve">Random 12</t>
        </is>
      </c>
      <c r="C483" s="8">
        <f>IF((1=1),SUM(C448),"")</f>
        <v>-92.63</v>
      </c>
      <c r="D483" s="8">
        <f>IF((0=1),SUM(C448:D448),"")</f>
      </c>
      <c r="E483" s="8">
        <f>IF((0=1),SUM(C448:E448),"")</f>
      </c>
      <c r="F483" s="8">
        <f>IF((0=1),SUM(C448:F448),"")</f>
      </c>
      <c r="G483" s="8">
        <f>IF((0=1),SUM(C448:G448),"")</f>
      </c>
      <c r="H483" s="8">
        <f>IF((0=1),SUM(C448:H448),"")</f>
      </c>
      <c r="I483" s="8">
        <f>IF((0=1),SUM(C448:I448),"")</f>
      </c>
      <c r="J483" s="8">
        <f>IF((0=1),SUM(C448:J448),"")</f>
      </c>
      <c r="K483" s="8">
        <f>IF((0=1),SUM(C448:K448),"")</f>
      </c>
      <c r="L483" s="8">
        <f>IF((0=1),SUM(C448:L448),"")</f>
      </c>
      <c r="M483" s="8">
        <f>IF((0=1),SUM(C448:M448),"")</f>
      </c>
      <c r="N483" s="8">
        <f>IF((0=1),SUM(C448:N448),"")</f>
      </c>
      <c r="O483" s="8">
        <f>IF((0=1),SUM(C448:O448),"")</f>
      </c>
      <c r="P483" s="8">
        <f>IF((0=1),SUM(C448:P448),"")</f>
      </c>
      <c r="Q483" s="8">
        <f>IF((0=1),SUM(C448:Q448),"")</f>
      </c>
      <c r="R483" s="8">
        <f>IF((0=1),SUM(C448:R448),"")</f>
      </c>
      <c r="S483" s="8">
        <f>IF((0=1),SUM(C448:S448),"")</f>
      </c>
      <c r="T483" s="8">
        <f>IF((0=1),SUM(C448:T448),"")</f>
      </c>
      <c r="U483" s="8">
        <f>IF((0=1),SUM(C448:U448),"")</f>
      </c>
      <c r="V483" s="8">
        <f>IF((0=1),SUM(C448:V448),"")</f>
      </c>
      <c r="W483" s="8">
        <f>IF((0=1),SUM(C448:W448),"")</f>
      </c>
      <c r="X483" s="8">
        <f>IF((0=1),SUM(C448:X448),"")</f>
      </c>
      <c r="Y483" s="8">
        <f>IF((0=1),SUM(C448:Y448),"")</f>
      </c>
      <c r="Z483" s="8">
        <f>IF((0=1),SUM(C448:Z448),"")</f>
      </c>
      <c r="AA483" s="8">
        <f>IF((0=1),SUM(C448:AA448),"")</f>
      </c>
      <c r="AB483" s="8">
        <f>IF((0=1),SUM(C448:AB448),"")</f>
      </c>
      <c r="AC483" s="8">
        <f>IF((0=1),SUM(C448:AC448),"")</f>
      </c>
      <c r="AD483" s="8">
        <f>IF((0=1),SUM(C448:AD448),"")</f>
      </c>
      <c r="AE483" s="8">
        <f>IF((0=1),SUM(C448:AE448),"")</f>
      </c>
      <c r="AF483" s="8">
        <f>IF((0=1),SUM(C448:AF448),"")</f>
      </c>
      <c r="AG483" s="8">
        <f>IF((0=1),SUM(C448:AG448),"")</f>
      </c>
      <c r="AH483" s="8">
        <f>IF((0=1),SUM(C448:AH448),"")</f>
      </c>
      <c r="AI483" s="8">
        <f>IF((0=1),SUM(C448:AI448),"")</f>
      </c>
      <c r="AJ483" s="8">
        <f>IF((0=1),SUM(C448:AJ448),"")</f>
      </c>
      <c r="AK483" s="8">
        <f>IF((0=1),SUM(C448:AK448),"")</f>
      </c>
      <c r="AL483" s="8">
        <f>IF((0=1),SUM(C448:AL448),"")</f>
      </c>
      <c r="AM483" s="8">
        <f>IF((0=1),SUM(C448:AM448),"")</f>
      </c>
      <c r="AN483" s="8">
        <f>IF((0=1),SUM(C448:AN448),"")</f>
      </c>
      <c r="AO483" s="8">
        <f>IF((0=1),SUM(C448:AO448),"")</f>
      </c>
      <c r="AP483" s="8">
        <f>IF((0=1),SUM(C448:AP448),"")</f>
      </c>
      <c r="AQ483" s="8">
        <f>IF((0=1),SUM(C448:AQ448),"")</f>
      </c>
      <c r="AR483" s="8">
        <f>IF((0=1),SUM(C448:AR448),"")</f>
      </c>
      <c r="AS483" s="8">
        <f>IF((0=1),SUM(C448:AS448),"")</f>
      </c>
      <c r="AT483" s="8">
        <f>IF((0=1),SUM(C448:AT448),"")</f>
      </c>
      <c r="AU483" s="8">
        <f>IF((0=1),SUM(C448:AU448),"")</f>
      </c>
      <c r="AV483" s="8">
        <f>IF((0=1),SUM(C448:AV448),"")</f>
      </c>
      <c r="AW483" s="8">
        <f>IF((0=1),SUM(C448:AW448),"")</f>
      </c>
      <c r="AX483" s="8">
        <f>IF((0=1),SUM(C448:AX448),"")</f>
      </c>
      <c r="AY483" s="8">
        <f>IF((0=1),SUM(C448:AY448),"")</f>
      </c>
      <c r="AZ483" s="8">
        <f>IF((0=1),SUM(C448:AZ448),"")</f>
      </c>
      <c r="BA483" s="8">
        <f>IF((0=1),SUM(C448:BA448),"")</f>
      </c>
      <c r="BB483" s="8">
        <f>IF((0=1),SUM(C448:BB448),"")</f>
      </c>
      <c r="BC483" s="8">
        <f>IF((0=1),SUM(C448:BC448),"")</f>
      </c>
      <c r="BD483" s="8">
        <f>IF((0=1),SUM(C448:BD448),"")</f>
      </c>
      <c r="BE483" s="8">
        <f>IF((0=1),SUM(C448:BE448),"")</f>
      </c>
      <c r="BF483" s="8">
        <f>IF((0=1),SUM(C448:BF448),"")</f>
      </c>
      <c r="BG483" s="8">
        <f>IF((0=1),SUM(C448:BG448),"")</f>
      </c>
      <c r="BH483" s="8">
        <f>IF((0=1),SUM(C448:BH448),"")</f>
      </c>
      <c r="BI483" s="8">
        <f>IF((0=1),SUM(C448:BI448),"")</f>
      </c>
      <c r="BJ483" s="8">
        <f>IF((0=1),SUM(C448:BJ448),"")</f>
      </c>
      <c r="BK483" s="8">
        <f>IF((0=1),SUM(C448:BK448),"")</f>
      </c>
      <c r="BL483" s="8">
        <f>IF((0=1),SUM(C448:BL448),"")</f>
      </c>
      <c r="BM483" s="8">
        <f>IF((0=1),SUM(C448:BM448),"")</f>
      </c>
      <c r="BN483" s="8">
        <f>IF((0=1),SUM(C448:BN448),"")</f>
      </c>
      <c r="BO483" s="8">
        <f>IF((0=1),SUM(C448:BO448),"")</f>
      </c>
      <c r="BP483" s="8">
        <f>IF((0=1),SUM(C448:BP448),"")</f>
      </c>
      <c r="BQ483" s="8">
        <f>IF((0=1),SUM(C448:BQ448),"")</f>
      </c>
      <c r="BR483" s="8">
        <f>IF((0=1),SUM(C448:BR448),"")</f>
      </c>
      <c r="BS483" s="8">
        <f>IF((0=1),SUM(C448:BS448),"")</f>
      </c>
      <c r="BT483" s="8">
        <f>IF((0=1),SUM(C448:BT448),"")</f>
      </c>
      <c r="BU483" s="8">
        <f>IF((0=1),SUM(C448:BU448),"")</f>
      </c>
      <c r="BV483" s="8">
        <f>IF((0=1),SUM(C448:BV448),"")</f>
      </c>
      <c r="BW483" s="8">
        <f>IF((0=1),SUM(C448:BW448),"")</f>
      </c>
      <c r="BX483" s="8">
        <f>IF((0=1),SUM(C448:BX448),"")</f>
      </c>
      <c r="BY483" s="8">
        <f>IF((0=1),SUM(C448:BY448),"")</f>
      </c>
      <c r="BZ483" s="8">
        <f>IF((0=1),SUM(C448:BZ448),"")</f>
      </c>
      <c r="CA483" s="8">
        <f>IF((0=1),SUM(C448:CA448),"")</f>
      </c>
      <c r="CB483" s="8">
        <f>IF((0=1),SUM(C448:CB448),"")</f>
      </c>
      <c r="CC483" s="8">
        <f>IF((0=1),SUM(C448:CC448),"")</f>
      </c>
      <c r="CD483" s="8">
        <f>IF((0=1),SUM(C448:CD448),"")</f>
      </c>
      <c r="CE483" s="8">
        <f>IF((0=1),SUM(C448:CE448),"")</f>
      </c>
      <c r="CF483" s="8">
        <f>IF((0=1),SUM(C448:CF448),"")</f>
      </c>
      <c r="CG483" s="8">
        <f>IF((0=1),SUM(C448:CG448),"")</f>
      </c>
      <c r="CH483" s="8">
        <f>IF((0=1),SUM(C448:CH448),"")</f>
      </c>
      <c r="CI483" s="8">
        <f>IF((0=1),SUM(C448:CI448),"")</f>
      </c>
      <c r="CJ483" s="8">
        <f>IF((0=1),SUM(C448:CJ448),"")</f>
      </c>
      <c r="CK483" s="8">
        <f>IF((0=1),SUM(C448:CK448),"")</f>
      </c>
      <c r="CL483" s="8">
        <f>IF((0=1),SUM(C448:CL448),"")</f>
      </c>
      <c r="CM483" s="8">
        <f>IF((0=1),SUM(C448:CM448),"")</f>
      </c>
      <c r="CN483" s="8">
        <f>IF((0=1),SUM(C448:CN448),"")</f>
      </c>
      <c r="CO483" s="8">
        <f>IF((0=1),SUM(C448:CO448),"")</f>
      </c>
      <c r="CP483" s="8">
        <f>IF((0=1),SUM(C448:CP448),"")</f>
      </c>
      <c r="CQ483" s="8">
        <f>IF((0=1),SUM(C448:CQ448),"")</f>
      </c>
      <c r="CR483" s="8">
        <f>IF((0=1),SUM(C448:CR448),"")</f>
      </c>
      <c r="CS483" s="8">
        <f>IF((0=1),SUM(C448:CS448),"")</f>
      </c>
      <c r="CT483" s="8">
        <f>IF((0=1),SUM(C448:CT448),"")</f>
      </c>
      <c r="CU483" s="8">
        <f>IF((0=1),SUM(C448:CU448),"")</f>
      </c>
      <c r="CV483" s="8">
        <f>IF((0=1),SUM(C448:CV448),"")</f>
      </c>
      <c r="CW483" s="8">
        <f>IF((0=1),SUM(C448:CW448),"")</f>
      </c>
      <c r="CX483" s="8">
        <f>IF((0=1),SUM(C448:CX448),"")</f>
      </c>
    </row>
    <row r="484">
      <c r="A484" s="0" t="inlineStr">
        <is>
          <t xml:space="preserve">Cumulative net P&amp;L, $</t>
        </is>
      </c>
      <c r="B484" s="0" t="inlineStr">
        <is>
          <t xml:space="preserve">Random 13</t>
        </is>
      </c>
      <c r="C484" s="8">
        <f>IF((1=1),SUM(C449),"")</f>
        <v>-131.94</v>
      </c>
      <c r="D484" s="8">
        <f>IF((0=1),SUM(C449:D449),"")</f>
      </c>
      <c r="E484" s="8">
        <f>IF((0=1),SUM(C449:E449),"")</f>
      </c>
      <c r="F484" s="8">
        <f>IF((0=1),SUM(C449:F449),"")</f>
      </c>
      <c r="G484" s="8">
        <f>IF((0=1),SUM(C449:G449),"")</f>
      </c>
      <c r="H484" s="8">
        <f>IF((0=1),SUM(C449:H449),"")</f>
      </c>
      <c r="I484" s="8">
        <f>IF((0=1),SUM(C449:I449),"")</f>
      </c>
      <c r="J484" s="8">
        <f>IF((0=1),SUM(C449:J449),"")</f>
      </c>
      <c r="K484" s="8">
        <f>IF((0=1),SUM(C449:K449),"")</f>
      </c>
      <c r="L484" s="8">
        <f>IF((0=1),SUM(C449:L449),"")</f>
      </c>
      <c r="M484" s="8">
        <f>IF((0=1),SUM(C449:M449),"")</f>
      </c>
      <c r="N484" s="8">
        <f>IF((0=1),SUM(C449:N449),"")</f>
      </c>
      <c r="O484" s="8">
        <f>IF((0=1),SUM(C449:O449),"")</f>
      </c>
      <c r="P484" s="8">
        <f>IF((0=1),SUM(C449:P449),"")</f>
      </c>
      <c r="Q484" s="8">
        <f>IF((0=1),SUM(C449:Q449),"")</f>
      </c>
      <c r="R484" s="8">
        <f>IF((0=1),SUM(C449:R449),"")</f>
      </c>
      <c r="S484" s="8">
        <f>IF((0=1),SUM(C449:S449),"")</f>
      </c>
      <c r="T484" s="8">
        <f>IF((0=1),SUM(C449:T449),"")</f>
      </c>
      <c r="U484" s="8">
        <f>IF((0=1),SUM(C449:U449),"")</f>
      </c>
      <c r="V484" s="8">
        <f>IF((0=1),SUM(C449:V449),"")</f>
      </c>
      <c r="W484" s="8">
        <f>IF((0=1),SUM(C449:W449),"")</f>
      </c>
      <c r="X484" s="8">
        <f>IF((0=1),SUM(C449:X449),"")</f>
      </c>
      <c r="Y484" s="8">
        <f>IF((0=1),SUM(C449:Y449),"")</f>
      </c>
      <c r="Z484" s="8">
        <f>IF((0=1),SUM(C449:Z449),"")</f>
      </c>
      <c r="AA484" s="8">
        <f>IF((0=1),SUM(C449:AA449),"")</f>
      </c>
      <c r="AB484" s="8">
        <f>IF((0=1),SUM(C449:AB449),"")</f>
      </c>
      <c r="AC484" s="8">
        <f>IF((0=1),SUM(C449:AC449),"")</f>
      </c>
      <c r="AD484" s="8">
        <f>IF((0=1),SUM(C449:AD449),"")</f>
      </c>
      <c r="AE484" s="8">
        <f>IF((0=1),SUM(C449:AE449),"")</f>
      </c>
      <c r="AF484" s="8">
        <f>IF((0=1),SUM(C449:AF449),"")</f>
      </c>
      <c r="AG484" s="8">
        <f>IF((0=1),SUM(C449:AG449),"")</f>
      </c>
      <c r="AH484" s="8">
        <f>IF((0=1),SUM(C449:AH449),"")</f>
      </c>
      <c r="AI484" s="8">
        <f>IF((0=1),SUM(C449:AI449),"")</f>
      </c>
      <c r="AJ484" s="8">
        <f>IF((0=1),SUM(C449:AJ449),"")</f>
      </c>
      <c r="AK484" s="8">
        <f>IF((0=1),SUM(C449:AK449),"")</f>
      </c>
      <c r="AL484" s="8">
        <f>IF((0=1),SUM(C449:AL449),"")</f>
      </c>
      <c r="AM484" s="8">
        <f>IF((0=1),SUM(C449:AM449),"")</f>
      </c>
      <c r="AN484" s="8">
        <f>IF((0=1),SUM(C449:AN449),"")</f>
      </c>
      <c r="AO484" s="8">
        <f>IF((0=1),SUM(C449:AO449),"")</f>
      </c>
      <c r="AP484" s="8">
        <f>IF((0=1),SUM(C449:AP449),"")</f>
      </c>
      <c r="AQ484" s="8">
        <f>IF((0=1),SUM(C449:AQ449),"")</f>
      </c>
      <c r="AR484" s="8">
        <f>IF((0=1),SUM(C449:AR449),"")</f>
      </c>
      <c r="AS484" s="8">
        <f>IF((0=1),SUM(C449:AS449),"")</f>
      </c>
      <c r="AT484" s="8">
        <f>IF((0=1),SUM(C449:AT449),"")</f>
      </c>
      <c r="AU484" s="8">
        <f>IF((0=1),SUM(C449:AU449),"")</f>
      </c>
      <c r="AV484" s="8">
        <f>IF((0=1),SUM(C449:AV449),"")</f>
      </c>
      <c r="AW484" s="8">
        <f>IF((0=1),SUM(C449:AW449),"")</f>
      </c>
      <c r="AX484" s="8">
        <f>IF((0=1),SUM(C449:AX449),"")</f>
      </c>
      <c r="AY484" s="8">
        <f>IF((0=1),SUM(C449:AY449),"")</f>
      </c>
      <c r="AZ484" s="8">
        <f>IF((0=1),SUM(C449:AZ449),"")</f>
      </c>
      <c r="BA484" s="8">
        <f>IF((0=1),SUM(C449:BA449),"")</f>
      </c>
      <c r="BB484" s="8">
        <f>IF((0=1),SUM(C449:BB449),"")</f>
      </c>
      <c r="BC484" s="8">
        <f>IF((0=1),SUM(C449:BC449),"")</f>
      </c>
      <c r="BD484" s="8">
        <f>IF((0=1),SUM(C449:BD449),"")</f>
      </c>
      <c r="BE484" s="8">
        <f>IF((0=1),SUM(C449:BE449),"")</f>
      </c>
      <c r="BF484" s="8">
        <f>IF((0=1),SUM(C449:BF449),"")</f>
      </c>
      <c r="BG484" s="8">
        <f>IF((0=1),SUM(C449:BG449),"")</f>
      </c>
      <c r="BH484" s="8">
        <f>IF((0=1),SUM(C449:BH449),"")</f>
      </c>
      <c r="BI484" s="8">
        <f>IF((0=1),SUM(C449:BI449),"")</f>
      </c>
      <c r="BJ484" s="8">
        <f>IF((0=1),SUM(C449:BJ449),"")</f>
      </c>
      <c r="BK484" s="8">
        <f>IF((0=1),SUM(C449:BK449),"")</f>
      </c>
      <c r="BL484" s="8">
        <f>IF((0=1),SUM(C449:BL449),"")</f>
      </c>
      <c r="BM484" s="8">
        <f>IF((0=1),SUM(C449:BM449),"")</f>
      </c>
      <c r="BN484" s="8">
        <f>IF((0=1),SUM(C449:BN449),"")</f>
      </c>
      <c r="BO484" s="8">
        <f>IF((0=1),SUM(C449:BO449),"")</f>
      </c>
      <c r="BP484" s="8">
        <f>IF((0=1),SUM(C449:BP449),"")</f>
      </c>
      <c r="BQ484" s="8">
        <f>IF((0=1),SUM(C449:BQ449),"")</f>
      </c>
      <c r="BR484" s="8">
        <f>IF((0=1),SUM(C449:BR449),"")</f>
      </c>
      <c r="BS484" s="8">
        <f>IF((0=1),SUM(C449:BS449),"")</f>
      </c>
      <c r="BT484" s="8">
        <f>IF((0=1),SUM(C449:BT449),"")</f>
      </c>
      <c r="BU484" s="8">
        <f>IF((0=1),SUM(C449:BU449),"")</f>
      </c>
      <c r="BV484" s="8">
        <f>IF((0=1),SUM(C449:BV449),"")</f>
      </c>
      <c r="BW484" s="8">
        <f>IF((0=1),SUM(C449:BW449),"")</f>
      </c>
      <c r="BX484" s="8">
        <f>IF((0=1),SUM(C449:BX449),"")</f>
      </c>
      <c r="BY484" s="8">
        <f>IF((0=1),SUM(C449:BY449),"")</f>
      </c>
      <c r="BZ484" s="8">
        <f>IF((0=1),SUM(C449:BZ449),"")</f>
      </c>
      <c r="CA484" s="8">
        <f>IF((0=1),SUM(C449:CA449),"")</f>
      </c>
      <c r="CB484" s="8">
        <f>IF((0=1),SUM(C449:CB449),"")</f>
      </c>
      <c r="CC484" s="8">
        <f>IF((0=1),SUM(C449:CC449),"")</f>
      </c>
      <c r="CD484" s="8">
        <f>IF((0=1),SUM(C449:CD449),"")</f>
      </c>
      <c r="CE484" s="8">
        <f>IF((0=1),SUM(C449:CE449),"")</f>
      </c>
      <c r="CF484" s="8">
        <f>IF((0=1),SUM(C449:CF449),"")</f>
      </c>
      <c r="CG484" s="8">
        <f>IF((0=1),SUM(C449:CG449),"")</f>
      </c>
      <c r="CH484" s="8">
        <f>IF((0=1),SUM(C449:CH449),"")</f>
      </c>
      <c r="CI484" s="8">
        <f>IF((0=1),SUM(C449:CI449),"")</f>
      </c>
      <c r="CJ484" s="8">
        <f>IF((0=1),SUM(C449:CJ449),"")</f>
      </c>
      <c r="CK484" s="8">
        <f>IF((0=1),SUM(C449:CK449),"")</f>
      </c>
      <c r="CL484" s="8">
        <f>IF((0=1),SUM(C449:CL449),"")</f>
      </c>
      <c r="CM484" s="8">
        <f>IF((0=1),SUM(C449:CM449),"")</f>
      </c>
      <c r="CN484" s="8">
        <f>IF((0=1),SUM(C449:CN449),"")</f>
      </c>
      <c r="CO484" s="8">
        <f>IF((0=1),SUM(C449:CO449),"")</f>
      </c>
      <c r="CP484" s="8">
        <f>IF((0=1),SUM(C449:CP449),"")</f>
      </c>
      <c r="CQ484" s="8">
        <f>IF((0=1),SUM(C449:CQ449),"")</f>
      </c>
      <c r="CR484" s="8">
        <f>IF((0=1),SUM(C449:CR449),"")</f>
      </c>
      <c r="CS484" s="8">
        <f>IF((0=1),SUM(C449:CS449),"")</f>
      </c>
      <c r="CT484" s="8">
        <f>IF((0=1),SUM(C449:CT449),"")</f>
      </c>
      <c r="CU484" s="8">
        <f>IF((0=1),SUM(C449:CU449),"")</f>
      </c>
      <c r="CV484" s="8">
        <f>IF((0=1),SUM(C449:CV449),"")</f>
      </c>
      <c r="CW484" s="8">
        <f>IF((0=1),SUM(C449:CW449),"")</f>
      </c>
      <c r="CX484" s="8">
        <f>IF((0=1),SUM(C449:CX449),"")</f>
      </c>
    </row>
    <row r="485">
      <c r="A485" s="0" t="inlineStr">
        <is>
          <t xml:space="preserve">Cumulative net P&amp;L, $</t>
        </is>
      </c>
      <c r="B485" s="0" t="inlineStr">
        <is>
          <t xml:space="preserve">Random 14</t>
        </is>
      </c>
      <c r="C485" s="8">
        <f>IF((1=1),SUM(C450),"")</f>
        <v>-52.73</v>
      </c>
      <c r="D485" s="8">
        <f>IF((0=1),SUM(C450:D450),"")</f>
      </c>
      <c r="E485" s="8">
        <f>IF((0=1),SUM(C450:E450),"")</f>
      </c>
      <c r="F485" s="8">
        <f>IF((0=1),SUM(C450:F450),"")</f>
      </c>
      <c r="G485" s="8">
        <f>IF((0=1),SUM(C450:G450),"")</f>
      </c>
      <c r="H485" s="8">
        <f>IF((0=1),SUM(C450:H450),"")</f>
      </c>
      <c r="I485" s="8">
        <f>IF((0=1),SUM(C450:I450),"")</f>
      </c>
      <c r="J485" s="8">
        <f>IF((0=1),SUM(C450:J450),"")</f>
      </c>
      <c r="K485" s="8">
        <f>IF((0=1),SUM(C450:K450),"")</f>
      </c>
      <c r="L485" s="8">
        <f>IF((0=1),SUM(C450:L450),"")</f>
      </c>
      <c r="M485" s="8">
        <f>IF((0=1),SUM(C450:M450),"")</f>
      </c>
      <c r="N485" s="8">
        <f>IF((0=1),SUM(C450:N450),"")</f>
      </c>
      <c r="O485" s="8">
        <f>IF((0=1),SUM(C450:O450),"")</f>
      </c>
      <c r="P485" s="8">
        <f>IF((0=1),SUM(C450:P450),"")</f>
      </c>
      <c r="Q485" s="8">
        <f>IF((0=1),SUM(C450:Q450),"")</f>
      </c>
      <c r="R485" s="8">
        <f>IF((0=1),SUM(C450:R450),"")</f>
      </c>
      <c r="S485" s="8">
        <f>IF((0=1),SUM(C450:S450),"")</f>
      </c>
      <c r="T485" s="8">
        <f>IF((0=1),SUM(C450:T450),"")</f>
      </c>
      <c r="U485" s="8">
        <f>IF((0=1),SUM(C450:U450),"")</f>
      </c>
      <c r="V485" s="8">
        <f>IF((0=1),SUM(C450:V450),"")</f>
      </c>
      <c r="W485" s="8">
        <f>IF((0=1),SUM(C450:W450),"")</f>
      </c>
      <c r="X485" s="8">
        <f>IF((0=1),SUM(C450:X450),"")</f>
      </c>
      <c r="Y485" s="8">
        <f>IF((0=1),SUM(C450:Y450),"")</f>
      </c>
      <c r="Z485" s="8">
        <f>IF((0=1),SUM(C450:Z450),"")</f>
      </c>
      <c r="AA485" s="8">
        <f>IF((0=1),SUM(C450:AA450),"")</f>
      </c>
      <c r="AB485" s="8">
        <f>IF((0=1),SUM(C450:AB450),"")</f>
      </c>
      <c r="AC485" s="8">
        <f>IF((0=1),SUM(C450:AC450),"")</f>
      </c>
      <c r="AD485" s="8">
        <f>IF((0=1),SUM(C450:AD450),"")</f>
      </c>
      <c r="AE485" s="8">
        <f>IF((0=1),SUM(C450:AE450),"")</f>
      </c>
      <c r="AF485" s="8">
        <f>IF((0=1),SUM(C450:AF450),"")</f>
      </c>
      <c r="AG485" s="8">
        <f>IF((0=1),SUM(C450:AG450),"")</f>
      </c>
      <c r="AH485" s="8">
        <f>IF((0=1),SUM(C450:AH450),"")</f>
      </c>
      <c r="AI485" s="8">
        <f>IF((0=1),SUM(C450:AI450),"")</f>
      </c>
      <c r="AJ485" s="8">
        <f>IF((0=1),SUM(C450:AJ450),"")</f>
      </c>
      <c r="AK485" s="8">
        <f>IF((0=1),SUM(C450:AK450),"")</f>
      </c>
      <c r="AL485" s="8">
        <f>IF((0=1),SUM(C450:AL450),"")</f>
      </c>
      <c r="AM485" s="8">
        <f>IF((0=1),SUM(C450:AM450),"")</f>
      </c>
      <c r="AN485" s="8">
        <f>IF((0=1),SUM(C450:AN450),"")</f>
      </c>
      <c r="AO485" s="8">
        <f>IF((0=1),SUM(C450:AO450),"")</f>
      </c>
      <c r="AP485" s="8">
        <f>IF((0=1),SUM(C450:AP450),"")</f>
      </c>
      <c r="AQ485" s="8">
        <f>IF((0=1),SUM(C450:AQ450),"")</f>
      </c>
      <c r="AR485" s="8">
        <f>IF((0=1),SUM(C450:AR450),"")</f>
      </c>
      <c r="AS485" s="8">
        <f>IF((0=1),SUM(C450:AS450),"")</f>
      </c>
      <c r="AT485" s="8">
        <f>IF((0=1),SUM(C450:AT450),"")</f>
      </c>
      <c r="AU485" s="8">
        <f>IF((0=1),SUM(C450:AU450),"")</f>
      </c>
      <c r="AV485" s="8">
        <f>IF((0=1),SUM(C450:AV450),"")</f>
      </c>
      <c r="AW485" s="8">
        <f>IF((0=1),SUM(C450:AW450),"")</f>
      </c>
      <c r="AX485" s="8">
        <f>IF((0=1),SUM(C450:AX450),"")</f>
      </c>
      <c r="AY485" s="8">
        <f>IF((0=1),SUM(C450:AY450),"")</f>
      </c>
      <c r="AZ485" s="8">
        <f>IF((0=1),SUM(C450:AZ450),"")</f>
      </c>
      <c r="BA485" s="8">
        <f>IF((0=1),SUM(C450:BA450),"")</f>
      </c>
      <c r="BB485" s="8">
        <f>IF((0=1),SUM(C450:BB450),"")</f>
      </c>
      <c r="BC485" s="8">
        <f>IF((0=1),SUM(C450:BC450),"")</f>
      </c>
      <c r="BD485" s="8">
        <f>IF((0=1),SUM(C450:BD450),"")</f>
      </c>
      <c r="BE485" s="8">
        <f>IF((0=1),SUM(C450:BE450),"")</f>
      </c>
      <c r="BF485" s="8">
        <f>IF((0=1),SUM(C450:BF450),"")</f>
      </c>
      <c r="BG485" s="8">
        <f>IF((0=1),SUM(C450:BG450),"")</f>
      </c>
      <c r="BH485" s="8">
        <f>IF((0=1),SUM(C450:BH450),"")</f>
      </c>
      <c r="BI485" s="8">
        <f>IF((0=1),SUM(C450:BI450),"")</f>
      </c>
      <c r="BJ485" s="8">
        <f>IF((0=1),SUM(C450:BJ450),"")</f>
      </c>
      <c r="BK485" s="8">
        <f>IF((0=1),SUM(C450:BK450),"")</f>
      </c>
      <c r="BL485" s="8">
        <f>IF((0=1),SUM(C450:BL450),"")</f>
      </c>
      <c r="BM485" s="8">
        <f>IF((0=1),SUM(C450:BM450),"")</f>
      </c>
      <c r="BN485" s="8">
        <f>IF((0=1),SUM(C450:BN450),"")</f>
      </c>
      <c r="BO485" s="8">
        <f>IF((0=1),SUM(C450:BO450),"")</f>
      </c>
      <c r="BP485" s="8">
        <f>IF((0=1),SUM(C450:BP450),"")</f>
      </c>
      <c r="BQ485" s="8">
        <f>IF((0=1),SUM(C450:BQ450),"")</f>
      </c>
      <c r="BR485" s="8">
        <f>IF((0=1),SUM(C450:BR450),"")</f>
      </c>
      <c r="BS485" s="8">
        <f>IF((0=1),SUM(C450:BS450),"")</f>
      </c>
      <c r="BT485" s="8">
        <f>IF((0=1),SUM(C450:BT450),"")</f>
      </c>
      <c r="BU485" s="8">
        <f>IF((0=1),SUM(C450:BU450),"")</f>
      </c>
      <c r="BV485" s="8">
        <f>IF((0=1),SUM(C450:BV450),"")</f>
      </c>
      <c r="BW485" s="8">
        <f>IF((0=1),SUM(C450:BW450),"")</f>
      </c>
      <c r="BX485" s="8">
        <f>IF((0=1),SUM(C450:BX450),"")</f>
      </c>
      <c r="BY485" s="8">
        <f>IF((0=1),SUM(C450:BY450),"")</f>
      </c>
      <c r="BZ485" s="8">
        <f>IF((0=1),SUM(C450:BZ450),"")</f>
      </c>
      <c r="CA485" s="8">
        <f>IF((0=1),SUM(C450:CA450),"")</f>
      </c>
      <c r="CB485" s="8">
        <f>IF((0=1),SUM(C450:CB450),"")</f>
      </c>
      <c r="CC485" s="8">
        <f>IF((0=1),SUM(C450:CC450),"")</f>
      </c>
      <c r="CD485" s="8">
        <f>IF((0=1),SUM(C450:CD450),"")</f>
      </c>
      <c r="CE485" s="8">
        <f>IF((0=1),SUM(C450:CE450),"")</f>
      </c>
      <c r="CF485" s="8">
        <f>IF((0=1),SUM(C450:CF450),"")</f>
      </c>
      <c r="CG485" s="8">
        <f>IF((0=1),SUM(C450:CG450),"")</f>
      </c>
      <c r="CH485" s="8">
        <f>IF((0=1),SUM(C450:CH450),"")</f>
      </c>
      <c r="CI485" s="8">
        <f>IF((0=1),SUM(C450:CI450),"")</f>
      </c>
      <c r="CJ485" s="8">
        <f>IF((0=1),SUM(C450:CJ450),"")</f>
      </c>
      <c r="CK485" s="8">
        <f>IF((0=1),SUM(C450:CK450),"")</f>
      </c>
      <c r="CL485" s="8">
        <f>IF((0=1),SUM(C450:CL450),"")</f>
      </c>
      <c r="CM485" s="8">
        <f>IF((0=1),SUM(C450:CM450),"")</f>
      </c>
      <c r="CN485" s="8">
        <f>IF((0=1),SUM(C450:CN450),"")</f>
      </c>
      <c r="CO485" s="8">
        <f>IF((0=1),SUM(C450:CO450),"")</f>
      </c>
      <c r="CP485" s="8">
        <f>IF((0=1),SUM(C450:CP450),"")</f>
      </c>
      <c r="CQ485" s="8">
        <f>IF((0=1),SUM(C450:CQ450),"")</f>
      </c>
      <c r="CR485" s="8">
        <f>IF((0=1),SUM(C450:CR450),"")</f>
      </c>
      <c r="CS485" s="8">
        <f>IF((0=1),SUM(C450:CS450),"")</f>
      </c>
      <c r="CT485" s="8">
        <f>IF((0=1),SUM(C450:CT450),"")</f>
      </c>
      <c r="CU485" s="8">
        <f>IF((0=1),SUM(C450:CU450),"")</f>
      </c>
      <c r="CV485" s="8">
        <f>IF((0=1),SUM(C450:CV450),"")</f>
      </c>
      <c r="CW485" s="8">
        <f>IF((0=1),SUM(C450:CW450),"")</f>
      </c>
      <c r="CX485" s="8">
        <f>IF((0=1),SUM(C450:CX450),"")</f>
      </c>
    </row>
    <row r="486">
      <c r="A486" s="0" t="inlineStr">
        <is>
          <t xml:space="preserve">Cumulative net P&amp;L, $</t>
        </is>
      </c>
      <c r="B486" s="0" t="inlineStr">
        <is>
          <t xml:space="preserve">Random 15</t>
        </is>
      </c>
      <c r="C486" s="8">
        <f>IF((1=1),SUM(C451),"")</f>
        <v>-217.21</v>
      </c>
      <c r="D486" s="8">
        <f>IF((0=1),SUM(C451:D451),"")</f>
      </c>
      <c r="E486" s="8">
        <f>IF((0=1),SUM(C451:E451),"")</f>
      </c>
      <c r="F486" s="8">
        <f>IF((0=1),SUM(C451:F451),"")</f>
      </c>
      <c r="G486" s="8">
        <f>IF((0=1),SUM(C451:G451),"")</f>
      </c>
      <c r="H486" s="8">
        <f>IF((0=1),SUM(C451:H451),"")</f>
      </c>
      <c r="I486" s="8">
        <f>IF((0=1),SUM(C451:I451),"")</f>
      </c>
      <c r="J486" s="8">
        <f>IF((0=1),SUM(C451:J451),"")</f>
      </c>
      <c r="K486" s="8">
        <f>IF((0=1),SUM(C451:K451),"")</f>
      </c>
      <c r="L486" s="8">
        <f>IF((0=1),SUM(C451:L451),"")</f>
      </c>
      <c r="M486" s="8">
        <f>IF((0=1),SUM(C451:M451),"")</f>
      </c>
      <c r="N486" s="8">
        <f>IF((0=1),SUM(C451:N451),"")</f>
      </c>
      <c r="O486" s="8">
        <f>IF((0=1),SUM(C451:O451),"")</f>
      </c>
      <c r="P486" s="8">
        <f>IF((0=1),SUM(C451:P451),"")</f>
      </c>
      <c r="Q486" s="8">
        <f>IF((0=1),SUM(C451:Q451),"")</f>
      </c>
      <c r="R486" s="8">
        <f>IF((0=1),SUM(C451:R451),"")</f>
      </c>
      <c r="S486" s="8">
        <f>IF((0=1),SUM(C451:S451),"")</f>
      </c>
      <c r="T486" s="8">
        <f>IF((0=1),SUM(C451:T451),"")</f>
      </c>
      <c r="U486" s="8">
        <f>IF((0=1),SUM(C451:U451),"")</f>
      </c>
      <c r="V486" s="8">
        <f>IF((0=1),SUM(C451:V451),"")</f>
      </c>
      <c r="W486" s="8">
        <f>IF((0=1),SUM(C451:W451),"")</f>
      </c>
      <c r="X486" s="8">
        <f>IF((0=1),SUM(C451:X451),"")</f>
      </c>
      <c r="Y486" s="8">
        <f>IF((0=1),SUM(C451:Y451),"")</f>
      </c>
      <c r="Z486" s="8">
        <f>IF((0=1),SUM(C451:Z451),"")</f>
      </c>
      <c r="AA486" s="8">
        <f>IF((0=1),SUM(C451:AA451),"")</f>
      </c>
      <c r="AB486" s="8">
        <f>IF((0=1),SUM(C451:AB451),"")</f>
      </c>
      <c r="AC486" s="8">
        <f>IF((0=1),SUM(C451:AC451),"")</f>
      </c>
      <c r="AD486" s="8">
        <f>IF((0=1),SUM(C451:AD451),"")</f>
      </c>
      <c r="AE486" s="8">
        <f>IF((0=1),SUM(C451:AE451),"")</f>
      </c>
      <c r="AF486" s="8">
        <f>IF((0=1),SUM(C451:AF451),"")</f>
      </c>
      <c r="AG486" s="8">
        <f>IF((0=1),SUM(C451:AG451),"")</f>
      </c>
      <c r="AH486" s="8">
        <f>IF((0=1),SUM(C451:AH451),"")</f>
      </c>
      <c r="AI486" s="8">
        <f>IF((0=1),SUM(C451:AI451),"")</f>
      </c>
      <c r="AJ486" s="8">
        <f>IF((0=1),SUM(C451:AJ451),"")</f>
      </c>
      <c r="AK486" s="8">
        <f>IF((0=1),SUM(C451:AK451),"")</f>
      </c>
      <c r="AL486" s="8">
        <f>IF((0=1),SUM(C451:AL451),"")</f>
      </c>
      <c r="AM486" s="8">
        <f>IF((0=1),SUM(C451:AM451),"")</f>
      </c>
      <c r="AN486" s="8">
        <f>IF((0=1),SUM(C451:AN451),"")</f>
      </c>
      <c r="AO486" s="8">
        <f>IF((0=1),SUM(C451:AO451),"")</f>
      </c>
      <c r="AP486" s="8">
        <f>IF((0=1),SUM(C451:AP451),"")</f>
      </c>
      <c r="AQ486" s="8">
        <f>IF((0=1),SUM(C451:AQ451),"")</f>
      </c>
      <c r="AR486" s="8">
        <f>IF((0=1),SUM(C451:AR451),"")</f>
      </c>
      <c r="AS486" s="8">
        <f>IF((0=1),SUM(C451:AS451),"")</f>
      </c>
      <c r="AT486" s="8">
        <f>IF((0=1),SUM(C451:AT451),"")</f>
      </c>
      <c r="AU486" s="8">
        <f>IF((0=1),SUM(C451:AU451),"")</f>
      </c>
      <c r="AV486" s="8">
        <f>IF((0=1),SUM(C451:AV451),"")</f>
      </c>
      <c r="AW486" s="8">
        <f>IF((0=1),SUM(C451:AW451),"")</f>
      </c>
      <c r="AX486" s="8">
        <f>IF((0=1),SUM(C451:AX451),"")</f>
      </c>
      <c r="AY486" s="8">
        <f>IF((0=1),SUM(C451:AY451),"")</f>
      </c>
      <c r="AZ486" s="8">
        <f>IF((0=1),SUM(C451:AZ451),"")</f>
      </c>
      <c r="BA486" s="8">
        <f>IF((0=1),SUM(C451:BA451),"")</f>
      </c>
      <c r="BB486" s="8">
        <f>IF((0=1),SUM(C451:BB451),"")</f>
      </c>
      <c r="BC486" s="8">
        <f>IF((0=1),SUM(C451:BC451),"")</f>
      </c>
      <c r="BD486" s="8">
        <f>IF((0=1),SUM(C451:BD451),"")</f>
      </c>
      <c r="BE486" s="8">
        <f>IF((0=1),SUM(C451:BE451),"")</f>
      </c>
      <c r="BF486" s="8">
        <f>IF((0=1),SUM(C451:BF451),"")</f>
      </c>
      <c r="BG486" s="8">
        <f>IF((0=1),SUM(C451:BG451),"")</f>
      </c>
      <c r="BH486" s="8">
        <f>IF((0=1),SUM(C451:BH451),"")</f>
      </c>
      <c r="BI486" s="8">
        <f>IF((0=1),SUM(C451:BI451),"")</f>
      </c>
      <c r="BJ486" s="8">
        <f>IF((0=1),SUM(C451:BJ451),"")</f>
      </c>
      <c r="BK486" s="8">
        <f>IF((0=1),SUM(C451:BK451),"")</f>
      </c>
      <c r="BL486" s="8">
        <f>IF((0=1),SUM(C451:BL451),"")</f>
      </c>
      <c r="BM486" s="8">
        <f>IF((0=1),SUM(C451:BM451),"")</f>
      </c>
      <c r="BN486" s="8">
        <f>IF((0=1),SUM(C451:BN451),"")</f>
      </c>
      <c r="BO486" s="8">
        <f>IF((0=1),SUM(C451:BO451),"")</f>
      </c>
      <c r="BP486" s="8">
        <f>IF((0=1),SUM(C451:BP451),"")</f>
      </c>
      <c r="BQ486" s="8">
        <f>IF((0=1),SUM(C451:BQ451),"")</f>
      </c>
      <c r="BR486" s="8">
        <f>IF((0=1),SUM(C451:BR451),"")</f>
      </c>
      <c r="BS486" s="8">
        <f>IF((0=1),SUM(C451:BS451),"")</f>
      </c>
      <c r="BT486" s="8">
        <f>IF((0=1),SUM(C451:BT451),"")</f>
      </c>
      <c r="BU486" s="8">
        <f>IF((0=1),SUM(C451:BU451),"")</f>
      </c>
      <c r="BV486" s="8">
        <f>IF((0=1),SUM(C451:BV451),"")</f>
      </c>
      <c r="BW486" s="8">
        <f>IF((0=1),SUM(C451:BW451),"")</f>
      </c>
      <c r="BX486" s="8">
        <f>IF((0=1),SUM(C451:BX451),"")</f>
      </c>
      <c r="BY486" s="8">
        <f>IF((0=1),SUM(C451:BY451),"")</f>
      </c>
      <c r="BZ486" s="8">
        <f>IF((0=1),SUM(C451:BZ451),"")</f>
      </c>
      <c r="CA486" s="8">
        <f>IF((0=1),SUM(C451:CA451),"")</f>
      </c>
      <c r="CB486" s="8">
        <f>IF((0=1),SUM(C451:CB451),"")</f>
      </c>
      <c r="CC486" s="8">
        <f>IF((0=1),SUM(C451:CC451),"")</f>
      </c>
      <c r="CD486" s="8">
        <f>IF((0=1),SUM(C451:CD451),"")</f>
      </c>
      <c r="CE486" s="8">
        <f>IF((0=1),SUM(C451:CE451),"")</f>
      </c>
      <c r="CF486" s="8">
        <f>IF((0=1),SUM(C451:CF451),"")</f>
      </c>
      <c r="CG486" s="8">
        <f>IF((0=1),SUM(C451:CG451),"")</f>
      </c>
      <c r="CH486" s="8">
        <f>IF((0=1),SUM(C451:CH451),"")</f>
      </c>
      <c r="CI486" s="8">
        <f>IF((0=1),SUM(C451:CI451),"")</f>
      </c>
      <c r="CJ486" s="8">
        <f>IF((0=1),SUM(C451:CJ451),"")</f>
      </c>
      <c r="CK486" s="8">
        <f>IF((0=1),SUM(C451:CK451),"")</f>
      </c>
      <c r="CL486" s="8">
        <f>IF((0=1),SUM(C451:CL451),"")</f>
      </c>
      <c r="CM486" s="8">
        <f>IF((0=1),SUM(C451:CM451),"")</f>
      </c>
      <c r="CN486" s="8">
        <f>IF((0=1),SUM(C451:CN451),"")</f>
      </c>
      <c r="CO486" s="8">
        <f>IF((0=1),SUM(C451:CO451),"")</f>
      </c>
      <c r="CP486" s="8">
        <f>IF((0=1),SUM(C451:CP451),"")</f>
      </c>
      <c r="CQ486" s="8">
        <f>IF((0=1),SUM(C451:CQ451),"")</f>
      </c>
      <c r="CR486" s="8">
        <f>IF((0=1),SUM(C451:CR451),"")</f>
      </c>
      <c r="CS486" s="8">
        <f>IF((0=1),SUM(C451:CS451),"")</f>
      </c>
      <c r="CT486" s="8">
        <f>IF((0=1),SUM(C451:CT451),"")</f>
      </c>
      <c r="CU486" s="8">
        <f>IF((0=1),SUM(C451:CU451),"")</f>
      </c>
      <c r="CV486" s="8">
        <f>IF((0=1),SUM(C451:CV451),"")</f>
      </c>
      <c r="CW486" s="8">
        <f>IF((0=1),SUM(C451:CW451),"")</f>
      </c>
      <c r="CX486" s="8">
        <f>IF((0=1),SUM(C451:CX451),"")</f>
      </c>
    </row>
    <row r="487">
      <c r="A487" s="0" t="inlineStr">
        <is>
          <t xml:space="preserve">Cumulative net P&amp;L, $</t>
        </is>
      </c>
      <c r="B487" s="0" t="inlineStr">
        <is>
          <t xml:space="preserve">Random 16</t>
        </is>
      </c>
      <c r="C487" s="8">
        <f>IF((1=1),SUM(C452),"")</f>
        <v>-117.74000000000001</v>
      </c>
      <c r="D487" s="8">
        <f>IF((0=1),SUM(C452:D452),"")</f>
      </c>
      <c r="E487" s="8">
        <f>IF((0=1),SUM(C452:E452),"")</f>
      </c>
      <c r="F487" s="8">
        <f>IF((0=1),SUM(C452:F452),"")</f>
      </c>
      <c r="G487" s="8">
        <f>IF((0=1),SUM(C452:G452),"")</f>
      </c>
      <c r="H487" s="8">
        <f>IF((0=1),SUM(C452:H452),"")</f>
      </c>
      <c r="I487" s="8">
        <f>IF((0=1),SUM(C452:I452),"")</f>
      </c>
      <c r="J487" s="8">
        <f>IF((0=1),SUM(C452:J452),"")</f>
      </c>
      <c r="K487" s="8">
        <f>IF((0=1),SUM(C452:K452),"")</f>
      </c>
      <c r="L487" s="8">
        <f>IF((0=1),SUM(C452:L452),"")</f>
      </c>
      <c r="M487" s="8">
        <f>IF((0=1),SUM(C452:M452),"")</f>
      </c>
      <c r="N487" s="8">
        <f>IF((0=1),SUM(C452:N452),"")</f>
      </c>
      <c r="O487" s="8">
        <f>IF((0=1),SUM(C452:O452),"")</f>
      </c>
      <c r="P487" s="8">
        <f>IF((0=1),SUM(C452:P452),"")</f>
      </c>
      <c r="Q487" s="8">
        <f>IF((0=1),SUM(C452:Q452),"")</f>
      </c>
      <c r="R487" s="8">
        <f>IF((0=1),SUM(C452:R452),"")</f>
      </c>
      <c r="S487" s="8">
        <f>IF((0=1),SUM(C452:S452),"")</f>
      </c>
      <c r="T487" s="8">
        <f>IF((0=1),SUM(C452:T452),"")</f>
      </c>
      <c r="U487" s="8">
        <f>IF((0=1),SUM(C452:U452),"")</f>
      </c>
      <c r="V487" s="8">
        <f>IF((0=1),SUM(C452:V452),"")</f>
      </c>
      <c r="W487" s="8">
        <f>IF((0=1),SUM(C452:W452),"")</f>
      </c>
      <c r="X487" s="8">
        <f>IF((0=1),SUM(C452:X452),"")</f>
      </c>
      <c r="Y487" s="8">
        <f>IF((0=1),SUM(C452:Y452),"")</f>
      </c>
      <c r="Z487" s="8">
        <f>IF((0=1),SUM(C452:Z452),"")</f>
      </c>
      <c r="AA487" s="8">
        <f>IF((0=1),SUM(C452:AA452),"")</f>
      </c>
      <c r="AB487" s="8">
        <f>IF((0=1),SUM(C452:AB452),"")</f>
      </c>
      <c r="AC487" s="8">
        <f>IF((0=1),SUM(C452:AC452),"")</f>
      </c>
      <c r="AD487" s="8">
        <f>IF((0=1),SUM(C452:AD452),"")</f>
      </c>
      <c r="AE487" s="8">
        <f>IF((0=1),SUM(C452:AE452),"")</f>
      </c>
      <c r="AF487" s="8">
        <f>IF((0=1),SUM(C452:AF452),"")</f>
      </c>
      <c r="AG487" s="8">
        <f>IF((0=1),SUM(C452:AG452),"")</f>
      </c>
      <c r="AH487" s="8">
        <f>IF((0=1),SUM(C452:AH452),"")</f>
      </c>
      <c r="AI487" s="8">
        <f>IF((0=1),SUM(C452:AI452),"")</f>
      </c>
      <c r="AJ487" s="8">
        <f>IF((0=1),SUM(C452:AJ452),"")</f>
      </c>
      <c r="AK487" s="8">
        <f>IF((0=1),SUM(C452:AK452),"")</f>
      </c>
      <c r="AL487" s="8">
        <f>IF((0=1),SUM(C452:AL452),"")</f>
      </c>
      <c r="AM487" s="8">
        <f>IF((0=1),SUM(C452:AM452),"")</f>
      </c>
      <c r="AN487" s="8">
        <f>IF((0=1),SUM(C452:AN452),"")</f>
      </c>
      <c r="AO487" s="8">
        <f>IF((0=1),SUM(C452:AO452),"")</f>
      </c>
      <c r="AP487" s="8">
        <f>IF((0=1),SUM(C452:AP452),"")</f>
      </c>
      <c r="AQ487" s="8">
        <f>IF((0=1),SUM(C452:AQ452),"")</f>
      </c>
      <c r="AR487" s="8">
        <f>IF((0=1),SUM(C452:AR452),"")</f>
      </c>
      <c r="AS487" s="8">
        <f>IF((0=1),SUM(C452:AS452),"")</f>
      </c>
      <c r="AT487" s="8">
        <f>IF((0=1),SUM(C452:AT452),"")</f>
      </c>
      <c r="AU487" s="8">
        <f>IF((0=1),SUM(C452:AU452),"")</f>
      </c>
      <c r="AV487" s="8">
        <f>IF((0=1),SUM(C452:AV452),"")</f>
      </c>
      <c r="AW487" s="8">
        <f>IF((0=1),SUM(C452:AW452),"")</f>
      </c>
      <c r="AX487" s="8">
        <f>IF((0=1),SUM(C452:AX452),"")</f>
      </c>
      <c r="AY487" s="8">
        <f>IF((0=1),SUM(C452:AY452),"")</f>
      </c>
      <c r="AZ487" s="8">
        <f>IF((0=1),SUM(C452:AZ452),"")</f>
      </c>
      <c r="BA487" s="8">
        <f>IF((0=1),SUM(C452:BA452),"")</f>
      </c>
      <c r="BB487" s="8">
        <f>IF((0=1),SUM(C452:BB452),"")</f>
      </c>
      <c r="BC487" s="8">
        <f>IF((0=1),SUM(C452:BC452),"")</f>
      </c>
      <c r="BD487" s="8">
        <f>IF((0=1),SUM(C452:BD452),"")</f>
      </c>
      <c r="BE487" s="8">
        <f>IF((0=1),SUM(C452:BE452),"")</f>
      </c>
      <c r="BF487" s="8">
        <f>IF((0=1),SUM(C452:BF452),"")</f>
      </c>
      <c r="BG487" s="8">
        <f>IF((0=1),SUM(C452:BG452),"")</f>
      </c>
      <c r="BH487" s="8">
        <f>IF((0=1),SUM(C452:BH452),"")</f>
      </c>
      <c r="BI487" s="8">
        <f>IF((0=1),SUM(C452:BI452),"")</f>
      </c>
      <c r="BJ487" s="8">
        <f>IF((0=1),SUM(C452:BJ452),"")</f>
      </c>
      <c r="BK487" s="8">
        <f>IF((0=1),SUM(C452:BK452),"")</f>
      </c>
      <c r="BL487" s="8">
        <f>IF((0=1),SUM(C452:BL452),"")</f>
      </c>
      <c r="BM487" s="8">
        <f>IF((0=1),SUM(C452:BM452),"")</f>
      </c>
      <c r="BN487" s="8">
        <f>IF((0=1),SUM(C452:BN452),"")</f>
      </c>
      <c r="BO487" s="8">
        <f>IF((0=1),SUM(C452:BO452),"")</f>
      </c>
      <c r="BP487" s="8">
        <f>IF((0=1),SUM(C452:BP452),"")</f>
      </c>
      <c r="BQ487" s="8">
        <f>IF((0=1),SUM(C452:BQ452),"")</f>
      </c>
      <c r="BR487" s="8">
        <f>IF((0=1),SUM(C452:BR452),"")</f>
      </c>
      <c r="BS487" s="8">
        <f>IF((0=1),SUM(C452:BS452),"")</f>
      </c>
      <c r="BT487" s="8">
        <f>IF((0=1),SUM(C452:BT452),"")</f>
      </c>
      <c r="BU487" s="8">
        <f>IF((0=1),SUM(C452:BU452),"")</f>
      </c>
      <c r="BV487" s="8">
        <f>IF((0=1),SUM(C452:BV452),"")</f>
      </c>
      <c r="BW487" s="8">
        <f>IF((0=1),SUM(C452:BW452),"")</f>
      </c>
      <c r="BX487" s="8">
        <f>IF((0=1),SUM(C452:BX452),"")</f>
      </c>
      <c r="BY487" s="8">
        <f>IF((0=1),SUM(C452:BY452),"")</f>
      </c>
      <c r="BZ487" s="8">
        <f>IF((0=1),SUM(C452:BZ452),"")</f>
      </c>
      <c r="CA487" s="8">
        <f>IF((0=1),SUM(C452:CA452),"")</f>
      </c>
      <c r="CB487" s="8">
        <f>IF((0=1),SUM(C452:CB452),"")</f>
      </c>
      <c r="CC487" s="8">
        <f>IF((0=1),SUM(C452:CC452),"")</f>
      </c>
      <c r="CD487" s="8">
        <f>IF((0=1),SUM(C452:CD452),"")</f>
      </c>
      <c r="CE487" s="8">
        <f>IF((0=1),SUM(C452:CE452),"")</f>
      </c>
      <c r="CF487" s="8">
        <f>IF((0=1),SUM(C452:CF452),"")</f>
      </c>
      <c r="CG487" s="8">
        <f>IF((0=1),SUM(C452:CG452),"")</f>
      </c>
      <c r="CH487" s="8">
        <f>IF((0=1),SUM(C452:CH452),"")</f>
      </c>
      <c r="CI487" s="8">
        <f>IF((0=1),SUM(C452:CI452),"")</f>
      </c>
      <c r="CJ487" s="8">
        <f>IF((0=1),SUM(C452:CJ452),"")</f>
      </c>
      <c r="CK487" s="8">
        <f>IF((0=1),SUM(C452:CK452),"")</f>
      </c>
      <c r="CL487" s="8">
        <f>IF((0=1),SUM(C452:CL452),"")</f>
      </c>
      <c r="CM487" s="8">
        <f>IF((0=1),SUM(C452:CM452),"")</f>
      </c>
      <c r="CN487" s="8">
        <f>IF((0=1),SUM(C452:CN452),"")</f>
      </c>
      <c r="CO487" s="8">
        <f>IF((0=1),SUM(C452:CO452),"")</f>
      </c>
      <c r="CP487" s="8">
        <f>IF((0=1),SUM(C452:CP452),"")</f>
      </c>
      <c r="CQ487" s="8">
        <f>IF((0=1),SUM(C452:CQ452),"")</f>
      </c>
      <c r="CR487" s="8">
        <f>IF((0=1),SUM(C452:CR452),"")</f>
      </c>
      <c r="CS487" s="8">
        <f>IF((0=1),SUM(C452:CS452),"")</f>
      </c>
      <c r="CT487" s="8">
        <f>IF((0=1),SUM(C452:CT452),"")</f>
      </c>
      <c r="CU487" s="8">
        <f>IF((0=1),SUM(C452:CU452),"")</f>
      </c>
      <c r="CV487" s="8">
        <f>IF((0=1),SUM(C452:CV452),"")</f>
      </c>
      <c r="CW487" s="8">
        <f>IF((0=1),SUM(C452:CW452),"")</f>
      </c>
      <c r="CX487" s="8">
        <f>IF((0=1),SUM(C452:CX452),"")</f>
      </c>
    </row>
    <row r="488">
      <c r="A488" s="0" t="inlineStr">
        <is>
          <t xml:space="preserve">Cumulative net P&amp;L, $</t>
        </is>
      </c>
      <c r="B488" s="0" t="inlineStr">
        <is>
          <t xml:space="preserve">Random 17</t>
        </is>
      </c>
      <c r="C488" s="8">
        <f>IF((1=1),SUM(C453),"")</f>
        <v>-134.42999999999998</v>
      </c>
      <c r="D488" s="8">
        <f>IF((0=1),SUM(C453:D453),"")</f>
      </c>
      <c r="E488" s="8">
        <f>IF((0=1),SUM(C453:E453),"")</f>
      </c>
      <c r="F488" s="8">
        <f>IF((0=1),SUM(C453:F453),"")</f>
      </c>
      <c r="G488" s="8">
        <f>IF((0=1),SUM(C453:G453),"")</f>
      </c>
      <c r="H488" s="8">
        <f>IF((0=1),SUM(C453:H453),"")</f>
      </c>
      <c r="I488" s="8">
        <f>IF((0=1),SUM(C453:I453),"")</f>
      </c>
      <c r="J488" s="8">
        <f>IF((0=1),SUM(C453:J453),"")</f>
      </c>
      <c r="K488" s="8">
        <f>IF((0=1),SUM(C453:K453),"")</f>
      </c>
      <c r="L488" s="8">
        <f>IF((0=1),SUM(C453:L453),"")</f>
      </c>
      <c r="M488" s="8">
        <f>IF((0=1),SUM(C453:M453),"")</f>
      </c>
      <c r="N488" s="8">
        <f>IF((0=1),SUM(C453:N453),"")</f>
      </c>
      <c r="O488" s="8">
        <f>IF((0=1),SUM(C453:O453),"")</f>
      </c>
      <c r="P488" s="8">
        <f>IF((0=1),SUM(C453:P453),"")</f>
      </c>
      <c r="Q488" s="8">
        <f>IF((0=1),SUM(C453:Q453),"")</f>
      </c>
      <c r="R488" s="8">
        <f>IF((0=1),SUM(C453:R453),"")</f>
      </c>
      <c r="S488" s="8">
        <f>IF((0=1),SUM(C453:S453),"")</f>
      </c>
      <c r="T488" s="8">
        <f>IF((0=1),SUM(C453:T453),"")</f>
      </c>
      <c r="U488" s="8">
        <f>IF((0=1),SUM(C453:U453),"")</f>
      </c>
      <c r="V488" s="8">
        <f>IF((0=1),SUM(C453:V453),"")</f>
      </c>
      <c r="W488" s="8">
        <f>IF((0=1),SUM(C453:W453),"")</f>
      </c>
      <c r="X488" s="8">
        <f>IF((0=1),SUM(C453:X453),"")</f>
      </c>
      <c r="Y488" s="8">
        <f>IF((0=1),SUM(C453:Y453),"")</f>
      </c>
      <c r="Z488" s="8">
        <f>IF((0=1),SUM(C453:Z453),"")</f>
      </c>
      <c r="AA488" s="8">
        <f>IF((0=1),SUM(C453:AA453),"")</f>
      </c>
      <c r="AB488" s="8">
        <f>IF((0=1),SUM(C453:AB453),"")</f>
      </c>
      <c r="AC488" s="8">
        <f>IF((0=1),SUM(C453:AC453),"")</f>
      </c>
      <c r="AD488" s="8">
        <f>IF((0=1),SUM(C453:AD453),"")</f>
      </c>
      <c r="AE488" s="8">
        <f>IF((0=1),SUM(C453:AE453),"")</f>
      </c>
      <c r="AF488" s="8">
        <f>IF((0=1),SUM(C453:AF453),"")</f>
      </c>
      <c r="AG488" s="8">
        <f>IF((0=1),SUM(C453:AG453),"")</f>
      </c>
      <c r="AH488" s="8">
        <f>IF((0=1),SUM(C453:AH453),"")</f>
      </c>
      <c r="AI488" s="8">
        <f>IF((0=1),SUM(C453:AI453),"")</f>
      </c>
      <c r="AJ488" s="8">
        <f>IF((0=1),SUM(C453:AJ453),"")</f>
      </c>
      <c r="AK488" s="8">
        <f>IF((0=1),SUM(C453:AK453),"")</f>
      </c>
      <c r="AL488" s="8">
        <f>IF((0=1),SUM(C453:AL453),"")</f>
      </c>
      <c r="AM488" s="8">
        <f>IF((0=1),SUM(C453:AM453),"")</f>
      </c>
      <c r="AN488" s="8">
        <f>IF((0=1),SUM(C453:AN453),"")</f>
      </c>
      <c r="AO488" s="8">
        <f>IF((0=1),SUM(C453:AO453),"")</f>
      </c>
      <c r="AP488" s="8">
        <f>IF((0=1),SUM(C453:AP453),"")</f>
      </c>
      <c r="AQ488" s="8">
        <f>IF((0=1),SUM(C453:AQ453),"")</f>
      </c>
      <c r="AR488" s="8">
        <f>IF((0=1),SUM(C453:AR453),"")</f>
      </c>
      <c r="AS488" s="8">
        <f>IF((0=1),SUM(C453:AS453),"")</f>
      </c>
      <c r="AT488" s="8">
        <f>IF((0=1),SUM(C453:AT453),"")</f>
      </c>
      <c r="AU488" s="8">
        <f>IF((0=1),SUM(C453:AU453),"")</f>
      </c>
      <c r="AV488" s="8">
        <f>IF((0=1),SUM(C453:AV453),"")</f>
      </c>
      <c r="AW488" s="8">
        <f>IF((0=1),SUM(C453:AW453),"")</f>
      </c>
      <c r="AX488" s="8">
        <f>IF((0=1),SUM(C453:AX453),"")</f>
      </c>
      <c r="AY488" s="8">
        <f>IF((0=1),SUM(C453:AY453),"")</f>
      </c>
      <c r="AZ488" s="8">
        <f>IF((0=1),SUM(C453:AZ453),"")</f>
      </c>
      <c r="BA488" s="8">
        <f>IF((0=1),SUM(C453:BA453),"")</f>
      </c>
      <c r="BB488" s="8">
        <f>IF((0=1),SUM(C453:BB453),"")</f>
      </c>
      <c r="BC488" s="8">
        <f>IF((0=1),SUM(C453:BC453),"")</f>
      </c>
      <c r="BD488" s="8">
        <f>IF((0=1),SUM(C453:BD453),"")</f>
      </c>
      <c r="BE488" s="8">
        <f>IF((0=1),SUM(C453:BE453),"")</f>
      </c>
      <c r="BF488" s="8">
        <f>IF((0=1),SUM(C453:BF453),"")</f>
      </c>
      <c r="BG488" s="8">
        <f>IF((0=1),SUM(C453:BG453),"")</f>
      </c>
      <c r="BH488" s="8">
        <f>IF((0=1),SUM(C453:BH453),"")</f>
      </c>
      <c r="BI488" s="8">
        <f>IF((0=1),SUM(C453:BI453),"")</f>
      </c>
      <c r="BJ488" s="8">
        <f>IF((0=1),SUM(C453:BJ453),"")</f>
      </c>
      <c r="BK488" s="8">
        <f>IF((0=1),SUM(C453:BK453),"")</f>
      </c>
      <c r="BL488" s="8">
        <f>IF((0=1),SUM(C453:BL453),"")</f>
      </c>
      <c r="BM488" s="8">
        <f>IF((0=1),SUM(C453:BM453),"")</f>
      </c>
      <c r="BN488" s="8">
        <f>IF((0=1),SUM(C453:BN453),"")</f>
      </c>
      <c r="BO488" s="8">
        <f>IF((0=1),SUM(C453:BO453),"")</f>
      </c>
      <c r="BP488" s="8">
        <f>IF((0=1),SUM(C453:BP453),"")</f>
      </c>
      <c r="BQ488" s="8">
        <f>IF((0=1),SUM(C453:BQ453),"")</f>
      </c>
      <c r="BR488" s="8">
        <f>IF((0=1),SUM(C453:BR453),"")</f>
      </c>
      <c r="BS488" s="8">
        <f>IF((0=1),SUM(C453:BS453),"")</f>
      </c>
      <c r="BT488" s="8">
        <f>IF((0=1),SUM(C453:BT453),"")</f>
      </c>
      <c r="BU488" s="8">
        <f>IF((0=1),SUM(C453:BU453),"")</f>
      </c>
      <c r="BV488" s="8">
        <f>IF((0=1),SUM(C453:BV453),"")</f>
      </c>
      <c r="BW488" s="8">
        <f>IF((0=1),SUM(C453:BW453),"")</f>
      </c>
      <c r="BX488" s="8">
        <f>IF((0=1),SUM(C453:BX453),"")</f>
      </c>
      <c r="BY488" s="8">
        <f>IF((0=1),SUM(C453:BY453),"")</f>
      </c>
      <c r="BZ488" s="8">
        <f>IF((0=1),SUM(C453:BZ453),"")</f>
      </c>
      <c r="CA488" s="8">
        <f>IF((0=1),SUM(C453:CA453),"")</f>
      </c>
      <c r="CB488" s="8">
        <f>IF((0=1),SUM(C453:CB453),"")</f>
      </c>
      <c r="CC488" s="8">
        <f>IF((0=1),SUM(C453:CC453),"")</f>
      </c>
      <c r="CD488" s="8">
        <f>IF((0=1),SUM(C453:CD453),"")</f>
      </c>
      <c r="CE488" s="8">
        <f>IF((0=1),SUM(C453:CE453),"")</f>
      </c>
      <c r="CF488" s="8">
        <f>IF((0=1),SUM(C453:CF453),"")</f>
      </c>
      <c r="CG488" s="8">
        <f>IF((0=1),SUM(C453:CG453),"")</f>
      </c>
      <c r="CH488" s="8">
        <f>IF((0=1),SUM(C453:CH453),"")</f>
      </c>
      <c r="CI488" s="8">
        <f>IF((0=1),SUM(C453:CI453),"")</f>
      </c>
      <c r="CJ488" s="8">
        <f>IF((0=1),SUM(C453:CJ453),"")</f>
      </c>
      <c r="CK488" s="8">
        <f>IF((0=1),SUM(C453:CK453),"")</f>
      </c>
      <c r="CL488" s="8">
        <f>IF((0=1),SUM(C453:CL453),"")</f>
      </c>
      <c r="CM488" s="8">
        <f>IF((0=1),SUM(C453:CM453),"")</f>
      </c>
      <c r="CN488" s="8">
        <f>IF((0=1),SUM(C453:CN453),"")</f>
      </c>
      <c r="CO488" s="8">
        <f>IF((0=1),SUM(C453:CO453),"")</f>
      </c>
      <c r="CP488" s="8">
        <f>IF((0=1),SUM(C453:CP453),"")</f>
      </c>
      <c r="CQ488" s="8">
        <f>IF((0=1),SUM(C453:CQ453),"")</f>
      </c>
      <c r="CR488" s="8">
        <f>IF((0=1),SUM(C453:CR453),"")</f>
      </c>
      <c r="CS488" s="8">
        <f>IF((0=1),SUM(C453:CS453),"")</f>
      </c>
      <c r="CT488" s="8">
        <f>IF((0=1),SUM(C453:CT453),"")</f>
      </c>
      <c r="CU488" s="8">
        <f>IF((0=1),SUM(C453:CU453),"")</f>
      </c>
      <c r="CV488" s="8">
        <f>IF((0=1),SUM(C453:CV453),"")</f>
      </c>
      <c r="CW488" s="8">
        <f>IF((0=1),SUM(C453:CW453),"")</f>
      </c>
      <c r="CX488" s="8">
        <f>IF((0=1),SUM(C453:CX453),"")</f>
      </c>
    </row>
    <row r="489">
      <c r="A489" s="0" t="inlineStr">
        <is>
          <t xml:space="preserve">Cumulative net P&amp;L, $</t>
        </is>
      </c>
      <c r="B489" s="0" t="inlineStr">
        <is>
          <t xml:space="preserve">Random 18</t>
        </is>
      </c>
      <c r="C489" s="8">
        <f>IF((1=1),SUM(C454),"")</f>
        <v>-18.100000000000005</v>
      </c>
      <c r="D489" s="8">
        <f>IF((0=1),SUM(C454:D454),"")</f>
      </c>
      <c r="E489" s="8">
        <f>IF((0=1),SUM(C454:E454),"")</f>
      </c>
      <c r="F489" s="8">
        <f>IF((0=1),SUM(C454:F454),"")</f>
      </c>
      <c r="G489" s="8">
        <f>IF((0=1),SUM(C454:G454),"")</f>
      </c>
      <c r="H489" s="8">
        <f>IF((0=1),SUM(C454:H454),"")</f>
      </c>
      <c r="I489" s="8">
        <f>IF((0=1),SUM(C454:I454),"")</f>
      </c>
      <c r="J489" s="8">
        <f>IF((0=1),SUM(C454:J454),"")</f>
      </c>
      <c r="K489" s="8">
        <f>IF((0=1),SUM(C454:K454),"")</f>
      </c>
      <c r="L489" s="8">
        <f>IF((0=1),SUM(C454:L454),"")</f>
      </c>
      <c r="M489" s="8">
        <f>IF((0=1),SUM(C454:M454),"")</f>
      </c>
      <c r="N489" s="8">
        <f>IF((0=1),SUM(C454:N454),"")</f>
      </c>
      <c r="O489" s="8">
        <f>IF((0=1),SUM(C454:O454),"")</f>
      </c>
      <c r="P489" s="8">
        <f>IF((0=1),SUM(C454:P454),"")</f>
      </c>
      <c r="Q489" s="8">
        <f>IF((0=1),SUM(C454:Q454),"")</f>
      </c>
      <c r="R489" s="8">
        <f>IF((0=1),SUM(C454:R454),"")</f>
      </c>
      <c r="S489" s="8">
        <f>IF((0=1),SUM(C454:S454),"")</f>
      </c>
      <c r="T489" s="8">
        <f>IF((0=1),SUM(C454:T454),"")</f>
      </c>
      <c r="U489" s="8">
        <f>IF((0=1),SUM(C454:U454),"")</f>
      </c>
      <c r="V489" s="8">
        <f>IF((0=1),SUM(C454:V454),"")</f>
      </c>
      <c r="W489" s="8">
        <f>IF((0=1),SUM(C454:W454),"")</f>
      </c>
      <c r="X489" s="8">
        <f>IF((0=1),SUM(C454:X454),"")</f>
      </c>
      <c r="Y489" s="8">
        <f>IF((0=1),SUM(C454:Y454),"")</f>
      </c>
      <c r="Z489" s="8">
        <f>IF((0=1),SUM(C454:Z454),"")</f>
      </c>
      <c r="AA489" s="8">
        <f>IF((0=1),SUM(C454:AA454),"")</f>
      </c>
      <c r="AB489" s="8">
        <f>IF((0=1),SUM(C454:AB454),"")</f>
      </c>
      <c r="AC489" s="8">
        <f>IF((0=1),SUM(C454:AC454),"")</f>
      </c>
      <c r="AD489" s="8">
        <f>IF((0=1),SUM(C454:AD454),"")</f>
      </c>
      <c r="AE489" s="8">
        <f>IF((0=1),SUM(C454:AE454),"")</f>
      </c>
      <c r="AF489" s="8">
        <f>IF((0=1),SUM(C454:AF454),"")</f>
      </c>
      <c r="AG489" s="8">
        <f>IF((0=1),SUM(C454:AG454),"")</f>
      </c>
      <c r="AH489" s="8">
        <f>IF((0=1),SUM(C454:AH454),"")</f>
      </c>
      <c r="AI489" s="8">
        <f>IF((0=1),SUM(C454:AI454),"")</f>
      </c>
      <c r="AJ489" s="8">
        <f>IF((0=1),SUM(C454:AJ454),"")</f>
      </c>
      <c r="AK489" s="8">
        <f>IF((0=1),SUM(C454:AK454),"")</f>
      </c>
      <c r="AL489" s="8">
        <f>IF((0=1),SUM(C454:AL454),"")</f>
      </c>
      <c r="AM489" s="8">
        <f>IF((0=1),SUM(C454:AM454),"")</f>
      </c>
      <c r="AN489" s="8">
        <f>IF((0=1),SUM(C454:AN454),"")</f>
      </c>
      <c r="AO489" s="8">
        <f>IF((0=1),SUM(C454:AO454),"")</f>
      </c>
      <c r="AP489" s="8">
        <f>IF((0=1),SUM(C454:AP454),"")</f>
      </c>
      <c r="AQ489" s="8">
        <f>IF((0=1),SUM(C454:AQ454),"")</f>
      </c>
      <c r="AR489" s="8">
        <f>IF((0=1),SUM(C454:AR454),"")</f>
      </c>
      <c r="AS489" s="8">
        <f>IF((0=1),SUM(C454:AS454),"")</f>
      </c>
      <c r="AT489" s="8">
        <f>IF((0=1),SUM(C454:AT454),"")</f>
      </c>
      <c r="AU489" s="8">
        <f>IF((0=1),SUM(C454:AU454),"")</f>
      </c>
      <c r="AV489" s="8">
        <f>IF((0=1),SUM(C454:AV454),"")</f>
      </c>
      <c r="AW489" s="8">
        <f>IF((0=1),SUM(C454:AW454),"")</f>
      </c>
      <c r="AX489" s="8">
        <f>IF((0=1),SUM(C454:AX454),"")</f>
      </c>
      <c r="AY489" s="8">
        <f>IF((0=1),SUM(C454:AY454),"")</f>
      </c>
      <c r="AZ489" s="8">
        <f>IF((0=1),SUM(C454:AZ454),"")</f>
      </c>
      <c r="BA489" s="8">
        <f>IF((0=1),SUM(C454:BA454),"")</f>
      </c>
      <c r="BB489" s="8">
        <f>IF((0=1),SUM(C454:BB454),"")</f>
      </c>
      <c r="BC489" s="8">
        <f>IF((0=1),SUM(C454:BC454),"")</f>
      </c>
      <c r="BD489" s="8">
        <f>IF((0=1),SUM(C454:BD454),"")</f>
      </c>
      <c r="BE489" s="8">
        <f>IF((0=1),SUM(C454:BE454),"")</f>
      </c>
      <c r="BF489" s="8">
        <f>IF((0=1),SUM(C454:BF454),"")</f>
      </c>
      <c r="BG489" s="8">
        <f>IF((0=1),SUM(C454:BG454),"")</f>
      </c>
      <c r="BH489" s="8">
        <f>IF((0=1),SUM(C454:BH454),"")</f>
      </c>
      <c r="BI489" s="8">
        <f>IF((0=1),SUM(C454:BI454),"")</f>
      </c>
      <c r="BJ489" s="8">
        <f>IF((0=1),SUM(C454:BJ454),"")</f>
      </c>
      <c r="BK489" s="8">
        <f>IF((0=1),SUM(C454:BK454),"")</f>
      </c>
      <c r="BL489" s="8">
        <f>IF((0=1),SUM(C454:BL454),"")</f>
      </c>
      <c r="BM489" s="8">
        <f>IF((0=1),SUM(C454:BM454),"")</f>
      </c>
      <c r="BN489" s="8">
        <f>IF((0=1),SUM(C454:BN454),"")</f>
      </c>
      <c r="BO489" s="8">
        <f>IF((0=1),SUM(C454:BO454),"")</f>
      </c>
      <c r="BP489" s="8">
        <f>IF((0=1),SUM(C454:BP454),"")</f>
      </c>
      <c r="BQ489" s="8">
        <f>IF((0=1),SUM(C454:BQ454),"")</f>
      </c>
      <c r="BR489" s="8">
        <f>IF((0=1),SUM(C454:BR454),"")</f>
      </c>
      <c r="BS489" s="8">
        <f>IF((0=1),SUM(C454:BS454),"")</f>
      </c>
      <c r="BT489" s="8">
        <f>IF((0=1),SUM(C454:BT454),"")</f>
      </c>
      <c r="BU489" s="8">
        <f>IF((0=1),SUM(C454:BU454),"")</f>
      </c>
      <c r="BV489" s="8">
        <f>IF((0=1),SUM(C454:BV454),"")</f>
      </c>
      <c r="BW489" s="8">
        <f>IF((0=1),SUM(C454:BW454),"")</f>
      </c>
      <c r="BX489" s="8">
        <f>IF((0=1),SUM(C454:BX454),"")</f>
      </c>
      <c r="BY489" s="8">
        <f>IF((0=1),SUM(C454:BY454),"")</f>
      </c>
      <c r="BZ489" s="8">
        <f>IF((0=1),SUM(C454:BZ454),"")</f>
      </c>
      <c r="CA489" s="8">
        <f>IF((0=1),SUM(C454:CA454),"")</f>
      </c>
      <c r="CB489" s="8">
        <f>IF((0=1),SUM(C454:CB454),"")</f>
      </c>
      <c r="CC489" s="8">
        <f>IF((0=1),SUM(C454:CC454),"")</f>
      </c>
      <c r="CD489" s="8">
        <f>IF((0=1),SUM(C454:CD454),"")</f>
      </c>
      <c r="CE489" s="8">
        <f>IF((0=1),SUM(C454:CE454),"")</f>
      </c>
      <c r="CF489" s="8">
        <f>IF((0=1),SUM(C454:CF454),"")</f>
      </c>
      <c r="CG489" s="8">
        <f>IF((0=1),SUM(C454:CG454),"")</f>
      </c>
      <c r="CH489" s="8">
        <f>IF((0=1),SUM(C454:CH454),"")</f>
      </c>
      <c r="CI489" s="8">
        <f>IF((0=1),SUM(C454:CI454),"")</f>
      </c>
      <c r="CJ489" s="8">
        <f>IF((0=1),SUM(C454:CJ454),"")</f>
      </c>
      <c r="CK489" s="8">
        <f>IF((0=1),SUM(C454:CK454),"")</f>
      </c>
      <c r="CL489" s="8">
        <f>IF((0=1),SUM(C454:CL454),"")</f>
      </c>
      <c r="CM489" s="8">
        <f>IF((0=1),SUM(C454:CM454),"")</f>
      </c>
      <c r="CN489" s="8">
        <f>IF((0=1),SUM(C454:CN454),"")</f>
      </c>
      <c r="CO489" s="8">
        <f>IF((0=1),SUM(C454:CO454),"")</f>
      </c>
      <c r="CP489" s="8">
        <f>IF((0=1),SUM(C454:CP454),"")</f>
      </c>
      <c r="CQ489" s="8">
        <f>IF((0=1),SUM(C454:CQ454),"")</f>
      </c>
      <c r="CR489" s="8">
        <f>IF((0=1),SUM(C454:CR454),"")</f>
      </c>
      <c r="CS489" s="8">
        <f>IF((0=1),SUM(C454:CS454),"")</f>
      </c>
      <c r="CT489" s="8">
        <f>IF((0=1),SUM(C454:CT454),"")</f>
      </c>
      <c r="CU489" s="8">
        <f>IF((0=1),SUM(C454:CU454),"")</f>
      </c>
      <c r="CV489" s="8">
        <f>IF((0=1),SUM(C454:CV454),"")</f>
      </c>
      <c r="CW489" s="8">
        <f>IF((0=1),SUM(C454:CW454),"")</f>
      </c>
      <c r="CX489" s="8">
        <f>IF((0=1),SUM(C454:CX454),"")</f>
      </c>
    </row>
    <row r="490">
      <c r="A490" s="0" t="inlineStr">
        <is>
          <t xml:space="preserve">Cumulative net P&amp;L, $</t>
        </is>
      </c>
      <c r="B490" s="0" t="inlineStr">
        <is>
          <t xml:space="preserve">Random 19</t>
        </is>
      </c>
      <c r="C490" s="8">
        <f>IF((1=1),SUM(C455),"")</f>
        <v>-86.38</v>
      </c>
      <c r="D490" s="8">
        <f>IF((0=1),SUM(C455:D455),"")</f>
      </c>
      <c r="E490" s="8">
        <f>IF((0=1),SUM(C455:E455),"")</f>
      </c>
      <c r="F490" s="8">
        <f>IF((0=1),SUM(C455:F455),"")</f>
      </c>
      <c r="G490" s="8">
        <f>IF((0=1),SUM(C455:G455),"")</f>
      </c>
      <c r="H490" s="8">
        <f>IF((0=1),SUM(C455:H455),"")</f>
      </c>
      <c r="I490" s="8">
        <f>IF((0=1),SUM(C455:I455),"")</f>
      </c>
      <c r="J490" s="8">
        <f>IF((0=1),SUM(C455:J455),"")</f>
      </c>
      <c r="K490" s="8">
        <f>IF((0=1),SUM(C455:K455),"")</f>
      </c>
      <c r="L490" s="8">
        <f>IF((0=1),SUM(C455:L455),"")</f>
      </c>
      <c r="M490" s="8">
        <f>IF((0=1),SUM(C455:M455),"")</f>
      </c>
      <c r="N490" s="8">
        <f>IF((0=1),SUM(C455:N455),"")</f>
      </c>
      <c r="O490" s="8">
        <f>IF((0=1),SUM(C455:O455),"")</f>
      </c>
      <c r="P490" s="8">
        <f>IF((0=1),SUM(C455:P455),"")</f>
      </c>
      <c r="Q490" s="8">
        <f>IF((0=1),SUM(C455:Q455),"")</f>
      </c>
      <c r="R490" s="8">
        <f>IF((0=1),SUM(C455:R455),"")</f>
      </c>
      <c r="S490" s="8">
        <f>IF((0=1),SUM(C455:S455),"")</f>
      </c>
      <c r="T490" s="8">
        <f>IF((0=1),SUM(C455:T455),"")</f>
      </c>
      <c r="U490" s="8">
        <f>IF((0=1),SUM(C455:U455),"")</f>
      </c>
      <c r="V490" s="8">
        <f>IF((0=1),SUM(C455:V455),"")</f>
      </c>
      <c r="W490" s="8">
        <f>IF((0=1),SUM(C455:W455),"")</f>
      </c>
      <c r="X490" s="8">
        <f>IF((0=1),SUM(C455:X455),"")</f>
      </c>
      <c r="Y490" s="8">
        <f>IF((0=1),SUM(C455:Y455),"")</f>
      </c>
      <c r="Z490" s="8">
        <f>IF((0=1),SUM(C455:Z455),"")</f>
      </c>
      <c r="AA490" s="8">
        <f>IF((0=1),SUM(C455:AA455),"")</f>
      </c>
      <c r="AB490" s="8">
        <f>IF((0=1),SUM(C455:AB455),"")</f>
      </c>
      <c r="AC490" s="8">
        <f>IF((0=1),SUM(C455:AC455),"")</f>
      </c>
      <c r="AD490" s="8">
        <f>IF((0=1),SUM(C455:AD455),"")</f>
      </c>
      <c r="AE490" s="8">
        <f>IF((0=1),SUM(C455:AE455),"")</f>
      </c>
      <c r="AF490" s="8">
        <f>IF((0=1),SUM(C455:AF455),"")</f>
      </c>
      <c r="AG490" s="8">
        <f>IF((0=1),SUM(C455:AG455),"")</f>
      </c>
      <c r="AH490" s="8">
        <f>IF((0=1),SUM(C455:AH455),"")</f>
      </c>
      <c r="AI490" s="8">
        <f>IF((0=1),SUM(C455:AI455),"")</f>
      </c>
      <c r="AJ490" s="8">
        <f>IF((0=1),SUM(C455:AJ455),"")</f>
      </c>
      <c r="AK490" s="8">
        <f>IF((0=1),SUM(C455:AK455),"")</f>
      </c>
      <c r="AL490" s="8">
        <f>IF((0=1),SUM(C455:AL455),"")</f>
      </c>
      <c r="AM490" s="8">
        <f>IF((0=1),SUM(C455:AM455),"")</f>
      </c>
      <c r="AN490" s="8">
        <f>IF((0=1),SUM(C455:AN455),"")</f>
      </c>
      <c r="AO490" s="8">
        <f>IF((0=1),SUM(C455:AO455),"")</f>
      </c>
      <c r="AP490" s="8">
        <f>IF((0=1),SUM(C455:AP455),"")</f>
      </c>
      <c r="AQ490" s="8">
        <f>IF((0=1),SUM(C455:AQ455),"")</f>
      </c>
      <c r="AR490" s="8">
        <f>IF((0=1),SUM(C455:AR455),"")</f>
      </c>
      <c r="AS490" s="8">
        <f>IF((0=1),SUM(C455:AS455),"")</f>
      </c>
      <c r="AT490" s="8">
        <f>IF((0=1),SUM(C455:AT455),"")</f>
      </c>
      <c r="AU490" s="8">
        <f>IF((0=1),SUM(C455:AU455),"")</f>
      </c>
      <c r="AV490" s="8">
        <f>IF((0=1),SUM(C455:AV455),"")</f>
      </c>
      <c r="AW490" s="8">
        <f>IF((0=1),SUM(C455:AW455),"")</f>
      </c>
      <c r="AX490" s="8">
        <f>IF((0=1),SUM(C455:AX455),"")</f>
      </c>
      <c r="AY490" s="8">
        <f>IF((0=1),SUM(C455:AY455),"")</f>
      </c>
      <c r="AZ490" s="8">
        <f>IF((0=1),SUM(C455:AZ455),"")</f>
      </c>
      <c r="BA490" s="8">
        <f>IF((0=1),SUM(C455:BA455),"")</f>
      </c>
      <c r="BB490" s="8">
        <f>IF((0=1),SUM(C455:BB455),"")</f>
      </c>
      <c r="BC490" s="8">
        <f>IF((0=1),SUM(C455:BC455),"")</f>
      </c>
      <c r="BD490" s="8">
        <f>IF((0=1),SUM(C455:BD455),"")</f>
      </c>
      <c r="BE490" s="8">
        <f>IF((0=1),SUM(C455:BE455),"")</f>
      </c>
      <c r="BF490" s="8">
        <f>IF((0=1),SUM(C455:BF455),"")</f>
      </c>
      <c r="BG490" s="8">
        <f>IF((0=1),SUM(C455:BG455),"")</f>
      </c>
      <c r="BH490" s="8">
        <f>IF((0=1),SUM(C455:BH455),"")</f>
      </c>
      <c r="BI490" s="8">
        <f>IF((0=1),SUM(C455:BI455),"")</f>
      </c>
      <c r="BJ490" s="8">
        <f>IF((0=1),SUM(C455:BJ455),"")</f>
      </c>
      <c r="BK490" s="8">
        <f>IF((0=1),SUM(C455:BK455),"")</f>
      </c>
      <c r="BL490" s="8">
        <f>IF((0=1),SUM(C455:BL455),"")</f>
      </c>
      <c r="BM490" s="8">
        <f>IF((0=1),SUM(C455:BM455),"")</f>
      </c>
      <c r="BN490" s="8">
        <f>IF((0=1),SUM(C455:BN455),"")</f>
      </c>
      <c r="BO490" s="8">
        <f>IF((0=1),SUM(C455:BO455),"")</f>
      </c>
      <c r="BP490" s="8">
        <f>IF((0=1),SUM(C455:BP455),"")</f>
      </c>
      <c r="BQ490" s="8">
        <f>IF((0=1),SUM(C455:BQ455),"")</f>
      </c>
      <c r="BR490" s="8">
        <f>IF((0=1),SUM(C455:BR455),"")</f>
      </c>
      <c r="BS490" s="8">
        <f>IF((0=1),SUM(C455:BS455),"")</f>
      </c>
      <c r="BT490" s="8">
        <f>IF((0=1),SUM(C455:BT455),"")</f>
      </c>
      <c r="BU490" s="8">
        <f>IF((0=1),SUM(C455:BU455),"")</f>
      </c>
      <c r="BV490" s="8">
        <f>IF((0=1),SUM(C455:BV455),"")</f>
      </c>
      <c r="BW490" s="8">
        <f>IF((0=1),SUM(C455:BW455),"")</f>
      </c>
      <c r="BX490" s="8">
        <f>IF((0=1),SUM(C455:BX455),"")</f>
      </c>
      <c r="BY490" s="8">
        <f>IF((0=1),SUM(C455:BY455),"")</f>
      </c>
      <c r="BZ490" s="8">
        <f>IF((0=1),SUM(C455:BZ455),"")</f>
      </c>
      <c r="CA490" s="8">
        <f>IF((0=1),SUM(C455:CA455),"")</f>
      </c>
      <c r="CB490" s="8">
        <f>IF((0=1),SUM(C455:CB455),"")</f>
      </c>
      <c r="CC490" s="8">
        <f>IF((0=1),SUM(C455:CC455),"")</f>
      </c>
      <c r="CD490" s="8">
        <f>IF((0=1),SUM(C455:CD455),"")</f>
      </c>
      <c r="CE490" s="8">
        <f>IF((0=1),SUM(C455:CE455),"")</f>
      </c>
      <c r="CF490" s="8">
        <f>IF((0=1),SUM(C455:CF455),"")</f>
      </c>
      <c r="CG490" s="8">
        <f>IF((0=1),SUM(C455:CG455),"")</f>
      </c>
      <c r="CH490" s="8">
        <f>IF((0=1),SUM(C455:CH455),"")</f>
      </c>
      <c r="CI490" s="8">
        <f>IF((0=1),SUM(C455:CI455),"")</f>
      </c>
      <c r="CJ490" s="8">
        <f>IF((0=1),SUM(C455:CJ455),"")</f>
      </c>
      <c r="CK490" s="8">
        <f>IF((0=1),SUM(C455:CK455),"")</f>
      </c>
      <c r="CL490" s="8">
        <f>IF((0=1),SUM(C455:CL455),"")</f>
      </c>
      <c r="CM490" s="8">
        <f>IF((0=1),SUM(C455:CM455),"")</f>
      </c>
      <c r="CN490" s="8">
        <f>IF((0=1),SUM(C455:CN455),"")</f>
      </c>
      <c r="CO490" s="8">
        <f>IF((0=1),SUM(C455:CO455),"")</f>
      </c>
      <c r="CP490" s="8">
        <f>IF((0=1),SUM(C455:CP455),"")</f>
      </c>
      <c r="CQ490" s="8">
        <f>IF((0=1),SUM(C455:CQ455),"")</f>
      </c>
      <c r="CR490" s="8">
        <f>IF((0=1),SUM(C455:CR455),"")</f>
      </c>
      <c r="CS490" s="8">
        <f>IF((0=1),SUM(C455:CS455),"")</f>
      </c>
      <c r="CT490" s="8">
        <f>IF((0=1),SUM(C455:CT455),"")</f>
      </c>
      <c r="CU490" s="8">
        <f>IF((0=1),SUM(C455:CU455),"")</f>
      </c>
      <c r="CV490" s="8">
        <f>IF((0=1),SUM(C455:CV455),"")</f>
      </c>
      <c r="CW490" s="8">
        <f>IF((0=1),SUM(C455:CW455),"")</f>
      </c>
      <c r="CX490" s="8">
        <f>IF((0=1),SUM(C455:CX455),"")</f>
      </c>
    </row>
    <row r="491">
      <c r="A491" s="0" t="inlineStr">
        <is>
          <t xml:space="preserve">Cumulative net P&amp;L, $</t>
        </is>
      </c>
      <c r="B491" s="0" t="inlineStr">
        <is>
          <t xml:space="preserve">Random 20</t>
        </is>
      </c>
      <c r="C491" s="8">
        <f>IF((1=1),SUM(C456),"")</f>
        <v>-48.61</v>
      </c>
      <c r="D491" s="8">
        <f>IF((0=1),SUM(C456:D456),"")</f>
      </c>
      <c r="E491" s="8">
        <f>IF((0=1),SUM(C456:E456),"")</f>
      </c>
      <c r="F491" s="8">
        <f>IF((0=1),SUM(C456:F456),"")</f>
      </c>
      <c r="G491" s="8">
        <f>IF((0=1),SUM(C456:G456),"")</f>
      </c>
      <c r="H491" s="8">
        <f>IF((0=1),SUM(C456:H456),"")</f>
      </c>
      <c r="I491" s="8">
        <f>IF((0=1),SUM(C456:I456),"")</f>
      </c>
      <c r="J491" s="8">
        <f>IF((0=1),SUM(C456:J456),"")</f>
      </c>
      <c r="K491" s="8">
        <f>IF((0=1),SUM(C456:K456),"")</f>
      </c>
      <c r="L491" s="8">
        <f>IF((0=1),SUM(C456:L456),"")</f>
      </c>
      <c r="M491" s="8">
        <f>IF((0=1),SUM(C456:M456),"")</f>
      </c>
      <c r="N491" s="8">
        <f>IF((0=1),SUM(C456:N456),"")</f>
      </c>
      <c r="O491" s="8">
        <f>IF((0=1),SUM(C456:O456),"")</f>
      </c>
      <c r="P491" s="8">
        <f>IF((0=1),SUM(C456:P456),"")</f>
      </c>
      <c r="Q491" s="8">
        <f>IF((0=1),SUM(C456:Q456),"")</f>
      </c>
      <c r="R491" s="8">
        <f>IF((0=1),SUM(C456:R456),"")</f>
      </c>
      <c r="S491" s="8">
        <f>IF((0=1),SUM(C456:S456),"")</f>
      </c>
      <c r="T491" s="8">
        <f>IF((0=1),SUM(C456:T456),"")</f>
      </c>
      <c r="U491" s="8">
        <f>IF((0=1),SUM(C456:U456),"")</f>
      </c>
      <c r="V491" s="8">
        <f>IF((0=1),SUM(C456:V456),"")</f>
      </c>
      <c r="W491" s="8">
        <f>IF((0=1),SUM(C456:W456),"")</f>
      </c>
      <c r="X491" s="8">
        <f>IF((0=1),SUM(C456:X456),"")</f>
      </c>
      <c r="Y491" s="8">
        <f>IF((0=1),SUM(C456:Y456),"")</f>
      </c>
      <c r="Z491" s="8">
        <f>IF((0=1),SUM(C456:Z456),"")</f>
      </c>
      <c r="AA491" s="8">
        <f>IF((0=1),SUM(C456:AA456),"")</f>
      </c>
      <c r="AB491" s="8">
        <f>IF((0=1),SUM(C456:AB456),"")</f>
      </c>
      <c r="AC491" s="8">
        <f>IF((0=1),SUM(C456:AC456),"")</f>
      </c>
      <c r="AD491" s="8">
        <f>IF((0=1),SUM(C456:AD456),"")</f>
      </c>
      <c r="AE491" s="8">
        <f>IF((0=1),SUM(C456:AE456),"")</f>
      </c>
      <c r="AF491" s="8">
        <f>IF((0=1),SUM(C456:AF456),"")</f>
      </c>
      <c r="AG491" s="8">
        <f>IF((0=1),SUM(C456:AG456),"")</f>
      </c>
      <c r="AH491" s="8">
        <f>IF((0=1),SUM(C456:AH456),"")</f>
      </c>
      <c r="AI491" s="8">
        <f>IF((0=1),SUM(C456:AI456),"")</f>
      </c>
      <c r="AJ491" s="8">
        <f>IF((0=1),SUM(C456:AJ456),"")</f>
      </c>
      <c r="AK491" s="8">
        <f>IF((0=1),SUM(C456:AK456),"")</f>
      </c>
      <c r="AL491" s="8">
        <f>IF((0=1),SUM(C456:AL456),"")</f>
      </c>
      <c r="AM491" s="8">
        <f>IF((0=1),SUM(C456:AM456),"")</f>
      </c>
      <c r="AN491" s="8">
        <f>IF((0=1),SUM(C456:AN456),"")</f>
      </c>
      <c r="AO491" s="8">
        <f>IF((0=1),SUM(C456:AO456),"")</f>
      </c>
      <c r="AP491" s="8">
        <f>IF((0=1),SUM(C456:AP456),"")</f>
      </c>
      <c r="AQ491" s="8">
        <f>IF((0=1),SUM(C456:AQ456),"")</f>
      </c>
      <c r="AR491" s="8">
        <f>IF((0=1),SUM(C456:AR456),"")</f>
      </c>
      <c r="AS491" s="8">
        <f>IF((0=1),SUM(C456:AS456),"")</f>
      </c>
      <c r="AT491" s="8">
        <f>IF((0=1),SUM(C456:AT456),"")</f>
      </c>
      <c r="AU491" s="8">
        <f>IF((0=1),SUM(C456:AU456),"")</f>
      </c>
      <c r="AV491" s="8">
        <f>IF((0=1),SUM(C456:AV456),"")</f>
      </c>
      <c r="AW491" s="8">
        <f>IF((0=1),SUM(C456:AW456),"")</f>
      </c>
      <c r="AX491" s="8">
        <f>IF((0=1),SUM(C456:AX456),"")</f>
      </c>
      <c r="AY491" s="8">
        <f>IF((0=1),SUM(C456:AY456),"")</f>
      </c>
      <c r="AZ491" s="8">
        <f>IF((0=1),SUM(C456:AZ456),"")</f>
      </c>
      <c r="BA491" s="8">
        <f>IF((0=1),SUM(C456:BA456),"")</f>
      </c>
      <c r="BB491" s="8">
        <f>IF((0=1),SUM(C456:BB456),"")</f>
      </c>
      <c r="BC491" s="8">
        <f>IF((0=1),SUM(C456:BC456),"")</f>
      </c>
      <c r="BD491" s="8">
        <f>IF((0=1),SUM(C456:BD456),"")</f>
      </c>
      <c r="BE491" s="8">
        <f>IF((0=1),SUM(C456:BE456),"")</f>
      </c>
      <c r="BF491" s="8">
        <f>IF((0=1),SUM(C456:BF456),"")</f>
      </c>
      <c r="BG491" s="8">
        <f>IF((0=1),SUM(C456:BG456),"")</f>
      </c>
      <c r="BH491" s="8">
        <f>IF((0=1),SUM(C456:BH456),"")</f>
      </c>
      <c r="BI491" s="8">
        <f>IF((0=1),SUM(C456:BI456),"")</f>
      </c>
      <c r="BJ491" s="8">
        <f>IF((0=1),SUM(C456:BJ456),"")</f>
      </c>
      <c r="BK491" s="8">
        <f>IF((0=1),SUM(C456:BK456),"")</f>
      </c>
      <c r="BL491" s="8">
        <f>IF((0=1),SUM(C456:BL456),"")</f>
      </c>
      <c r="BM491" s="8">
        <f>IF((0=1),SUM(C456:BM456),"")</f>
      </c>
      <c r="BN491" s="8">
        <f>IF((0=1),SUM(C456:BN456),"")</f>
      </c>
      <c r="BO491" s="8">
        <f>IF((0=1),SUM(C456:BO456),"")</f>
      </c>
      <c r="BP491" s="8">
        <f>IF((0=1),SUM(C456:BP456),"")</f>
      </c>
      <c r="BQ491" s="8">
        <f>IF((0=1),SUM(C456:BQ456),"")</f>
      </c>
      <c r="BR491" s="8">
        <f>IF((0=1),SUM(C456:BR456),"")</f>
      </c>
      <c r="BS491" s="8">
        <f>IF((0=1),SUM(C456:BS456),"")</f>
      </c>
      <c r="BT491" s="8">
        <f>IF((0=1),SUM(C456:BT456),"")</f>
      </c>
      <c r="BU491" s="8">
        <f>IF((0=1),SUM(C456:BU456),"")</f>
      </c>
      <c r="BV491" s="8">
        <f>IF((0=1),SUM(C456:BV456),"")</f>
      </c>
      <c r="BW491" s="8">
        <f>IF((0=1),SUM(C456:BW456),"")</f>
      </c>
      <c r="BX491" s="8">
        <f>IF((0=1),SUM(C456:BX456),"")</f>
      </c>
      <c r="BY491" s="8">
        <f>IF((0=1),SUM(C456:BY456),"")</f>
      </c>
      <c r="BZ491" s="8">
        <f>IF((0=1),SUM(C456:BZ456),"")</f>
      </c>
      <c r="CA491" s="8">
        <f>IF((0=1),SUM(C456:CA456),"")</f>
      </c>
      <c r="CB491" s="8">
        <f>IF((0=1),SUM(C456:CB456),"")</f>
      </c>
      <c r="CC491" s="8">
        <f>IF((0=1),SUM(C456:CC456),"")</f>
      </c>
      <c r="CD491" s="8">
        <f>IF((0=1),SUM(C456:CD456),"")</f>
      </c>
      <c r="CE491" s="8">
        <f>IF((0=1),SUM(C456:CE456),"")</f>
      </c>
      <c r="CF491" s="8">
        <f>IF((0=1),SUM(C456:CF456),"")</f>
      </c>
      <c r="CG491" s="8">
        <f>IF((0=1),SUM(C456:CG456),"")</f>
      </c>
      <c r="CH491" s="8">
        <f>IF((0=1),SUM(C456:CH456),"")</f>
      </c>
      <c r="CI491" s="8">
        <f>IF((0=1),SUM(C456:CI456),"")</f>
      </c>
      <c r="CJ491" s="8">
        <f>IF((0=1),SUM(C456:CJ456),"")</f>
      </c>
      <c r="CK491" s="8">
        <f>IF((0=1),SUM(C456:CK456),"")</f>
      </c>
      <c r="CL491" s="8">
        <f>IF((0=1),SUM(C456:CL456),"")</f>
      </c>
      <c r="CM491" s="8">
        <f>IF((0=1),SUM(C456:CM456),"")</f>
      </c>
      <c r="CN491" s="8">
        <f>IF((0=1),SUM(C456:CN456),"")</f>
      </c>
      <c r="CO491" s="8">
        <f>IF((0=1),SUM(C456:CO456),"")</f>
      </c>
      <c r="CP491" s="8">
        <f>IF((0=1),SUM(C456:CP456),"")</f>
      </c>
      <c r="CQ491" s="8">
        <f>IF((0=1),SUM(C456:CQ456),"")</f>
      </c>
      <c r="CR491" s="8">
        <f>IF((0=1),SUM(C456:CR456),"")</f>
      </c>
      <c r="CS491" s="8">
        <f>IF((0=1),SUM(C456:CS456),"")</f>
      </c>
      <c r="CT491" s="8">
        <f>IF((0=1),SUM(C456:CT456),"")</f>
      </c>
      <c r="CU491" s="8">
        <f>IF((0=1),SUM(C456:CU456),"")</f>
      </c>
      <c r="CV491" s="8">
        <f>IF((0=1),SUM(C456:CV456),"")</f>
      </c>
      <c r="CW491" s="8">
        <f>IF((0=1),SUM(C456:CW456),"")</f>
      </c>
      <c r="CX491" s="8">
        <f>IF((0=1),SUM(C456:CX456),"")</f>
      </c>
    </row>
    <row r="492">
      <c r="A492" s="0" t="inlineStr">
        <is>
          <t xml:space="preserve">Cumulative excess, realized then projected at running mean</t>
        </is>
      </c>
      <c r="B492" s="0" t="inlineStr">
        <is>
          <t xml:space="preserve">worst 100 by yesterday's close-to-close return</t>
        </is>
      </c>
      <c r="C492" s="8">
        <f>IF((1=1),C177,(C177+(C247*(1-1))))</f>
        <v>13.654</v>
      </c>
      <c r="D492" s="8">
        <f>IF((0=1),D177,(C177+(C247*(2-1))))</f>
        <v>27.308</v>
      </c>
      <c r="E492" s="8">
        <f>IF((0=1),E177,(C177+(C247*(3-1))))</f>
        <v>40.962</v>
      </c>
      <c r="F492" s="8">
        <f>IF((0=1),F177,(C177+(C247*(4-1))))</f>
        <v>54.616</v>
      </c>
      <c r="G492" s="8">
        <f>IF((0=1),G177,(C177+(C247*(5-1))))</f>
        <v>68.27</v>
      </c>
      <c r="H492" s="8">
        <f>IF((0=1),H177,(C177+(C247*(6-1))))</f>
        <v>81.92399999999999</v>
      </c>
      <c r="I492" s="8">
        <f>IF((0=1),I177,(C177+(C247*(7-1))))</f>
        <v>95.578</v>
      </c>
      <c r="J492" s="8">
        <f>IF((0=1),J177,(C177+(C247*(8-1))))</f>
        <v>109.232</v>
      </c>
      <c r="K492" s="8">
        <f>IF((0=1),K177,(C177+(C247*(9-1))))</f>
        <v>122.886</v>
      </c>
      <c r="L492" s="8">
        <f>IF((0=1),L177,(C177+(C247*(10-1))))</f>
        <v>136.54</v>
      </c>
      <c r="M492" s="8">
        <f>IF((0=1),M177,(C177+(C247*(11-1))))</f>
        <v>150.194</v>
      </c>
      <c r="N492" s="8">
        <f>IF((0=1),N177,(C177+(C247*(12-1))))</f>
        <v>163.84799999999998</v>
      </c>
      <c r="O492" s="8">
        <f>IF((0=1),O177,(C177+(C247*(13-1))))</f>
        <v>177.502</v>
      </c>
      <c r="P492" s="8">
        <f>IF((0=1),P177,(C177+(C247*(14-1))))</f>
        <v>191.156</v>
      </c>
      <c r="Q492" s="8">
        <f>IF((0=1),Q177,(C177+(C247*(15-1))))</f>
        <v>204.81</v>
      </c>
      <c r="R492" s="8">
        <f>IF((0=1),R177,(C177+(C247*(16-1))))</f>
        <v>218.464</v>
      </c>
      <c r="S492" s="8">
        <f>IF((0=1),S177,(C177+(C247*(17-1))))</f>
        <v>232.118</v>
      </c>
      <c r="T492" s="8">
        <f>IF((0=1),T177,(C177+(C247*(18-1))))</f>
        <v>245.772</v>
      </c>
      <c r="U492" s="8">
        <f>IF((0=1),U177,(C177+(C247*(19-1))))</f>
        <v>259.426</v>
      </c>
      <c r="V492" s="8">
        <f>IF((0=1),V177,(C177+(C247*(20-1))))</f>
        <v>273.08</v>
      </c>
      <c r="W492" s="8">
        <f>IF((0=1),W177,(C177+(C247*(21-1))))</f>
        <v>286.734</v>
      </c>
      <c r="X492" s="8">
        <f>IF((0=1),X177,(C177+(C247*(22-1))))</f>
        <v>300.388</v>
      </c>
      <c r="Y492" s="8">
        <f>IF((0=1),Y177,(C177+(C247*(23-1))))</f>
        <v>314.042</v>
      </c>
      <c r="Z492" s="8">
        <f>IF((0=1),Z177,(C177+(C247*(24-1))))</f>
        <v>327.69599999999997</v>
      </c>
      <c r="AA492" s="8">
        <f>IF((0=1),AA177,(C177+(C247*(25-1))))</f>
        <v>341.35</v>
      </c>
      <c r="AB492" s="8">
        <f>IF((0=1),AB177,(C177+(C247*(26-1))))</f>
        <v>355.004</v>
      </c>
      <c r="AC492" s="8">
        <f>IF((0=1),AC177,(C177+(C247*(27-1))))</f>
        <v>368.658</v>
      </c>
      <c r="AD492" s="8">
        <f>IF((0=1),AD177,(C177+(C247*(28-1))))</f>
        <v>382.312</v>
      </c>
      <c r="AE492" s="8">
        <f>IF((0=1),AE177,(C177+(C247*(29-1))))</f>
        <v>395.966</v>
      </c>
      <c r="AF492" s="8">
        <f>IF((0=1),AF177,(C177+(C247*(30-1))))</f>
        <v>409.62</v>
      </c>
      <c r="AG492" s="8">
        <f>IF((0=1),AG177,(C177+(C247*(31-1))))</f>
        <v>423.274</v>
      </c>
      <c r="AH492" s="8">
        <f>IF((0=1),AH177,(C177+(C247*(32-1))))</f>
        <v>436.928</v>
      </c>
      <c r="AI492" s="8">
        <f>IF((0=1),AI177,(C177+(C247*(33-1))))</f>
        <v>450.582</v>
      </c>
      <c r="AJ492" s="8">
        <f>IF((0=1),AJ177,(C177+(C247*(34-1))))</f>
        <v>464.236</v>
      </c>
      <c r="AK492" s="8">
        <f>IF((0=1),AK177,(C177+(C247*(35-1))))</f>
        <v>477.89</v>
      </c>
      <c r="AL492" s="8">
        <f>IF((0=1),AL177,(C177+(C247*(36-1))))</f>
        <v>491.544</v>
      </c>
      <c r="AM492" s="8">
        <f>IF((0=1),AM177,(C177+(C247*(37-1))))</f>
        <v>505.198</v>
      </c>
      <c r="AN492" s="8">
        <f>IF((0=1),AN177,(C177+(C247*(38-1))))</f>
        <v>518.852</v>
      </c>
      <c r="AO492" s="8">
        <f>IF((0=1),AO177,(C177+(C247*(39-1))))</f>
        <v>532.506</v>
      </c>
      <c r="AP492" s="8">
        <f>IF((0=1),AP177,(C177+(C247*(40-1))))</f>
        <v>546.16</v>
      </c>
      <c r="AQ492" s="8">
        <f>IF((0=1),AQ177,(C177+(C247*(41-1))))</f>
        <v>559.814</v>
      </c>
      <c r="AR492" s="8">
        <f>IF((0=1),AR177,(C177+(C247*(42-1))))</f>
        <v>573.468</v>
      </c>
      <c r="AS492" s="8">
        <f>IF((0=1),AS177,(C177+(C247*(43-1))))</f>
        <v>587.122</v>
      </c>
      <c r="AT492" s="8">
        <f>IF((0=1),AT177,(C177+(C247*(44-1))))</f>
        <v>600.776</v>
      </c>
      <c r="AU492" s="8">
        <f>IF((0=1),AU177,(C177+(C247*(45-1))))</f>
        <v>614.43</v>
      </c>
      <c r="AV492" s="8">
        <f>IF((0=1),AV177,(C177+(C247*(46-1))))</f>
        <v>628.084</v>
      </c>
      <c r="AW492" s="8">
        <f>IF((0=1),AW177,(C177+(C247*(47-1))))</f>
        <v>641.7379999999999</v>
      </c>
      <c r="AX492" s="8">
        <f>IF((0=1),AX177,(C177+(C247*(48-1))))</f>
        <v>655.3919999999999</v>
      </c>
      <c r="AY492" s="8">
        <f>IF((0=1),AY177,(C177+(C247*(49-1))))</f>
        <v>669.046</v>
      </c>
      <c r="AZ492" s="8">
        <f>IF((0=1),AZ177,(C177+(C247*(50-1))))</f>
        <v>682.7</v>
      </c>
      <c r="BA492" s="8">
        <f>IF((0=1),BA177,(C177+(C247*(51-1))))</f>
        <v>696.354</v>
      </c>
      <c r="BB492" s="8">
        <f>IF((0=1),BB177,(C177+(C247*(52-1))))</f>
        <v>710.008</v>
      </c>
      <c r="BC492" s="8">
        <f>IF((0=1),BC177,(C177+(C247*(53-1))))</f>
        <v>723.662</v>
      </c>
      <c r="BD492" s="8">
        <f>IF((0=1),BD177,(C177+(C247*(54-1))))</f>
        <v>737.316</v>
      </c>
      <c r="BE492" s="8">
        <f>IF((0=1),BE177,(C177+(C247*(55-1))))</f>
        <v>750.97</v>
      </c>
      <c r="BF492" s="8">
        <f>IF((0=1),BF177,(C177+(C247*(56-1))))</f>
        <v>764.624</v>
      </c>
      <c r="BG492" s="8">
        <f>IF((0=1),BG177,(C177+(C247*(57-1))))</f>
        <v>778.278</v>
      </c>
      <c r="BH492" s="8">
        <f>IF((0=1),BH177,(C177+(C247*(58-1))))</f>
        <v>791.932</v>
      </c>
      <c r="BI492" s="8">
        <f>IF((0=1),BI177,(C177+(C247*(59-1))))</f>
        <v>805.586</v>
      </c>
      <c r="BJ492" s="8">
        <f>IF((0=1),BJ177,(C177+(C247*(60-1))))</f>
        <v>819.24</v>
      </c>
      <c r="BK492" s="8">
        <f>IF((0=1),BK177,(C177+(C247*(61-1))))</f>
        <v>832.894</v>
      </c>
      <c r="BL492" s="8">
        <f>IF((0=1),BL177,(C177+(C247*(62-1))))</f>
        <v>846.548</v>
      </c>
      <c r="BM492" s="8">
        <f>IF((0=1),BM177,(C177+(C247*(63-1))))</f>
        <v>860.202</v>
      </c>
      <c r="BN492" s="8">
        <f>IF((0=1),BN177,(C177+(C247*(64-1))))</f>
        <v>873.856</v>
      </c>
      <c r="BO492" s="8">
        <f>IF((0=1),BO177,(C177+(C247*(65-1))))</f>
        <v>887.51</v>
      </c>
      <c r="BP492" s="8">
        <f>IF((0=1),BP177,(C177+(C247*(66-1))))</f>
        <v>901.164</v>
      </c>
      <c r="BQ492" s="8">
        <f>IF((0=1),BQ177,(C177+(C247*(67-1))))</f>
        <v>914.818</v>
      </c>
      <c r="BR492" s="8">
        <f>IF((0=1),BR177,(C177+(C247*(68-1))))</f>
        <v>928.472</v>
      </c>
      <c r="BS492" s="8">
        <f>IF((0=1),BS177,(C177+(C247*(69-1))))</f>
        <v>942.126</v>
      </c>
      <c r="BT492" s="8">
        <f>IF((0=1),BT177,(C177+(C247*(70-1))))</f>
        <v>955.78</v>
      </c>
      <c r="BU492" s="8">
        <f>IF((0=1),BU177,(C177+(C247*(71-1))))</f>
        <v>969.434</v>
      </c>
      <c r="BV492" s="8">
        <f>IF((0=1),BV177,(C177+(C247*(72-1))))</f>
        <v>983.088</v>
      </c>
      <c r="BW492" s="8">
        <f>IF((0=1),BW177,(C177+(C247*(73-1))))</f>
        <v>996.742</v>
      </c>
      <c r="BX492" s="8">
        <f>IF((0=1),BX177,(C177+(C247*(74-1))))</f>
        <v>1010.396</v>
      </c>
      <c r="BY492" s="8">
        <f>IF((0=1),BY177,(C177+(C247*(75-1))))</f>
        <v>1024.05</v>
      </c>
      <c r="BZ492" s="8">
        <f>IF((0=1),BZ177,(C177+(C247*(76-1))))</f>
        <v>1037.704</v>
      </c>
      <c r="CA492" s="8">
        <f>IF((0=1),CA177,(C177+(C247*(77-1))))</f>
        <v>1051.358</v>
      </c>
      <c r="CB492" s="8">
        <f>IF((0=1),CB177,(C177+(C247*(78-1))))</f>
        <v>1065.012</v>
      </c>
      <c r="CC492" s="8">
        <f>IF((0=1),CC177,(C177+(C247*(79-1))))</f>
        <v>1078.666</v>
      </c>
      <c r="CD492" s="8">
        <f>IF((0=1),CD177,(C177+(C247*(80-1))))</f>
        <v>1092.32</v>
      </c>
      <c r="CE492" s="8">
        <f>IF((0=1),CE177,(C177+(C247*(81-1))))</f>
        <v>1105.974</v>
      </c>
      <c r="CF492" s="8">
        <f>IF((0=1),CF177,(C177+(C247*(82-1))))</f>
        <v>1119.628</v>
      </c>
      <c r="CG492" s="8">
        <f>IF((0=1),CG177,(C177+(C247*(83-1))))</f>
        <v>1133.282</v>
      </c>
      <c r="CH492" s="8">
        <f>IF((0=1),CH177,(C177+(C247*(84-1))))</f>
        <v>1146.936</v>
      </c>
      <c r="CI492" s="8">
        <f>IF((0=1),CI177,(C177+(C247*(85-1))))</f>
        <v>1160.59</v>
      </c>
      <c r="CJ492" s="8">
        <f>IF((0=1),CJ177,(C177+(C247*(86-1))))</f>
        <v>1174.244</v>
      </c>
      <c r="CK492" s="8">
        <f>IF((0=1),CK177,(C177+(C247*(87-1))))</f>
        <v>1187.898</v>
      </c>
      <c r="CL492" s="8">
        <f>IF((0=1),CL177,(C177+(C247*(88-1))))</f>
        <v>1201.552</v>
      </c>
      <c r="CM492" s="8">
        <f>IF((0=1),CM177,(C177+(C247*(89-1))))</f>
        <v>1215.206</v>
      </c>
      <c r="CN492" s="8">
        <f>IF((0=1),CN177,(C177+(C247*(90-1))))</f>
        <v>1228.86</v>
      </c>
      <c r="CO492" s="8">
        <f>IF((0=1),CO177,(C177+(C247*(91-1))))</f>
        <v>1242.514</v>
      </c>
      <c r="CP492" s="8">
        <f>IF((0=1),CP177,(C177+(C247*(92-1))))</f>
        <v>1256.168</v>
      </c>
      <c r="CQ492" s="8">
        <f>IF((0=1),CQ177,(C177+(C247*(93-1))))</f>
        <v>1269.822</v>
      </c>
      <c r="CR492" s="8">
        <f>IF((0=1),CR177,(C177+(C247*(94-1))))</f>
        <v>1283.4759999999999</v>
      </c>
      <c r="CS492" s="8">
        <f>IF((0=1),CS177,(C177+(C247*(95-1))))</f>
        <v>1297.1299999999999</v>
      </c>
      <c r="CT492" s="8">
        <f>IF((0=1),CT177,(C177+(C247*(96-1))))</f>
        <v>1310.7839999999999</v>
      </c>
      <c r="CU492" s="8">
        <f>IF((0=1),CU177,(C177+(C247*(97-1))))</f>
        <v>1324.438</v>
      </c>
      <c r="CV492" s="8">
        <f>IF((0=1),CV177,(C177+(C247*(98-1))))</f>
        <v>1338.092</v>
      </c>
      <c r="CW492" s="8">
        <f>IF((0=1),CW177,(C177+(C247*(99-1))))</f>
        <v>1351.746</v>
      </c>
      <c r="CX492" s="8">
        <f>IF((0=1),CX177,(C177+(C247*(100-1))))</f>
        <v>1365.4</v>
      </c>
    </row>
    <row r="493">
      <c r="A493" s="0" t="inlineStr">
        <is>
          <t xml:space="preserve">Cumulative excess, realized then projected at running mean</t>
        </is>
      </c>
      <c r="B493" s="0" t="inlineStr">
        <is>
          <t xml:space="preserve">lowest 100 by 60-day volatility</t>
        </is>
      </c>
      <c r="C493" s="8">
        <f>IF((1=1),C178,(C178+(C248*(1-1))))</f>
        <v>12.648</v>
      </c>
      <c r="D493" s="8">
        <f>IF((0=1),D178,(C178+(C248*(2-1))))</f>
        <v>25.296</v>
      </c>
      <c r="E493" s="8">
        <f>IF((0=1),E178,(C178+(C248*(3-1))))</f>
        <v>37.944</v>
      </c>
      <c r="F493" s="8">
        <f>IF((0=1),F178,(C178+(C248*(4-1))))</f>
        <v>50.592</v>
      </c>
      <c r="G493" s="8">
        <f>IF((0=1),G178,(C178+(C248*(5-1))))</f>
        <v>63.239999999999995</v>
      </c>
      <c r="H493" s="8">
        <f>IF((0=1),H178,(C178+(C248*(6-1))))</f>
        <v>75.88799999999999</v>
      </c>
      <c r="I493" s="8">
        <f>IF((0=1),I178,(C178+(C248*(7-1))))</f>
        <v>88.536</v>
      </c>
      <c r="J493" s="8">
        <f>IF((0=1),J178,(C178+(C248*(8-1))))</f>
        <v>101.184</v>
      </c>
      <c r="K493" s="8">
        <f>IF((0=1),K178,(C178+(C248*(9-1))))</f>
        <v>113.832</v>
      </c>
      <c r="L493" s="8">
        <f>IF((0=1),L178,(C178+(C248*(10-1))))</f>
        <v>126.47999999999999</v>
      </c>
      <c r="M493" s="8">
        <f>IF((0=1),M178,(C178+(C248*(11-1))))</f>
        <v>139.128</v>
      </c>
      <c r="N493" s="8">
        <f>IF((0=1),N178,(C178+(C248*(12-1))))</f>
        <v>151.77599999999998</v>
      </c>
      <c r="O493" s="8">
        <f>IF((0=1),O178,(C178+(C248*(13-1))))</f>
        <v>164.424</v>
      </c>
      <c r="P493" s="8">
        <f>IF((0=1),P178,(C178+(C248*(14-1))))</f>
        <v>177.072</v>
      </c>
      <c r="Q493" s="8">
        <f>IF((0=1),Q178,(C178+(C248*(15-1))))</f>
        <v>189.72</v>
      </c>
      <c r="R493" s="8">
        <f>IF((0=1),R178,(C178+(C248*(16-1))))</f>
        <v>202.368</v>
      </c>
      <c r="S493" s="8">
        <f>IF((0=1),S178,(C178+(C248*(17-1))))</f>
        <v>215.016</v>
      </c>
      <c r="T493" s="8">
        <f>IF((0=1),T178,(C178+(C248*(18-1))))</f>
        <v>227.664</v>
      </c>
      <c r="U493" s="8">
        <f>IF((0=1),U178,(C178+(C248*(19-1))))</f>
        <v>240.31199999999998</v>
      </c>
      <c r="V493" s="8">
        <f>IF((0=1),V178,(C178+(C248*(20-1))))</f>
        <v>252.95999999999998</v>
      </c>
      <c r="W493" s="8">
        <f>IF((0=1),W178,(C178+(C248*(21-1))))</f>
        <v>265.608</v>
      </c>
      <c r="X493" s="8">
        <f>IF((0=1),X178,(C178+(C248*(22-1))))</f>
        <v>278.25600000000003</v>
      </c>
      <c r="Y493" s="8">
        <f>IF((0=1),Y178,(C178+(C248*(23-1))))</f>
        <v>290.904</v>
      </c>
      <c r="Z493" s="8">
        <f>IF((0=1),Z178,(C178+(C248*(24-1))))</f>
        <v>303.552</v>
      </c>
      <c r="AA493" s="8">
        <f>IF((0=1),AA178,(C178+(C248*(25-1))))</f>
        <v>316.20000000000005</v>
      </c>
      <c r="AB493" s="8">
        <f>IF((0=1),AB178,(C178+(C248*(26-1))))</f>
        <v>328.848</v>
      </c>
      <c r="AC493" s="8">
        <f>IF((0=1),AC178,(C178+(C248*(27-1))))</f>
        <v>341.49600000000004</v>
      </c>
      <c r="AD493" s="8">
        <f>IF((0=1),AD178,(C178+(C248*(28-1))))</f>
        <v>354.144</v>
      </c>
      <c r="AE493" s="8">
        <f>IF((0=1),AE178,(C178+(C248*(29-1))))</f>
        <v>366.79200000000003</v>
      </c>
      <c r="AF493" s="8">
        <f>IF((0=1),AF178,(C178+(C248*(30-1))))</f>
        <v>379.44</v>
      </c>
      <c r="AG493" s="8">
        <f>IF((0=1),AG178,(C178+(C248*(31-1))))</f>
        <v>392.088</v>
      </c>
      <c r="AH493" s="8">
        <f>IF((0=1),AH178,(C178+(C248*(32-1))))</f>
        <v>404.736</v>
      </c>
      <c r="AI493" s="8">
        <f>IF((0=1),AI178,(C178+(C248*(33-1))))</f>
        <v>417.384</v>
      </c>
      <c r="AJ493" s="8">
        <f>IF((0=1),AJ178,(C178+(C248*(34-1))))</f>
        <v>430.03200000000004</v>
      </c>
      <c r="AK493" s="8">
        <f>IF((0=1),AK178,(C178+(C248*(35-1))))</f>
        <v>442.68</v>
      </c>
      <c r="AL493" s="8">
        <f>IF((0=1),AL178,(C178+(C248*(36-1))))</f>
        <v>455.32800000000003</v>
      </c>
      <c r="AM493" s="8">
        <f>IF((0=1),AM178,(C178+(C248*(37-1))))</f>
        <v>467.976</v>
      </c>
      <c r="AN493" s="8">
        <f>IF((0=1),AN178,(C178+(C248*(38-1))))</f>
        <v>480.624</v>
      </c>
      <c r="AO493" s="8">
        <f>IF((0=1),AO178,(C178+(C248*(39-1))))</f>
        <v>493.272</v>
      </c>
      <c r="AP493" s="8">
        <f>IF((0=1),AP178,(C178+(C248*(40-1))))</f>
        <v>505.92</v>
      </c>
      <c r="AQ493" s="8">
        <f>IF((0=1),AQ178,(C178+(C248*(41-1))))</f>
        <v>518.568</v>
      </c>
      <c r="AR493" s="8">
        <f>IF((0=1),AR178,(C178+(C248*(42-1))))</f>
        <v>531.216</v>
      </c>
      <c r="AS493" s="8">
        <f>IF((0=1),AS178,(C178+(C248*(43-1))))</f>
        <v>543.864</v>
      </c>
      <c r="AT493" s="8">
        <f>IF((0=1),AT178,(C178+(C248*(44-1))))</f>
        <v>556.5120000000001</v>
      </c>
      <c r="AU493" s="8">
        <f>IF((0=1),AU178,(C178+(C248*(45-1))))</f>
        <v>569.16</v>
      </c>
      <c r="AV493" s="8">
        <f>IF((0=1),AV178,(C178+(C248*(46-1))))</f>
        <v>581.808</v>
      </c>
      <c r="AW493" s="8">
        <f>IF((0=1),AW178,(C178+(C248*(47-1))))</f>
        <v>594.456</v>
      </c>
      <c r="AX493" s="8">
        <f>IF((0=1),AX178,(C178+(C248*(48-1))))</f>
        <v>607.104</v>
      </c>
      <c r="AY493" s="8">
        <f>IF((0=1),AY178,(C178+(C248*(49-1))))</f>
        <v>619.7520000000001</v>
      </c>
      <c r="AZ493" s="8">
        <f>IF((0=1),AZ178,(C178+(C248*(50-1))))</f>
        <v>632.4</v>
      </c>
      <c r="BA493" s="8">
        <f>IF((0=1),BA178,(C178+(C248*(51-1))))</f>
        <v>645.048</v>
      </c>
      <c r="BB493" s="8">
        <f>IF((0=1),BB178,(C178+(C248*(52-1))))</f>
        <v>657.696</v>
      </c>
      <c r="BC493" s="8">
        <f>IF((0=1),BC178,(C178+(C248*(53-1))))</f>
        <v>670.344</v>
      </c>
      <c r="BD493" s="8">
        <f>IF((0=1),BD178,(C178+(C248*(54-1))))</f>
        <v>682.992</v>
      </c>
      <c r="BE493" s="8">
        <f>IF((0=1),BE178,(C178+(C248*(55-1))))</f>
        <v>695.64</v>
      </c>
      <c r="BF493" s="8">
        <f>IF((0=1),BF178,(C178+(C248*(56-1))))</f>
        <v>708.288</v>
      </c>
      <c r="BG493" s="8">
        <f>IF((0=1),BG178,(C178+(C248*(57-1))))</f>
        <v>720.936</v>
      </c>
      <c r="BH493" s="8">
        <f>IF((0=1),BH178,(C178+(C248*(58-1))))</f>
        <v>733.5840000000001</v>
      </c>
      <c r="BI493" s="8">
        <f>IF((0=1),BI178,(C178+(C248*(59-1))))</f>
        <v>746.232</v>
      </c>
      <c r="BJ493" s="8">
        <f>IF((0=1),BJ178,(C178+(C248*(60-1))))</f>
        <v>758.88</v>
      </c>
      <c r="BK493" s="8">
        <f>IF((0=1),BK178,(C178+(C248*(61-1))))</f>
        <v>771.528</v>
      </c>
      <c r="BL493" s="8">
        <f>IF((0=1),BL178,(C178+(C248*(62-1))))</f>
        <v>784.176</v>
      </c>
      <c r="BM493" s="8">
        <f>IF((0=1),BM178,(C178+(C248*(63-1))))</f>
        <v>796.824</v>
      </c>
      <c r="BN493" s="8">
        <f>IF((0=1),BN178,(C178+(C248*(64-1))))</f>
        <v>809.472</v>
      </c>
      <c r="BO493" s="8">
        <f>IF((0=1),BO178,(C178+(C248*(65-1))))</f>
        <v>822.12</v>
      </c>
      <c r="BP493" s="8">
        <f>IF((0=1),BP178,(C178+(C248*(66-1))))</f>
        <v>834.768</v>
      </c>
      <c r="BQ493" s="8">
        <f>IF((0=1),BQ178,(C178+(C248*(67-1))))</f>
        <v>847.416</v>
      </c>
      <c r="BR493" s="8">
        <f>IF((0=1),BR178,(C178+(C248*(68-1))))</f>
        <v>860.064</v>
      </c>
      <c r="BS493" s="8">
        <f>IF((0=1),BS178,(C178+(C248*(69-1))))</f>
        <v>872.712</v>
      </c>
      <c r="BT493" s="8">
        <f>IF((0=1),BT178,(C178+(C248*(70-1))))</f>
        <v>885.36</v>
      </c>
      <c r="BU493" s="8">
        <f>IF((0=1),BU178,(C178+(C248*(71-1))))</f>
        <v>898.008</v>
      </c>
      <c r="BV493" s="8">
        <f>IF((0=1),BV178,(C178+(C248*(72-1))))</f>
        <v>910.656</v>
      </c>
      <c r="BW493" s="8">
        <f>IF((0=1),BW178,(C178+(C248*(73-1))))</f>
        <v>923.304</v>
      </c>
      <c r="BX493" s="8">
        <f>IF((0=1),BX178,(C178+(C248*(74-1))))</f>
        <v>935.952</v>
      </c>
      <c r="BY493" s="8">
        <f>IF((0=1),BY178,(C178+(C248*(75-1))))</f>
        <v>948.6</v>
      </c>
      <c r="BZ493" s="8">
        <f>IF((0=1),BZ178,(C178+(C248*(76-1))))</f>
        <v>961.248</v>
      </c>
      <c r="CA493" s="8">
        <f>IF((0=1),CA178,(C178+(C248*(77-1))))</f>
        <v>973.896</v>
      </c>
      <c r="CB493" s="8">
        <f>IF((0=1),CB178,(C178+(C248*(78-1))))</f>
        <v>986.544</v>
      </c>
      <c r="CC493" s="8">
        <f>IF((0=1),CC178,(C178+(C248*(79-1))))</f>
        <v>999.192</v>
      </c>
      <c r="CD493" s="8">
        <f>IF((0=1),CD178,(C178+(C248*(80-1))))</f>
        <v>1011.84</v>
      </c>
      <c r="CE493" s="8">
        <f>IF((0=1),CE178,(C178+(C248*(81-1))))</f>
        <v>1024.4879999999998</v>
      </c>
      <c r="CF493" s="8">
        <f>IF((0=1),CF178,(C178+(C248*(82-1))))</f>
        <v>1037.136</v>
      </c>
      <c r="CG493" s="8">
        <f>IF((0=1),CG178,(C178+(C248*(83-1))))</f>
        <v>1049.7839999999999</v>
      </c>
      <c r="CH493" s="8">
        <f>IF((0=1),CH178,(C178+(C248*(84-1))))</f>
        <v>1062.4319999999998</v>
      </c>
      <c r="CI493" s="8">
        <f>IF((0=1),CI178,(C178+(C248*(85-1))))</f>
        <v>1075.08</v>
      </c>
      <c r="CJ493" s="8">
        <f>IF((0=1),CJ178,(C178+(C248*(86-1))))</f>
        <v>1087.7279999999998</v>
      </c>
      <c r="CK493" s="8">
        <f>IF((0=1),CK178,(C178+(C248*(87-1))))</f>
        <v>1100.376</v>
      </c>
      <c r="CL493" s="8">
        <f>IF((0=1),CL178,(C178+(C248*(88-1))))</f>
        <v>1113.024</v>
      </c>
      <c r="CM493" s="8">
        <f>IF((0=1),CM178,(C178+(C248*(89-1))))</f>
        <v>1125.6719999999998</v>
      </c>
      <c r="CN493" s="8">
        <f>IF((0=1),CN178,(C178+(C248*(90-1))))</f>
        <v>1138.32</v>
      </c>
      <c r="CO493" s="8">
        <f>IF((0=1),CO178,(C178+(C248*(91-1))))</f>
        <v>1150.9679999999998</v>
      </c>
      <c r="CP493" s="8">
        <f>IF((0=1),CP178,(C178+(C248*(92-1))))</f>
        <v>1163.616</v>
      </c>
      <c r="CQ493" s="8">
        <f>IF((0=1),CQ178,(C178+(C248*(93-1))))</f>
        <v>1176.264</v>
      </c>
      <c r="CR493" s="8">
        <f>IF((0=1),CR178,(C178+(C248*(94-1))))</f>
        <v>1188.9119999999998</v>
      </c>
      <c r="CS493" s="8">
        <f>IF((0=1),CS178,(C178+(C248*(95-1))))</f>
        <v>1201.56</v>
      </c>
      <c r="CT493" s="8">
        <f>IF((0=1),CT178,(C178+(C248*(96-1))))</f>
        <v>1214.2079999999999</v>
      </c>
      <c r="CU493" s="8">
        <f>IF((0=1),CU178,(C178+(C248*(97-1))))</f>
        <v>1226.856</v>
      </c>
      <c r="CV493" s="8">
        <f>IF((0=1),CV178,(C178+(C248*(98-1))))</f>
        <v>1239.504</v>
      </c>
      <c r="CW493" s="8">
        <f>IF((0=1),CW178,(C178+(C248*(99-1))))</f>
        <v>1252.1519999999998</v>
      </c>
      <c r="CX493" s="8">
        <f>IF((0=1),CX178,(C178+(C248*(100-1))))</f>
        <v>1264.8</v>
      </c>
    </row>
    <row r="494">
      <c r="A494" s="0" t="inlineStr">
        <is>
          <t xml:space="preserve">Cumulative excess, realized then projected at running mean</t>
        </is>
      </c>
      <c r="B494" s="0" t="inlineStr">
        <is>
          <t xml:space="preserve">largest 100 by market cap</t>
        </is>
      </c>
      <c r="C494" s="8">
        <f>IF((1=1),C179,(C179+(C249*(1-1))))</f>
        <v>4.751</v>
      </c>
      <c r="D494" s="8">
        <f>IF((0=1),D179,(C179+(C249*(2-1))))</f>
        <v>9.502</v>
      </c>
      <c r="E494" s="8">
        <f>IF((0=1),E179,(C179+(C249*(3-1))))</f>
        <v>14.253</v>
      </c>
      <c r="F494" s="8">
        <f>IF((0=1),F179,(C179+(C249*(4-1))))</f>
        <v>19.004</v>
      </c>
      <c r="G494" s="8">
        <f>IF((0=1),G179,(C179+(C249*(5-1))))</f>
        <v>23.755000000000003</v>
      </c>
      <c r="H494" s="8">
        <f>IF((0=1),H179,(C179+(C249*(6-1))))</f>
        <v>28.506000000000004</v>
      </c>
      <c r="I494" s="8">
        <f>IF((0=1),I179,(C179+(C249*(7-1))))</f>
        <v>33.257</v>
      </c>
      <c r="J494" s="8">
        <f>IF((0=1),J179,(C179+(C249*(8-1))))</f>
        <v>38.008</v>
      </c>
      <c r="K494" s="8">
        <f>IF((0=1),K179,(C179+(C249*(9-1))))</f>
        <v>42.759</v>
      </c>
      <c r="L494" s="8">
        <f>IF((0=1),L179,(C179+(C249*(10-1))))</f>
        <v>47.51</v>
      </c>
      <c r="M494" s="8">
        <f>IF((0=1),M179,(C179+(C249*(11-1))))</f>
        <v>52.261</v>
      </c>
      <c r="N494" s="8">
        <f>IF((0=1),N179,(C179+(C249*(12-1))))</f>
        <v>57.012</v>
      </c>
      <c r="O494" s="8">
        <f>IF((0=1),O179,(C179+(C249*(13-1))))</f>
        <v>61.763</v>
      </c>
      <c r="P494" s="8">
        <f>IF((0=1),P179,(C179+(C249*(14-1))))</f>
        <v>66.51400000000001</v>
      </c>
      <c r="Q494" s="8">
        <f>IF((0=1),Q179,(C179+(C249*(15-1))))</f>
        <v>71.26500000000001</v>
      </c>
      <c r="R494" s="8">
        <f>IF((0=1),R179,(C179+(C249*(16-1))))</f>
        <v>76.016</v>
      </c>
      <c r="S494" s="8">
        <f>IF((0=1),S179,(C179+(C249*(17-1))))</f>
        <v>80.76700000000001</v>
      </c>
      <c r="T494" s="8">
        <f>IF((0=1),T179,(C179+(C249*(18-1))))</f>
        <v>85.51800000000001</v>
      </c>
      <c r="U494" s="8">
        <f>IF((0=1),U179,(C179+(C249*(19-1))))</f>
        <v>90.269</v>
      </c>
      <c r="V494" s="8">
        <f>IF((0=1),V179,(C179+(C249*(20-1))))</f>
        <v>95.02000000000001</v>
      </c>
      <c r="W494" s="8">
        <f>IF((0=1),W179,(C179+(C249*(21-1))))</f>
        <v>99.77100000000002</v>
      </c>
      <c r="X494" s="8">
        <f>IF((0=1),X179,(C179+(C249*(22-1))))</f>
        <v>104.522</v>
      </c>
      <c r="Y494" s="8">
        <f>IF((0=1),Y179,(C179+(C249*(23-1))))</f>
        <v>109.27300000000001</v>
      </c>
      <c r="Z494" s="8">
        <f>IF((0=1),Z179,(C179+(C249*(24-1))))</f>
        <v>114.02400000000002</v>
      </c>
      <c r="AA494" s="8">
        <f>IF((0=1),AA179,(C179+(C249*(25-1))))</f>
        <v>118.775</v>
      </c>
      <c r="AB494" s="8">
        <f>IF((0=1),AB179,(C179+(C249*(26-1))))</f>
        <v>123.52600000000001</v>
      </c>
      <c r="AC494" s="8">
        <f>IF((0=1),AC179,(C179+(C249*(27-1))))</f>
        <v>128.27700000000002</v>
      </c>
      <c r="AD494" s="8">
        <f>IF((0=1),AD179,(C179+(C249*(28-1))))</f>
        <v>133.02800000000002</v>
      </c>
      <c r="AE494" s="8">
        <f>IF((0=1),AE179,(C179+(C249*(29-1))))</f>
        <v>137.77900000000002</v>
      </c>
      <c r="AF494" s="8">
        <f>IF((0=1),AF179,(C179+(C249*(30-1))))</f>
        <v>142.53</v>
      </c>
      <c r="AG494" s="8">
        <f>IF((0=1),AG179,(C179+(C249*(31-1))))</f>
        <v>147.281</v>
      </c>
      <c r="AH494" s="8">
        <f>IF((0=1),AH179,(C179+(C249*(32-1))))</f>
        <v>152.032</v>
      </c>
      <c r="AI494" s="8">
        <f>IF((0=1),AI179,(C179+(C249*(33-1))))</f>
        <v>156.78300000000002</v>
      </c>
      <c r="AJ494" s="8">
        <f>IF((0=1),AJ179,(C179+(C249*(34-1))))</f>
        <v>161.53400000000002</v>
      </c>
      <c r="AK494" s="8">
        <f>IF((0=1),AK179,(C179+(C249*(35-1))))</f>
        <v>166.28500000000003</v>
      </c>
      <c r="AL494" s="8">
        <f>IF((0=1),AL179,(C179+(C249*(36-1))))</f>
        <v>171.03600000000003</v>
      </c>
      <c r="AM494" s="8">
        <f>IF((0=1),AM179,(C179+(C249*(37-1))))</f>
        <v>175.787</v>
      </c>
      <c r="AN494" s="8">
        <f>IF((0=1),AN179,(C179+(C249*(38-1))))</f>
        <v>180.538</v>
      </c>
      <c r="AO494" s="8">
        <f>IF((0=1),AO179,(C179+(C249*(39-1))))</f>
        <v>185.28900000000002</v>
      </c>
      <c r="AP494" s="8">
        <f>IF((0=1),AP179,(C179+(C249*(40-1))))</f>
        <v>190.04000000000002</v>
      </c>
      <c r="AQ494" s="8">
        <f>IF((0=1),AQ179,(C179+(C249*(41-1))))</f>
        <v>194.79100000000003</v>
      </c>
      <c r="AR494" s="8">
        <f>IF((0=1),AR179,(C179+(C249*(42-1))))</f>
        <v>199.54200000000003</v>
      </c>
      <c r="AS494" s="8">
        <f>IF((0=1),AS179,(C179+(C249*(43-1))))</f>
        <v>204.293</v>
      </c>
      <c r="AT494" s="8">
        <f>IF((0=1),AT179,(C179+(C249*(44-1))))</f>
        <v>209.044</v>
      </c>
      <c r="AU494" s="8">
        <f>IF((0=1),AU179,(C179+(C249*(45-1))))</f>
        <v>213.79500000000002</v>
      </c>
      <c r="AV494" s="8">
        <f>IF((0=1),AV179,(C179+(C249*(46-1))))</f>
        <v>218.54600000000002</v>
      </c>
      <c r="AW494" s="8">
        <f>IF((0=1),AW179,(C179+(C249*(47-1))))</f>
        <v>223.29700000000003</v>
      </c>
      <c r="AX494" s="8">
        <f>IF((0=1),AX179,(C179+(C249*(48-1))))</f>
        <v>228.04800000000003</v>
      </c>
      <c r="AY494" s="8">
        <f>IF((0=1),AY179,(C179+(C249*(49-1))))</f>
        <v>232.799</v>
      </c>
      <c r="AZ494" s="8">
        <f>IF((0=1),AZ179,(C179+(C249*(50-1))))</f>
        <v>237.55</v>
      </c>
      <c r="BA494" s="8">
        <f>IF((0=1),BA179,(C179+(C249*(51-1))))</f>
        <v>242.30100000000002</v>
      </c>
      <c r="BB494" s="8">
        <f>IF((0=1),BB179,(C179+(C249*(52-1))))</f>
        <v>247.05200000000002</v>
      </c>
      <c r="BC494" s="8">
        <f>IF((0=1),BC179,(C179+(C249*(53-1))))</f>
        <v>251.80300000000003</v>
      </c>
      <c r="BD494" s="8">
        <f>IF((0=1),BD179,(C179+(C249*(54-1))))</f>
        <v>256.55400000000003</v>
      </c>
      <c r="BE494" s="8">
        <f>IF((0=1),BE179,(C179+(C249*(55-1))))</f>
        <v>261.305</v>
      </c>
      <c r="BF494" s="8">
        <f>IF((0=1),BF179,(C179+(C249*(56-1))))</f>
        <v>266.056</v>
      </c>
      <c r="BG494" s="8">
        <f>IF((0=1),BG179,(C179+(C249*(57-1))))</f>
        <v>270.807</v>
      </c>
      <c r="BH494" s="8">
        <f>IF((0=1),BH179,(C179+(C249*(58-1))))</f>
        <v>275.558</v>
      </c>
      <c r="BI494" s="8">
        <f>IF((0=1),BI179,(C179+(C249*(59-1))))</f>
        <v>280.30899999999997</v>
      </c>
      <c r="BJ494" s="8">
        <f>IF((0=1),BJ179,(C179+(C249*(60-1))))</f>
        <v>285.06</v>
      </c>
      <c r="BK494" s="8">
        <f>IF((0=1),BK179,(C179+(C249*(61-1))))</f>
        <v>289.811</v>
      </c>
      <c r="BL494" s="8">
        <f>IF((0=1),BL179,(C179+(C249*(62-1))))</f>
        <v>294.562</v>
      </c>
      <c r="BM494" s="8">
        <f>IF((0=1),BM179,(C179+(C249*(63-1))))</f>
        <v>299.313</v>
      </c>
      <c r="BN494" s="8">
        <f>IF((0=1),BN179,(C179+(C249*(64-1))))</f>
        <v>304.064</v>
      </c>
      <c r="BO494" s="8">
        <f>IF((0=1),BO179,(C179+(C249*(65-1))))</f>
        <v>308.815</v>
      </c>
      <c r="BP494" s="8">
        <f>IF((0=1),BP179,(C179+(C249*(66-1))))</f>
        <v>313.566</v>
      </c>
      <c r="BQ494" s="8">
        <f>IF((0=1),BQ179,(C179+(C249*(67-1))))</f>
        <v>318.317</v>
      </c>
      <c r="BR494" s="8">
        <f>IF((0=1),BR179,(C179+(C249*(68-1))))</f>
        <v>323.068</v>
      </c>
      <c r="BS494" s="8">
        <f>IF((0=1),BS179,(C179+(C249*(69-1))))</f>
        <v>327.819</v>
      </c>
      <c r="BT494" s="8">
        <f>IF((0=1),BT179,(C179+(C249*(70-1))))</f>
        <v>332.57</v>
      </c>
      <c r="BU494" s="8">
        <f>IF((0=1),BU179,(C179+(C249*(71-1))))</f>
        <v>337.321</v>
      </c>
      <c r="BV494" s="8">
        <f>IF((0=1),BV179,(C179+(C249*(72-1))))</f>
        <v>342.072</v>
      </c>
      <c r="BW494" s="8">
        <f>IF((0=1),BW179,(C179+(C249*(73-1))))</f>
        <v>346.823</v>
      </c>
      <c r="BX494" s="8">
        <f>IF((0=1),BX179,(C179+(C249*(74-1))))</f>
        <v>351.574</v>
      </c>
      <c r="BY494" s="8">
        <f>IF((0=1),BY179,(C179+(C249*(75-1))))</f>
        <v>356.325</v>
      </c>
      <c r="BZ494" s="8">
        <f>IF((0=1),BZ179,(C179+(C249*(76-1))))</f>
        <v>361.076</v>
      </c>
      <c r="CA494" s="8">
        <f>IF((0=1),CA179,(C179+(C249*(77-1))))</f>
        <v>365.827</v>
      </c>
      <c r="CB494" s="8">
        <f>IF((0=1),CB179,(C179+(C249*(78-1))))</f>
        <v>370.578</v>
      </c>
      <c r="CC494" s="8">
        <f>IF((0=1),CC179,(C179+(C249*(79-1))))</f>
        <v>375.329</v>
      </c>
      <c r="CD494" s="8">
        <f>IF((0=1),CD179,(C179+(C249*(80-1))))</f>
        <v>380.08</v>
      </c>
      <c r="CE494" s="8">
        <f>IF((0=1),CE179,(C179+(C249*(81-1))))</f>
        <v>384.831</v>
      </c>
      <c r="CF494" s="8">
        <f>IF((0=1),CF179,(C179+(C249*(82-1))))</f>
        <v>389.582</v>
      </c>
      <c r="CG494" s="8">
        <f>IF((0=1),CG179,(C179+(C249*(83-1))))</f>
        <v>394.333</v>
      </c>
      <c r="CH494" s="8">
        <f>IF((0=1),CH179,(C179+(C249*(84-1))))</f>
        <v>399.084</v>
      </c>
      <c r="CI494" s="8">
        <f>IF((0=1),CI179,(C179+(C249*(85-1))))</f>
        <v>403.835</v>
      </c>
      <c r="CJ494" s="8">
        <f>IF((0=1),CJ179,(C179+(C249*(86-1))))</f>
        <v>408.586</v>
      </c>
      <c r="CK494" s="8">
        <f>IF((0=1),CK179,(C179+(C249*(87-1))))</f>
        <v>413.337</v>
      </c>
      <c r="CL494" s="8">
        <f>IF((0=1),CL179,(C179+(C249*(88-1))))</f>
        <v>418.088</v>
      </c>
      <c r="CM494" s="8">
        <f>IF((0=1),CM179,(C179+(C249*(89-1))))</f>
        <v>422.839</v>
      </c>
      <c r="CN494" s="8">
        <f>IF((0=1),CN179,(C179+(C249*(90-1))))</f>
        <v>427.59000000000003</v>
      </c>
      <c r="CO494" s="8">
        <f>IF((0=1),CO179,(C179+(C249*(91-1))))</f>
        <v>432.341</v>
      </c>
      <c r="CP494" s="8">
        <f>IF((0=1),CP179,(C179+(C249*(92-1))))</f>
        <v>437.092</v>
      </c>
      <c r="CQ494" s="8">
        <f>IF((0=1),CQ179,(C179+(C249*(93-1))))</f>
        <v>441.843</v>
      </c>
      <c r="CR494" s="8">
        <f>IF((0=1),CR179,(C179+(C249*(94-1))))</f>
        <v>446.594</v>
      </c>
      <c r="CS494" s="8">
        <f>IF((0=1),CS179,(C179+(C249*(95-1))))</f>
        <v>451.345</v>
      </c>
      <c r="CT494" s="8">
        <f>IF((0=1),CT179,(C179+(C249*(96-1))))</f>
        <v>456.096</v>
      </c>
      <c r="CU494" s="8">
        <f>IF((0=1),CU179,(C179+(C249*(97-1))))</f>
        <v>460.847</v>
      </c>
      <c r="CV494" s="8">
        <f>IF((0=1),CV179,(C179+(C249*(98-1))))</f>
        <v>465.598</v>
      </c>
      <c r="CW494" s="8">
        <f>IF((0=1),CW179,(C179+(C249*(99-1))))</f>
        <v>470.349</v>
      </c>
      <c r="CX494" s="8">
        <f>IF((0=1),CX179,(C179+(C249*(100-1))))</f>
        <v>475.1</v>
      </c>
    </row>
    <row r="495">
      <c r="A495" s="0" t="inlineStr">
        <is>
          <t xml:space="preserve">Cumulative excess, realized then projected at running mean</t>
        </is>
      </c>
      <c r="B495" s="0" t="inlineStr">
        <is>
          <t xml:space="preserve">top 100 by 12-1 month return</t>
        </is>
      </c>
      <c r="C495" s="8">
        <f>IF((1=1),C180,(C180+(C250*(1-1))))</f>
        <v>-23.532</v>
      </c>
      <c r="D495" s="8">
        <f>IF((0=1),D180,(C180+(C250*(2-1))))</f>
        <v>-47.064</v>
      </c>
      <c r="E495" s="8">
        <f>IF((0=1),E180,(C180+(C250*(3-1))))</f>
        <v>-70.596</v>
      </c>
      <c r="F495" s="8">
        <f>IF((0=1),F180,(C180+(C250*(4-1))))</f>
        <v>-94.128</v>
      </c>
      <c r="G495" s="8">
        <f>IF((0=1),G180,(C180+(C250*(5-1))))</f>
        <v>-117.66</v>
      </c>
      <c r="H495" s="8">
        <f>IF((0=1),H180,(C180+(C250*(6-1))))</f>
        <v>-141.192</v>
      </c>
      <c r="I495" s="8">
        <f>IF((0=1),I180,(C180+(C250*(7-1))))</f>
        <v>-164.72400000000002</v>
      </c>
      <c r="J495" s="8">
        <f>IF((0=1),J180,(C180+(C250*(8-1))))</f>
        <v>-188.256</v>
      </c>
      <c r="K495" s="8">
        <f>IF((0=1),K180,(C180+(C250*(9-1))))</f>
        <v>-211.788</v>
      </c>
      <c r="L495" s="8">
        <f>IF((0=1),L180,(C180+(C250*(10-1))))</f>
        <v>-235.32000000000002</v>
      </c>
      <c r="M495" s="8">
        <f>IF((0=1),M180,(C180+(C250*(11-1))))</f>
        <v>-258.852</v>
      </c>
      <c r="N495" s="8">
        <f>IF((0=1),N180,(C180+(C250*(12-1))))</f>
        <v>-282.38399999999996</v>
      </c>
      <c r="O495" s="8">
        <f>IF((0=1),O180,(C180+(C250*(13-1))))</f>
        <v>-305.916</v>
      </c>
      <c r="P495" s="8">
        <f>IF((0=1),P180,(C180+(C250*(14-1))))</f>
        <v>-329.448</v>
      </c>
      <c r="Q495" s="8">
        <f>IF((0=1),Q180,(C180+(C250*(15-1))))</f>
        <v>-352.97999999999996</v>
      </c>
      <c r="R495" s="8">
        <f>IF((0=1),R180,(C180+(C250*(16-1))))</f>
        <v>-376.512</v>
      </c>
      <c r="S495" s="8">
        <f>IF((0=1),S180,(C180+(C250*(17-1))))</f>
        <v>-400.044</v>
      </c>
      <c r="T495" s="8">
        <f>IF((0=1),T180,(C180+(C250*(18-1))))</f>
        <v>-423.57599999999996</v>
      </c>
      <c r="U495" s="8">
        <f>IF((0=1),U180,(C180+(C250*(19-1))))</f>
        <v>-447.108</v>
      </c>
      <c r="V495" s="8">
        <f>IF((0=1),V180,(C180+(C250*(20-1))))</f>
        <v>-470.64</v>
      </c>
      <c r="W495" s="8">
        <f>IF((0=1),W180,(C180+(C250*(21-1))))</f>
        <v>-494.17199999999997</v>
      </c>
      <c r="X495" s="8">
        <f>IF((0=1),X180,(C180+(C250*(22-1))))</f>
        <v>-517.7040000000001</v>
      </c>
      <c r="Y495" s="8">
        <f>IF((0=1),Y180,(C180+(C250*(23-1))))</f>
        <v>-541.236</v>
      </c>
      <c r="Z495" s="8">
        <f>IF((0=1),Z180,(C180+(C250*(24-1))))</f>
        <v>-564.768</v>
      </c>
      <c r="AA495" s="8">
        <f>IF((0=1),AA180,(C180+(C250*(25-1))))</f>
        <v>-588.3000000000001</v>
      </c>
      <c r="AB495" s="8">
        <f>IF((0=1),AB180,(C180+(C250*(26-1))))</f>
        <v>-611.832</v>
      </c>
      <c r="AC495" s="8">
        <f>IF((0=1),AC180,(C180+(C250*(27-1))))</f>
        <v>-635.364</v>
      </c>
      <c r="AD495" s="8">
        <f>IF((0=1),AD180,(C180+(C250*(28-1))))</f>
        <v>-658.8960000000001</v>
      </c>
      <c r="AE495" s="8">
        <f>IF((0=1),AE180,(C180+(C250*(29-1))))</f>
        <v>-682.428</v>
      </c>
      <c r="AF495" s="8">
        <f>IF((0=1),AF180,(C180+(C250*(30-1))))</f>
        <v>-705.96</v>
      </c>
      <c r="AG495" s="8">
        <f>IF((0=1),AG180,(C180+(C250*(31-1))))</f>
        <v>-729.4920000000001</v>
      </c>
      <c r="AH495" s="8">
        <f>IF((0=1),AH180,(C180+(C250*(32-1))))</f>
        <v>-753.024</v>
      </c>
      <c r="AI495" s="8">
        <f>IF((0=1),AI180,(C180+(C250*(33-1))))</f>
        <v>-776.556</v>
      </c>
      <c r="AJ495" s="8">
        <f>IF((0=1),AJ180,(C180+(C250*(34-1))))</f>
        <v>-800.0880000000001</v>
      </c>
      <c r="AK495" s="8">
        <f>IF((0=1),AK180,(C180+(C250*(35-1))))</f>
        <v>-823.62</v>
      </c>
      <c r="AL495" s="8">
        <f>IF((0=1),AL180,(C180+(C250*(36-1))))</f>
        <v>-847.152</v>
      </c>
      <c r="AM495" s="8">
        <f>IF((0=1),AM180,(C180+(C250*(37-1))))</f>
        <v>-870.6840000000001</v>
      </c>
      <c r="AN495" s="8">
        <f>IF((0=1),AN180,(C180+(C250*(38-1))))</f>
        <v>-894.216</v>
      </c>
      <c r="AO495" s="8">
        <f>IF((0=1),AO180,(C180+(C250*(39-1))))</f>
        <v>-917.748</v>
      </c>
      <c r="AP495" s="8">
        <f>IF((0=1),AP180,(C180+(C250*(40-1))))</f>
        <v>-941.2800000000001</v>
      </c>
      <c r="AQ495" s="8">
        <f>IF((0=1),AQ180,(C180+(C250*(41-1))))</f>
        <v>-964.812</v>
      </c>
      <c r="AR495" s="8">
        <f>IF((0=1),AR180,(C180+(C250*(42-1))))</f>
        <v>-988.344</v>
      </c>
      <c r="AS495" s="8">
        <f>IF((0=1),AS180,(C180+(C250*(43-1))))</f>
        <v>-1011.8760000000001</v>
      </c>
      <c r="AT495" s="8">
        <f>IF((0=1),AT180,(C180+(C250*(44-1))))</f>
        <v>-1035.408</v>
      </c>
      <c r="AU495" s="8">
        <f>IF((0=1),AU180,(C180+(C250*(45-1))))</f>
        <v>-1058.9399999999998</v>
      </c>
      <c r="AV495" s="8">
        <f>IF((0=1),AV180,(C180+(C250*(46-1))))</f>
        <v>-1082.472</v>
      </c>
      <c r="AW495" s="8">
        <f>IF((0=1),AW180,(C180+(C250*(47-1))))</f>
        <v>-1106.004</v>
      </c>
      <c r="AX495" s="8">
        <f>IF((0=1),AX180,(C180+(C250*(48-1))))</f>
        <v>-1129.5359999999998</v>
      </c>
      <c r="AY495" s="8">
        <f>IF((0=1),AY180,(C180+(C250*(49-1))))</f>
        <v>-1153.068</v>
      </c>
      <c r="AZ495" s="8">
        <f>IF((0=1),AZ180,(C180+(C250*(50-1))))</f>
        <v>-1176.6</v>
      </c>
      <c r="BA495" s="8">
        <f>IF((0=1),BA180,(C180+(C250*(51-1))))</f>
        <v>-1200.1319999999998</v>
      </c>
      <c r="BB495" s="8">
        <f>IF((0=1),BB180,(C180+(C250*(52-1))))</f>
        <v>-1223.664</v>
      </c>
      <c r="BC495" s="8">
        <f>IF((0=1),BC180,(C180+(C250*(53-1))))</f>
        <v>-1247.196</v>
      </c>
      <c r="BD495" s="8">
        <f>IF((0=1),BD180,(C180+(C250*(54-1))))</f>
        <v>-1270.7279999999998</v>
      </c>
      <c r="BE495" s="8">
        <f>IF((0=1),BE180,(C180+(C250*(55-1))))</f>
        <v>-1294.26</v>
      </c>
      <c r="BF495" s="8">
        <f>IF((0=1),BF180,(C180+(C250*(56-1))))</f>
        <v>-1317.792</v>
      </c>
      <c r="BG495" s="8">
        <f>IF((0=1),BG180,(C180+(C250*(57-1))))</f>
        <v>-1341.3239999999998</v>
      </c>
      <c r="BH495" s="8">
        <f>IF((0=1),BH180,(C180+(C250*(58-1))))</f>
        <v>-1364.856</v>
      </c>
      <c r="BI495" s="8">
        <f>IF((0=1),BI180,(C180+(C250*(59-1))))</f>
        <v>-1388.388</v>
      </c>
      <c r="BJ495" s="8">
        <f>IF((0=1),BJ180,(C180+(C250*(60-1))))</f>
        <v>-1411.9199999999998</v>
      </c>
      <c r="BK495" s="8">
        <f>IF((0=1),BK180,(C180+(C250*(61-1))))</f>
        <v>-1435.452</v>
      </c>
      <c r="BL495" s="8">
        <f>IF((0=1),BL180,(C180+(C250*(62-1))))</f>
        <v>-1458.984</v>
      </c>
      <c r="BM495" s="8">
        <f>IF((0=1),BM180,(C180+(C250*(63-1))))</f>
        <v>-1482.5159999999998</v>
      </c>
      <c r="BN495" s="8">
        <f>IF((0=1),BN180,(C180+(C250*(64-1))))</f>
        <v>-1506.048</v>
      </c>
      <c r="BO495" s="8">
        <f>IF((0=1),BO180,(C180+(C250*(65-1))))</f>
        <v>-1529.58</v>
      </c>
      <c r="BP495" s="8">
        <f>IF((0=1),BP180,(C180+(C250*(66-1))))</f>
        <v>-1553.1119999999999</v>
      </c>
      <c r="BQ495" s="8">
        <f>IF((0=1),BQ180,(C180+(C250*(67-1))))</f>
        <v>-1576.644</v>
      </c>
      <c r="BR495" s="8">
        <f>IF((0=1),BR180,(C180+(C250*(68-1))))</f>
        <v>-1600.176</v>
      </c>
      <c r="BS495" s="8">
        <f>IF((0=1),BS180,(C180+(C250*(69-1))))</f>
        <v>-1623.7079999999999</v>
      </c>
      <c r="BT495" s="8">
        <f>IF((0=1),BT180,(C180+(C250*(70-1))))</f>
        <v>-1647.24</v>
      </c>
      <c r="BU495" s="8">
        <f>IF((0=1),BU180,(C180+(C250*(71-1))))</f>
        <v>-1670.772</v>
      </c>
      <c r="BV495" s="8">
        <f>IF((0=1),BV180,(C180+(C250*(72-1))))</f>
        <v>-1694.3039999999999</v>
      </c>
      <c r="BW495" s="8">
        <f>IF((0=1),BW180,(C180+(C250*(73-1))))</f>
        <v>-1717.836</v>
      </c>
      <c r="BX495" s="8">
        <f>IF((0=1),BX180,(C180+(C250*(74-1))))</f>
        <v>-1741.368</v>
      </c>
      <c r="BY495" s="8">
        <f>IF((0=1),BY180,(C180+(C250*(75-1))))</f>
        <v>-1764.8999999999999</v>
      </c>
      <c r="BZ495" s="8">
        <f>IF((0=1),BZ180,(C180+(C250*(76-1))))</f>
        <v>-1788.432</v>
      </c>
      <c r="CA495" s="8">
        <f>IF((0=1),CA180,(C180+(C250*(77-1))))</f>
        <v>-1811.964</v>
      </c>
      <c r="CB495" s="8">
        <f>IF((0=1),CB180,(C180+(C250*(78-1))))</f>
        <v>-1835.4959999999999</v>
      </c>
      <c r="CC495" s="8">
        <f>IF((0=1),CC180,(C180+(C250*(79-1))))</f>
        <v>-1859.028</v>
      </c>
      <c r="CD495" s="8">
        <f>IF((0=1),CD180,(C180+(C250*(80-1))))</f>
        <v>-1882.56</v>
      </c>
      <c r="CE495" s="8">
        <f>IF((0=1),CE180,(C180+(C250*(81-1))))</f>
        <v>-1906.0919999999999</v>
      </c>
      <c r="CF495" s="8">
        <f>IF((0=1),CF180,(C180+(C250*(82-1))))</f>
        <v>-1929.624</v>
      </c>
      <c r="CG495" s="8">
        <f>IF((0=1),CG180,(C180+(C250*(83-1))))</f>
        <v>-1953.156</v>
      </c>
      <c r="CH495" s="8">
        <f>IF((0=1),CH180,(C180+(C250*(84-1))))</f>
        <v>-1976.6879999999999</v>
      </c>
      <c r="CI495" s="8">
        <f>IF((0=1),CI180,(C180+(C250*(85-1))))</f>
        <v>-2000.22</v>
      </c>
      <c r="CJ495" s="8">
        <f>IF((0=1),CJ180,(C180+(C250*(86-1))))</f>
        <v>-2023.752</v>
      </c>
      <c r="CK495" s="8">
        <f>IF((0=1),CK180,(C180+(C250*(87-1))))</f>
        <v>-2047.2839999999999</v>
      </c>
      <c r="CL495" s="8">
        <f>IF((0=1),CL180,(C180+(C250*(88-1))))</f>
        <v>-2070.8160000000003</v>
      </c>
      <c r="CM495" s="8">
        <f>IF((0=1),CM180,(C180+(C250*(89-1))))</f>
        <v>-2094.348</v>
      </c>
      <c r="CN495" s="8">
        <f>IF((0=1),CN180,(C180+(C250*(90-1))))</f>
        <v>-2117.88</v>
      </c>
      <c r="CO495" s="8">
        <f>IF((0=1),CO180,(C180+(C250*(91-1))))</f>
        <v>-2141.4120000000003</v>
      </c>
      <c r="CP495" s="8">
        <f>IF((0=1),CP180,(C180+(C250*(92-1))))</f>
        <v>-2164.944</v>
      </c>
      <c r="CQ495" s="8">
        <f>IF((0=1),CQ180,(C180+(C250*(93-1))))</f>
        <v>-2188.476</v>
      </c>
      <c r="CR495" s="8">
        <f>IF((0=1),CR180,(C180+(C250*(94-1))))</f>
        <v>-2212.0080000000003</v>
      </c>
      <c r="CS495" s="8">
        <f>IF((0=1),CS180,(C180+(C250*(95-1))))</f>
        <v>-2235.54</v>
      </c>
      <c r="CT495" s="8">
        <f>IF((0=1),CT180,(C180+(C250*(96-1))))</f>
        <v>-2259.072</v>
      </c>
      <c r="CU495" s="8">
        <f>IF((0=1),CU180,(C180+(C250*(97-1))))</f>
        <v>-2282.6040000000003</v>
      </c>
      <c r="CV495" s="8">
        <f>IF((0=1),CV180,(C180+(C250*(98-1))))</f>
        <v>-2306.136</v>
      </c>
      <c r="CW495" s="8">
        <f>IF((0=1),CW180,(C180+(C250*(99-1))))</f>
        <v>-2329.668</v>
      </c>
      <c r="CX495" s="8">
        <f>IF((0=1),CX180,(C180+(C250*(100-1))))</f>
        <v>-2353.2000000000003</v>
      </c>
    </row>
    <row r="496">
      <c r="A496" s="0" t="inlineStr">
        <is>
          <t xml:space="preserve">Cumulative excess, realized then projected at running mean</t>
        </is>
      </c>
      <c r="B496" s="0" t="inlineStr">
        <is>
          <t xml:space="preserve">best 100 by yesterday's close-to-close return</t>
        </is>
      </c>
      <c r="C496" s="8">
        <f>IF((1=1),C181,(C181+(C251*(1-1))))</f>
        <v>-14.463</v>
      </c>
      <c r="D496" s="8">
        <f>IF((0=1),D181,(C181+(C251*(2-1))))</f>
        <v>-28.926</v>
      </c>
      <c r="E496" s="8">
        <f>IF((0=1),E181,(C181+(C251*(3-1))))</f>
        <v>-43.388999999999996</v>
      </c>
      <c r="F496" s="8">
        <f>IF((0=1),F181,(C181+(C251*(4-1))))</f>
        <v>-57.852</v>
      </c>
      <c r="G496" s="8">
        <f>IF((0=1),G181,(C181+(C251*(5-1))))</f>
        <v>-72.315</v>
      </c>
      <c r="H496" s="8">
        <f>IF((0=1),H181,(C181+(C251*(6-1))))</f>
        <v>-86.77799999999999</v>
      </c>
      <c r="I496" s="8">
        <f>IF((0=1),I181,(C181+(C251*(7-1))))</f>
        <v>-101.24099999999999</v>
      </c>
      <c r="J496" s="8">
        <f>IF((0=1),J181,(C181+(C251*(8-1))))</f>
        <v>-115.704</v>
      </c>
      <c r="K496" s="8">
        <f>IF((0=1),K181,(C181+(C251*(9-1))))</f>
        <v>-130.167</v>
      </c>
      <c r="L496" s="8">
        <f>IF((0=1),L181,(C181+(C251*(10-1))))</f>
        <v>-144.63</v>
      </c>
      <c r="M496" s="8">
        <f>IF((0=1),M181,(C181+(C251*(11-1))))</f>
        <v>-159.093</v>
      </c>
      <c r="N496" s="8">
        <f>IF((0=1),N181,(C181+(C251*(12-1))))</f>
        <v>-173.55599999999998</v>
      </c>
      <c r="O496" s="8">
        <f>IF((0=1),O181,(C181+(C251*(13-1))))</f>
        <v>-188.01899999999998</v>
      </c>
      <c r="P496" s="8">
        <f>IF((0=1),P181,(C181+(C251*(14-1))))</f>
        <v>-202.48199999999997</v>
      </c>
      <c r="Q496" s="8">
        <f>IF((0=1),Q181,(C181+(C251*(15-1))))</f>
        <v>-216.945</v>
      </c>
      <c r="R496" s="8">
        <f>IF((0=1),R181,(C181+(C251*(16-1))))</f>
        <v>-231.408</v>
      </c>
      <c r="S496" s="8">
        <f>IF((0=1),S181,(C181+(C251*(17-1))))</f>
        <v>-245.87099999999998</v>
      </c>
      <c r="T496" s="8">
        <f>IF((0=1),T181,(C181+(C251*(18-1))))</f>
        <v>-260.334</v>
      </c>
      <c r="U496" s="8">
        <f>IF((0=1),U181,(C181+(C251*(19-1))))</f>
        <v>-274.797</v>
      </c>
      <c r="V496" s="8">
        <f>IF((0=1),V181,(C181+(C251*(20-1))))</f>
        <v>-289.26</v>
      </c>
      <c r="W496" s="8">
        <f>IF((0=1),W181,(C181+(C251*(21-1))))</f>
        <v>-303.723</v>
      </c>
      <c r="X496" s="8">
        <f>IF((0=1),X181,(C181+(C251*(22-1))))</f>
        <v>-318.186</v>
      </c>
      <c r="Y496" s="8">
        <f>IF((0=1),Y181,(C181+(C251*(23-1))))</f>
        <v>-332.649</v>
      </c>
      <c r="Z496" s="8">
        <f>IF((0=1),Z181,(C181+(C251*(24-1))))</f>
        <v>-347.112</v>
      </c>
      <c r="AA496" s="8">
        <f>IF((0=1),AA181,(C181+(C251*(25-1))))</f>
        <v>-361.575</v>
      </c>
      <c r="AB496" s="8">
        <f>IF((0=1),AB181,(C181+(C251*(26-1))))</f>
        <v>-376.038</v>
      </c>
      <c r="AC496" s="8">
        <f>IF((0=1),AC181,(C181+(C251*(27-1))))</f>
        <v>-390.501</v>
      </c>
      <c r="AD496" s="8">
        <f>IF((0=1),AD181,(C181+(C251*(28-1))))</f>
        <v>-404.964</v>
      </c>
      <c r="AE496" s="8">
        <f>IF((0=1),AE181,(C181+(C251*(29-1))))</f>
        <v>-419.427</v>
      </c>
      <c r="AF496" s="8">
        <f>IF((0=1),AF181,(C181+(C251*(30-1))))</f>
        <v>-433.89</v>
      </c>
      <c r="AG496" s="8">
        <f>IF((0=1),AG181,(C181+(C251*(31-1))))</f>
        <v>-448.353</v>
      </c>
      <c r="AH496" s="8">
        <f>IF((0=1),AH181,(C181+(C251*(32-1))))</f>
        <v>-462.816</v>
      </c>
      <c r="AI496" s="8">
        <f>IF((0=1),AI181,(C181+(C251*(33-1))))</f>
        <v>-477.279</v>
      </c>
      <c r="AJ496" s="8">
        <f>IF((0=1),AJ181,(C181+(C251*(34-1))))</f>
        <v>-491.742</v>
      </c>
      <c r="AK496" s="8">
        <f>IF((0=1),AK181,(C181+(C251*(35-1))))</f>
        <v>-506.205</v>
      </c>
      <c r="AL496" s="8">
        <f>IF((0=1),AL181,(C181+(C251*(36-1))))</f>
        <v>-520.668</v>
      </c>
      <c r="AM496" s="8">
        <f>IF((0=1),AM181,(C181+(C251*(37-1))))</f>
        <v>-535.131</v>
      </c>
      <c r="AN496" s="8">
        <f>IF((0=1),AN181,(C181+(C251*(38-1))))</f>
        <v>-549.5939999999999</v>
      </c>
      <c r="AO496" s="8">
        <f>IF((0=1),AO181,(C181+(C251*(39-1))))</f>
        <v>-564.0569999999999</v>
      </c>
      <c r="AP496" s="8">
        <f>IF((0=1),AP181,(C181+(C251*(40-1))))</f>
        <v>-578.52</v>
      </c>
      <c r="AQ496" s="8">
        <f>IF((0=1),AQ181,(C181+(C251*(41-1))))</f>
        <v>-592.983</v>
      </c>
      <c r="AR496" s="8">
        <f>IF((0=1),AR181,(C181+(C251*(42-1))))</f>
        <v>-607.4459999999999</v>
      </c>
      <c r="AS496" s="8">
        <f>IF((0=1),AS181,(C181+(C251*(43-1))))</f>
        <v>-621.9089999999999</v>
      </c>
      <c r="AT496" s="8">
        <f>IF((0=1),AT181,(C181+(C251*(44-1))))</f>
        <v>-636.372</v>
      </c>
      <c r="AU496" s="8">
        <f>IF((0=1),AU181,(C181+(C251*(45-1))))</f>
        <v>-650.8349999999999</v>
      </c>
      <c r="AV496" s="8">
        <f>IF((0=1),AV181,(C181+(C251*(46-1))))</f>
        <v>-665.2979999999999</v>
      </c>
      <c r="AW496" s="8">
        <f>IF((0=1),AW181,(C181+(C251*(47-1))))</f>
        <v>-679.761</v>
      </c>
      <c r="AX496" s="8">
        <f>IF((0=1),AX181,(C181+(C251*(48-1))))</f>
        <v>-694.2239999999999</v>
      </c>
      <c r="AY496" s="8">
        <f>IF((0=1),AY181,(C181+(C251*(49-1))))</f>
        <v>-708.6869999999999</v>
      </c>
      <c r="AZ496" s="8">
        <f>IF((0=1),AZ181,(C181+(C251*(50-1))))</f>
        <v>-723.15</v>
      </c>
      <c r="BA496" s="8">
        <f>IF((0=1),BA181,(C181+(C251*(51-1))))</f>
        <v>-737.6129999999999</v>
      </c>
      <c r="BB496" s="8">
        <f>IF((0=1),BB181,(C181+(C251*(52-1))))</f>
        <v>-752.0759999999999</v>
      </c>
      <c r="BC496" s="8">
        <f>IF((0=1),BC181,(C181+(C251*(53-1))))</f>
        <v>-766.5389999999999</v>
      </c>
      <c r="BD496" s="8">
        <f>IF((0=1),BD181,(C181+(C251*(54-1))))</f>
        <v>-781.002</v>
      </c>
      <c r="BE496" s="8">
        <f>IF((0=1),BE181,(C181+(C251*(55-1))))</f>
        <v>-795.4649999999999</v>
      </c>
      <c r="BF496" s="8">
        <f>IF((0=1),BF181,(C181+(C251*(56-1))))</f>
        <v>-809.9279999999999</v>
      </c>
      <c r="BG496" s="8">
        <f>IF((0=1),BG181,(C181+(C251*(57-1))))</f>
        <v>-824.391</v>
      </c>
      <c r="BH496" s="8">
        <f>IF((0=1),BH181,(C181+(C251*(58-1))))</f>
        <v>-838.8539999999999</v>
      </c>
      <c r="BI496" s="8">
        <f>IF((0=1),BI181,(C181+(C251*(59-1))))</f>
        <v>-853.3169999999999</v>
      </c>
      <c r="BJ496" s="8">
        <f>IF((0=1),BJ181,(C181+(C251*(60-1))))</f>
        <v>-867.78</v>
      </c>
      <c r="BK496" s="8">
        <f>IF((0=1),BK181,(C181+(C251*(61-1))))</f>
        <v>-882.2429999999999</v>
      </c>
      <c r="BL496" s="8">
        <f>IF((0=1),BL181,(C181+(C251*(62-1))))</f>
        <v>-896.7059999999999</v>
      </c>
      <c r="BM496" s="8">
        <f>IF((0=1),BM181,(C181+(C251*(63-1))))</f>
        <v>-911.1689999999999</v>
      </c>
      <c r="BN496" s="8">
        <f>IF((0=1),BN181,(C181+(C251*(64-1))))</f>
        <v>-925.632</v>
      </c>
      <c r="BO496" s="8">
        <f>IF((0=1),BO181,(C181+(C251*(65-1))))</f>
        <v>-940.0949999999999</v>
      </c>
      <c r="BP496" s="8">
        <f>IF((0=1),BP181,(C181+(C251*(66-1))))</f>
        <v>-954.5579999999999</v>
      </c>
      <c r="BQ496" s="8">
        <f>IF((0=1),BQ181,(C181+(C251*(67-1))))</f>
        <v>-969.021</v>
      </c>
      <c r="BR496" s="8">
        <f>IF((0=1),BR181,(C181+(C251*(68-1))))</f>
        <v>-983.4839999999999</v>
      </c>
      <c r="BS496" s="8">
        <f>IF((0=1),BS181,(C181+(C251*(69-1))))</f>
        <v>-997.9469999999999</v>
      </c>
      <c r="BT496" s="8">
        <f>IF((0=1),BT181,(C181+(C251*(70-1))))</f>
        <v>-1012.4099999999999</v>
      </c>
      <c r="BU496" s="8">
        <f>IF((0=1),BU181,(C181+(C251*(71-1))))</f>
        <v>-1026.873</v>
      </c>
      <c r="BV496" s="8">
        <f>IF((0=1),BV181,(C181+(C251*(72-1))))</f>
        <v>-1041.336</v>
      </c>
      <c r="BW496" s="8">
        <f>IF((0=1),BW181,(C181+(C251*(73-1))))</f>
        <v>-1055.799</v>
      </c>
      <c r="BX496" s="8">
        <f>IF((0=1),BX181,(C181+(C251*(74-1))))</f>
        <v>-1070.262</v>
      </c>
      <c r="BY496" s="8">
        <f>IF((0=1),BY181,(C181+(C251*(75-1))))</f>
        <v>-1084.725</v>
      </c>
      <c r="BZ496" s="8">
        <f>IF((0=1),BZ181,(C181+(C251*(76-1))))</f>
        <v>-1099.1879999999999</v>
      </c>
      <c r="CA496" s="8">
        <f>IF((0=1),CA181,(C181+(C251*(77-1))))</f>
        <v>-1113.6509999999998</v>
      </c>
      <c r="CB496" s="8">
        <f>IF((0=1),CB181,(C181+(C251*(78-1))))</f>
        <v>-1128.1139999999998</v>
      </c>
      <c r="CC496" s="8">
        <f>IF((0=1),CC181,(C181+(C251*(79-1))))</f>
        <v>-1142.577</v>
      </c>
      <c r="CD496" s="8">
        <f>IF((0=1),CD181,(C181+(C251*(80-1))))</f>
        <v>-1157.04</v>
      </c>
      <c r="CE496" s="8">
        <f>IF((0=1),CE181,(C181+(C251*(81-1))))</f>
        <v>-1171.503</v>
      </c>
      <c r="CF496" s="8">
        <f>IF((0=1),CF181,(C181+(C251*(82-1))))</f>
        <v>-1185.966</v>
      </c>
      <c r="CG496" s="8">
        <f>IF((0=1),CG181,(C181+(C251*(83-1))))</f>
        <v>-1200.4289999999999</v>
      </c>
      <c r="CH496" s="8">
        <f>IF((0=1),CH181,(C181+(C251*(84-1))))</f>
        <v>-1214.8919999999998</v>
      </c>
      <c r="CI496" s="8">
        <f>IF((0=1),CI181,(C181+(C251*(85-1))))</f>
        <v>-1229.3549999999998</v>
      </c>
      <c r="CJ496" s="8">
        <f>IF((0=1),CJ181,(C181+(C251*(86-1))))</f>
        <v>-1243.818</v>
      </c>
      <c r="CK496" s="8">
        <f>IF((0=1),CK181,(C181+(C251*(87-1))))</f>
        <v>-1258.281</v>
      </c>
      <c r="CL496" s="8">
        <f>IF((0=1),CL181,(C181+(C251*(88-1))))</f>
        <v>-1272.744</v>
      </c>
      <c r="CM496" s="8">
        <f>IF((0=1),CM181,(C181+(C251*(89-1))))</f>
        <v>-1287.2069999999999</v>
      </c>
      <c r="CN496" s="8">
        <f>IF((0=1),CN181,(C181+(C251*(90-1))))</f>
        <v>-1301.6699999999998</v>
      </c>
      <c r="CO496" s="8">
        <f>IF((0=1),CO181,(C181+(C251*(91-1))))</f>
        <v>-1316.1329999999998</v>
      </c>
      <c r="CP496" s="8">
        <f>IF((0=1),CP181,(C181+(C251*(92-1))))</f>
        <v>-1330.596</v>
      </c>
      <c r="CQ496" s="8">
        <f>IF((0=1),CQ181,(C181+(C251*(93-1))))</f>
        <v>-1345.059</v>
      </c>
      <c r="CR496" s="8">
        <f>IF((0=1),CR181,(C181+(C251*(94-1))))</f>
        <v>-1359.522</v>
      </c>
      <c r="CS496" s="8">
        <f>IF((0=1),CS181,(C181+(C251*(95-1))))</f>
        <v>-1373.985</v>
      </c>
      <c r="CT496" s="8">
        <f>IF((0=1),CT181,(C181+(C251*(96-1))))</f>
        <v>-1388.4479999999999</v>
      </c>
      <c r="CU496" s="8">
        <f>IF((0=1),CU181,(C181+(C251*(97-1))))</f>
        <v>-1402.9109999999998</v>
      </c>
      <c r="CV496" s="8">
        <f>IF((0=1),CV181,(C181+(C251*(98-1))))</f>
        <v>-1417.3739999999998</v>
      </c>
      <c r="CW496" s="8">
        <f>IF((0=1),CW181,(C181+(C251*(99-1))))</f>
        <v>-1431.837</v>
      </c>
      <c r="CX496" s="8">
        <f>IF((0=1),CX181,(C181+(C251*(100-1))))</f>
        <v>-1446.3</v>
      </c>
    </row>
    <row r="497">
      <c r="A497" s="0" t="inlineStr">
        <is>
          <t xml:space="preserve">Cumulative excess, realized then projected at running mean</t>
        </is>
      </c>
      <c r="B497" s="0" t="inlineStr">
        <is>
          <t xml:space="preserve">Retail Attention Overnight</t>
        </is>
      </c>
      <c r="C497" s="8">
        <f>IF((1=1),C182,(C182+(C252*(1-1))))</f>
        <v>-19.56</v>
      </c>
      <c r="D497" s="8">
        <f>IF((0=1),D182,(C182+(C252*(2-1))))</f>
        <v>-39.12</v>
      </c>
      <c r="E497" s="8">
        <f>IF((0=1),E182,(C182+(C252*(3-1))))</f>
        <v>-58.67999999999999</v>
      </c>
      <c r="F497" s="8">
        <f>IF((0=1),F182,(C182+(C252*(4-1))))</f>
        <v>-78.24</v>
      </c>
      <c r="G497" s="8">
        <f>IF((0=1),G182,(C182+(C252*(5-1))))</f>
        <v>-97.8</v>
      </c>
      <c r="H497" s="8">
        <f>IF((0=1),H182,(C182+(C252*(6-1))))</f>
        <v>-117.36</v>
      </c>
      <c r="I497" s="8">
        <f>IF((0=1),I182,(C182+(C252*(7-1))))</f>
        <v>-136.92</v>
      </c>
      <c r="J497" s="8">
        <f>IF((0=1),J182,(C182+(C252*(8-1))))</f>
        <v>-156.48</v>
      </c>
      <c r="K497" s="8">
        <f>IF((0=1),K182,(C182+(C252*(9-1))))</f>
        <v>-176.04</v>
      </c>
      <c r="L497" s="8">
        <f>IF((0=1),L182,(C182+(C252*(10-1))))</f>
        <v>-195.6</v>
      </c>
      <c r="M497" s="8">
        <f>IF((0=1),M182,(C182+(C252*(11-1))))</f>
        <v>-215.16</v>
      </c>
      <c r="N497" s="8">
        <f>IF((0=1),N182,(C182+(C252*(12-1))))</f>
        <v>-234.72</v>
      </c>
      <c r="O497" s="8">
        <f>IF((0=1),O182,(C182+(C252*(13-1))))</f>
        <v>-254.27999999999997</v>
      </c>
      <c r="P497" s="8">
        <f>IF((0=1),P182,(C182+(C252*(14-1))))</f>
        <v>-273.84</v>
      </c>
      <c r="Q497" s="8">
        <f>IF((0=1),Q182,(C182+(C252*(15-1))))</f>
        <v>-293.4</v>
      </c>
      <c r="R497" s="8">
        <f>IF((0=1),R182,(C182+(C252*(16-1))))</f>
        <v>-312.96</v>
      </c>
      <c r="S497" s="8">
        <f>IF((0=1),S182,(C182+(C252*(17-1))))</f>
        <v>-332.52</v>
      </c>
      <c r="T497" s="8">
        <f>IF((0=1),T182,(C182+(C252*(18-1))))</f>
        <v>-352.08</v>
      </c>
      <c r="U497" s="8">
        <f>IF((0=1),U182,(C182+(C252*(19-1))))</f>
        <v>-371.64</v>
      </c>
      <c r="V497" s="8">
        <f>IF((0=1),V182,(C182+(C252*(20-1))))</f>
        <v>-391.2</v>
      </c>
      <c r="W497" s="8">
        <f>IF((0=1),W182,(C182+(C252*(21-1))))</f>
        <v>-410.76</v>
      </c>
      <c r="X497" s="8">
        <f>IF((0=1),X182,(C182+(C252*(22-1))))</f>
        <v>-430.32</v>
      </c>
      <c r="Y497" s="8">
        <f>IF((0=1),Y182,(C182+(C252*(23-1))))</f>
        <v>-449.88</v>
      </c>
      <c r="Z497" s="8">
        <f>IF((0=1),Z182,(C182+(C252*(24-1))))</f>
        <v>-469.44</v>
      </c>
      <c r="AA497" s="8">
        <f>IF((0=1),AA182,(C182+(C252*(25-1))))</f>
        <v>-488.99999999999994</v>
      </c>
      <c r="AB497" s="8">
        <f>IF((0=1),AB182,(C182+(C252*(26-1))))</f>
        <v>-508.55999999999995</v>
      </c>
      <c r="AC497" s="8">
        <f>IF((0=1),AC182,(C182+(C252*(27-1))))</f>
        <v>-528.1199999999999</v>
      </c>
      <c r="AD497" s="8">
        <f>IF((0=1),AD182,(C182+(C252*(28-1))))</f>
        <v>-547.68</v>
      </c>
      <c r="AE497" s="8">
        <f>IF((0=1),AE182,(C182+(C252*(29-1))))</f>
        <v>-567.2399999999999</v>
      </c>
      <c r="AF497" s="8">
        <f>IF((0=1),AF182,(C182+(C252*(30-1))))</f>
        <v>-586.8</v>
      </c>
      <c r="AG497" s="8">
        <f>IF((0=1),AG182,(C182+(C252*(31-1))))</f>
        <v>-606.3599999999999</v>
      </c>
      <c r="AH497" s="8">
        <f>IF((0=1),AH182,(C182+(C252*(32-1))))</f>
        <v>-625.92</v>
      </c>
      <c r="AI497" s="8">
        <f>IF((0=1),AI182,(C182+(C252*(33-1))))</f>
        <v>-645.4799999999999</v>
      </c>
      <c r="AJ497" s="8">
        <f>IF((0=1),AJ182,(C182+(C252*(34-1))))</f>
        <v>-665.0399999999998</v>
      </c>
      <c r="AK497" s="8">
        <f>IF((0=1),AK182,(C182+(C252*(35-1))))</f>
        <v>-684.5999999999999</v>
      </c>
      <c r="AL497" s="8">
        <f>IF((0=1),AL182,(C182+(C252*(36-1))))</f>
        <v>-704.1599999999999</v>
      </c>
      <c r="AM497" s="8">
        <f>IF((0=1),AM182,(C182+(C252*(37-1))))</f>
        <v>-723.7199999999999</v>
      </c>
      <c r="AN497" s="8">
        <f>IF((0=1),AN182,(C182+(C252*(38-1))))</f>
        <v>-743.2799999999999</v>
      </c>
      <c r="AO497" s="8">
        <f>IF((0=1),AO182,(C182+(C252*(39-1))))</f>
        <v>-762.8399999999999</v>
      </c>
      <c r="AP497" s="8">
        <f>IF((0=1),AP182,(C182+(C252*(40-1))))</f>
        <v>-782.3999999999999</v>
      </c>
      <c r="AQ497" s="8">
        <f>IF((0=1),AQ182,(C182+(C252*(41-1))))</f>
        <v>-801.9599999999999</v>
      </c>
      <c r="AR497" s="8">
        <f>IF((0=1),AR182,(C182+(C252*(42-1))))</f>
        <v>-821.5199999999999</v>
      </c>
      <c r="AS497" s="8">
        <f>IF((0=1),AS182,(C182+(C252*(43-1))))</f>
        <v>-841.0799999999999</v>
      </c>
      <c r="AT497" s="8">
        <f>IF((0=1),AT182,(C182+(C252*(44-1))))</f>
        <v>-860.6399999999999</v>
      </c>
      <c r="AU497" s="8">
        <f>IF((0=1),AU182,(C182+(C252*(45-1))))</f>
        <v>-880.1999999999999</v>
      </c>
      <c r="AV497" s="8">
        <f>IF((0=1),AV182,(C182+(C252*(46-1))))</f>
        <v>-899.7599999999999</v>
      </c>
      <c r="AW497" s="8">
        <f>IF((0=1),AW182,(C182+(C252*(47-1))))</f>
        <v>-919.3199999999999</v>
      </c>
      <c r="AX497" s="8">
        <f>IF((0=1),AX182,(C182+(C252*(48-1))))</f>
        <v>-938.8799999999999</v>
      </c>
      <c r="AY497" s="8">
        <f>IF((0=1),AY182,(C182+(C252*(49-1))))</f>
        <v>-958.4399999999998</v>
      </c>
      <c r="AZ497" s="8">
        <f>IF((0=1),AZ182,(C182+(C252*(50-1))))</f>
        <v>-977.9999999999999</v>
      </c>
      <c r="BA497" s="8">
        <f>IF((0=1),BA182,(C182+(C252*(51-1))))</f>
        <v>-997.5599999999998</v>
      </c>
      <c r="BB497" s="8">
        <f>IF((0=1),BB182,(C182+(C252*(52-1))))</f>
        <v>-1017.1199999999999</v>
      </c>
      <c r="BC497" s="8">
        <f>IF((0=1),BC182,(C182+(C252*(53-1))))</f>
        <v>-1036.6799999999998</v>
      </c>
      <c r="BD497" s="8">
        <f>IF((0=1),BD182,(C182+(C252*(54-1))))</f>
        <v>-1056.2399999999998</v>
      </c>
      <c r="BE497" s="8">
        <f>IF((0=1),BE182,(C182+(C252*(55-1))))</f>
        <v>-1075.8</v>
      </c>
      <c r="BF497" s="8">
        <f>IF((0=1),BF182,(C182+(C252*(56-1))))</f>
        <v>-1095.36</v>
      </c>
      <c r="BG497" s="8">
        <f>IF((0=1),BG182,(C182+(C252*(57-1))))</f>
        <v>-1114.9199999999998</v>
      </c>
      <c r="BH497" s="8">
        <f>IF((0=1),BH182,(C182+(C252*(58-1))))</f>
        <v>-1134.4799999999998</v>
      </c>
      <c r="BI497" s="8">
        <f>IF((0=1),BI182,(C182+(C252*(59-1))))</f>
        <v>-1154.04</v>
      </c>
      <c r="BJ497" s="8">
        <f>IF((0=1),BJ182,(C182+(C252*(60-1))))</f>
        <v>-1173.6</v>
      </c>
      <c r="BK497" s="8">
        <f>IF((0=1),BK182,(C182+(C252*(61-1))))</f>
        <v>-1193.1599999999999</v>
      </c>
      <c r="BL497" s="8">
        <f>IF((0=1),BL182,(C182+(C252*(62-1))))</f>
        <v>-1212.7199999999998</v>
      </c>
      <c r="BM497" s="8">
        <f>IF((0=1),BM182,(C182+(C252*(63-1))))</f>
        <v>-1232.28</v>
      </c>
      <c r="BN497" s="8">
        <f>IF((0=1),BN182,(C182+(C252*(64-1))))</f>
        <v>-1251.84</v>
      </c>
      <c r="BO497" s="8">
        <f>IF((0=1),BO182,(C182+(C252*(65-1))))</f>
        <v>-1271.3999999999999</v>
      </c>
      <c r="BP497" s="8">
        <f>IF((0=1),BP182,(C182+(C252*(66-1))))</f>
        <v>-1290.9599999999998</v>
      </c>
      <c r="BQ497" s="8">
        <f>IF((0=1),BQ182,(C182+(C252*(67-1))))</f>
        <v>-1310.5199999999998</v>
      </c>
      <c r="BR497" s="8">
        <f>IF((0=1),BR182,(C182+(C252*(68-1))))</f>
        <v>-1330.08</v>
      </c>
      <c r="BS497" s="8">
        <f>IF((0=1),BS182,(C182+(C252*(69-1))))</f>
        <v>-1349.6399999999999</v>
      </c>
      <c r="BT497" s="8">
        <f>IF((0=1),BT182,(C182+(C252*(70-1))))</f>
        <v>-1369.1999999999998</v>
      </c>
      <c r="BU497" s="8">
        <f>IF((0=1),BU182,(C182+(C252*(71-1))))</f>
        <v>-1388.7599999999998</v>
      </c>
      <c r="BV497" s="8">
        <f>IF((0=1),BV182,(C182+(C252*(72-1))))</f>
        <v>-1408.32</v>
      </c>
      <c r="BW497" s="8">
        <f>IF((0=1),BW182,(C182+(C252*(73-1))))</f>
        <v>-1427.8799999999999</v>
      </c>
      <c r="BX497" s="8">
        <f>IF((0=1),BX182,(C182+(C252*(74-1))))</f>
        <v>-1447.4399999999998</v>
      </c>
      <c r="BY497" s="8">
        <f>IF((0=1),BY182,(C182+(C252*(75-1))))</f>
        <v>-1466.9999999999998</v>
      </c>
      <c r="BZ497" s="8">
        <f>IF((0=1),BZ182,(C182+(C252*(76-1))))</f>
        <v>-1486.56</v>
      </c>
      <c r="CA497" s="8">
        <f>IF((0=1),CA182,(C182+(C252*(77-1))))</f>
        <v>-1506.12</v>
      </c>
      <c r="CB497" s="8">
        <f>IF((0=1),CB182,(C182+(C252*(78-1))))</f>
        <v>-1525.6799999999998</v>
      </c>
      <c r="CC497" s="8">
        <f>IF((0=1),CC182,(C182+(C252*(79-1))))</f>
        <v>-1545.2399999999998</v>
      </c>
      <c r="CD497" s="8">
        <f>IF((0=1),CD182,(C182+(C252*(80-1))))</f>
        <v>-1564.8</v>
      </c>
      <c r="CE497" s="8">
        <f>IF((0=1),CE182,(C182+(C252*(81-1))))</f>
        <v>-1584.36</v>
      </c>
      <c r="CF497" s="8">
        <f>IF((0=1),CF182,(C182+(C252*(82-1))))</f>
        <v>-1603.9199999999998</v>
      </c>
      <c r="CG497" s="8">
        <f>IF((0=1),CG182,(C182+(C252*(83-1))))</f>
        <v>-1623.4799999999998</v>
      </c>
      <c r="CH497" s="8">
        <f>IF((0=1),CH182,(C182+(C252*(84-1))))</f>
        <v>-1643.0399999999997</v>
      </c>
      <c r="CI497" s="8">
        <f>IF((0=1),CI182,(C182+(C252*(85-1))))</f>
        <v>-1662.6</v>
      </c>
      <c r="CJ497" s="8">
        <f>IF((0=1),CJ182,(C182+(C252*(86-1))))</f>
        <v>-1682.1599999999999</v>
      </c>
      <c r="CK497" s="8">
        <f>IF((0=1),CK182,(C182+(C252*(87-1))))</f>
        <v>-1701.7199999999998</v>
      </c>
      <c r="CL497" s="8">
        <f>IF((0=1),CL182,(C182+(C252*(88-1))))</f>
        <v>-1721.2799999999997</v>
      </c>
      <c r="CM497" s="8">
        <f>IF((0=1),CM182,(C182+(C252*(89-1))))</f>
        <v>-1740.84</v>
      </c>
      <c r="CN497" s="8">
        <f>IF((0=1),CN182,(C182+(C252*(90-1))))</f>
        <v>-1760.3999999999999</v>
      </c>
      <c r="CO497" s="8">
        <f>IF((0=1),CO182,(C182+(C252*(91-1))))</f>
        <v>-1779.9599999999998</v>
      </c>
      <c r="CP497" s="8">
        <f>IF((0=1),CP182,(C182+(C252*(92-1))))</f>
        <v>-1799.5199999999998</v>
      </c>
      <c r="CQ497" s="8">
        <f>IF((0=1),CQ182,(C182+(C252*(93-1))))</f>
        <v>-1819.08</v>
      </c>
      <c r="CR497" s="8">
        <f>IF((0=1),CR182,(C182+(C252*(94-1))))</f>
        <v>-1838.6399999999999</v>
      </c>
      <c r="CS497" s="8">
        <f>IF((0=1),CS182,(C182+(C252*(95-1))))</f>
        <v>-1858.1999999999998</v>
      </c>
      <c r="CT497" s="8">
        <f>IF((0=1),CT182,(C182+(C252*(96-1))))</f>
        <v>-1877.7599999999998</v>
      </c>
      <c r="CU497" s="8">
        <f>IF((0=1),CU182,(C182+(C252*(97-1))))</f>
        <v>-1897.3199999999997</v>
      </c>
      <c r="CV497" s="8">
        <f>IF((0=1),CV182,(C182+(C252*(98-1))))</f>
        <v>-1916.8799999999999</v>
      </c>
      <c r="CW497" s="8">
        <f>IF((0=1),CW182,(C182+(C252*(99-1))))</f>
        <v>-1936.4399999999998</v>
      </c>
      <c r="CX497" s="8">
        <f>IF((0=1),CX182,(C182+(C252*(100-1))))</f>
        <v>-1955.9999999999998</v>
      </c>
    </row>
    <row r="498">
      <c r="A498" s="0" t="inlineStr">
        <is>
          <t xml:space="preserve">Cumulative excess, realized then projected at running mean</t>
        </is>
      </c>
      <c r="B498" s="0" t="inlineStr">
        <is>
          <t xml:space="preserve">Post-Earnings Drift, Overnight Leg</t>
        </is>
      </c>
      <c r="C498" s="8">
        <f>IF((1=1),C183,(C183+(C253*(1-1))))</f>
        <v>11.704</v>
      </c>
      <c r="D498" s="8">
        <f>IF((0=1),D183,(C183+(C253*(2-1))))</f>
        <v>23.408</v>
      </c>
      <c r="E498" s="8">
        <f>IF((0=1),E183,(C183+(C253*(3-1))))</f>
        <v>35.112</v>
      </c>
      <c r="F498" s="8">
        <f>IF((0=1),F183,(C183+(C253*(4-1))))</f>
        <v>46.816</v>
      </c>
      <c r="G498" s="8">
        <f>IF((0=1),G183,(C183+(C253*(5-1))))</f>
        <v>58.52</v>
      </c>
      <c r="H498" s="8">
        <f>IF((0=1),H183,(C183+(C253*(6-1))))</f>
        <v>70.224</v>
      </c>
      <c r="I498" s="8">
        <f>IF((0=1),I183,(C183+(C253*(7-1))))</f>
        <v>81.928</v>
      </c>
      <c r="J498" s="8">
        <f>IF((0=1),J183,(C183+(C253*(8-1))))</f>
        <v>93.632</v>
      </c>
      <c r="K498" s="8">
        <f>IF((0=1),K183,(C183+(C253*(9-1))))</f>
        <v>105.33600000000001</v>
      </c>
      <c r="L498" s="8">
        <f>IF((0=1),L183,(C183+(C253*(10-1))))</f>
        <v>117.04000000000002</v>
      </c>
      <c r="M498" s="8">
        <f>IF((0=1),M183,(C183+(C253*(11-1))))</f>
        <v>128.744</v>
      </c>
      <c r="N498" s="8">
        <f>IF((0=1),N183,(C183+(C253*(12-1))))</f>
        <v>140.448</v>
      </c>
      <c r="O498" s="8">
        <f>IF((0=1),O183,(C183+(C253*(13-1))))</f>
        <v>152.15200000000002</v>
      </c>
      <c r="P498" s="8">
        <f>IF((0=1),P183,(C183+(C253*(14-1))))</f>
        <v>163.85600000000002</v>
      </c>
      <c r="Q498" s="8">
        <f>IF((0=1),Q183,(C183+(C253*(15-1))))</f>
        <v>175.56</v>
      </c>
      <c r="R498" s="8">
        <f>IF((0=1),R183,(C183+(C253*(16-1))))</f>
        <v>187.264</v>
      </c>
      <c r="S498" s="8">
        <f>IF((0=1),S183,(C183+(C253*(17-1))))</f>
        <v>198.96800000000002</v>
      </c>
      <c r="T498" s="8">
        <f>IF((0=1),T183,(C183+(C253*(18-1))))</f>
        <v>210.67200000000003</v>
      </c>
      <c r="U498" s="8">
        <f>IF((0=1),U183,(C183+(C253*(19-1))))</f>
        <v>222.37600000000003</v>
      </c>
      <c r="V498" s="8">
        <f>IF((0=1),V183,(C183+(C253*(20-1))))</f>
        <v>234.08</v>
      </c>
      <c r="W498" s="8">
        <f>IF((0=1),W183,(C183+(C253*(21-1))))</f>
        <v>245.78400000000002</v>
      </c>
      <c r="X498" s="8">
        <f>IF((0=1),X183,(C183+(C253*(22-1))))</f>
        <v>257.488</v>
      </c>
      <c r="Y498" s="8">
        <f>IF((0=1),Y183,(C183+(C253*(23-1))))</f>
        <v>269.192</v>
      </c>
      <c r="Z498" s="8">
        <f>IF((0=1),Z183,(C183+(C253*(24-1))))</f>
        <v>280.896</v>
      </c>
      <c r="AA498" s="8">
        <f>IF((0=1),AA183,(C183+(C253*(25-1))))</f>
        <v>292.6</v>
      </c>
      <c r="AB498" s="8">
        <f>IF((0=1),AB183,(C183+(C253*(26-1))))</f>
        <v>304.30400000000003</v>
      </c>
      <c r="AC498" s="8">
        <f>IF((0=1),AC183,(C183+(C253*(27-1))))</f>
        <v>316.00800000000004</v>
      </c>
      <c r="AD498" s="8">
        <f>IF((0=1),AD183,(C183+(C253*(28-1))))</f>
        <v>327.71200000000005</v>
      </c>
      <c r="AE498" s="8">
        <f>IF((0=1),AE183,(C183+(C253*(29-1))))</f>
        <v>339.416</v>
      </c>
      <c r="AF498" s="8">
        <f>IF((0=1),AF183,(C183+(C253*(30-1))))</f>
        <v>351.12</v>
      </c>
      <c r="AG498" s="8">
        <f>IF((0=1),AG183,(C183+(C253*(31-1))))</f>
        <v>362.824</v>
      </c>
      <c r="AH498" s="8">
        <f>IF((0=1),AH183,(C183+(C253*(32-1))))</f>
        <v>374.528</v>
      </c>
      <c r="AI498" s="8">
        <f>IF((0=1),AI183,(C183+(C253*(33-1))))</f>
        <v>386.232</v>
      </c>
      <c r="AJ498" s="8">
        <f>IF((0=1),AJ183,(C183+(C253*(34-1))))</f>
        <v>397.93600000000004</v>
      </c>
      <c r="AK498" s="8">
        <f>IF((0=1),AK183,(C183+(C253*(35-1))))</f>
        <v>409.64000000000004</v>
      </c>
      <c r="AL498" s="8">
        <f>IF((0=1),AL183,(C183+(C253*(36-1))))</f>
        <v>421.34400000000005</v>
      </c>
      <c r="AM498" s="8">
        <f>IF((0=1),AM183,(C183+(C253*(37-1))))</f>
        <v>433.04800000000006</v>
      </c>
      <c r="AN498" s="8">
        <f>IF((0=1),AN183,(C183+(C253*(38-1))))</f>
        <v>444.752</v>
      </c>
      <c r="AO498" s="8">
        <f>IF((0=1),AO183,(C183+(C253*(39-1))))</f>
        <v>456.456</v>
      </c>
      <c r="AP498" s="8">
        <f>IF((0=1),AP183,(C183+(C253*(40-1))))</f>
        <v>468.16</v>
      </c>
      <c r="AQ498" s="8">
        <f>IF((0=1),AQ183,(C183+(C253*(41-1))))</f>
        <v>479.86400000000003</v>
      </c>
      <c r="AR498" s="8">
        <f>IF((0=1),AR183,(C183+(C253*(42-1))))</f>
        <v>491.56800000000004</v>
      </c>
      <c r="AS498" s="8">
        <f>IF((0=1),AS183,(C183+(C253*(43-1))))</f>
        <v>503.27200000000005</v>
      </c>
      <c r="AT498" s="8">
        <f>IF((0=1),AT183,(C183+(C253*(44-1))))</f>
        <v>514.976</v>
      </c>
      <c r="AU498" s="8">
        <f>IF((0=1),AU183,(C183+(C253*(45-1))))</f>
        <v>526.68</v>
      </c>
      <c r="AV498" s="8">
        <f>IF((0=1),AV183,(C183+(C253*(46-1))))</f>
        <v>538.384</v>
      </c>
      <c r="AW498" s="8">
        <f>IF((0=1),AW183,(C183+(C253*(47-1))))</f>
        <v>550.088</v>
      </c>
      <c r="AX498" s="8">
        <f>IF((0=1),AX183,(C183+(C253*(48-1))))</f>
        <v>561.792</v>
      </c>
      <c r="AY498" s="8">
        <f>IF((0=1),AY183,(C183+(C253*(49-1))))</f>
        <v>573.496</v>
      </c>
      <c r="AZ498" s="8">
        <f>IF((0=1),AZ183,(C183+(C253*(50-1))))</f>
        <v>585.1999999999999</v>
      </c>
      <c r="BA498" s="8">
        <f>IF((0=1),BA183,(C183+(C253*(51-1))))</f>
        <v>596.904</v>
      </c>
      <c r="BB498" s="8">
        <f>IF((0=1),BB183,(C183+(C253*(52-1))))</f>
        <v>608.608</v>
      </c>
      <c r="BC498" s="8">
        <f>IF((0=1),BC183,(C183+(C253*(53-1))))</f>
        <v>620.312</v>
      </c>
      <c r="BD498" s="8">
        <f>IF((0=1),BD183,(C183+(C253*(54-1))))</f>
        <v>632.016</v>
      </c>
      <c r="BE498" s="8">
        <f>IF((0=1),BE183,(C183+(C253*(55-1))))</f>
        <v>643.72</v>
      </c>
      <c r="BF498" s="8">
        <f>IF((0=1),BF183,(C183+(C253*(56-1))))</f>
        <v>655.424</v>
      </c>
      <c r="BG498" s="8">
        <f>IF((0=1),BG183,(C183+(C253*(57-1))))</f>
        <v>667.1279999999999</v>
      </c>
      <c r="BH498" s="8">
        <f>IF((0=1),BH183,(C183+(C253*(58-1))))</f>
        <v>678.832</v>
      </c>
      <c r="BI498" s="8">
        <f>IF((0=1),BI183,(C183+(C253*(59-1))))</f>
        <v>690.536</v>
      </c>
      <c r="BJ498" s="8">
        <f>IF((0=1),BJ183,(C183+(C253*(60-1))))</f>
        <v>702.24</v>
      </c>
      <c r="BK498" s="8">
        <f>IF((0=1),BK183,(C183+(C253*(61-1))))</f>
        <v>713.944</v>
      </c>
      <c r="BL498" s="8">
        <f>IF((0=1),BL183,(C183+(C253*(62-1))))</f>
        <v>725.648</v>
      </c>
      <c r="BM498" s="8">
        <f>IF((0=1),BM183,(C183+(C253*(63-1))))</f>
        <v>737.352</v>
      </c>
      <c r="BN498" s="8">
        <f>IF((0=1),BN183,(C183+(C253*(64-1))))</f>
        <v>749.056</v>
      </c>
      <c r="BO498" s="8">
        <f>IF((0=1),BO183,(C183+(C253*(65-1))))</f>
        <v>760.76</v>
      </c>
      <c r="BP498" s="8">
        <f>IF((0=1),BP183,(C183+(C253*(66-1))))</f>
        <v>772.4639999999999</v>
      </c>
      <c r="BQ498" s="8">
        <f>IF((0=1),BQ183,(C183+(C253*(67-1))))</f>
        <v>784.168</v>
      </c>
      <c r="BR498" s="8">
        <f>IF((0=1),BR183,(C183+(C253*(68-1))))</f>
        <v>795.872</v>
      </c>
      <c r="BS498" s="8">
        <f>IF((0=1),BS183,(C183+(C253*(69-1))))</f>
        <v>807.576</v>
      </c>
      <c r="BT498" s="8">
        <f>IF((0=1),BT183,(C183+(C253*(70-1))))</f>
        <v>819.28</v>
      </c>
      <c r="BU498" s="8">
        <f>IF((0=1),BU183,(C183+(C253*(71-1))))</f>
        <v>830.984</v>
      </c>
      <c r="BV498" s="8">
        <f>IF((0=1),BV183,(C183+(C253*(72-1))))</f>
        <v>842.688</v>
      </c>
      <c r="BW498" s="8">
        <f>IF((0=1),BW183,(C183+(C253*(73-1))))</f>
        <v>854.392</v>
      </c>
      <c r="BX498" s="8">
        <f>IF((0=1),BX183,(C183+(C253*(74-1))))</f>
        <v>866.096</v>
      </c>
      <c r="BY498" s="8">
        <f>IF((0=1),BY183,(C183+(C253*(75-1))))</f>
        <v>877.8</v>
      </c>
      <c r="BZ498" s="8">
        <f>IF((0=1),BZ183,(C183+(C253*(76-1))))</f>
        <v>889.504</v>
      </c>
      <c r="CA498" s="8">
        <f>IF((0=1),CA183,(C183+(C253*(77-1))))</f>
        <v>901.208</v>
      </c>
      <c r="CB498" s="8">
        <f>IF((0=1),CB183,(C183+(C253*(78-1))))</f>
        <v>912.912</v>
      </c>
      <c r="CC498" s="8">
        <f>IF((0=1),CC183,(C183+(C253*(79-1))))</f>
        <v>924.616</v>
      </c>
      <c r="CD498" s="8">
        <f>IF((0=1),CD183,(C183+(C253*(80-1))))</f>
        <v>936.32</v>
      </c>
      <c r="CE498" s="8">
        <f>IF((0=1),CE183,(C183+(C253*(81-1))))</f>
        <v>948.024</v>
      </c>
      <c r="CF498" s="8">
        <f>IF((0=1),CF183,(C183+(C253*(82-1))))</f>
        <v>959.728</v>
      </c>
      <c r="CG498" s="8">
        <f>IF((0=1),CG183,(C183+(C253*(83-1))))</f>
        <v>971.432</v>
      </c>
      <c r="CH498" s="8">
        <f>IF((0=1),CH183,(C183+(C253*(84-1))))</f>
        <v>983.136</v>
      </c>
      <c r="CI498" s="8">
        <f>IF((0=1),CI183,(C183+(C253*(85-1))))</f>
        <v>994.84</v>
      </c>
      <c r="CJ498" s="8">
        <f>IF((0=1),CJ183,(C183+(C253*(86-1))))</f>
        <v>1006.544</v>
      </c>
      <c r="CK498" s="8">
        <f>IF((0=1),CK183,(C183+(C253*(87-1))))</f>
        <v>1018.248</v>
      </c>
      <c r="CL498" s="8">
        <f>IF((0=1),CL183,(C183+(C253*(88-1))))</f>
        <v>1029.952</v>
      </c>
      <c r="CM498" s="8">
        <f>IF((0=1),CM183,(C183+(C253*(89-1))))</f>
        <v>1041.656</v>
      </c>
      <c r="CN498" s="8">
        <f>IF((0=1),CN183,(C183+(C253*(90-1))))</f>
        <v>1053.36</v>
      </c>
      <c r="CO498" s="8">
        <f>IF((0=1),CO183,(C183+(C253*(91-1))))</f>
        <v>1065.064</v>
      </c>
      <c r="CP498" s="8">
        <f>IF((0=1),CP183,(C183+(C253*(92-1))))</f>
        <v>1076.768</v>
      </c>
      <c r="CQ498" s="8">
        <f>IF((0=1),CQ183,(C183+(C253*(93-1))))</f>
        <v>1088.472</v>
      </c>
      <c r="CR498" s="8">
        <f>IF((0=1),CR183,(C183+(C253*(94-1))))</f>
        <v>1100.176</v>
      </c>
      <c r="CS498" s="8">
        <f>IF((0=1),CS183,(C183+(C253*(95-1))))</f>
        <v>1111.88</v>
      </c>
      <c r="CT498" s="8">
        <f>IF((0=1),CT183,(C183+(C253*(96-1))))</f>
        <v>1123.584</v>
      </c>
      <c r="CU498" s="8">
        <f>IF((0=1),CU183,(C183+(C253*(97-1))))</f>
        <v>1135.288</v>
      </c>
      <c r="CV498" s="8">
        <f>IF((0=1),CV183,(C183+(C253*(98-1))))</f>
        <v>1146.992</v>
      </c>
      <c r="CW498" s="8">
        <f>IF((0=1),CW183,(C183+(C253*(99-1))))</f>
        <v>1158.696</v>
      </c>
      <c r="CX498" s="8">
        <f>IF((0=1),CX183,(C183+(C253*(100-1))))</f>
        <v>1170.4</v>
      </c>
    </row>
    <row r="499">
      <c r="A499" s="0" t="inlineStr">
        <is>
          <t xml:space="preserve">Cumulative excess, realized then projected at running mean</t>
        </is>
      </c>
      <c r="B499" s="0" t="inlineStr">
        <is>
          <t xml:space="preserve">Intraday-to-Overnight Reversal</t>
        </is>
      </c>
      <c r="C499" s="8">
        <f>IF((1=1),C184,(C184+(C254*(1-1))))</f>
        <v>4.098</v>
      </c>
      <c r="D499" s="8">
        <f>IF((0=1),D184,(C184+(C254*(2-1))))</f>
        <v>8.196</v>
      </c>
      <c r="E499" s="8">
        <f>IF((0=1),E184,(C184+(C254*(3-1))))</f>
        <v>12.294</v>
      </c>
      <c r="F499" s="8">
        <f>IF((0=1),F184,(C184+(C254*(4-1))))</f>
        <v>16.392</v>
      </c>
      <c r="G499" s="8">
        <f>IF((0=1),G184,(C184+(C254*(5-1))))</f>
        <v>20.49</v>
      </c>
      <c r="H499" s="8">
        <f>IF((0=1),H184,(C184+(C254*(6-1))))</f>
        <v>24.587999999999997</v>
      </c>
      <c r="I499" s="8">
        <f>IF((0=1),I184,(C184+(C254*(7-1))))</f>
        <v>28.686</v>
      </c>
      <c r="J499" s="8">
        <f>IF((0=1),J184,(C184+(C254*(8-1))))</f>
        <v>32.784</v>
      </c>
      <c r="K499" s="8">
        <f>IF((0=1),K184,(C184+(C254*(9-1))))</f>
        <v>36.882</v>
      </c>
      <c r="L499" s="8">
        <f>IF((0=1),L184,(C184+(C254*(10-1))))</f>
        <v>40.98</v>
      </c>
      <c r="M499" s="8">
        <f>IF((0=1),M184,(C184+(C254*(11-1))))</f>
        <v>45.077999999999996</v>
      </c>
      <c r="N499" s="8">
        <f>IF((0=1),N184,(C184+(C254*(12-1))))</f>
        <v>49.175999999999995</v>
      </c>
      <c r="O499" s="8">
        <f>IF((0=1),O184,(C184+(C254*(13-1))))</f>
        <v>53.274</v>
      </c>
      <c r="P499" s="8">
        <f>IF((0=1),P184,(C184+(C254*(14-1))))</f>
        <v>57.372</v>
      </c>
      <c r="Q499" s="8">
        <f>IF((0=1),Q184,(C184+(C254*(15-1))))</f>
        <v>61.47</v>
      </c>
      <c r="R499" s="8">
        <f>IF((0=1),R184,(C184+(C254*(16-1))))</f>
        <v>65.568</v>
      </c>
      <c r="S499" s="8">
        <f>IF((0=1),S184,(C184+(C254*(17-1))))</f>
        <v>69.666</v>
      </c>
      <c r="T499" s="8">
        <f>IF((0=1),T184,(C184+(C254*(18-1))))</f>
        <v>73.764</v>
      </c>
      <c r="U499" s="8">
        <f>IF((0=1),U184,(C184+(C254*(19-1))))</f>
        <v>77.862</v>
      </c>
      <c r="V499" s="8">
        <f>IF((0=1),V184,(C184+(C254*(20-1))))</f>
        <v>81.96</v>
      </c>
      <c r="W499" s="8">
        <f>IF((0=1),W184,(C184+(C254*(21-1))))</f>
        <v>86.05799999999999</v>
      </c>
      <c r="X499" s="8">
        <f>IF((0=1),X184,(C184+(C254*(22-1))))</f>
        <v>90.15599999999999</v>
      </c>
      <c r="Y499" s="8">
        <f>IF((0=1),Y184,(C184+(C254*(23-1))))</f>
        <v>94.25399999999999</v>
      </c>
      <c r="Z499" s="8">
        <f>IF((0=1),Z184,(C184+(C254*(24-1))))</f>
        <v>98.35199999999999</v>
      </c>
      <c r="AA499" s="8">
        <f>IF((0=1),AA184,(C184+(C254*(25-1))))</f>
        <v>102.45</v>
      </c>
      <c r="AB499" s="8">
        <f>IF((0=1),AB184,(C184+(C254*(26-1))))</f>
        <v>106.548</v>
      </c>
      <c r="AC499" s="8">
        <f>IF((0=1),AC184,(C184+(C254*(27-1))))</f>
        <v>110.646</v>
      </c>
      <c r="AD499" s="8">
        <f>IF((0=1),AD184,(C184+(C254*(28-1))))</f>
        <v>114.744</v>
      </c>
      <c r="AE499" s="8">
        <f>IF((0=1),AE184,(C184+(C254*(29-1))))</f>
        <v>118.842</v>
      </c>
      <c r="AF499" s="8">
        <f>IF((0=1),AF184,(C184+(C254*(30-1))))</f>
        <v>122.94</v>
      </c>
      <c r="AG499" s="8">
        <f>IF((0=1),AG184,(C184+(C254*(31-1))))</f>
        <v>127.038</v>
      </c>
      <c r="AH499" s="8">
        <f>IF((0=1),AH184,(C184+(C254*(32-1))))</f>
        <v>131.136</v>
      </c>
      <c r="AI499" s="8">
        <f>IF((0=1),AI184,(C184+(C254*(33-1))))</f>
        <v>135.234</v>
      </c>
      <c r="AJ499" s="8">
        <f>IF((0=1),AJ184,(C184+(C254*(34-1))))</f>
        <v>139.33200000000002</v>
      </c>
      <c r="AK499" s="8">
        <f>IF((0=1),AK184,(C184+(C254*(35-1))))</f>
        <v>143.43</v>
      </c>
      <c r="AL499" s="8">
        <f>IF((0=1),AL184,(C184+(C254*(36-1))))</f>
        <v>147.52800000000002</v>
      </c>
      <c r="AM499" s="8">
        <f>IF((0=1),AM184,(C184+(C254*(37-1))))</f>
        <v>151.626</v>
      </c>
      <c r="AN499" s="8">
        <f>IF((0=1),AN184,(C184+(C254*(38-1))))</f>
        <v>155.72400000000002</v>
      </c>
      <c r="AO499" s="8">
        <f>IF((0=1),AO184,(C184+(C254*(39-1))))</f>
        <v>159.822</v>
      </c>
      <c r="AP499" s="8">
        <f>IF((0=1),AP184,(C184+(C254*(40-1))))</f>
        <v>163.92000000000002</v>
      </c>
      <c r="AQ499" s="8">
        <f>IF((0=1),AQ184,(C184+(C254*(41-1))))</f>
        <v>168.018</v>
      </c>
      <c r="AR499" s="8">
        <f>IF((0=1),AR184,(C184+(C254*(42-1))))</f>
        <v>172.116</v>
      </c>
      <c r="AS499" s="8">
        <f>IF((0=1),AS184,(C184+(C254*(43-1))))</f>
        <v>176.214</v>
      </c>
      <c r="AT499" s="8">
        <f>IF((0=1),AT184,(C184+(C254*(44-1))))</f>
        <v>180.312</v>
      </c>
      <c r="AU499" s="8">
        <f>IF((0=1),AU184,(C184+(C254*(45-1))))</f>
        <v>184.41</v>
      </c>
      <c r="AV499" s="8">
        <f>IF((0=1),AV184,(C184+(C254*(46-1))))</f>
        <v>188.508</v>
      </c>
      <c r="AW499" s="8">
        <f>IF((0=1),AW184,(C184+(C254*(47-1))))</f>
        <v>192.606</v>
      </c>
      <c r="AX499" s="8">
        <f>IF((0=1),AX184,(C184+(C254*(48-1))))</f>
        <v>196.704</v>
      </c>
      <c r="AY499" s="8">
        <f>IF((0=1),AY184,(C184+(C254*(49-1))))</f>
        <v>200.80200000000002</v>
      </c>
      <c r="AZ499" s="8">
        <f>IF((0=1),AZ184,(C184+(C254*(50-1))))</f>
        <v>204.9</v>
      </c>
      <c r="BA499" s="8">
        <f>IF((0=1),BA184,(C184+(C254*(51-1))))</f>
        <v>208.99800000000002</v>
      </c>
      <c r="BB499" s="8">
        <f>IF((0=1),BB184,(C184+(C254*(52-1))))</f>
        <v>213.096</v>
      </c>
      <c r="BC499" s="8">
        <f>IF((0=1),BC184,(C184+(C254*(53-1))))</f>
        <v>217.19400000000002</v>
      </c>
      <c r="BD499" s="8">
        <f>IF((0=1),BD184,(C184+(C254*(54-1))))</f>
        <v>221.292</v>
      </c>
      <c r="BE499" s="8">
        <f>IF((0=1),BE184,(C184+(C254*(55-1))))</f>
        <v>225.39000000000001</v>
      </c>
      <c r="BF499" s="8">
        <f>IF((0=1),BF184,(C184+(C254*(56-1))))</f>
        <v>229.488</v>
      </c>
      <c r="BG499" s="8">
        <f>IF((0=1),BG184,(C184+(C254*(57-1))))</f>
        <v>233.586</v>
      </c>
      <c r="BH499" s="8">
        <f>IF((0=1),BH184,(C184+(C254*(58-1))))</f>
        <v>237.684</v>
      </c>
      <c r="BI499" s="8">
        <f>IF((0=1),BI184,(C184+(C254*(59-1))))</f>
        <v>241.782</v>
      </c>
      <c r="BJ499" s="8">
        <f>IF((0=1),BJ184,(C184+(C254*(60-1))))</f>
        <v>245.88</v>
      </c>
      <c r="BK499" s="8">
        <f>IF((0=1),BK184,(C184+(C254*(61-1))))</f>
        <v>249.978</v>
      </c>
      <c r="BL499" s="8">
        <f>IF((0=1),BL184,(C184+(C254*(62-1))))</f>
        <v>254.076</v>
      </c>
      <c r="BM499" s="8">
        <f>IF((0=1),BM184,(C184+(C254*(63-1))))</f>
        <v>258.174</v>
      </c>
      <c r="BN499" s="8">
        <f>IF((0=1),BN184,(C184+(C254*(64-1))))</f>
        <v>262.272</v>
      </c>
      <c r="BO499" s="8">
        <f>IF((0=1),BO184,(C184+(C254*(65-1))))</f>
        <v>266.37</v>
      </c>
      <c r="BP499" s="8">
        <f>IF((0=1),BP184,(C184+(C254*(66-1))))</f>
        <v>270.468</v>
      </c>
      <c r="BQ499" s="8">
        <f>IF((0=1),BQ184,(C184+(C254*(67-1))))</f>
        <v>274.56600000000003</v>
      </c>
      <c r="BR499" s="8">
        <f>IF((0=1),BR184,(C184+(C254*(68-1))))</f>
        <v>278.664</v>
      </c>
      <c r="BS499" s="8">
        <f>IF((0=1),BS184,(C184+(C254*(69-1))))</f>
        <v>282.762</v>
      </c>
      <c r="BT499" s="8">
        <f>IF((0=1),BT184,(C184+(C254*(70-1))))</f>
        <v>286.86</v>
      </c>
      <c r="BU499" s="8">
        <f>IF((0=1),BU184,(C184+(C254*(71-1))))</f>
        <v>290.958</v>
      </c>
      <c r="BV499" s="8">
        <f>IF((0=1),BV184,(C184+(C254*(72-1))))</f>
        <v>295.056</v>
      </c>
      <c r="BW499" s="8">
        <f>IF((0=1),BW184,(C184+(C254*(73-1))))</f>
        <v>299.154</v>
      </c>
      <c r="BX499" s="8">
        <f>IF((0=1),BX184,(C184+(C254*(74-1))))</f>
        <v>303.252</v>
      </c>
      <c r="BY499" s="8">
        <f>IF((0=1),BY184,(C184+(C254*(75-1))))</f>
        <v>307.35</v>
      </c>
      <c r="BZ499" s="8">
        <f>IF((0=1),BZ184,(C184+(C254*(76-1))))</f>
        <v>311.448</v>
      </c>
      <c r="CA499" s="8">
        <f>IF((0=1),CA184,(C184+(C254*(77-1))))</f>
        <v>315.546</v>
      </c>
      <c r="CB499" s="8">
        <f>IF((0=1),CB184,(C184+(C254*(78-1))))</f>
        <v>319.644</v>
      </c>
      <c r="CC499" s="8">
        <f>IF((0=1),CC184,(C184+(C254*(79-1))))</f>
        <v>323.742</v>
      </c>
      <c r="CD499" s="8">
        <f>IF((0=1),CD184,(C184+(C254*(80-1))))</f>
        <v>327.84</v>
      </c>
      <c r="CE499" s="8">
        <f>IF((0=1),CE184,(C184+(C254*(81-1))))</f>
        <v>331.938</v>
      </c>
      <c r="CF499" s="8">
        <f>IF((0=1),CF184,(C184+(C254*(82-1))))</f>
        <v>336.036</v>
      </c>
      <c r="CG499" s="8">
        <f>IF((0=1),CG184,(C184+(C254*(83-1))))</f>
        <v>340.134</v>
      </c>
      <c r="CH499" s="8">
        <f>IF((0=1),CH184,(C184+(C254*(84-1))))</f>
        <v>344.232</v>
      </c>
      <c r="CI499" s="8">
        <f>IF((0=1),CI184,(C184+(C254*(85-1))))</f>
        <v>348.33</v>
      </c>
      <c r="CJ499" s="8">
        <f>IF((0=1),CJ184,(C184+(C254*(86-1))))</f>
        <v>352.428</v>
      </c>
      <c r="CK499" s="8">
        <f>IF((0=1),CK184,(C184+(C254*(87-1))))</f>
        <v>356.526</v>
      </c>
      <c r="CL499" s="8">
        <f>IF((0=1),CL184,(C184+(C254*(88-1))))</f>
        <v>360.624</v>
      </c>
      <c r="CM499" s="8">
        <f>IF((0=1),CM184,(C184+(C254*(89-1))))</f>
        <v>364.722</v>
      </c>
      <c r="CN499" s="8">
        <f>IF((0=1),CN184,(C184+(C254*(90-1))))</f>
        <v>368.82</v>
      </c>
      <c r="CO499" s="8">
        <f>IF((0=1),CO184,(C184+(C254*(91-1))))</f>
        <v>372.918</v>
      </c>
      <c r="CP499" s="8">
        <f>IF((0=1),CP184,(C184+(C254*(92-1))))</f>
        <v>377.016</v>
      </c>
      <c r="CQ499" s="8">
        <f>IF((0=1),CQ184,(C184+(C254*(93-1))))</f>
        <v>381.114</v>
      </c>
      <c r="CR499" s="8">
        <f>IF((0=1),CR184,(C184+(C254*(94-1))))</f>
        <v>385.212</v>
      </c>
      <c r="CS499" s="8">
        <f>IF((0=1),CS184,(C184+(C254*(95-1))))</f>
        <v>389.31</v>
      </c>
      <c r="CT499" s="8">
        <f>IF((0=1),CT184,(C184+(C254*(96-1))))</f>
        <v>393.408</v>
      </c>
      <c r="CU499" s="8">
        <f>IF((0=1),CU184,(C184+(C254*(97-1))))</f>
        <v>397.50600000000003</v>
      </c>
      <c r="CV499" s="8">
        <f>IF((0=1),CV184,(C184+(C254*(98-1))))</f>
        <v>401.604</v>
      </c>
      <c r="CW499" s="8">
        <f>IF((0=1),CW184,(C184+(C254*(99-1))))</f>
        <v>405.702</v>
      </c>
      <c r="CX499" s="8">
        <f>IF((0=1),CX184,(C184+(C254*(100-1))))</f>
        <v>409.8</v>
      </c>
    </row>
    <row r="500">
      <c r="A500" s="0" t="inlineStr">
        <is>
          <t xml:space="preserve">Cumulative excess, realized then projected at running mean</t>
        </is>
      </c>
      <c r="B500" s="0" t="inlineStr">
        <is>
          <t xml:space="preserve">Analyst Revision Momentum</t>
        </is>
      </c>
      <c r="C500" s="8">
        <f>IF((1=1),C185,(C185+(C255*(1-1))))</f>
        <v>-2.965</v>
      </c>
      <c r="D500" s="8">
        <f>IF((0=1),D185,(C185+(C255*(2-1))))</f>
        <v>-5.93</v>
      </c>
      <c r="E500" s="8">
        <f>IF((0=1),E185,(C185+(C255*(3-1))))</f>
        <v>-8.895</v>
      </c>
      <c r="F500" s="8">
        <f>IF((0=1),F185,(C185+(C255*(4-1))))</f>
        <v>-11.86</v>
      </c>
      <c r="G500" s="8">
        <f>IF((0=1),G185,(C185+(C255*(5-1))))</f>
        <v>-14.825</v>
      </c>
      <c r="H500" s="8">
        <f>IF((0=1),H185,(C185+(C255*(6-1))))</f>
        <v>-17.79</v>
      </c>
      <c r="I500" s="8">
        <f>IF((0=1),I185,(C185+(C255*(7-1))))</f>
        <v>-20.755</v>
      </c>
      <c r="J500" s="8">
        <f>IF((0=1),J185,(C185+(C255*(8-1))))</f>
        <v>-23.72</v>
      </c>
      <c r="K500" s="8">
        <f>IF((0=1),K185,(C185+(C255*(9-1))))</f>
        <v>-26.685</v>
      </c>
      <c r="L500" s="8">
        <f>IF((0=1),L185,(C185+(C255*(10-1))))</f>
        <v>-29.65</v>
      </c>
      <c r="M500" s="8">
        <f>IF((0=1),M185,(C185+(C255*(11-1))))</f>
        <v>-32.614999999999995</v>
      </c>
      <c r="N500" s="8">
        <f>IF((0=1),N185,(C185+(C255*(12-1))))</f>
        <v>-35.58</v>
      </c>
      <c r="O500" s="8">
        <f>IF((0=1),O185,(C185+(C255*(13-1))))</f>
        <v>-38.545</v>
      </c>
      <c r="P500" s="8">
        <f>IF((0=1),P185,(C185+(C255*(14-1))))</f>
        <v>-41.510000000000005</v>
      </c>
      <c r="Q500" s="8">
        <f>IF((0=1),Q185,(C185+(C255*(15-1))))</f>
        <v>-44.474999999999994</v>
      </c>
      <c r="R500" s="8">
        <f>IF((0=1),R185,(C185+(C255*(16-1))))</f>
        <v>-47.44</v>
      </c>
      <c r="S500" s="8">
        <f>IF((0=1),S185,(C185+(C255*(17-1))))</f>
        <v>-50.405</v>
      </c>
      <c r="T500" s="8">
        <f>IF((0=1),T185,(C185+(C255*(18-1))))</f>
        <v>-53.370000000000005</v>
      </c>
      <c r="U500" s="8">
        <f>IF((0=1),U185,(C185+(C255*(19-1))))</f>
        <v>-56.334999999999994</v>
      </c>
      <c r="V500" s="8">
        <f>IF((0=1),V185,(C185+(C255*(20-1))))</f>
        <v>-59.3</v>
      </c>
      <c r="W500" s="8">
        <f>IF((0=1),W185,(C185+(C255*(21-1))))</f>
        <v>-62.265</v>
      </c>
      <c r="X500" s="8">
        <f>IF((0=1),X185,(C185+(C255*(22-1))))</f>
        <v>-65.23</v>
      </c>
      <c r="Y500" s="8">
        <f>IF((0=1),Y185,(C185+(C255*(23-1))))</f>
        <v>-68.195</v>
      </c>
      <c r="Z500" s="8">
        <f>IF((0=1),Z185,(C185+(C255*(24-1))))</f>
        <v>-71.16</v>
      </c>
      <c r="AA500" s="8">
        <f>IF((0=1),AA185,(C185+(C255*(25-1))))</f>
        <v>-74.125</v>
      </c>
      <c r="AB500" s="8">
        <f>IF((0=1),AB185,(C185+(C255*(26-1))))</f>
        <v>-77.09</v>
      </c>
      <c r="AC500" s="8">
        <f>IF((0=1),AC185,(C185+(C255*(27-1))))</f>
        <v>-80.055</v>
      </c>
      <c r="AD500" s="8">
        <f>IF((0=1),AD185,(C185+(C255*(28-1))))</f>
        <v>-83.02</v>
      </c>
      <c r="AE500" s="8">
        <f>IF((0=1),AE185,(C185+(C255*(29-1))))</f>
        <v>-85.985</v>
      </c>
      <c r="AF500" s="8">
        <f>IF((0=1),AF185,(C185+(C255*(30-1))))</f>
        <v>-88.95</v>
      </c>
      <c r="AG500" s="8">
        <f>IF((0=1),AG185,(C185+(C255*(31-1))))</f>
        <v>-91.91499999999999</v>
      </c>
      <c r="AH500" s="8">
        <f>IF((0=1),AH185,(C185+(C255*(32-1))))</f>
        <v>-94.88</v>
      </c>
      <c r="AI500" s="8">
        <f>IF((0=1),AI185,(C185+(C255*(33-1))))</f>
        <v>-97.845</v>
      </c>
      <c r="AJ500" s="8">
        <f>IF((0=1),AJ185,(C185+(C255*(34-1))))</f>
        <v>-100.81</v>
      </c>
      <c r="AK500" s="8">
        <f>IF((0=1),AK185,(C185+(C255*(35-1))))</f>
        <v>-103.775</v>
      </c>
      <c r="AL500" s="8">
        <f>IF((0=1),AL185,(C185+(C255*(36-1))))</f>
        <v>-106.74</v>
      </c>
      <c r="AM500" s="8">
        <f>IF((0=1),AM185,(C185+(C255*(37-1))))</f>
        <v>-109.705</v>
      </c>
      <c r="AN500" s="8">
        <f>IF((0=1),AN185,(C185+(C255*(38-1))))</f>
        <v>-112.67</v>
      </c>
      <c r="AO500" s="8">
        <f>IF((0=1),AO185,(C185+(C255*(39-1))))</f>
        <v>-115.63499999999999</v>
      </c>
      <c r="AP500" s="8">
        <f>IF((0=1),AP185,(C185+(C255*(40-1))))</f>
        <v>-118.6</v>
      </c>
      <c r="AQ500" s="8">
        <f>IF((0=1),AQ185,(C185+(C255*(41-1))))</f>
        <v>-121.565</v>
      </c>
      <c r="AR500" s="8">
        <f>IF((0=1),AR185,(C185+(C255*(42-1))))</f>
        <v>-124.53</v>
      </c>
      <c r="AS500" s="8">
        <f>IF((0=1),AS185,(C185+(C255*(43-1))))</f>
        <v>-127.495</v>
      </c>
      <c r="AT500" s="8">
        <f>IF((0=1),AT185,(C185+(C255*(44-1))))</f>
        <v>-130.45999999999998</v>
      </c>
      <c r="AU500" s="8">
        <f>IF((0=1),AU185,(C185+(C255*(45-1))))</f>
        <v>-133.42499999999998</v>
      </c>
      <c r="AV500" s="8">
        <f>IF((0=1),AV185,(C185+(C255*(46-1))))</f>
        <v>-136.39</v>
      </c>
      <c r="AW500" s="8">
        <f>IF((0=1),AW185,(C185+(C255*(47-1))))</f>
        <v>-139.355</v>
      </c>
      <c r="AX500" s="8">
        <f>IF((0=1),AX185,(C185+(C255*(48-1))))</f>
        <v>-142.32</v>
      </c>
      <c r="AY500" s="8">
        <f>IF((0=1),AY185,(C185+(C255*(49-1))))</f>
        <v>-145.285</v>
      </c>
      <c r="AZ500" s="8">
        <f>IF((0=1),AZ185,(C185+(C255*(50-1))))</f>
        <v>-148.25</v>
      </c>
      <c r="BA500" s="8">
        <f>IF((0=1),BA185,(C185+(C255*(51-1))))</f>
        <v>-151.215</v>
      </c>
      <c r="BB500" s="8">
        <f>IF((0=1),BB185,(C185+(C255*(52-1))))</f>
        <v>-154.18</v>
      </c>
      <c r="BC500" s="8">
        <f>IF((0=1),BC185,(C185+(C255*(53-1))))</f>
        <v>-157.145</v>
      </c>
      <c r="BD500" s="8">
        <f>IF((0=1),BD185,(C185+(C255*(54-1))))</f>
        <v>-160.10999999999999</v>
      </c>
      <c r="BE500" s="8">
        <f>IF((0=1),BE185,(C185+(C255*(55-1))))</f>
        <v>-163.075</v>
      </c>
      <c r="BF500" s="8">
        <f>IF((0=1),BF185,(C185+(C255*(56-1))))</f>
        <v>-166.04</v>
      </c>
      <c r="BG500" s="8">
        <f>IF((0=1),BG185,(C185+(C255*(57-1))))</f>
        <v>-169.005</v>
      </c>
      <c r="BH500" s="8">
        <f>IF((0=1),BH185,(C185+(C255*(58-1))))</f>
        <v>-171.97</v>
      </c>
      <c r="BI500" s="8">
        <f>IF((0=1),BI185,(C185+(C255*(59-1))))</f>
        <v>-174.935</v>
      </c>
      <c r="BJ500" s="8">
        <f>IF((0=1),BJ185,(C185+(C255*(60-1))))</f>
        <v>-177.9</v>
      </c>
      <c r="BK500" s="8">
        <f>IF((0=1),BK185,(C185+(C255*(61-1))))</f>
        <v>-180.86499999999998</v>
      </c>
      <c r="BL500" s="8">
        <f>IF((0=1),BL185,(C185+(C255*(62-1))))</f>
        <v>-183.82999999999998</v>
      </c>
      <c r="BM500" s="8">
        <f>IF((0=1),BM185,(C185+(C255*(63-1))))</f>
        <v>-186.795</v>
      </c>
      <c r="BN500" s="8">
        <f>IF((0=1),BN185,(C185+(C255*(64-1))))</f>
        <v>-189.76</v>
      </c>
      <c r="BO500" s="8">
        <f>IF((0=1),BO185,(C185+(C255*(65-1))))</f>
        <v>-192.725</v>
      </c>
      <c r="BP500" s="8">
        <f>IF((0=1),BP185,(C185+(C255*(66-1))))</f>
        <v>-195.69</v>
      </c>
      <c r="BQ500" s="8">
        <f>IF((0=1),BQ185,(C185+(C255*(67-1))))</f>
        <v>-198.655</v>
      </c>
      <c r="BR500" s="8">
        <f>IF((0=1),BR185,(C185+(C255*(68-1))))</f>
        <v>-201.62</v>
      </c>
      <c r="BS500" s="8">
        <f>IF((0=1),BS185,(C185+(C255*(69-1))))</f>
        <v>-204.585</v>
      </c>
      <c r="BT500" s="8">
        <f>IF((0=1),BT185,(C185+(C255*(70-1))))</f>
        <v>-207.54999999999998</v>
      </c>
      <c r="BU500" s="8">
        <f>IF((0=1),BU185,(C185+(C255*(71-1))))</f>
        <v>-210.515</v>
      </c>
      <c r="BV500" s="8">
        <f>IF((0=1),BV185,(C185+(C255*(72-1))))</f>
        <v>-213.48</v>
      </c>
      <c r="BW500" s="8">
        <f>IF((0=1),BW185,(C185+(C255*(73-1))))</f>
        <v>-216.445</v>
      </c>
      <c r="BX500" s="8">
        <f>IF((0=1),BX185,(C185+(C255*(74-1))))</f>
        <v>-219.41</v>
      </c>
      <c r="BY500" s="8">
        <f>IF((0=1),BY185,(C185+(C255*(75-1))))</f>
        <v>-222.375</v>
      </c>
      <c r="BZ500" s="8">
        <f>IF((0=1),BZ185,(C185+(C255*(76-1))))</f>
        <v>-225.34</v>
      </c>
      <c r="CA500" s="8">
        <f>IF((0=1),CA185,(C185+(C255*(77-1))))</f>
        <v>-228.30499999999998</v>
      </c>
      <c r="CB500" s="8">
        <f>IF((0=1),CB185,(C185+(C255*(78-1))))</f>
        <v>-231.26999999999998</v>
      </c>
      <c r="CC500" s="8">
        <f>IF((0=1),CC185,(C185+(C255*(79-1))))</f>
        <v>-234.23499999999999</v>
      </c>
      <c r="CD500" s="8">
        <f>IF((0=1),CD185,(C185+(C255*(80-1))))</f>
        <v>-237.2</v>
      </c>
      <c r="CE500" s="8">
        <f>IF((0=1),CE185,(C185+(C255*(81-1))))</f>
        <v>-240.165</v>
      </c>
      <c r="CF500" s="8">
        <f>IF((0=1),CF185,(C185+(C255*(82-1))))</f>
        <v>-243.13</v>
      </c>
      <c r="CG500" s="8">
        <f>IF((0=1),CG185,(C185+(C255*(83-1))))</f>
        <v>-246.095</v>
      </c>
      <c r="CH500" s="8">
        <f>IF((0=1),CH185,(C185+(C255*(84-1))))</f>
        <v>-249.06</v>
      </c>
      <c r="CI500" s="8">
        <f>IF((0=1),CI185,(C185+(C255*(85-1))))</f>
        <v>-252.025</v>
      </c>
      <c r="CJ500" s="8">
        <f>IF((0=1),CJ185,(C185+(C255*(86-1))))</f>
        <v>-254.98999999999998</v>
      </c>
      <c r="CK500" s="8">
        <f>IF((0=1),CK185,(C185+(C255*(87-1))))</f>
        <v>-257.955</v>
      </c>
      <c r="CL500" s="8">
        <f>IF((0=1),CL185,(C185+(C255*(88-1))))</f>
        <v>-260.91999999999996</v>
      </c>
      <c r="CM500" s="8">
        <f>IF((0=1),CM185,(C185+(C255*(89-1))))</f>
        <v>-263.88499999999993</v>
      </c>
      <c r="CN500" s="8">
        <f>IF((0=1),CN185,(C185+(C255*(90-1))))</f>
        <v>-266.84999999999997</v>
      </c>
      <c r="CO500" s="8">
        <f>IF((0=1),CO185,(C185+(C255*(91-1))))</f>
        <v>-269.81499999999994</v>
      </c>
      <c r="CP500" s="8">
        <f>IF((0=1),CP185,(C185+(C255*(92-1))))</f>
        <v>-272.78</v>
      </c>
      <c r="CQ500" s="8">
        <f>IF((0=1),CQ185,(C185+(C255*(93-1))))</f>
        <v>-275.74499999999995</v>
      </c>
      <c r="CR500" s="8">
        <f>IF((0=1),CR185,(C185+(C255*(94-1))))</f>
        <v>-278.71</v>
      </c>
      <c r="CS500" s="8">
        <f>IF((0=1),CS185,(C185+(C255*(95-1))))</f>
        <v>-281.67499999999995</v>
      </c>
      <c r="CT500" s="8">
        <f>IF((0=1),CT185,(C185+(C255*(96-1))))</f>
        <v>-284.64</v>
      </c>
      <c r="CU500" s="8">
        <f>IF((0=1),CU185,(C185+(C255*(97-1))))</f>
        <v>-287.60499999999996</v>
      </c>
      <c r="CV500" s="8">
        <f>IF((0=1),CV185,(C185+(C255*(98-1))))</f>
        <v>-290.56999999999994</v>
      </c>
      <c r="CW500" s="8">
        <f>IF((0=1),CW185,(C185+(C255*(99-1))))</f>
        <v>-293.53499999999997</v>
      </c>
      <c r="CX500" s="8">
        <f>IF((0=1),CX185,(C185+(C255*(100-1))))</f>
        <v>-296.49999999999994</v>
      </c>
    </row>
    <row r="501">
      <c r="A501" s="0" t="inlineStr">
        <is>
          <t xml:space="preserve">Cumulative excess, realized then projected at running mean</t>
        </is>
      </c>
      <c r="B501" s="0" t="inlineStr">
        <is>
          <t xml:space="preserve">Clustered Insider Buying</t>
        </is>
      </c>
      <c r="C501" s="8">
        <f>IF((1=1),C186,(C186+(C256*(1-1))))</f>
        <v>2.143</v>
      </c>
      <c r="D501" s="8">
        <f>IF((0=1),D186,(C186+(C256*(2-1))))</f>
        <v>4.286</v>
      </c>
      <c r="E501" s="8">
        <f>IF((0=1),E186,(C186+(C256*(3-1))))</f>
        <v>6.428999999999999</v>
      </c>
      <c r="F501" s="8">
        <f>IF((0=1),F186,(C186+(C256*(4-1))))</f>
        <v>8.572</v>
      </c>
      <c r="G501" s="8">
        <f>IF((0=1),G186,(C186+(C256*(5-1))))</f>
        <v>10.715</v>
      </c>
      <c r="H501" s="8">
        <f>IF((0=1),H186,(C186+(C256*(6-1))))</f>
        <v>12.858</v>
      </c>
      <c r="I501" s="8">
        <f>IF((0=1),I186,(C186+(C256*(7-1))))</f>
        <v>15.000999999999998</v>
      </c>
      <c r="J501" s="8">
        <f>IF((0=1),J186,(C186+(C256*(8-1))))</f>
        <v>17.144</v>
      </c>
      <c r="K501" s="8">
        <f>IF((0=1),K186,(C186+(C256*(9-1))))</f>
        <v>19.287</v>
      </c>
      <c r="L501" s="8">
        <f>IF((0=1),L186,(C186+(C256*(10-1))))</f>
        <v>21.43</v>
      </c>
      <c r="M501" s="8">
        <f>IF((0=1),M186,(C186+(C256*(11-1))))</f>
        <v>23.573</v>
      </c>
      <c r="N501" s="8">
        <f>IF((0=1),N186,(C186+(C256*(12-1))))</f>
        <v>25.715999999999998</v>
      </c>
      <c r="O501" s="8">
        <f>IF((0=1),O186,(C186+(C256*(13-1))))</f>
        <v>27.858999999999998</v>
      </c>
      <c r="P501" s="8">
        <f>IF((0=1),P186,(C186+(C256*(14-1))))</f>
        <v>30.002</v>
      </c>
      <c r="Q501" s="8">
        <f>IF((0=1),Q186,(C186+(C256*(15-1))))</f>
        <v>32.144999999999996</v>
      </c>
      <c r="R501" s="8">
        <f>IF((0=1),R186,(C186+(C256*(16-1))))</f>
        <v>34.288</v>
      </c>
      <c r="S501" s="8">
        <f>IF((0=1),S186,(C186+(C256*(17-1))))</f>
        <v>36.431</v>
      </c>
      <c r="T501" s="8">
        <f>IF((0=1),T186,(C186+(C256*(18-1))))</f>
        <v>38.574</v>
      </c>
      <c r="U501" s="8">
        <f>IF((0=1),U186,(C186+(C256*(19-1))))</f>
        <v>40.717</v>
      </c>
      <c r="V501" s="8">
        <f>IF((0=1),V186,(C186+(C256*(20-1))))</f>
        <v>42.86</v>
      </c>
      <c r="W501" s="8">
        <f>IF((0=1),W186,(C186+(C256*(21-1))))</f>
        <v>45.003</v>
      </c>
      <c r="X501" s="8">
        <f>IF((0=1),X186,(C186+(C256*(22-1))))</f>
        <v>47.145999999999994</v>
      </c>
      <c r="Y501" s="8">
        <f>IF((0=1),Y186,(C186+(C256*(23-1))))</f>
        <v>49.288999999999994</v>
      </c>
      <c r="Z501" s="8">
        <f>IF((0=1),Z186,(C186+(C256*(24-1))))</f>
        <v>51.431999999999995</v>
      </c>
      <c r="AA501" s="8">
        <f>IF((0=1),AA186,(C186+(C256*(25-1))))</f>
        <v>53.574999999999996</v>
      </c>
      <c r="AB501" s="8">
        <f>IF((0=1),AB186,(C186+(C256*(26-1))))</f>
        <v>55.717999999999996</v>
      </c>
      <c r="AC501" s="8">
        <f>IF((0=1),AC186,(C186+(C256*(27-1))))</f>
        <v>57.861</v>
      </c>
      <c r="AD501" s="8">
        <f>IF((0=1),AD186,(C186+(C256*(28-1))))</f>
        <v>60.004</v>
      </c>
      <c r="AE501" s="8">
        <f>IF((0=1),AE186,(C186+(C256*(29-1))))</f>
        <v>62.14699999999999</v>
      </c>
      <c r="AF501" s="8">
        <f>IF((0=1),AF186,(C186+(C256*(30-1))))</f>
        <v>64.28999999999999</v>
      </c>
      <c r="AG501" s="8">
        <f>IF((0=1),AG186,(C186+(C256*(31-1))))</f>
        <v>66.43299999999999</v>
      </c>
      <c r="AH501" s="8">
        <f>IF((0=1),AH186,(C186+(C256*(32-1))))</f>
        <v>68.576</v>
      </c>
      <c r="AI501" s="8">
        <f>IF((0=1),AI186,(C186+(C256*(33-1))))</f>
        <v>70.719</v>
      </c>
      <c r="AJ501" s="8">
        <f>IF((0=1),AJ186,(C186+(C256*(34-1))))</f>
        <v>72.862</v>
      </c>
      <c r="AK501" s="8">
        <f>IF((0=1),AK186,(C186+(C256*(35-1))))</f>
        <v>75.005</v>
      </c>
      <c r="AL501" s="8">
        <f>IF((0=1),AL186,(C186+(C256*(36-1))))</f>
        <v>77.148</v>
      </c>
      <c r="AM501" s="8">
        <f>IF((0=1),AM186,(C186+(C256*(37-1))))</f>
        <v>79.291</v>
      </c>
      <c r="AN501" s="8">
        <f>IF((0=1),AN186,(C186+(C256*(38-1))))</f>
        <v>81.434</v>
      </c>
      <c r="AO501" s="8">
        <f>IF((0=1),AO186,(C186+(C256*(39-1))))</f>
        <v>83.577</v>
      </c>
      <c r="AP501" s="8">
        <f>IF((0=1),AP186,(C186+(C256*(40-1))))</f>
        <v>85.72</v>
      </c>
      <c r="AQ501" s="8">
        <f>IF((0=1),AQ186,(C186+(C256*(41-1))))</f>
        <v>87.863</v>
      </c>
      <c r="AR501" s="8">
        <f>IF((0=1),AR186,(C186+(C256*(42-1))))</f>
        <v>90.00599999999999</v>
      </c>
      <c r="AS501" s="8">
        <f>IF((0=1),AS186,(C186+(C256*(43-1))))</f>
        <v>92.14899999999999</v>
      </c>
      <c r="AT501" s="8">
        <f>IF((0=1),AT186,(C186+(C256*(44-1))))</f>
        <v>94.29199999999999</v>
      </c>
      <c r="AU501" s="8">
        <f>IF((0=1),AU186,(C186+(C256*(45-1))))</f>
        <v>96.43499999999999</v>
      </c>
      <c r="AV501" s="8">
        <f>IF((0=1),AV186,(C186+(C256*(46-1))))</f>
        <v>98.57799999999999</v>
      </c>
      <c r="AW501" s="8">
        <f>IF((0=1),AW186,(C186+(C256*(47-1))))</f>
        <v>100.72099999999999</v>
      </c>
      <c r="AX501" s="8">
        <f>IF((0=1),AX186,(C186+(C256*(48-1))))</f>
        <v>102.86399999999999</v>
      </c>
      <c r="AY501" s="8">
        <f>IF((0=1),AY186,(C186+(C256*(49-1))))</f>
        <v>105.00699999999999</v>
      </c>
      <c r="AZ501" s="8">
        <f>IF((0=1),AZ186,(C186+(C256*(50-1))))</f>
        <v>107.14999999999999</v>
      </c>
      <c r="BA501" s="8">
        <f>IF((0=1),BA186,(C186+(C256*(51-1))))</f>
        <v>109.29299999999999</v>
      </c>
      <c r="BB501" s="8">
        <f>IF((0=1),BB186,(C186+(C256*(52-1))))</f>
        <v>111.43599999999999</v>
      </c>
      <c r="BC501" s="8">
        <f>IF((0=1),BC186,(C186+(C256*(53-1))))</f>
        <v>113.579</v>
      </c>
      <c r="BD501" s="8">
        <f>IF((0=1),BD186,(C186+(C256*(54-1))))</f>
        <v>115.722</v>
      </c>
      <c r="BE501" s="8">
        <f>IF((0=1),BE186,(C186+(C256*(55-1))))</f>
        <v>117.865</v>
      </c>
      <c r="BF501" s="8">
        <f>IF((0=1),BF186,(C186+(C256*(56-1))))</f>
        <v>120.008</v>
      </c>
      <c r="BG501" s="8">
        <f>IF((0=1),BG186,(C186+(C256*(57-1))))</f>
        <v>122.15099999999998</v>
      </c>
      <c r="BH501" s="8">
        <f>IF((0=1),BH186,(C186+(C256*(58-1))))</f>
        <v>124.29399999999998</v>
      </c>
      <c r="BI501" s="8">
        <f>IF((0=1),BI186,(C186+(C256*(59-1))))</f>
        <v>126.43699999999998</v>
      </c>
      <c r="BJ501" s="8">
        <f>IF((0=1),BJ186,(C186+(C256*(60-1))))</f>
        <v>128.57999999999998</v>
      </c>
      <c r="BK501" s="8">
        <f>IF((0=1),BK186,(C186+(C256*(61-1))))</f>
        <v>130.72299999999998</v>
      </c>
      <c r="BL501" s="8">
        <f>IF((0=1),BL186,(C186+(C256*(62-1))))</f>
        <v>132.86599999999999</v>
      </c>
      <c r="BM501" s="8">
        <f>IF((0=1),BM186,(C186+(C256*(63-1))))</f>
        <v>135.009</v>
      </c>
      <c r="BN501" s="8">
        <f>IF((0=1),BN186,(C186+(C256*(64-1))))</f>
        <v>137.152</v>
      </c>
      <c r="BO501" s="8">
        <f>IF((0=1),BO186,(C186+(C256*(65-1))))</f>
        <v>139.295</v>
      </c>
      <c r="BP501" s="8">
        <f>IF((0=1),BP186,(C186+(C256*(66-1))))</f>
        <v>141.438</v>
      </c>
      <c r="BQ501" s="8">
        <f>IF((0=1),BQ186,(C186+(C256*(67-1))))</f>
        <v>143.581</v>
      </c>
      <c r="BR501" s="8">
        <f>IF((0=1),BR186,(C186+(C256*(68-1))))</f>
        <v>145.724</v>
      </c>
      <c r="BS501" s="8">
        <f>IF((0=1),BS186,(C186+(C256*(69-1))))</f>
        <v>147.867</v>
      </c>
      <c r="BT501" s="8">
        <f>IF((0=1),BT186,(C186+(C256*(70-1))))</f>
        <v>150.01</v>
      </c>
      <c r="BU501" s="8">
        <f>IF((0=1),BU186,(C186+(C256*(71-1))))</f>
        <v>152.153</v>
      </c>
      <c r="BV501" s="8">
        <f>IF((0=1),BV186,(C186+(C256*(72-1))))</f>
        <v>154.296</v>
      </c>
      <c r="BW501" s="8">
        <f>IF((0=1),BW186,(C186+(C256*(73-1))))</f>
        <v>156.439</v>
      </c>
      <c r="BX501" s="8">
        <f>IF((0=1),BX186,(C186+(C256*(74-1))))</f>
        <v>158.582</v>
      </c>
      <c r="BY501" s="8">
        <f>IF((0=1),BY186,(C186+(C256*(75-1))))</f>
        <v>160.725</v>
      </c>
      <c r="BZ501" s="8">
        <f>IF((0=1),BZ186,(C186+(C256*(76-1))))</f>
        <v>162.868</v>
      </c>
      <c r="CA501" s="8">
        <f>IF((0=1),CA186,(C186+(C256*(77-1))))</f>
        <v>165.011</v>
      </c>
      <c r="CB501" s="8">
        <f>IF((0=1),CB186,(C186+(C256*(78-1))))</f>
        <v>167.154</v>
      </c>
      <c r="CC501" s="8">
        <f>IF((0=1),CC186,(C186+(C256*(79-1))))</f>
        <v>169.297</v>
      </c>
      <c r="CD501" s="8">
        <f>IF((0=1),CD186,(C186+(C256*(80-1))))</f>
        <v>171.44</v>
      </c>
      <c r="CE501" s="8">
        <f>IF((0=1),CE186,(C186+(C256*(81-1))))</f>
        <v>173.583</v>
      </c>
      <c r="CF501" s="8">
        <f>IF((0=1),CF186,(C186+(C256*(82-1))))</f>
        <v>175.72599999999997</v>
      </c>
      <c r="CG501" s="8">
        <f>IF((0=1),CG186,(C186+(C256*(83-1))))</f>
        <v>177.86899999999997</v>
      </c>
      <c r="CH501" s="8">
        <f>IF((0=1),CH186,(C186+(C256*(84-1))))</f>
        <v>180.01199999999997</v>
      </c>
      <c r="CI501" s="8">
        <f>IF((0=1),CI186,(C186+(C256*(85-1))))</f>
        <v>182.15499999999997</v>
      </c>
      <c r="CJ501" s="8">
        <f>IF((0=1),CJ186,(C186+(C256*(86-1))))</f>
        <v>184.29799999999997</v>
      </c>
      <c r="CK501" s="8">
        <f>IF((0=1),CK186,(C186+(C256*(87-1))))</f>
        <v>186.44099999999997</v>
      </c>
      <c r="CL501" s="8">
        <f>IF((0=1),CL186,(C186+(C256*(88-1))))</f>
        <v>188.58399999999997</v>
      </c>
      <c r="CM501" s="8">
        <f>IF((0=1),CM186,(C186+(C256*(89-1))))</f>
        <v>190.72699999999998</v>
      </c>
      <c r="CN501" s="8">
        <f>IF((0=1),CN186,(C186+(C256*(90-1))))</f>
        <v>192.86999999999998</v>
      </c>
      <c r="CO501" s="8">
        <f>IF((0=1),CO186,(C186+(C256*(91-1))))</f>
        <v>195.01299999999998</v>
      </c>
      <c r="CP501" s="8">
        <f>IF((0=1),CP186,(C186+(C256*(92-1))))</f>
        <v>197.15599999999998</v>
      </c>
      <c r="CQ501" s="8">
        <f>IF((0=1),CQ186,(C186+(C256*(93-1))))</f>
        <v>199.29899999999998</v>
      </c>
      <c r="CR501" s="8">
        <f>IF((0=1),CR186,(C186+(C256*(94-1))))</f>
        <v>201.44199999999998</v>
      </c>
      <c r="CS501" s="8">
        <f>IF((0=1),CS186,(C186+(C256*(95-1))))</f>
        <v>203.58499999999998</v>
      </c>
      <c r="CT501" s="8">
        <f>IF((0=1),CT186,(C186+(C256*(96-1))))</f>
        <v>205.72799999999998</v>
      </c>
      <c r="CU501" s="8">
        <f>IF((0=1),CU186,(C186+(C256*(97-1))))</f>
        <v>207.87099999999998</v>
      </c>
      <c r="CV501" s="8">
        <f>IF((0=1),CV186,(C186+(C256*(98-1))))</f>
        <v>210.01399999999998</v>
      </c>
      <c r="CW501" s="8">
        <f>IF((0=1),CW186,(C186+(C256*(99-1))))</f>
        <v>212.15699999999998</v>
      </c>
      <c r="CX501" s="8">
        <f>IF((0=1),CX186,(C186+(C256*(100-1))))</f>
        <v>214.29999999999998</v>
      </c>
    </row>
    <row r="502">
      <c r="A502" s="0" t="inlineStr">
        <is>
          <t xml:space="preserve">Cumulative excess, realized then projected at running mean</t>
        </is>
      </c>
      <c r="B502" s="0" t="inlineStr">
        <is>
          <t xml:space="preserve">Same-Month Seasonality</t>
        </is>
      </c>
      <c r="C502" s="8">
        <f>IF((1=1),C187,(C187+(C257*(1-1))))</f>
        <v>-21.574</v>
      </c>
      <c r="D502" s="8">
        <f>IF((0=1),D187,(C187+(C257*(2-1))))</f>
        <v>-43.148</v>
      </c>
      <c r="E502" s="8">
        <f>IF((0=1),E187,(C187+(C257*(3-1))))</f>
        <v>-64.72200000000001</v>
      </c>
      <c r="F502" s="8">
        <f>IF((0=1),F187,(C187+(C257*(4-1))))</f>
        <v>-86.296</v>
      </c>
      <c r="G502" s="8">
        <f>IF((0=1),G187,(C187+(C257*(5-1))))</f>
        <v>-107.87</v>
      </c>
      <c r="H502" s="8">
        <f>IF((0=1),H187,(C187+(C257*(6-1))))</f>
        <v>-129.44400000000002</v>
      </c>
      <c r="I502" s="8">
        <f>IF((0=1),I187,(C187+(C257*(7-1))))</f>
        <v>-151.01800000000003</v>
      </c>
      <c r="J502" s="8">
        <f>IF((0=1),J187,(C187+(C257*(8-1))))</f>
        <v>-172.592</v>
      </c>
      <c r="K502" s="8">
        <f>IF((0=1),K187,(C187+(C257*(9-1))))</f>
        <v>-194.16600000000003</v>
      </c>
      <c r="L502" s="8">
        <f>IF((0=1),L187,(C187+(C257*(10-1))))</f>
        <v>-215.74000000000004</v>
      </c>
      <c r="M502" s="8">
        <f>IF((0=1),M187,(C187+(C257*(11-1))))</f>
        <v>-237.31400000000002</v>
      </c>
      <c r="N502" s="8">
        <f>IF((0=1),N187,(C187+(C257*(12-1))))</f>
        <v>-258.88800000000003</v>
      </c>
      <c r="O502" s="8">
        <f>IF((0=1),O187,(C187+(C257*(13-1))))</f>
        <v>-280.46200000000005</v>
      </c>
      <c r="P502" s="8">
        <f>IF((0=1),P187,(C187+(C257*(14-1))))</f>
        <v>-302.03600000000006</v>
      </c>
      <c r="Q502" s="8">
        <f>IF((0=1),Q187,(C187+(C257*(15-1))))</f>
        <v>-323.61</v>
      </c>
      <c r="R502" s="8">
        <f>IF((0=1),R187,(C187+(C257*(16-1))))</f>
        <v>-345.184</v>
      </c>
      <c r="S502" s="8">
        <f>IF((0=1),S187,(C187+(C257*(17-1))))</f>
        <v>-366.75800000000004</v>
      </c>
      <c r="T502" s="8">
        <f>IF((0=1),T187,(C187+(C257*(18-1))))</f>
        <v>-388.33200000000005</v>
      </c>
      <c r="U502" s="8">
        <f>IF((0=1),U187,(C187+(C257*(19-1))))</f>
        <v>-409.90600000000006</v>
      </c>
      <c r="V502" s="8">
        <f>IF((0=1),V187,(C187+(C257*(20-1))))</f>
        <v>-431.48</v>
      </c>
      <c r="W502" s="8">
        <f>IF((0=1),W187,(C187+(C257*(21-1))))</f>
        <v>-453.05400000000003</v>
      </c>
      <c r="X502" s="8">
        <f>IF((0=1),X187,(C187+(C257*(22-1))))</f>
        <v>-474.62800000000004</v>
      </c>
      <c r="Y502" s="8">
        <f>IF((0=1),Y187,(C187+(C257*(23-1))))</f>
        <v>-496.20200000000006</v>
      </c>
      <c r="Z502" s="8">
        <f>IF((0=1),Z187,(C187+(C257*(24-1))))</f>
        <v>-517.7760000000001</v>
      </c>
      <c r="AA502" s="8">
        <f>IF((0=1),AA187,(C187+(C257*(25-1))))</f>
        <v>-539.35</v>
      </c>
      <c r="AB502" s="8">
        <f>IF((0=1),AB187,(C187+(C257*(26-1))))</f>
        <v>-560.924</v>
      </c>
      <c r="AC502" s="8">
        <f>IF((0=1),AC187,(C187+(C257*(27-1))))</f>
        <v>-582.498</v>
      </c>
      <c r="AD502" s="8">
        <f>IF((0=1),AD187,(C187+(C257*(28-1))))</f>
        <v>-604.072</v>
      </c>
      <c r="AE502" s="8">
        <f>IF((0=1),AE187,(C187+(C257*(29-1))))</f>
        <v>-625.646</v>
      </c>
      <c r="AF502" s="8">
        <f>IF((0=1),AF187,(C187+(C257*(30-1))))</f>
        <v>-647.22</v>
      </c>
      <c r="AG502" s="8">
        <f>IF((0=1),AG187,(C187+(C257*(31-1))))</f>
        <v>-668.794</v>
      </c>
      <c r="AH502" s="8">
        <f>IF((0=1),AH187,(C187+(C257*(32-1))))</f>
        <v>-690.368</v>
      </c>
      <c r="AI502" s="8">
        <f>IF((0=1),AI187,(C187+(C257*(33-1))))</f>
        <v>-711.942</v>
      </c>
      <c r="AJ502" s="8">
        <f>IF((0=1),AJ187,(C187+(C257*(34-1))))</f>
        <v>-733.516</v>
      </c>
      <c r="AK502" s="8">
        <f>IF((0=1),AK187,(C187+(C257*(35-1))))</f>
        <v>-755.09</v>
      </c>
      <c r="AL502" s="8">
        <f>IF((0=1),AL187,(C187+(C257*(36-1))))</f>
        <v>-776.664</v>
      </c>
      <c r="AM502" s="8">
        <f>IF((0=1),AM187,(C187+(C257*(37-1))))</f>
        <v>-798.238</v>
      </c>
      <c r="AN502" s="8">
        <f>IF((0=1),AN187,(C187+(C257*(38-1))))</f>
        <v>-819.812</v>
      </c>
      <c r="AO502" s="8">
        <f>IF((0=1),AO187,(C187+(C257*(39-1))))</f>
        <v>-841.386</v>
      </c>
      <c r="AP502" s="8">
        <f>IF((0=1),AP187,(C187+(C257*(40-1))))</f>
        <v>-862.96</v>
      </c>
      <c r="AQ502" s="8">
        <f>IF((0=1),AQ187,(C187+(C257*(41-1))))</f>
        <v>-884.534</v>
      </c>
      <c r="AR502" s="8">
        <f>IF((0=1),AR187,(C187+(C257*(42-1))))</f>
        <v>-906.1080000000001</v>
      </c>
      <c r="AS502" s="8">
        <f>IF((0=1),AS187,(C187+(C257*(43-1))))</f>
        <v>-927.682</v>
      </c>
      <c r="AT502" s="8">
        <f>IF((0=1),AT187,(C187+(C257*(44-1))))</f>
        <v>-949.256</v>
      </c>
      <c r="AU502" s="8">
        <f>IF((0=1),AU187,(C187+(C257*(45-1))))</f>
        <v>-970.83</v>
      </c>
      <c r="AV502" s="8">
        <f>IF((0=1),AV187,(C187+(C257*(46-1))))</f>
        <v>-992.404</v>
      </c>
      <c r="AW502" s="8">
        <f>IF((0=1),AW187,(C187+(C257*(47-1))))</f>
        <v>-1013.9780000000001</v>
      </c>
      <c r="AX502" s="8">
        <f>IF((0=1),AX187,(C187+(C257*(48-1))))</f>
        <v>-1035.5520000000001</v>
      </c>
      <c r="AY502" s="8">
        <f>IF((0=1),AY187,(C187+(C257*(49-1))))</f>
        <v>-1057.1260000000002</v>
      </c>
      <c r="AZ502" s="8">
        <f>IF((0=1),AZ187,(C187+(C257*(50-1))))</f>
        <v>-1078.7</v>
      </c>
      <c r="BA502" s="8">
        <f>IF((0=1),BA187,(C187+(C257*(51-1))))</f>
        <v>-1100.2740000000001</v>
      </c>
      <c r="BB502" s="8">
        <f>IF((0=1),BB187,(C187+(C257*(52-1))))</f>
        <v>-1121.8480000000002</v>
      </c>
      <c r="BC502" s="8">
        <f>IF((0=1),BC187,(C187+(C257*(53-1))))</f>
        <v>-1143.4220000000003</v>
      </c>
      <c r="BD502" s="8">
        <f>IF((0=1),BD187,(C187+(C257*(54-1))))</f>
        <v>-1164.996</v>
      </c>
      <c r="BE502" s="8">
        <f>IF((0=1),BE187,(C187+(C257*(55-1))))</f>
        <v>-1186.5700000000002</v>
      </c>
      <c r="BF502" s="8">
        <f>IF((0=1),BF187,(C187+(C257*(56-1))))</f>
        <v>-1208.1440000000002</v>
      </c>
      <c r="BG502" s="8">
        <f>IF((0=1),BG187,(C187+(C257*(57-1))))</f>
        <v>-1229.718</v>
      </c>
      <c r="BH502" s="8">
        <f>IF((0=1),BH187,(C187+(C257*(58-1))))</f>
        <v>-1251.2920000000001</v>
      </c>
      <c r="BI502" s="8">
        <f>IF((0=1),BI187,(C187+(C257*(59-1))))</f>
        <v>-1272.8660000000002</v>
      </c>
      <c r="BJ502" s="8">
        <f>IF((0=1),BJ187,(C187+(C257*(60-1))))</f>
        <v>-1294.44</v>
      </c>
      <c r="BK502" s="8">
        <f>IF((0=1),BK187,(C187+(C257*(61-1))))</f>
        <v>-1316.0140000000001</v>
      </c>
      <c r="BL502" s="8">
        <f>IF((0=1),BL187,(C187+(C257*(62-1))))</f>
        <v>-1337.5880000000002</v>
      </c>
      <c r="BM502" s="8">
        <f>IF((0=1),BM187,(C187+(C257*(63-1))))</f>
        <v>-1359.1620000000003</v>
      </c>
      <c r="BN502" s="8">
        <f>IF((0=1),BN187,(C187+(C257*(64-1))))</f>
        <v>-1380.736</v>
      </c>
      <c r="BO502" s="8">
        <f>IF((0=1),BO187,(C187+(C257*(65-1))))</f>
        <v>-1402.3100000000002</v>
      </c>
      <c r="BP502" s="8">
        <f>IF((0=1),BP187,(C187+(C257*(66-1))))</f>
        <v>-1423.8840000000002</v>
      </c>
      <c r="BQ502" s="8">
        <f>IF((0=1),BQ187,(C187+(C257*(67-1))))</f>
        <v>-1445.458</v>
      </c>
      <c r="BR502" s="8">
        <f>IF((0=1),BR187,(C187+(C257*(68-1))))</f>
        <v>-1467.0320000000002</v>
      </c>
      <c r="BS502" s="8">
        <f>IF((0=1),BS187,(C187+(C257*(69-1))))</f>
        <v>-1488.6060000000002</v>
      </c>
      <c r="BT502" s="8">
        <f>IF((0=1),BT187,(C187+(C257*(70-1))))</f>
        <v>-1510.1800000000003</v>
      </c>
      <c r="BU502" s="8">
        <f>IF((0=1),BU187,(C187+(C257*(71-1))))</f>
        <v>-1531.7540000000001</v>
      </c>
      <c r="BV502" s="8">
        <f>IF((0=1),BV187,(C187+(C257*(72-1))))</f>
        <v>-1553.3280000000002</v>
      </c>
      <c r="BW502" s="8">
        <f>IF((0=1),BW187,(C187+(C257*(73-1))))</f>
        <v>-1574.9020000000003</v>
      </c>
      <c r="BX502" s="8">
        <f>IF((0=1),BX187,(C187+(C257*(74-1))))</f>
        <v>-1596.476</v>
      </c>
      <c r="BY502" s="8">
        <f>IF((0=1),BY187,(C187+(C257*(75-1))))</f>
        <v>-1618.0500000000002</v>
      </c>
      <c r="BZ502" s="8">
        <f>IF((0=1),BZ187,(C187+(C257*(76-1))))</f>
        <v>-1639.6240000000003</v>
      </c>
      <c r="CA502" s="8">
        <f>IF((0=1),CA187,(C187+(C257*(77-1))))</f>
        <v>-1661.198</v>
      </c>
      <c r="CB502" s="8">
        <f>IF((0=1),CB187,(C187+(C257*(78-1))))</f>
        <v>-1682.7720000000002</v>
      </c>
      <c r="CC502" s="8">
        <f>IF((0=1),CC187,(C187+(C257*(79-1))))</f>
        <v>-1704.3460000000002</v>
      </c>
      <c r="CD502" s="8">
        <f>IF((0=1),CD187,(C187+(C257*(80-1))))</f>
        <v>-1725.9200000000003</v>
      </c>
      <c r="CE502" s="8">
        <f>IF((0=1),CE187,(C187+(C257*(81-1))))</f>
        <v>-1747.4940000000001</v>
      </c>
      <c r="CF502" s="8">
        <f>IF((0=1),CF187,(C187+(C257*(82-1))))</f>
        <v>-1769.0680000000002</v>
      </c>
      <c r="CG502" s="8">
        <f>IF((0=1),CG187,(C187+(C257*(83-1))))</f>
        <v>-1790.6420000000003</v>
      </c>
      <c r="CH502" s="8">
        <f>IF((0=1),CH187,(C187+(C257*(84-1))))</f>
        <v>-1812.2160000000001</v>
      </c>
      <c r="CI502" s="8">
        <f>IF((0=1),CI187,(C187+(C257*(85-1))))</f>
        <v>-1833.7900000000002</v>
      </c>
      <c r="CJ502" s="8">
        <f>IF((0=1),CJ187,(C187+(C257*(86-1))))</f>
        <v>-1855.3640000000003</v>
      </c>
      <c r="CK502" s="8">
        <f>IF((0=1),CK187,(C187+(C257*(87-1))))</f>
        <v>-1876.938</v>
      </c>
      <c r="CL502" s="8">
        <f>IF((0=1),CL187,(C187+(C257*(88-1))))</f>
        <v>-1898.5120000000002</v>
      </c>
      <c r="CM502" s="8">
        <f>IF((0=1),CM187,(C187+(C257*(89-1))))</f>
        <v>-1920.0860000000002</v>
      </c>
      <c r="CN502" s="8">
        <f>IF((0=1),CN187,(C187+(C257*(90-1))))</f>
        <v>-1941.6600000000003</v>
      </c>
      <c r="CO502" s="8">
        <f>IF((0=1),CO187,(C187+(C257*(91-1))))</f>
        <v>-1963.2340000000002</v>
      </c>
      <c r="CP502" s="8">
        <f>IF((0=1),CP187,(C187+(C257*(92-1))))</f>
        <v>-1984.8080000000002</v>
      </c>
      <c r="CQ502" s="8">
        <f>IF((0=1),CQ187,(C187+(C257*(93-1))))</f>
        <v>-2006.3820000000003</v>
      </c>
      <c r="CR502" s="8">
        <f>IF((0=1),CR187,(C187+(C257*(94-1))))</f>
        <v>-2027.9560000000001</v>
      </c>
      <c r="CS502" s="8">
        <f>IF((0=1),CS187,(C187+(C257*(95-1))))</f>
        <v>-2049.53</v>
      </c>
      <c r="CT502" s="8">
        <f>IF((0=1),CT187,(C187+(C257*(96-1))))</f>
        <v>-2071.1040000000003</v>
      </c>
      <c r="CU502" s="8">
        <f>IF((0=1),CU187,(C187+(C257*(97-1))))</f>
        <v>-2092.6780000000003</v>
      </c>
      <c r="CV502" s="8">
        <f>IF((0=1),CV187,(C187+(C257*(98-1))))</f>
        <v>-2114.2520000000004</v>
      </c>
      <c r="CW502" s="8">
        <f>IF((0=1),CW187,(C187+(C257*(99-1))))</f>
        <v>-2135.826</v>
      </c>
      <c r="CX502" s="8">
        <f>IF((0=1),CX187,(C187+(C257*(100-1))))</f>
        <v>-2157.4</v>
      </c>
    </row>
    <row r="503">
      <c r="A503" s="0" t="inlineStr">
        <is>
          <t xml:space="preserve">Cumulative excess, realized then projected at running mean</t>
        </is>
      </c>
      <c r="B503" s="0" t="inlineStr">
        <is>
          <t xml:space="preserve">Quality at a Reasonable Price</t>
        </is>
      </c>
      <c r="C503" s="8">
        <f>IF((1=1),C188,(C188+(C258*(1-1))))</f>
        <v>-0.086</v>
      </c>
      <c r="D503" s="8">
        <f>IF((0=1),D188,(C188+(C258*(2-1))))</f>
        <v>-0.172</v>
      </c>
      <c r="E503" s="8">
        <f>IF((0=1),E188,(C188+(C258*(3-1))))</f>
        <v>-0.258</v>
      </c>
      <c r="F503" s="8">
        <f>IF((0=1),F188,(C188+(C258*(4-1))))</f>
        <v>-0.344</v>
      </c>
      <c r="G503" s="8">
        <f>IF((0=1),G188,(C188+(C258*(5-1))))</f>
        <v>-0.42999999999999994</v>
      </c>
      <c r="H503" s="8">
        <f>IF((0=1),H188,(C188+(C258*(6-1))))</f>
        <v>-0.5159999999999999</v>
      </c>
      <c r="I503" s="8">
        <f>IF((0=1),I188,(C188+(C258*(7-1))))</f>
        <v>-0.602</v>
      </c>
      <c r="J503" s="8">
        <f>IF((0=1),J188,(C188+(C258*(8-1))))</f>
        <v>-0.688</v>
      </c>
      <c r="K503" s="8">
        <f>IF((0=1),K188,(C188+(C258*(9-1))))</f>
        <v>-0.7739999999999999</v>
      </c>
      <c r="L503" s="8">
        <f>IF((0=1),L188,(C188+(C258*(10-1))))</f>
        <v>-0.8599999999999999</v>
      </c>
      <c r="M503" s="8">
        <f>IF((0=1),M188,(C188+(C258*(11-1))))</f>
        <v>-0.9459999999999998</v>
      </c>
      <c r="N503" s="8">
        <f>IF((0=1),N188,(C188+(C258*(12-1))))</f>
        <v>-1.032</v>
      </c>
      <c r="O503" s="8">
        <f>IF((0=1),O188,(C188+(C258*(13-1))))</f>
        <v>-1.118</v>
      </c>
      <c r="P503" s="8">
        <f>IF((0=1),P188,(C188+(C258*(14-1))))</f>
        <v>-1.204</v>
      </c>
      <c r="Q503" s="8">
        <f>IF((0=1),Q188,(C188+(C258*(15-1))))</f>
        <v>-1.29</v>
      </c>
      <c r="R503" s="8">
        <f>IF((0=1),R188,(C188+(C258*(16-1))))</f>
        <v>-1.376</v>
      </c>
      <c r="S503" s="8">
        <f>IF((0=1),S188,(C188+(C258*(17-1))))</f>
        <v>-1.462</v>
      </c>
      <c r="T503" s="8">
        <f>IF((0=1),T188,(C188+(C258*(18-1))))</f>
        <v>-1.548</v>
      </c>
      <c r="U503" s="8">
        <f>IF((0=1),U188,(C188+(C258*(19-1))))</f>
        <v>-1.634</v>
      </c>
      <c r="V503" s="8">
        <f>IF((0=1),V188,(C188+(C258*(20-1))))</f>
        <v>-1.72</v>
      </c>
      <c r="W503" s="8">
        <f>IF((0=1),W188,(C188+(C258*(21-1))))</f>
        <v>-1.8059999999999998</v>
      </c>
      <c r="X503" s="8">
        <f>IF((0=1),X188,(C188+(C258*(22-1))))</f>
        <v>-1.892</v>
      </c>
      <c r="Y503" s="8">
        <f>IF((0=1),Y188,(C188+(C258*(23-1))))</f>
        <v>-1.978</v>
      </c>
      <c r="Z503" s="8">
        <f>IF((0=1),Z188,(C188+(C258*(24-1))))</f>
        <v>-2.0639999999999996</v>
      </c>
      <c r="AA503" s="8">
        <f>IF((0=1),AA188,(C188+(C258*(25-1))))</f>
        <v>-2.15</v>
      </c>
      <c r="AB503" s="8">
        <f>IF((0=1),AB188,(C188+(C258*(26-1))))</f>
        <v>-2.2359999999999998</v>
      </c>
      <c r="AC503" s="8">
        <f>IF((0=1),AC188,(C188+(C258*(27-1))))</f>
        <v>-2.3219999999999996</v>
      </c>
      <c r="AD503" s="8">
        <f>IF((0=1),AD188,(C188+(C258*(28-1))))</f>
        <v>-2.4079999999999995</v>
      </c>
      <c r="AE503" s="8">
        <f>IF((0=1),AE188,(C188+(C258*(29-1))))</f>
        <v>-2.4939999999999998</v>
      </c>
      <c r="AF503" s="8">
        <f>IF((0=1),AF188,(C188+(C258*(30-1))))</f>
        <v>-2.5799999999999996</v>
      </c>
      <c r="AG503" s="8">
        <f>IF((0=1),AG188,(C188+(C258*(31-1))))</f>
        <v>-2.6659999999999995</v>
      </c>
      <c r="AH503" s="8">
        <f>IF((0=1),AH188,(C188+(C258*(32-1))))</f>
        <v>-2.752</v>
      </c>
      <c r="AI503" s="8">
        <f>IF((0=1),AI188,(C188+(C258*(33-1))))</f>
        <v>-2.8379999999999996</v>
      </c>
      <c r="AJ503" s="8">
        <f>IF((0=1),AJ188,(C188+(C258*(34-1))))</f>
        <v>-2.9239999999999995</v>
      </c>
      <c r="AK503" s="8">
        <f>IF((0=1),AK188,(C188+(C258*(35-1))))</f>
        <v>-3.01</v>
      </c>
      <c r="AL503" s="8">
        <f>IF((0=1),AL188,(C188+(C258*(36-1))))</f>
        <v>-3.0959999999999996</v>
      </c>
      <c r="AM503" s="8">
        <f>IF((0=1),AM188,(C188+(C258*(37-1))))</f>
        <v>-3.1819999999999995</v>
      </c>
      <c r="AN503" s="8">
        <f>IF((0=1),AN188,(C188+(C258*(38-1))))</f>
        <v>-3.268</v>
      </c>
      <c r="AO503" s="8">
        <f>IF((0=1),AO188,(C188+(C258*(39-1))))</f>
        <v>-3.3539999999999996</v>
      </c>
      <c r="AP503" s="8">
        <f>IF((0=1),AP188,(C188+(C258*(40-1))))</f>
        <v>-3.4399999999999995</v>
      </c>
      <c r="AQ503" s="8">
        <f>IF((0=1),AQ188,(C188+(C258*(41-1))))</f>
        <v>-3.5259999999999994</v>
      </c>
      <c r="AR503" s="8">
        <f>IF((0=1),AR188,(C188+(C258*(42-1))))</f>
        <v>-3.6119999999999997</v>
      </c>
      <c r="AS503" s="8">
        <f>IF((0=1),AS188,(C188+(C258*(43-1))))</f>
        <v>-3.6979999999999995</v>
      </c>
      <c r="AT503" s="8">
        <f>IF((0=1),AT188,(C188+(C258*(44-1))))</f>
        <v>-3.7839999999999994</v>
      </c>
      <c r="AU503" s="8">
        <f>IF((0=1),AU188,(C188+(C258*(45-1))))</f>
        <v>-3.8699999999999997</v>
      </c>
      <c r="AV503" s="8">
        <f>IF((0=1),AV188,(C188+(C258*(46-1))))</f>
        <v>-3.9559999999999995</v>
      </c>
      <c r="AW503" s="8">
        <f>IF((0=1),AW188,(C188+(C258*(47-1))))</f>
        <v>-4.042</v>
      </c>
      <c r="AX503" s="8">
        <f>IF((0=1),AX188,(C188+(C258*(48-1))))</f>
        <v>-4.128</v>
      </c>
      <c r="AY503" s="8">
        <f>IF((0=1),AY188,(C188+(C258*(49-1))))</f>
        <v>-4.214</v>
      </c>
      <c r="AZ503" s="8">
        <f>IF((0=1),AZ188,(C188+(C258*(50-1))))</f>
        <v>-4.3</v>
      </c>
      <c r="BA503" s="8">
        <f>IF((0=1),BA188,(C188+(C258*(51-1))))</f>
        <v>-4.386</v>
      </c>
      <c r="BB503" s="8">
        <f>IF((0=1),BB188,(C188+(C258*(52-1))))</f>
        <v>-4.4719999999999995</v>
      </c>
      <c r="BC503" s="8">
        <f>IF((0=1),BC188,(C188+(C258*(53-1))))</f>
        <v>-4.558</v>
      </c>
      <c r="BD503" s="8">
        <f>IF((0=1),BD188,(C188+(C258*(54-1))))</f>
        <v>-4.644</v>
      </c>
      <c r="BE503" s="8">
        <f>IF((0=1),BE188,(C188+(C258*(55-1))))</f>
        <v>-4.7299999999999995</v>
      </c>
      <c r="BF503" s="8">
        <f>IF((0=1),BF188,(C188+(C258*(56-1))))</f>
        <v>-4.816</v>
      </c>
      <c r="BG503" s="8">
        <f>IF((0=1),BG188,(C188+(C258*(57-1))))</f>
        <v>-4.902</v>
      </c>
      <c r="BH503" s="8">
        <f>IF((0=1),BH188,(C188+(C258*(58-1))))</f>
        <v>-4.9879999999999995</v>
      </c>
      <c r="BI503" s="8">
        <f>IF((0=1),BI188,(C188+(C258*(59-1))))</f>
        <v>-5.074</v>
      </c>
      <c r="BJ503" s="8">
        <f>IF((0=1),BJ188,(C188+(C258*(60-1))))</f>
        <v>-5.16</v>
      </c>
      <c r="BK503" s="8">
        <f>IF((0=1),BK188,(C188+(C258*(61-1))))</f>
        <v>-5.2459999999999996</v>
      </c>
      <c r="BL503" s="8">
        <f>IF((0=1),BL188,(C188+(C258*(62-1))))</f>
        <v>-5.332</v>
      </c>
      <c r="BM503" s="8">
        <f>IF((0=1),BM188,(C188+(C258*(63-1))))</f>
        <v>-5.418</v>
      </c>
      <c r="BN503" s="8">
        <f>IF((0=1),BN188,(C188+(C258*(64-1))))</f>
        <v>-5.504</v>
      </c>
      <c r="BO503" s="8">
        <f>IF((0=1),BO188,(C188+(C258*(65-1))))</f>
        <v>-5.59</v>
      </c>
      <c r="BP503" s="8">
        <f>IF((0=1),BP188,(C188+(C258*(66-1))))</f>
        <v>-5.676</v>
      </c>
      <c r="BQ503" s="8">
        <f>IF((0=1),BQ188,(C188+(C258*(67-1))))</f>
        <v>-5.762</v>
      </c>
      <c r="BR503" s="8">
        <f>IF((0=1),BR188,(C188+(C258*(68-1))))</f>
        <v>-5.848</v>
      </c>
      <c r="BS503" s="8">
        <f>IF((0=1),BS188,(C188+(C258*(69-1))))</f>
        <v>-5.934</v>
      </c>
      <c r="BT503" s="8">
        <f>IF((0=1),BT188,(C188+(C258*(70-1))))</f>
        <v>-6.02</v>
      </c>
      <c r="BU503" s="8">
        <f>IF((0=1),BU188,(C188+(C258*(71-1))))</f>
        <v>-6.106</v>
      </c>
      <c r="BV503" s="8">
        <f>IF((0=1),BV188,(C188+(C258*(72-1))))</f>
        <v>-6.192</v>
      </c>
      <c r="BW503" s="8">
        <f>IF((0=1),BW188,(C188+(C258*(73-1))))</f>
        <v>-6.278</v>
      </c>
      <c r="BX503" s="8">
        <f>IF((0=1),BX188,(C188+(C258*(74-1))))</f>
        <v>-6.364</v>
      </c>
      <c r="BY503" s="8">
        <f>IF((0=1),BY188,(C188+(C258*(75-1))))</f>
        <v>-6.45</v>
      </c>
      <c r="BZ503" s="8">
        <f>IF((0=1),BZ188,(C188+(C258*(76-1))))</f>
        <v>-6.536</v>
      </c>
      <c r="CA503" s="8">
        <f>IF((0=1),CA188,(C188+(C258*(77-1))))</f>
        <v>-6.622</v>
      </c>
      <c r="CB503" s="8">
        <f>IF((0=1),CB188,(C188+(C258*(78-1))))</f>
        <v>-6.708</v>
      </c>
      <c r="CC503" s="8">
        <f>IF((0=1),CC188,(C188+(C258*(79-1))))</f>
        <v>-6.794</v>
      </c>
      <c r="CD503" s="8">
        <f>IF((0=1),CD188,(C188+(C258*(80-1))))</f>
        <v>-6.88</v>
      </c>
      <c r="CE503" s="8">
        <f>IF((0=1),CE188,(C188+(C258*(81-1))))</f>
        <v>-6.965999999999999</v>
      </c>
      <c r="CF503" s="8">
        <f>IF((0=1),CF188,(C188+(C258*(82-1))))</f>
        <v>-7.052</v>
      </c>
      <c r="CG503" s="8">
        <f>IF((0=1),CG188,(C188+(C258*(83-1))))</f>
        <v>-7.138</v>
      </c>
      <c r="CH503" s="8">
        <f>IF((0=1),CH188,(C188+(C258*(84-1))))</f>
        <v>-7.223999999999999</v>
      </c>
      <c r="CI503" s="8">
        <f>IF((0=1),CI188,(C188+(C258*(85-1))))</f>
        <v>-7.31</v>
      </c>
      <c r="CJ503" s="8">
        <f>IF((0=1),CJ188,(C188+(C258*(86-1))))</f>
        <v>-7.396</v>
      </c>
      <c r="CK503" s="8">
        <f>IF((0=1),CK188,(C188+(C258*(87-1))))</f>
        <v>-7.481999999999999</v>
      </c>
      <c r="CL503" s="8">
        <f>IF((0=1),CL188,(C188+(C258*(88-1))))</f>
        <v>-7.568</v>
      </c>
      <c r="CM503" s="8">
        <f>IF((0=1),CM188,(C188+(C258*(89-1))))</f>
        <v>-7.654</v>
      </c>
      <c r="CN503" s="8">
        <f>IF((0=1),CN188,(C188+(C258*(90-1))))</f>
        <v>-7.739999999999999</v>
      </c>
      <c r="CO503" s="8">
        <f>IF((0=1),CO188,(C188+(C258*(91-1))))</f>
        <v>-7.826</v>
      </c>
      <c r="CP503" s="8">
        <f>IF((0=1),CP188,(C188+(C258*(92-1))))</f>
        <v>-7.912</v>
      </c>
      <c r="CQ503" s="8">
        <f>IF((0=1),CQ188,(C188+(C258*(93-1))))</f>
        <v>-7.997999999999999</v>
      </c>
      <c r="CR503" s="8">
        <f>IF((0=1),CR188,(C188+(C258*(94-1))))</f>
        <v>-8.084</v>
      </c>
      <c r="CS503" s="8">
        <f>IF((0=1),CS188,(C188+(C258*(95-1))))</f>
        <v>-8.17</v>
      </c>
      <c r="CT503" s="8">
        <f>IF((0=1),CT188,(C188+(C258*(96-1))))</f>
        <v>-8.256</v>
      </c>
      <c r="CU503" s="8">
        <f>IF((0=1),CU188,(C188+(C258*(97-1))))</f>
        <v>-8.342</v>
      </c>
      <c r="CV503" s="8">
        <f>IF((0=1),CV188,(C188+(C258*(98-1))))</f>
        <v>-8.427999999999999</v>
      </c>
      <c r="CW503" s="8">
        <f>IF((0=1),CW188,(C188+(C258*(99-1))))</f>
        <v>-8.514</v>
      </c>
      <c r="CX503" s="8">
        <f>IF((0=1),CX188,(C188+(C258*(100-1))))</f>
        <v>-8.6</v>
      </c>
    </row>
    <row r="504">
      <c r="A504" s="0" t="inlineStr">
        <is>
          <t xml:space="preserve">Cumulative excess, realized then projected at running mean</t>
        </is>
      </c>
      <c r="B504" s="0" t="inlineStr">
        <is>
          <t xml:space="preserve">Residual Momentum</t>
        </is>
      </c>
      <c r="C504" s="8">
        <f>IF((1=1),C189,(C189+(C259*(1-1))))</f>
        <v>13.936</v>
      </c>
      <c r="D504" s="8">
        <f>IF((0=1),D189,(C189+(C259*(2-1))))</f>
        <v>27.872</v>
      </c>
      <c r="E504" s="8">
        <f>IF((0=1),E189,(C189+(C259*(3-1))))</f>
        <v>41.808</v>
      </c>
      <c r="F504" s="8">
        <f>IF((0=1),F189,(C189+(C259*(4-1))))</f>
        <v>55.744</v>
      </c>
      <c r="G504" s="8">
        <f>IF((0=1),G189,(C189+(C259*(5-1))))</f>
        <v>69.68</v>
      </c>
      <c r="H504" s="8">
        <f>IF((0=1),H189,(C189+(C259*(6-1))))</f>
        <v>83.61600000000001</v>
      </c>
      <c r="I504" s="8">
        <f>IF((0=1),I189,(C189+(C259*(7-1))))</f>
        <v>97.55199999999999</v>
      </c>
      <c r="J504" s="8">
        <f>IF((0=1),J189,(C189+(C259*(8-1))))</f>
        <v>111.488</v>
      </c>
      <c r="K504" s="8">
        <f>IF((0=1),K189,(C189+(C259*(9-1))))</f>
        <v>125.424</v>
      </c>
      <c r="L504" s="8">
        <f>IF((0=1),L189,(C189+(C259*(10-1))))</f>
        <v>139.36</v>
      </c>
      <c r="M504" s="8">
        <f>IF((0=1),M189,(C189+(C259*(11-1))))</f>
        <v>153.29600000000002</v>
      </c>
      <c r="N504" s="8">
        <f>IF((0=1),N189,(C189+(C259*(12-1))))</f>
        <v>167.232</v>
      </c>
      <c r="O504" s="8">
        <f>IF((0=1),O189,(C189+(C259*(13-1))))</f>
        <v>181.168</v>
      </c>
      <c r="P504" s="8">
        <f>IF((0=1),P189,(C189+(C259*(14-1))))</f>
        <v>195.104</v>
      </c>
      <c r="Q504" s="8">
        <f>IF((0=1),Q189,(C189+(C259*(15-1))))</f>
        <v>209.04</v>
      </c>
      <c r="R504" s="8">
        <f>IF((0=1),R189,(C189+(C259*(16-1))))</f>
        <v>222.976</v>
      </c>
      <c r="S504" s="8">
        <f>IF((0=1),S189,(C189+(C259*(17-1))))</f>
        <v>236.912</v>
      </c>
      <c r="T504" s="8">
        <f>IF((0=1),T189,(C189+(C259*(18-1))))</f>
        <v>250.848</v>
      </c>
      <c r="U504" s="8">
        <f>IF((0=1),U189,(C189+(C259*(19-1))))</f>
        <v>264.784</v>
      </c>
      <c r="V504" s="8">
        <f>IF((0=1),V189,(C189+(C259*(20-1))))</f>
        <v>278.71999999999997</v>
      </c>
      <c r="W504" s="8">
        <f>IF((0=1),W189,(C189+(C259*(21-1))))</f>
        <v>292.656</v>
      </c>
      <c r="X504" s="8">
        <f>IF((0=1),X189,(C189+(C259*(22-1))))</f>
        <v>306.592</v>
      </c>
      <c r="Y504" s="8">
        <f>IF((0=1),Y189,(C189+(C259*(23-1))))</f>
        <v>320.52799999999996</v>
      </c>
      <c r="Z504" s="8">
        <f>IF((0=1),Z189,(C189+(C259*(24-1))))</f>
        <v>334.464</v>
      </c>
      <c r="AA504" s="8">
        <f>IF((0=1),AA189,(C189+(C259*(25-1))))</f>
        <v>348.4</v>
      </c>
      <c r="AB504" s="8">
        <f>IF((0=1),AB189,(C189+(C259*(26-1))))</f>
        <v>362.33599999999996</v>
      </c>
      <c r="AC504" s="8">
        <f>IF((0=1),AC189,(C189+(C259*(27-1))))</f>
        <v>376.272</v>
      </c>
      <c r="AD504" s="8">
        <f>IF((0=1),AD189,(C189+(C259*(28-1))))</f>
        <v>390.20799999999997</v>
      </c>
      <c r="AE504" s="8">
        <f>IF((0=1),AE189,(C189+(C259*(29-1))))</f>
        <v>404.14399999999995</v>
      </c>
      <c r="AF504" s="8">
        <f>IF((0=1),AF189,(C189+(C259*(30-1))))</f>
        <v>418.08</v>
      </c>
      <c r="AG504" s="8">
        <f>IF((0=1),AG189,(C189+(C259*(31-1))))</f>
        <v>432.01599999999996</v>
      </c>
      <c r="AH504" s="8">
        <f>IF((0=1),AH189,(C189+(C259*(32-1))))</f>
        <v>445.952</v>
      </c>
      <c r="AI504" s="8">
        <f>IF((0=1),AI189,(C189+(C259*(33-1))))</f>
        <v>459.888</v>
      </c>
      <c r="AJ504" s="8">
        <f>IF((0=1),AJ189,(C189+(C259*(34-1))))</f>
        <v>473.82399999999996</v>
      </c>
      <c r="AK504" s="8">
        <f>IF((0=1),AK189,(C189+(C259*(35-1))))</f>
        <v>487.76</v>
      </c>
      <c r="AL504" s="8">
        <f>IF((0=1),AL189,(C189+(C259*(36-1))))</f>
        <v>501.69599999999997</v>
      </c>
      <c r="AM504" s="8">
        <f>IF((0=1),AM189,(C189+(C259*(37-1))))</f>
        <v>515.6320000000001</v>
      </c>
      <c r="AN504" s="8">
        <f>IF((0=1),AN189,(C189+(C259*(38-1))))</f>
        <v>529.568</v>
      </c>
      <c r="AO504" s="8">
        <f>IF((0=1),AO189,(C189+(C259*(39-1))))</f>
        <v>543.504</v>
      </c>
      <c r="AP504" s="8">
        <f>IF((0=1),AP189,(C189+(C259*(40-1))))</f>
        <v>557.44</v>
      </c>
      <c r="AQ504" s="8">
        <f>IF((0=1),AQ189,(C189+(C259*(41-1))))</f>
        <v>571.3760000000001</v>
      </c>
      <c r="AR504" s="8">
        <f>IF((0=1),AR189,(C189+(C259*(42-1))))</f>
        <v>585.312</v>
      </c>
      <c r="AS504" s="8">
        <f>IF((0=1),AS189,(C189+(C259*(43-1))))</f>
        <v>599.248</v>
      </c>
      <c r="AT504" s="8">
        <f>IF((0=1),AT189,(C189+(C259*(44-1))))</f>
        <v>613.1840000000001</v>
      </c>
      <c r="AU504" s="8">
        <f>IF((0=1),AU189,(C189+(C259*(45-1))))</f>
        <v>627.12</v>
      </c>
      <c r="AV504" s="8">
        <f>IF((0=1),AV189,(C189+(C259*(46-1))))</f>
        <v>641.056</v>
      </c>
      <c r="AW504" s="8">
        <f>IF((0=1),AW189,(C189+(C259*(47-1))))</f>
        <v>654.9920000000001</v>
      </c>
      <c r="AX504" s="8">
        <f>IF((0=1),AX189,(C189+(C259*(48-1))))</f>
        <v>668.928</v>
      </c>
      <c r="AY504" s="8">
        <f>IF((0=1),AY189,(C189+(C259*(49-1))))</f>
        <v>682.864</v>
      </c>
      <c r="AZ504" s="8">
        <f>IF((0=1),AZ189,(C189+(C259*(50-1))))</f>
        <v>696.8000000000001</v>
      </c>
      <c r="BA504" s="8">
        <f>IF((0=1),BA189,(C189+(C259*(51-1))))</f>
        <v>710.736</v>
      </c>
      <c r="BB504" s="8">
        <f>IF((0=1),BB189,(C189+(C259*(52-1))))</f>
        <v>724.672</v>
      </c>
      <c r="BC504" s="8">
        <f>IF((0=1),BC189,(C189+(C259*(53-1))))</f>
        <v>738.6080000000001</v>
      </c>
      <c r="BD504" s="8">
        <f>IF((0=1),BD189,(C189+(C259*(54-1))))</f>
        <v>752.544</v>
      </c>
      <c r="BE504" s="8">
        <f>IF((0=1),BE189,(C189+(C259*(55-1))))</f>
        <v>766.48</v>
      </c>
      <c r="BF504" s="8">
        <f>IF((0=1),BF189,(C189+(C259*(56-1))))</f>
        <v>780.416</v>
      </c>
      <c r="BG504" s="8">
        <f>IF((0=1),BG189,(C189+(C259*(57-1))))</f>
        <v>794.352</v>
      </c>
      <c r="BH504" s="8">
        <f>IF((0=1),BH189,(C189+(C259*(58-1))))</f>
        <v>808.288</v>
      </c>
      <c r="BI504" s="8">
        <f>IF((0=1),BI189,(C189+(C259*(59-1))))</f>
        <v>822.224</v>
      </c>
      <c r="BJ504" s="8">
        <f>IF((0=1),BJ189,(C189+(C259*(60-1))))</f>
        <v>836.1600000000001</v>
      </c>
      <c r="BK504" s="8">
        <f>IF((0=1),BK189,(C189+(C259*(61-1))))</f>
        <v>850.096</v>
      </c>
      <c r="BL504" s="8">
        <f>IF((0=1),BL189,(C189+(C259*(62-1))))</f>
        <v>864.032</v>
      </c>
      <c r="BM504" s="8">
        <f>IF((0=1),BM189,(C189+(C259*(63-1))))</f>
        <v>877.9680000000001</v>
      </c>
      <c r="BN504" s="8">
        <f>IF((0=1),BN189,(C189+(C259*(64-1))))</f>
        <v>891.904</v>
      </c>
      <c r="BO504" s="8">
        <f>IF((0=1),BO189,(C189+(C259*(65-1))))</f>
        <v>905.84</v>
      </c>
      <c r="BP504" s="8">
        <f>IF((0=1),BP189,(C189+(C259*(66-1))))</f>
        <v>919.7760000000001</v>
      </c>
      <c r="BQ504" s="8">
        <f>IF((0=1),BQ189,(C189+(C259*(67-1))))</f>
        <v>933.712</v>
      </c>
      <c r="BR504" s="8">
        <f>IF((0=1),BR189,(C189+(C259*(68-1))))</f>
        <v>947.648</v>
      </c>
      <c r="BS504" s="8">
        <f>IF((0=1),BS189,(C189+(C259*(69-1))))</f>
        <v>961.5840000000001</v>
      </c>
      <c r="BT504" s="8">
        <f>IF((0=1),BT189,(C189+(C259*(70-1))))</f>
        <v>975.52</v>
      </c>
      <c r="BU504" s="8">
        <f>IF((0=1),BU189,(C189+(C259*(71-1))))</f>
        <v>989.456</v>
      </c>
      <c r="BV504" s="8">
        <f>IF((0=1),BV189,(C189+(C259*(72-1))))</f>
        <v>1003.392</v>
      </c>
      <c r="BW504" s="8">
        <f>IF((0=1),BW189,(C189+(C259*(73-1))))</f>
        <v>1017.3280000000001</v>
      </c>
      <c r="BX504" s="8">
        <f>IF((0=1),BX189,(C189+(C259*(74-1))))</f>
        <v>1031.264</v>
      </c>
      <c r="BY504" s="8">
        <f>IF((0=1),BY189,(C189+(C259*(75-1))))</f>
        <v>1045.1999999999998</v>
      </c>
      <c r="BZ504" s="8">
        <f>IF((0=1),BZ189,(C189+(C259*(76-1))))</f>
        <v>1059.136</v>
      </c>
      <c r="CA504" s="8">
        <f>IF((0=1),CA189,(C189+(C259*(77-1))))</f>
        <v>1073.072</v>
      </c>
      <c r="CB504" s="8">
        <f>IF((0=1),CB189,(C189+(C259*(78-1))))</f>
        <v>1087.0079999999998</v>
      </c>
      <c r="CC504" s="8">
        <f>IF((0=1),CC189,(C189+(C259*(79-1))))</f>
        <v>1100.944</v>
      </c>
      <c r="CD504" s="8">
        <f>IF((0=1),CD189,(C189+(C259*(80-1))))</f>
        <v>1114.8799999999999</v>
      </c>
      <c r="CE504" s="8">
        <f>IF((0=1),CE189,(C189+(C259*(81-1))))</f>
        <v>1128.816</v>
      </c>
      <c r="CF504" s="8">
        <f>IF((0=1),CF189,(C189+(C259*(82-1))))</f>
        <v>1142.752</v>
      </c>
      <c r="CG504" s="8">
        <f>IF((0=1),CG189,(C189+(C259*(83-1))))</f>
        <v>1156.6879999999999</v>
      </c>
      <c r="CH504" s="8">
        <f>IF((0=1),CH189,(C189+(C259*(84-1))))</f>
        <v>1170.624</v>
      </c>
      <c r="CI504" s="8">
        <f>IF((0=1),CI189,(C189+(C259*(85-1))))</f>
        <v>1184.56</v>
      </c>
      <c r="CJ504" s="8">
        <f>IF((0=1),CJ189,(C189+(C259*(86-1))))</f>
        <v>1198.4959999999999</v>
      </c>
      <c r="CK504" s="8">
        <f>IF((0=1),CK189,(C189+(C259*(87-1))))</f>
        <v>1212.432</v>
      </c>
      <c r="CL504" s="8">
        <f>IF((0=1),CL189,(C189+(C259*(88-1))))</f>
        <v>1226.368</v>
      </c>
      <c r="CM504" s="8">
        <f>IF((0=1),CM189,(C189+(C259*(89-1))))</f>
        <v>1240.3039999999999</v>
      </c>
      <c r="CN504" s="8">
        <f>IF((0=1),CN189,(C189+(C259*(90-1))))</f>
        <v>1254.24</v>
      </c>
      <c r="CO504" s="8">
        <f>IF((0=1),CO189,(C189+(C259*(91-1))))</f>
        <v>1268.176</v>
      </c>
      <c r="CP504" s="8">
        <f>IF((0=1),CP189,(C189+(C259*(92-1))))</f>
        <v>1282.1119999999999</v>
      </c>
      <c r="CQ504" s="8">
        <f>IF((0=1),CQ189,(C189+(C259*(93-1))))</f>
        <v>1296.048</v>
      </c>
      <c r="CR504" s="8">
        <f>IF((0=1),CR189,(C189+(C259*(94-1))))</f>
        <v>1309.984</v>
      </c>
      <c r="CS504" s="8">
        <f>IF((0=1),CS189,(C189+(C259*(95-1))))</f>
        <v>1323.9199999999998</v>
      </c>
      <c r="CT504" s="8">
        <f>IF((0=1),CT189,(C189+(C259*(96-1))))</f>
        <v>1337.856</v>
      </c>
      <c r="CU504" s="8">
        <f>IF((0=1),CU189,(C189+(C259*(97-1))))</f>
        <v>1351.792</v>
      </c>
      <c r="CV504" s="8">
        <f>IF((0=1),CV189,(C189+(C259*(98-1))))</f>
        <v>1365.7279999999998</v>
      </c>
      <c r="CW504" s="8">
        <f>IF((0=1),CW189,(C189+(C259*(99-1))))</f>
        <v>1379.664</v>
      </c>
      <c r="CX504" s="8">
        <f>IF((0=1),CX189,(C189+(C259*(100-1))))</f>
        <v>1393.6</v>
      </c>
    </row>
    <row r="505">
      <c r="A505" s="0" t="inlineStr">
        <is>
          <t xml:space="preserve">Cumulative excess, realized then projected at running mean</t>
        </is>
      </c>
      <c r="B505" s="0" t="inlineStr">
        <is>
          <t xml:space="preserve">Overnight Return Persistence</t>
        </is>
      </c>
      <c r="C505" s="8">
        <f>IF((1=1),C190,(C190+(C260*(1-1))))</f>
        <v>8.172</v>
      </c>
      <c r="D505" s="8">
        <f>IF((0=1),D190,(C190+(C260*(2-1))))</f>
        <v>16.344</v>
      </c>
      <c r="E505" s="8">
        <f>IF((0=1),E190,(C190+(C260*(3-1))))</f>
        <v>24.516000000000002</v>
      </c>
      <c r="F505" s="8">
        <f>IF((0=1),F190,(C190+(C260*(4-1))))</f>
        <v>32.688</v>
      </c>
      <c r="G505" s="8">
        <f>IF((0=1),G190,(C190+(C260*(5-1))))</f>
        <v>40.86</v>
      </c>
      <c r="H505" s="8">
        <f>IF((0=1),H190,(C190+(C260*(6-1))))</f>
        <v>49.032</v>
      </c>
      <c r="I505" s="8">
        <f>IF((0=1),I190,(C190+(C260*(7-1))))</f>
        <v>57.20400000000001</v>
      </c>
      <c r="J505" s="8">
        <f>IF((0=1),J190,(C190+(C260*(8-1))))</f>
        <v>65.376</v>
      </c>
      <c r="K505" s="8">
        <f>IF((0=1),K190,(C190+(C260*(9-1))))</f>
        <v>73.548</v>
      </c>
      <c r="L505" s="8">
        <f>IF((0=1),L190,(C190+(C260*(10-1))))</f>
        <v>81.72</v>
      </c>
      <c r="M505" s="8">
        <f>IF((0=1),M190,(C190+(C260*(11-1))))</f>
        <v>89.892</v>
      </c>
      <c r="N505" s="8">
        <f>IF((0=1),N190,(C190+(C260*(12-1))))</f>
        <v>98.06400000000001</v>
      </c>
      <c r="O505" s="8">
        <f>IF((0=1),O190,(C190+(C260*(13-1))))</f>
        <v>106.236</v>
      </c>
      <c r="P505" s="8">
        <f>IF((0=1),P190,(C190+(C260*(14-1))))</f>
        <v>114.408</v>
      </c>
      <c r="Q505" s="8">
        <f>IF((0=1),Q190,(C190+(C260*(15-1))))</f>
        <v>122.58000000000001</v>
      </c>
      <c r="R505" s="8">
        <f>IF((0=1),R190,(C190+(C260*(16-1))))</f>
        <v>130.752</v>
      </c>
      <c r="S505" s="8">
        <f>IF((0=1),S190,(C190+(C260*(17-1))))</f>
        <v>138.924</v>
      </c>
      <c r="T505" s="8">
        <f>IF((0=1),T190,(C190+(C260*(18-1))))</f>
        <v>147.096</v>
      </c>
      <c r="U505" s="8">
        <f>IF((0=1),U190,(C190+(C260*(19-1))))</f>
        <v>155.268</v>
      </c>
      <c r="V505" s="8">
        <f>IF((0=1),V190,(C190+(C260*(20-1))))</f>
        <v>163.44</v>
      </c>
      <c r="W505" s="8">
        <f>IF((0=1),W190,(C190+(C260*(21-1))))</f>
        <v>171.612</v>
      </c>
      <c r="X505" s="8">
        <f>IF((0=1),X190,(C190+(C260*(22-1))))</f>
        <v>179.78400000000002</v>
      </c>
      <c r="Y505" s="8">
        <f>IF((0=1),Y190,(C190+(C260*(23-1))))</f>
        <v>187.95600000000002</v>
      </c>
      <c r="Z505" s="8">
        <f>IF((0=1),Z190,(C190+(C260*(24-1))))</f>
        <v>196.12800000000001</v>
      </c>
      <c r="AA505" s="8">
        <f>IF((0=1),AA190,(C190+(C260*(25-1))))</f>
        <v>204.3</v>
      </c>
      <c r="AB505" s="8">
        <f>IF((0=1),AB190,(C190+(C260*(26-1))))</f>
        <v>212.472</v>
      </c>
      <c r="AC505" s="8">
        <f>IF((0=1),AC190,(C190+(C260*(27-1))))</f>
        <v>220.644</v>
      </c>
      <c r="AD505" s="8">
        <f>IF((0=1),AD190,(C190+(C260*(28-1))))</f>
        <v>228.816</v>
      </c>
      <c r="AE505" s="8">
        <f>IF((0=1),AE190,(C190+(C260*(29-1))))</f>
        <v>236.98800000000003</v>
      </c>
      <c r="AF505" s="8">
        <f>IF((0=1),AF190,(C190+(C260*(30-1))))</f>
        <v>245.16000000000003</v>
      </c>
      <c r="AG505" s="8">
        <f>IF((0=1),AG190,(C190+(C260*(31-1))))</f>
        <v>253.33200000000002</v>
      </c>
      <c r="AH505" s="8">
        <f>IF((0=1),AH190,(C190+(C260*(32-1))))</f>
        <v>261.504</v>
      </c>
      <c r="AI505" s="8">
        <f>IF((0=1),AI190,(C190+(C260*(33-1))))</f>
        <v>269.67600000000004</v>
      </c>
      <c r="AJ505" s="8">
        <f>IF((0=1),AJ190,(C190+(C260*(34-1))))</f>
        <v>277.84800000000007</v>
      </c>
      <c r="AK505" s="8">
        <f>IF((0=1),AK190,(C190+(C260*(35-1))))</f>
        <v>286.02000000000004</v>
      </c>
      <c r="AL505" s="8">
        <f>IF((0=1),AL190,(C190+(C260*(36-1))))</f>
        <v>294.19200000000006</v>
      </c>
      <c r="AM505" s="8">
        <f>IF((0=1),AM190,(C190+(C260*(37-1))))</f>
        <v>302.36400000000003</v>
      </c>
      <c r="AN505" s="8">
        <f>IF((0=1),AN190,(C190+(C260*(38-1))))</f>
        <v>310.53600000000006</v>
      </c>
      <c r="AO505" s="8">
        <f>IF((0=1),AO190,(C190+(C260*(39-1))))</f>
        <v>318.708</v>
      </c>
      <c r="AP505" s="8">
        <f>IF((0=1),AP190,(C190+(C260*(40-1))))</f>
        <v>326.88000000000005</v>
      </c>
      <c r="AQ505" s="8">
        <f>IF((0=1),AQ190,(C190+(C260*(41-1))))</f>
        <v>335.052</v>
      </c>
      <c r="AR505" s="8">
        <f>IF((0=1),AR190,(C190+(C260*(42-1))))</f>
        <v>343.22400000000005</v>
      </c>
      <c r="AS505" s="8">
        <f>IF((0=1),AS190,(C190+(C260*(43-1))))</f>
        <v>351.3960000000001</v>
      </c>
      <c r="AT505" s="8">
        <f>IF((0=1),AT190,(C190+(C260*(44-1))))</f>
        <v>359.56800000000004</v>
      </c>
      <c r="AU505" s="8">
        <f>IF((0=1),AU190,(C190+(C260*(45-1))))</f>
        <v>367.74000000000007</v>
      </c>
      <c r="AV505" s="8">
        <f>IF((0=1),AV190,(C190+(C260*(46-1))))</f>
        <v>375.91200000000003</v>
      </c>
      <c r="AW505" s="8">
        <f>IF((0=1),AW190,(C190+(C260*(47-1))))</f>
        <v>384.08400000000006</v>
      </c>
      <c r="AX505" s="8">
        <f>IF((0=1),AX190,(C190+(C260*(48-1))))</f>
        <v>392.25600000000003</v>
      </c>
      <c r="AY505" s="8">
        <f>IF((0=1),AY190,(C190+(C260*(49-1))))</f>
        <v>400.42800000000005</v>
      </c>
      <c r="AZ505" s="8">
        <f>IF((0=1),AZ190,(C190+(C260*(50-1))))</f>
        <v>408.6000000000001</v>
      </c>
      <c r="BA505" s="8">
        <f>IF((0=1),BA190,(C190+(C260*(51-1))))</f>
        <v>416.77200000000005</v>
      </c>
      <c r="BB505" s="8">
        <f>IF((0=1),BB190,(C190+(C260*(52-1))))</f>
        <v>424.9440000000001</v>
      </c>
      <c r="BC505" s="8">
        <f>IF((0=1),BC190,(C190+(C260*(53-1))))</f>
        <v>433.11600000000004</v>
      </c>
      <c r="BD505" s="8">
        <f>IF((0=1),BD190,(C190+(C260*(54-1))))</f>
        <v>441.28800000000007</v>
      </c>
      <c r="BE505" s="8">
        <f>IF((0=1),BE190,(C190+(C260*(55-1))))</f>
        <v>449.46000000000004</v>
      </c>
      <c r="BF505" s="8">
        <f>IF((0=1),BF190,(C190+(C260*(56-1))))</f>
        <v>457.63200000000006</v>
      </c>
      <c r="BG505" s="8">
        <f>IF((0=1),BG190,(C190+(C260*(57-1))))</f>
        <v>465.8040000000001</v>
      </c>
      <c r="BH505" s="8">
        <f>IF((0=1),BH190,(C190+(C260*(58-1))))</f>
        <v>473.97600000000006</v>
      </c>
      <c r="BI505" s="8">
        <f>IF((0=1),BI190,(C190+(C260*(59-1))))</f>
        <v>482.1480000000001</v>
      </c>
      <c r="BJ505" s="8">
        <f>IF((0=1),BJ190,(C190+(C260*(60-1))))</f>
        <v>490.32000000000005</v>
      </c>
      <c r="BK505" s="8">
        <f>IF((0=1),BK190,(C190+(C260*(61-1))))</f>
        <v>498.4920000000001</v>
      </c>
      <c r="BL505" s="8">
        <f>IF((0=1),BL190,(C190+(C260*(62-1))))</f>
        <v>506.66400000000004</v>
      </c>
      <c r="BM505" s="8">
        <f>IF((0=1),BM190,(C190+(C260*(63-1))))</f>
        <v>514.836</v>
      </c>
      <c r="BN505" s="8">
        <f>IF((0=1),BN190,(C190+(C260*(64-1))))</f>
        <v>523.008</v>
      </c>
      <c r="BO505" s="8">
        <f>IF((0=1),BO190,(C190+(C260*(65-1))))</f>
        <v>531.1800000000001</v>
      </c>
      <c r="BP505" s="8">
        <f>IF((0=1),BP190,(C190+(C260*(66-1))))</f>
        <v>539.3520000000001</v>
      </c>
      <c r="BQ505" s="8">
        <f>IF((0=1),BQ190,(C190+(C260*(67-1))))</f>
        <v>547.5240000000001</v>
      </c>
      <c r="BR505" s="8">
        <f>IF((0=1),BR190,(C190+(C260*(68-1))))</f>
        <v>555.696</v>
      </c>
      <c r="BS505" s="8">
        <f>IF((0=1),BS190,(C190+(C260*(69-1))))</f>
        <v>563.868</v>
      </c>
      <c r="BT505" s="8">
        <f>IF((0=1),BT190,(C190+(C260*(70-1))))</f>
        <v>572.0400000000001</v>
      </c>
      <c r="BU505" s="8">
        <f>IF((0=1),BU190,(C190+(C260*(71-1))))</f>
        <v>580.2120000000001</v>
      </c>
      <c r="BV505" s="8">
        <f>IF((0=1),BV190,(C190+(C260*(72-1))))</f>
        <v>588.384</v>
      </c>
      <c r="BW505" s="8">
        <f>IF((0=1),BW190,(C190+(C260*(73-1))))</f>
        <v>596.556</v>
      </c>
      <c r="BX505" s="8">
        <f>IF((0=1),BX190,(C190+(C260*(74-1))))</f>
        <v>604.7280000000001</v>
      </c>
      <c r="BY505" s="8">
        <f>IF((0=1),BY190,(C190+(C260*(75-1))))</f>
        <v>612.9000000000001</v>
      </c>
      <c r="BZ505" s="8">
        <f>IF((0=1),BZ190,(C190+(C260*(76-1))))</f>
        <v>621.0720000000001</v>
      </c>
      <c r="CA505" s="8">
        <f>IF((0=1),CA190,(C190+(C260*(77-1))))</f>
        <v>629.244</v>
      </c>
      <c r="CB505" s="8">
        <f>IF((0=1),CB190,(C190+(C260*(78-1))))</f>
        <v>637.416</v>
      </c>
      <c r="CC505" s="8">
        <f>IF((0=1),CC190,(C190+(C260*(79-1))))</f>
        <v>645.5880000000001</v>
      </c>
      <c r="CD505" s="8">
        <f>IF((0=1),CD190,(C190+(C260*(80-1))))</f>
        <v>653.7600000000001</v>
      </c>
      <c r="CE505" s="8">
        <f>IF((0=1),CE190,(C190+(C260*(81-1))))</f>
        <v>661.932</v>
      </c>
      <c r="CF505" s="8">
        <f>IF((0=1),CF190,(C190+(C260*(82-1))))</f>
        <v>670.104</v>
      </c>
      <c r="CG505" s="8">
        <f>IF((0=1),CG190,(C190+(C260*(83-1))))</f>
        <v>678.2760000000001</v>
      </c>
      <c r="CH505" s="8">
        <f>IF((0=1),CH190,(C190+(C260*(84-1))))</f>
        <v>686.4480000000001</v>
      </c>
      <c r="CI505" s="8">
        <f>IF((0=1),CI190,(C190+(C260*(85-1))))</f>
        <v>694.6200000000001</v>
      </c>
      <c r="CJ505" s="8">
        <f>IF((0=1),CJ190,(C190+(C260*(86-1))))</f>
        <v>702.792</v>
      </c>
      <c r="CK505" s="8">
        <f>IF((0=1),CK190,(C190+(C260*(87-1))))</f>
        <v>710.964</v>
      </c>
      <c r="CL505" s="8">
        <f>IF((0=1),CL190,(C190+(C260*(88-1))))</f>
        <v>719.1360000000001</v>
      </c>
      <c r="CM505" s="8">
        <f>IF((0=1),CM190,(C190+(C260*(89-1))))</f>
        <v>727.3080000000001</v>
      </c>
      <c r="CN505" s="8">
        <f>IF((0=1),CN190,(C190+(C260*(90-1))))</f>
        <v>735.4800000000001</v>
      </c>
      <c r="CO505" s="8">
        <f>IF((0=1),CO190,(C190+(C260*(91-1))))</f>
        <v>743.652</v>
      </c>
      <c r="CP505" s="8">
        <f>IF((0=1),CP190,(C190+(C260*(92-1))))</f>
        <v>751.8240000000001</v>
      </c>
      <c r="CQ505" s="8">
        <f>IF((0=1),CQ190,(C190+(C260*(93-1))))</f>
        <v>759.9960000000001</v>
      </c>
      <c r="CR505" s="8">
        <f>IF((0=1),CR190,(C190+(C260*(94-1))))</f>
        <v>768.1680000000001</v>
      </c>
      <c r="CS505" s="8">
        <f>IF((0=1),CS190,(C190+(C260*(95-1))))</f>
        <v>776.34</v>
      </c>
      <c r="CT505" s="8">
        <f>IF((0=1),CT190,(C190+(C260*(96-1))))</f>
        <v>784.5120000000001</v>
      </c>
      <c r="CU505" s="8">
        <f>IF((0=1),CU190,(C190+(C260*(97-1))))</f>
        <v>792.6840000000001</v>
      </c>
      <c r="CV505" s="8">
        <f>IF((0=1),CV190,(C190+(C260*(98-1))))</f>
        <v>800.8560000000001</v>
      </c>
      <c r="CW505" s="8">
        <f>IF((0=1),CW190,(C190+(C260*(99-1))))</f>
        <v>809.0280000000001</v>
      </c>
      <c r="CX505" s="8">
        <f>IF((0=1),CX190,(C190+(C260*(100-1))))</f>
        <v>817.2</v>
      </c>
    </row>
    <row r="506">
      <c r="A506" s="0" t="inlineStr">
        <is>
          <t xml:space="preserve">Cumulative excess, realized then projected at running mean</t>
        </is>
      </c>
      <c r="B506" s="0" t="inlineStr">
        <is>
          <t xml:space="preserve">52-Week-High Anchoring</t>
        </is>
      </c>
      <c r="C506" s="8">
        <f>IF((1=1),C191,(C191+(C261*(1-1))))</f>
        <v>17.164</v>
      </c>
      <c r="D506" s="8">
        <f>IF((0=1),D191,(C191+(C261*(2-1))))</f>
        <v>34.328</v>
      </c>
      <c r="E506" s="8">
        <f>IF((0=1),E191,(C191+(C261*(3-1))))</f>
        <v>51.492000000000004</v>
      </c>
      <c r="F506" s="8">
        <f>IF((0=1),F191,(C191+(C261*(4-1))))</f>
        <v>68.656</v>
      </c>
      <c r="G506" s="8">
        <f>IF((0=1),G191,(C191+(C261*(5-1))))</f>
        <v>85.82000000000001</v>
      </c>
      <c r="H506" s="8">
        <f>IF((0=1),H191,(C191+(C261*(6-1))))</f>
        <v>102.98400000000001</v>
      </c>
      <c r="I506" s="8">
        <f>IF((0=1),I191,(C191+(C261*(7-1))))</f>
        <v>120.14800000000001</v>
      </c>
      <c r="J506" s="8">
        <f>IF((0=1),J191,(C191+(C261*(8-1))))</f>
        <v>137.312</v>
      </c>
      <c r="K506" s="8">
        <f>IF((0=1),K191,(C191+(C261*(9-1))))</f>
        <v>154.476</v>
      </c>
      <c r="L506" s="8">
        <f>IF((0=1),L191,(C191+(C261*(10-1))))</f>
        <v>171.64</v>
      </c>
      <c r="M506" s="8">
        <f>IF((0=1),M191,(C191+(C261*(11-1))))</f>
        <v>188.80400000000003</v>
      </c>
      <c r="N506" s="8">
        <f>IF((0=1),N191,(C191+(C261*(12-1))))</f>
        <v>205.96800000000002</v>
      </c>
      <c r="O506" s="8">
        <f>IF((0=1),O191,(C191+(C261*(13-1))))</f>
        <v>223.132</v>
      </c>
      <c r="P506" s="8">
        <f>IF((0=1),P191,(C191+(C261*(14-1))))</f>
        <v>240.296</v>
      </c>
      <c r="Q506" s="8">
        <f>IF((0=1),Q191,(C191+(C261*(15-1))))</f>
        <v>257.46000000000004</v>
      </c>
      <c r="R506" s="8">
        <f>IF((0=1),R191,(C191+(C261*(16-1))))</f>
        <v>274.624</v>
      </c>
      <c r="S506" s="8">
        <f>IF((0=1),S191,(C191+(C261*(17-1))))</f>
        <v>291.788</v>
      </c>
      <c r="T506" s="8">
        <f>IF((0=1),T191,(C191+(C261*(18-1))))</f>
        <v>308.952</v>
      </c>
      <c r="U506" s="8">
        <f>IF((0=1),U191,(C191+(C261*(19-1))))</f>
        <v>326.116</v>
      </c>
      <c r="V506" s="8">
        <f>IF((0=1),V191,(C191+(C261*(20-1))))</f>
        <v>343.28000000000003</v>
      </c>
      <c r="W506" s="8">
        <f>IF((0=1),W191,(C191+(C261*(21-1))))</f>
        <v>360.444</v>
      </c>
      <c r="X506" s="8">
        <f>IF((0=1),X191,(C191+(C261*(22-1))))</f>
        <v>377.608</v>
      </c>
      <c r="Y506" s="8">
        <f>IF((0=1),Y191,(C191+(C261*(23-1))))</f>
        <v>394.77200000000005</v>
      </c>
      <c r="Z506" s="8">
        <f>IF((0=1),Z191,(C191+(C261*(24-1))))</f>
        <v>411.93600000000004</v>
      </c>
      <c r="AA506" s="8">
        <f>IF((0=1),AA191,(C191+(C261*(25-1))))</f>
        <v>429.1</v>
      </c>
      <c r="AB506" s="8">
        <f>IF((0=1),AB191,(C191+(C261*(26-1))))</f>
        <v>446.264</v>
      </c>
      <c r="AC506" s="8">
        <f>IF((0=1),AC191,(C191+(C261*(27-1))))</f>
        <v>463.428</v>
      </c>
      <c r="AD506" s="8">
        <f>IF((0=1),AD191,(C191+(C261*(28-1))))</f>
        <v>480.59200000000004</v>
      </c>
      <c r="AE506" s="8">
        <f>IF((0=1),AE191,(C191+(C261*(29-1))))</f>
        <v>497.75600000000003</v>
      </c>
      <c r="AF506" s="8">
        <f>IF((0=1),AF191,(C191+(C261*(30-1))))</f>
        <v>514.9200000000001</v>
      </c>
      <c r="AG506" s="8">
        <f>IF((0=1),AG191,(C191+(C261*(31-1))))</f>
        <v>532.0840000000001</v>
      </c>
      <c r="AH506" s="8">
        <f>IF((0=1),AH191,(C191+(C261*(32-1))))</f>
        <v>549.248</v>
      </c>
      <c r="AI506" s="8">
        <f>IF((0=1),AI191,(C191+(C261*(33-1))))</f>
        <v>566.412</v>
      </c>
      <c r="AJ506" s="8">
        <f>IF((0=1),AJ191,(C191+(C261*(34-1))))</f>
        <v>583.576</v>
      </c>
      <c r="AK506" s="8">
        <f>IF((0=1),AK191,(C191+(C261*(35-1))))</f>
        <v>600.74</v>
      </c>
      <c r="AL506" s="8">
        <f>IF((0=1),AL191,(C191+(C261*(36-1))))</f>
        <v>617.904</v>
      </c>
      <c r="AM506" s="8">
        <f>IF((0=1),AM191,(C191+(C261*(37-1))))</f>
        <v>635.068</v>
      </c>
      <c r="AN506" s="8">
        <f>IF((0=1),AN191,(C191+(C261*(38-1))))</f>
        <v>652.2320000000001</v>
      </c>
      <c r="AO506" s="8">
        <f>IF((0=1),AO191,(C191+(C261*(39-1))))</f>
        <v>669.3960000000001</v>
      </c>
      <c r="AP506" s="8">
        <f>IF((0=1),AP191,(C191+(C261*(40-1))))</f>
        <v>686.5600000000001</v>
      </c>
      <c r="AQ506" s="8">
        <f>IF((0=1),AQ191,(C191+(C261*(41-1))))</f>
        <v>703.724</v>
      </c>
      <c r="AR506" s="8">
        <f>IF((0=1),AR191,(C191+(C261*(42-1))))</f>
        <v>720.888</v>
      </c>
      <c r="AS506" s="8">
        <f>IF((0=1),AS191,(C191+(C261*(43-1))))</f>
        <v>738.052</v>
      </c>
      <c r="AT506" s="8">
        <f>IF((0=1),AT191,(C191+(C261*(44-1))))</f>
        <v>755.216</v>
      </c>
      <c r="AU506" s="8">
        <f>IF((0=1),AU191,(C191+(C261*(45-1))))</f>
        <v>772.3800000000001</v>
      </c>
      <c r="AV506" s="8">
        <f>IF((0=1),AV191,(C191+(C261*(46-1))))</f>
        <v>789.5440000000001</v>
      </c>
      <c r="AW506" s="8">
        <f>IF((0=1),AW191,(C191+(C261*(47-1))))</f>
        <v>806.7080000000001</v>
      </c>
      <c r="AX506" s="8">
        <f>IF((0=1),AX191,(C191+(C261*(48-1))))</f>
        <v>823.8720000000001</v>
      </c>
      <c r="AY506" s="8">
        <f>IF((0=1),AY191,(C191+(C261*(49-1))))</f>
        <v>841.0360000000001</v>
      </c>
      <c r="AZ506" s="8">
        <f>IF((0=1),AZ191,(C191+(C261*(50-1))))</f>
        <v>858.2</v>
      </c>
      <c r="BA506" s="8">
        <f>IF((0=1),BA191,(C191+(C261*(51-1))))</f>
        <v>875.364</v>
      </c>
      <c r="BB506" s="8">
        <f>IF((0=1),BB191,(C191+(C261*(52-1))))</f>
        <v>892.528</v>
      </c>
      <c r="BC506" s="8">
        <f>IF((0=1),BC191,(C191+(C261*(53-1))))</f>
        <v>909.692</v>
      </c>
      <c r="BD506" s="8">
        <f>IF((0=1),BD191,(C191+(C261*(54-1))))</f>
        <v>926.8560000000001</v>
      </c>
      <c r="BE506" s="8">
        <f>IF((0=1),BE191,(C191+(C261*(55-1))))</f>
        <v>944.0200000000001</v>
      </c>
      <c r="BF506" s="8">
        <f>IF((0=1),BF191,(C191+(C261*(56-1))))</f>
        <v>961.1840000000001</v>
      </c>
      <c r="BG506" s="8">
        <f>IF((0=1),BG191,(C191+(C261*(57-1))))</f>
        <v>978.3480000000001</v>
      </c>
      <c r="BH506" s="8">
        <f>IF((0=1),BH191,(C191+(C261*(58-1))))</f>
        <v>995.5120000000001</v>
      </c>
      <c r="BI506" s="8">
        <f>IF((0=1),BI191,(C191+(C261*(59-1))))</f>
        <v>1012.676</v>
      </c>
      <c r="BJ506" s="8">
        <f>IF((0=1),BJ191,(C191+(C261*(60-1))))</f>
        <v>1029.8400000000001</v>
      </c>
      <c r="BK506" s="8">
        <f>IF((0=1),BK191,(C191+(C261*(61-1))))</f>
        <v>1047.0040000000001</v>
      </c>
      <c r="BL506" s="8">
        <f>IF((0=1),BL191,(C191+(C261*(62-1))))</f>
        <v>1064.1680000000001</v>
      </c>
      <c r="BM506" s="8">
        <f>IF((0=1),BM191,(C191+(C261*(63-1))))</f>
        <v>1081.332</v>
      </c>
      <c r="BN506" s="8">
        <f>IF((0=1),BN191,(C191+(C261*(64-1))))</f>
        <v>1098.496</v>
      </c>
      <c r="BO506" s="8">
        <f>IF((0=1),BO191,(C191+(C261*(65-1))))</f>
        <v>1115.66</v>
      </c>
      <c r="BP506" s="8">
        <f>IF((0=1),BP191,(C191+(C261*(66-1))))</f>
        <v>1132.824</v>
      </c>
      <c r="BQ506" s="8">
        <f>IF((0=1),BQ191,(C191+(C261*(67-1))))</f>
        <v>1149.988</v>
      </c>
      <c r="BR506" s="8">
        <f>IF((0=1),BR191,(C191+(C261*(68-1))))</f>
        <v>1167.152</v>
      </c>
      <c r="BS506" s="8">
        <f>IF((0=1),BS191,(C191+(C261*(69-1))))</f>
        <v>1184.316</v>
      </c>
      <c r="BT506" s="8">
        <f>IF((0=1),BT191,(C191+(C261*(70-1))))</f>
        <v>1201.48</v>
      </c>
      <c r="BU506" s="8">
        <f>IF((0=1),BU191,(C191+(C261*(71-1))))</f>
        <v>1218.644</v>
      </c>
      <c r="BV506" s="8">
        <f>IF((0=1),BV191,(C191+(C261*(72-1))))</f>
        <v>1235.808</v>
      </c>
      <c r="BW506" s="8">
        <f>IF((0=1),BW191,(C191+(C261*(73-1))))</f>
        <v>1252.972</v>
      </c>
      <c r="BX506" s="8">
        <f>IF((0=1),BX191,(C191+(C261*(74-1))))</f>
        <v>1270.1360000000002</v>
      </c>
      <c r="BY506" s="8">
        <f>IF((0=1),BY191,(C191+(C261*(75-1))))</f>
        <v>1287.3000000000002</v>
      </c>
      <c r="BZ506" s="8">
        <f>IF((0=1),BZ191,(C191+(C261*(76-1))))</f>
        <v>1304.4640000000002</v>
      </c>
      <c r="CA506" s="8">
        <f>IF((0=1),CA191,(C191+(C261*(77-1))))</f>
        <v>1321.6280000000002</v>
      </c>
      <c r="CB506" s="8">
        <f>IF((0=1),CB191,(C191+(C261*(78-1))))</f>
        <v>1338.7920000000001</v>
      </c>
      <c r="CC506" s="8">
        <f>IF((0=1),CC191,(C191+(C261*(79-1))))</f>
        <v>1355.9560000000001</v>
      </c>
      <c r="CD506" s="8">
        <f>IF((0=1),CD191,(C191+(C261*(80-1))))</f>
        <v>1373.1200000000001</v>
      </c>
      <c r="CE506" s="8">
        <f>IF((0=1),CE191,(C191+(C261*(81-1))))</f>
        <v>1390.284</v>
      </c>
      <c r="CF506" s="8">
        <f>IF((0=1),CF191,(C191+(C261*(82-1))))</f>
        <v>1407.448</v>
      </c>
      <c r="CG506" s="8">
        <f>IF((0=1),CG191,(C191+(C261*(83-1))))</f>
        <v>1424.612</v>
      </c>
      <c r="CH506" s="8">
        <f>IF((0=1),CH191,(C191+(C261*(84-1))))</f>
        <v>1441.776</v>
      </c>
      <c r="CI506" s="8">
        <f>IF((0=1),CI191,(C191+(C261*(85-1))))</f>
        <v>1458.94</v>
      </c>
      <c r="CJ506" s="8">
        <f>IF((0=1),CJ191,(C191+(C261*(86-1))))</f>
        <v>1476.104</v>
      </c>
      <c r="CK506" s="8">
        <f>IF((0=1),CK191,(C191+(C261*(87-1))))</f>
        <v>1493.268</v>
      </c>
      <c r="CL506" s="8">
        <f>IF((0=1),CL191,(C191+(C261*(88-1))))</f>
        <v>1510.432</v>
      </c>
      <c r="CM506" s="8">
        <f>IF((0=1),CM191,(C191+(C261*(89-1))))</f>
        <v>1527.5960000000002</v>
      </c>
      <c r="CN506" s="8">
        <f>IF((0=1),CN191,(C191+(C261*(90-1))))</f>
        <v>1544.7600000000002</v>
      </c>
      <c r="CO506" s="8">
        <f>IF((0=1),CO191,(C191+(C261*(91-1))))</f>
        <v>1561.9240000000002</v>
      </c>
      <c r="CP506" s="8">
        <f>IF((0=1),CP191,(C191+(C261*(92-1))))</f>
        <v>1579.0880000000002</v>
      </c>
      <c r="CQ506" s="8">
        <f>IF((0=1),CQ191,(C191+(C261*(93-1))))</f>
        <v>1596.2520000000002</v>
      </c>
      <c r="CR506" s="8">
        <f>IF((0=1),CR191,(C191+(C261*(94-1))))</f>
        <v>1613.4160000000002</v>
      </c>
      <c r="CS506" s="8">
        <f>IF((0=1),CS191,(C191+(C261*(95-1))))</f>
        <v>1630.5800000000002</v>
      </c>
      <c r="CT506" s="8">
        <f>IF((0=1),CT191,(C191+(C261*(96-1))))</f>
        <v>1647.7440000000001</v>
      </c>
      <c r="CU506" s="8">
        <f>IF((0=1),CU191,(C191+(C261*(97-1))))</f>
        <v>1664.9080000000001</v>
      </c>
      <c r="CV506" s="8">
        <f>IF((0=1),CV191,(C191+(C261*(98-1))))</f>
        <v>1682.0720000000001</v>
      </c>
      <c r="CW506" s="8">
        <f>IF((0=1),CW191,(C191+(C261*(99-1))))</f>
        <v>1699.236</v>
      </c>
      <c r="CX506" s="8">
        <f>IF((0=1),CX191,(C191+(C261*(100-1))))</f>
        <v>1716.4</v>
      </c>
    </row>
    <row r="507">
      <c r="A507" s="0" t="inlineStr">
        <is>
          <t xml:space="preserve">Cumulative excess, realized then projected at running mean</t>
        </is>
      </c>
      <c r="B507" s="0" t="inlineStr">
        <is>
          <t xml:space="preserve">Random 1</t>
        </is>
      </c>
      <c r="C507" s="8">
        <f>IF((1=1),C192,(C192+(C262*(1-1))))</f>
        <v>-4.097</v>
      </c>
      <c r="D507" s="8">
        <f>IF((0=1),D192,(C192+(C262*(2-1))))</f>
        <v>-8.194</v>
      </c>
      <c r="E507" s="8">
        <f>IF((0=1),E192,(C192+(C262*(3-1))))</f>
        <v>-12.291</v>
      </c>
      <c r="F507" s="8">
        <f>IF((0=1),F192,(C192+(C262*(4-1))))</f>
        <v>-16.388</v>
      </c>
      <c r="G507" s="8">
        <f>IF((0=1),G192,(C192+(C262*(5-1))))</f>
        <v>-20.485000000000003</v>
      </c>
      <c r="H507" s="8">
        <f>IF((0=1),H192,(C192+(C262*(6-1))))</f>
        <v>-24.582000000000004</v>
      </c>
      <c r="I507" s="8">
        <f>IF((0=1),I192,(C192+(C262*(7-1))))</f>
        <v>-28.679000000000002</v>
      </c>
      <c r="J507" s="8">
        <f>IF((0=1),J192,(C192+(C262*(8-1))))</f>
        <v>-32.776</v>
      </c>
      <c r="K507" s="8">
        <f>IF((0=1),K192,(C192+(C262*(9-1))))</f>
        <v>-36.873000000000005</v>
      </c>
      <c r="L507" s="8">
        <f>IF((0=1),L192,(C192+(C262*(10-1))))</f>
        <v>-40.970000000000006</v>
      </c>
      <c r="M507" s="8">
        <f>IF((0=1),M192,(C192+(C262*(11-1))))</f>
        <v>-45.06700000000001</v>
      </c>
      <c r="N507" s="8">
        <f>IF((0=1),N192,(C192+(C262*(12-1))))</f>
        <v>-49.16400000000001</v>
      </c>
      <c r="O507" s="8">
        <f>IF((0=1),O192,(C192+(C262*(13-1))))</f>
        <v>-53.261</v>
      </c>
      <c r="P507" s="8">
        <f>IF((0=1),P192,(C192+(C262*(14-1))))</f>
        <v>-57.358000000000004</v>
      </c>
      <c r="Q507" s="8">
        <f>IF((0=1),Q192,(C192+(C262*(15-1))))</f>
        <v>-61.455000000000005</v>
      </c>
      <c r="R507" s="8">
        <f>IF((0=1),R192,(C192+(C262*(16-1))))</f>
        <v>-65.552</v>
      </c>
      <c r="S507" s="8">
        <f>IF((0=1),S192,(C192+(C262*(17-1))))</f>
        <v>-69.649</v>
      </c>
      <c r="T507" s="8">
        <f>IF((0=1),T192,(C192+(C262*(18-1))))</f>
        <v>-73.746</v>
      </c>
      <c r="U507" s="8">
        <f>IF((0=1),U192,(C192+(C262*(19-1))))</f>
        <v>-77.843</v>
      </c>
      <c r="V507" s="8">
        <f>IF((0=1),V192,(C192+(C262*(20-1))))</f>
        <v>-81.94</v>
      </c>
      <c r="W507" s="8">
        <f>IF((0=1),W192,(C192+(C262*(21-1))))</f>
        <v>-86.037</v>
      </c>
      <c r="X507" s="8">
        <f>IF((0=1),X192,(C192+(C262*(22-1))))</f>
        <v>-90.134</v>
      </c>
      <c r="Y507" s="8">
        <f>IF((0=1),Y192,(C192+(C262*(23-1))))</f>
        <v>-94.23100000000001</v>
      </c>
      <c r="Z507" s="8">
        <f>IF((0=1),Z192,(C192+(C262*(24-1))))</f>
        <v>-98.328</v>
      </c>
      <c r="AA507" s="8">
        <f>IF((0=1),AA192,(C192+(C262*(25-1))))</f>
        <v>-102.425</v>
      </c>
      <c r="AB507" s="8">
        <f>IF((0=1),AB192,(C192+(C262*(26-1))))</f>
        <v>-106.522</v>
      </c>
      <c r="AC507" s="8">
        <f>IF((0=1),AC192,(C192+(C262*(27-1))))</f>
        <v>-110.619</v>
      </c>
      <c r="AD507" s="8">
        <f>IF((0=1),AD192,(C192+(C262*(28-1))))</f>
        <v>-114.71600000000001</v>
      </c>
      <c r="AE507" s="8">
        <f>IF((0=1),AE192,(C192+(C262*(29-1))))</f>
        <v>-118.813</v>
      </c>
      <c r="AF507" s="8">
        <f>IF((0=1),AF192,(C192+(C262*(30-1))))</f>
        <v>-122.91000000000001</v>
      </c>
      <c r="AG507" s="8">
        <f>IF((0=1),AG192,(C192+(C262*(31-1))))</f>
        <v>-127.007</v>
      </c>
      <c r="AH507" s="8">
        <f>IF((0=1),AH192,(C192+(C262*(32-1))))</f>
        <v>-131.104</v>
      </c>
      <c r="AI507" s="8">
        <f>IF((0=1),AI192,(C192+(C262*(33-1))))</f>
        <v>-135.20100000000002</v>
      </c>
      <c r="AJ507" s="8">
        <f>IF((0=1),AJ192,(C192+(C262*(34-1))))</f>
        <v>-139.29800000000003</v>
      </c>
      <c r="AK507" s="8">
        <f>IF((0=1),AK192,(C192+(C262*(35-1))))</f>
        <v>-143.395</v>
      </c>
      <c r="AL507" s="8">
        <f>IF((0=1),AL192,(C192+(C262*(36-1))))</f>
        <v>-147.49200000000002</v>
      </c>
      <c r="AM507" s="8">
        <f>IF((0=1),AM192,(C192+(C262*(37-1))))</f>
        <v>-151.58900000000003</v>
      </c>
      <c r="AN507" s="8">
        <f>IF((0=1),AN192,(C192+(C262*(38-1))))</f>
        <v>-155.68600000000004</v>
      </c>
      <c r="AO507" s="8">
        <f>IF((0=1),AO192,(C192+(C262*(39-1))))</f>
        <v>-159.78300000000002</v>
      </c>
      <c r="AP507" s="8">
        <f>IF((0=1),AP192,(C192+(C262*(40-1))))</f>
        <v>-163.88000000000002</v>
      </c>
      <c r="AQ507" s="8">
        <f>IF((0=1),AQ192,(C192+(C262*(41-1))))</f>
        <v>-167.97700000000003</v>
      </c>
      <c r="AR507" s="8">
        <f>IF((0=1),AR192,(C192+(C262*(42-1))))</f>
        <v>-172.074</v>
      </c>
      <c r="AS507" s="8">
        <f>IF((0=1),AS192,(C192+(C262*(43-1))))</f>
        <v>-176.17100000000002</v>
      </c>
      <c r="AT507" s="8">
        <f>IF((0=1),AT192,(C192+(C262*(44-1))))</f>
        <v>-180.26800000000003</v>
      </c>
      <c r="AU507" s="8">
        <f>IF((0=1),AU192,(C192+(C262*(45-1))))</f>
        <v>-184.36500000000004</v>
      </c>
      <c r="AV507" s="8">
        <f>IF((0=1),AV192,(C192+(C262*(46-1))))</f>
        <v>-188.46200000000002</v>
      </c>
      <c r="AW507" s="8">
        <f>IF((0=1),AW192,(C192+(C262*(47-1))))</f>
        <v>-192.55900000000003</v>
      </c>
      <c r="AX507" s="8">
        <f>IF((0=1),AX192,(C192+(C262*(48-1))))</f>
        <v>-196.65600000000003</v>
      </c>
      <c r="AY507" s="8">
        <f>IF((0=1),AY192,(C192+(C262*(49-1))))</f>
        <v>-200.75300000000001</v>
      </c>
      <c r="AZ507" s="8">
        <f>IF((0=1),AZ192,(C192+(C262*(50-1))))</f>
        <v>-204.85000000000002</v>
      </c>
      <c r="BA507" s="8">
        <f>IF((0=1),BA192,(C192+(C262*(51-1))))</f>
        <v>-208.94700000000003</v>
      </c>
      <c r="BB507" s="8">
        <f>IF((0=1),BB192,(C192+(C262*(52-1))))</f>
        <v>-213.04400000000004</v>
      </c>
      <c r="BC507" s="8">
        <f>IF((0=1),BC192,(C192+(C262*(53-1))))</f>
        <v>-217.14100000000002</v>
      </c>
      <c r="BD507" s="8">
        <f>IF((0=1),BD192,(C192+(C262*(54-1))))</f>
        <v>-221.23800000000003</v>
      </c>
      <c r="BE507" s="8">
        <f>IF((0=1),BE192,(C192+(C262*(55-1))))</f>
        <v>-225.33500000000004</v>
      </c>
      <c r="BF507" s="8">
        <f>IF((0=1),BF192,(C192+(C262*(56-1))))</f>
        <v>-229.43200000000004</v>
      </c>
      <c r="BG507" s="8">
        <f>IF((0=1),BG192,(C192+(C262*(57-1))))</f>
        <v>-233.52900000000002</v>
      </c>
      <c r="BH507" s="8">
        <f>IF((0=1),BH192,(C192+(C262*(58-1))))</f>
        <v>-237.62600000000003</v>
      </c>
      <c r="BI507" s="8">
        <f>IF((0=1),BI192,(C192+(C262*(59-1))))</f>
        <v>-241.72300000000004</v>
      </c>
      <c r="BJ507" s="8">
        <f>IF((0=1),BJ192,(C192+(C262*(60-1))))</f>
        <v>-245.82000000000002</v>
      </c>
      <c r="BK507" s="8">
        <f>IF((0=1),BK192,(C192+(C262*(61-1))))</f>
        <v>-249.91700000000003</v>
      </c>
      <c r="BL507" s="8">
        <f>IF((0=1),BL192,(C192+(C262*(62-1))))</f>
        <v>-254.01400000000004</v>
      </c>
      <c r="BM507" s="8">
        <f>IF((0=1),BM192,(C192+(C262*(63-1))))</f>
        <v>-258.11100000000005</v>
      </c>
      <c r="BN507" s="8">
        <f>IF((0=1),BN192,(C192+(C262*(64-1))))</f>
        <v>-262.208</v>
      </c>
      <c r="BO507" s="8">
        <f>IF((0=1),BO192,(C192+(C262*(65-1))))</f>
        <v>-266.305</v>
      </c>
      <c r="BP507" s="8">
        <f>IF((0=1),BP192,(C192+(C262*(66-1))))</f>
        <v>-270.402</v>
      </c>
      <c r="BQ507" s="8">
        <f>IF((0=1),BQ192,(C192+(C262*(67-1))))</f>
        <v>-274.499</v>
      </c>
      <c r="BR507" s="8">
        <f>IF((0=1),BR192,(C192+(C262*(68-1))))</f>
        <v>-278.596</v>
      </c>
      <c r="BS507" s="8">
        <f>IF((0=1),BS192,(C192+(C262*(69-1))))</f>
        <v>-282.693</v>
      </c>
      <c r="BT507" s="8">
        <f>IF((0=1),BT192,(C192+(C262*(70-1))))</f>
        <v>-286.79</v>
      </c>
      <c r="BU507" s="8">
        <f>IF((0=1),BU192,(C192+(C262*(71-1))))</f>
        <v>-290.887</v>
      </c>
      <c r="BV507" s="8">
        <f>IF((0=1),BV192,(C192+(C262*(72-1))))</f>
        <v>-294.98400000000004</v>
      </c>
      <c r="BW507" s="8">
        <f>IF((0=1),BW192,(C192+(C262*(73-1))))</f>
        <v>-299.081</v>
      </c>
      <c r="BX507" s="8">
        <f>IF((0=1),BX192,(C192+(C262*(74-1))))</f>
        <v>-303.178</v>
      </c>
      <c r="BY507" s="8">
        <f>IF((0=1),BY192,(C192+(C262*(75-1))))</f>
        <v>-307.27500000000003</v>
      </c>
      <c r="BZ507" s="8">
        <f>IF((0=1),BZ192,(C192+(C262*(76-1))))</f>
        <v>-311.372</v>
      </c>
      <c r="CA507" s="8">
        <f>IF((0=1),CA192,(C192+(C262*(77-1))))</f>
        <v>-315.469</v>
      </c>
      <c r="CB507" s="8">
        <f>IF((0=1),CB192,(C192+(C262*(78-1))))</f>
        <v>-319.56600000000003</v>
      </c>
      <c r="CC507" s="8">
        <f>IF((0=1),CC192,(C192+(C262*(79-1))))</f>
        <v>-323.663</v>
      </c>
      <c r="CD507" s="8">
        <f>IF((0=1),CD192,(C192+(C262*(80-1))))</f>
        <v>-327.76</v>
      </c>
      <c r="CE507" s="8">
        <f>IF((0=1),CE192,(C192+(C262*(81-1))))</f>
        <v>-331.857</v>
      </c>
      <c r="CF507" s="8">
        <f>IF((0=1),CF192,(C192+(C262*(82-1))))</f>
        <v>-335.954</v>
      </c>
      <c r="CG507" s="8">
        <f>IF((0=1),CG192,(C192+(C262*(83-1))))</f>
        <v>-340.051</v>
      </c>
      <c r="CH507" s="8">
        <f>IF((0=1),CH192,(C192+(C262*(84-1))))</f>
        <v>-344.148</v>
      </c>
      <c r="CI507" s="8">
        <f>IF((0=1),CI192,(C192+(C262*(85-1))))</f>
        <v>-348.245</v>
      </c>
      <c r="CJ507" s="8">
        <f>IF((0=1),CJ192,(C192+(C262*(86-1))))</f>
        <v>-352.34200000000004</v>
      </c>
      <c r="CK507" s="8">
        <f>IF((0=1),CK192,(C192+(C262*(87-1))))</f>
        <v>-356.439</v>
      </c>
      <c r="CL507" s="8">
        <f>IF((0=1),CL192,(C192+(C262*(88-1))))</f>
        <v>-360.536</v>
      </c>
      <c r="CM507" s="8">
        <f>IF((0=1),CM192,(C192+(C262*(89-1))))</f>
        <v>-364.63300000000004</v>
      </c>
      <c r="CN507" s="8">
        <f>IF((0=1),CN192,(C192+(C262*(90-1))))</f>
        <v>-368.73</v>
      </c>
      <c r="CO507" s="8">
        <f>IF((0=1),CO192,(C192+(C262*(91-1))))</f>
        <v>-372.827</v>
      </c>
      <c r="CP507" s="8">
        <f>IF((0=1),CP192,(C192+(C262*(92-1))))</f>
        <v>-376.92400000000004</v>
      </c>
      <c r="CQ507" s="8">
        <f>IF((0=1),CQ192,(C192+(C262*(93-1))))</f>
        <v>-381.021</v>
      </c>
      <c r="CR507" s="8">
        <f>IF((0=1),CR192,(C192+(C262*(94-1))))</f>
        <v>-385.118</v>
      </c>
      <c r="CS507" s="8">
        <f>IF((0=1),CS192,(C192+(C262*(95-1))))</f>
        <v>-389.21500000000003</v>
      </c>
      <c r="CT507" s="8">
        <f>IF((0=1),CT192,(C192+(C262*(96-1))))</f>
        <v>-393.312</v>
      </c>
      <c r="CU507" s="8">
        <f>IF((0=1),CU192,(C192+(C262*(97-1))))</f>
        <v>-397.409</v>
      </c>
      <c r="CV507" s="8">
        <f>IF((0=1),CV192,(C192+(C262*(98-1))))</f>
        <v>-401.50600000000003</v>
      </c>
      <c r="CW507" s="8">
        <f>IF((0=1),CW192,(C192+(C262*(99-1))))</f>
        <v>-405.603</v>
      </c>
      <c r="CX507" s="8">
        <f>IF((0=1),CX192,(C192+(C262*(100-1))))</f>
        <v>-409.70000000000005</v>
      </c>
    </row>
    <row r="508">
      <c r="A508" s="0" t="inlineStr">
        <is>
          <t xml:space="preserve">Cumulative excess, realized then projected at running mean</t>
        </is>
      </c>
      <c r="B508" s="0" t="inlineStr">
        <is>
          <t xml:space="preserve">Random 2</t>
        </is>
      </c>
      <c r="C508" s="8">
        <f>IF((1=1),C193,(C193+(C263*(1-1))))</f>
        <v>0.703</v>
      </c>
      <c r="D508" s="8">
        <f>IF((0=1),D193,(C193+(C263*(2-1))))</f>
        <v>1.406</v>
      </c>
      <c r="E508" s="8">
        <f>IF((0=1),E193,(C193+(C263*(3-1))))</f>
        <v>2.109</v>
      </c>
      <c r="F508" s="8">
        <f>IF((0=1),F193,(C193+(C263*(4-1))))</f>
        <v>2.812</v>
      </c>
      <c r="G508" s="8">
        <f>IF((0=1),G193,(C193+(C263*(5-1))))</f>
        <v>3.5149999999999997</v>
      </c>
      <c r="H508" s="8">
        <f>IF((0=1),H193,(C193+(C263*(6-1))))</f>
        <v>4.218</v>
      </c>
      <c r="I508" s="8">
        <f>IF((0=1),I193,(C193+(C263*(7-1))))</f>
        <v>4.921</v>
      </c>
      <c r="J508" s="8">
        <f>IF((0=1),J193,(C193+(C263*(8-1))))</f>
        <v>5.624</v>
      </c>
      <c r="K508" s="8">
        <f>IF((0=1),K193,(C193+(C263*(9-1))))</f>
        <v>6.327</v>
      </c>
      <c r="L508" s="8">
        <f>IF((0=1),L193,(C193+(C263*(10-1))))</f>
        <v>7.03</v>
      </c>
      <c r="M508" s="8">
        <f>IF((0=1),M193,(C193+(C263*(11-1))))</f>
        <v>7.733</v>
      </c>
      <c r="N508" s="8">
        <f>IF((0=1),N193,(C193+(C263*(12-1))))</f>
        <v>8.436</v>
      </c>
      <c r="O508" s="8">
        <f>IF((0=1),O193,(C193+(C263*(13-1))))</f>
        <v>9.139</v>
      </c>
      <c r="P508" s="8">
        <f>IF((0=1),P193,(C193+(C263*(14-1))))</f>
        <v>9.841999999999999</v>
      </c>
      <c r="Q508" s="8">
        <f>IF((0=1),Q193,(C193+(C263*(15-1))))</f>
        <v>10.544999999999998</v>
      </c>
      <c r="R508" s="8">
        <f>IF((0=1),R193,(C193+(C263*(16-1))))</f>
        <v>11.248</v>
      </c>
      <c r="S508" s="8">
        <f>IF((0=1),S193,(C193+(C263*(17-1))))</f>
        <v>11.950999999999999</v>
      </c>
      <c r="T508" s="8">
        <f>IF((0=1),T193,(C193+(C263*(18-1))))</f>
        <v>12.653999999999998</v>
      </c>
      <c r="U508" s="8">
        <f>IF((0=1),U193,(C193+(C263*(19-1))))</f>
        <v>13.357</v>
      </c>
      <c r="V508" s="8">
        <f>IF((0=1),V193,(C193+(C263*(20-1))))</f>
        <v>14.059999999999999</v>
      </c>
      <c r="W508" s="8">
        <f>IF((0=1),W193,(C193+(C263*(21-1))))</f>
        <v>14.762999999999998</v>
      </c>
      <c r="X508" s="8">
        <f>IF((0=1),X193,(C193+(C263*(22-1))))</f>
        <v>15.466</v>
      </c>
      <c r="Y508" s="8">
        <f>IF((0=1),Y193,(C193+(C263*(23-1))))</f>
        <v>16.169</v>
      </c>
      <c r="Z508" s="8">
        <f>IF((0=1),Z193,(C193+(C263*(24-1))))</f>
        <v>16.872</v>
      </c>
      <c r="AA508" s="8">
        <f>IF((0=1),AA193,(C193+(C263*(25-1))))</f>
        <v>17.575</v>
      </c>
      <c r="AB508" s="8">
        <f>IF((0=1),AB193,(C193+(C263*(26-1))))</f>
        <v>18.278</v>
      </c>
      <c r="AC508" s="8">
        <f>IF((0=1),AC193,(C193+(C263*(27-1))))</f>
        <v>18.980999999999998</v>
      </c>
      <c r="AD508" s="8">
        <f>IF((0=1),AD193,(C193+(C263*(28-1))))</f>
        <v>19.683999999999997</v>
      </c>
      <c r="AE508" s="8">
        <f>IF((0=1),AE193,(C193+(C263*(29-1))))</f>
        <v>20.386999999999997</v>
      </c>
      <c r="AF508" s="8">
        <f>IF((0=1),AF193,(C193+(C263*(30-1))))</f>
        <v>21.09</v>
      </c>
      <c r="AG508" s="8">
        <f>IF((0=1),AG193,(C193+(C263*(31-1))))</f>
        <v>21.793</v>
      </c>
      <c r="AH508" s="8">
        <f>IF((0=1),AH193,(C193+(C263*(32-1))))</f>
        <v>22.496</v>
      </c>
      <c r="AI508" s="8">
        <f>IF((0=1),AI193,(C193+(C263*(33-1))))</f>
        <v>23.198999999999998</v>
      </c>
      <c r="AJ508" s="8">
        <f>IF((0=1),AJ193,(C193+(C263*(34-1))))</f>
        <v>23.901999999999997</v>
      </c>
      <c r="AK508" s="8">
        <f>IF((0=1),AK193,(C193+(C263*(35-1))))</f>
        <v>24.604999999999997</v>
      </c>
      <c r="AL508" s="8">
        <f>IF((0=1),AL193,(C193+(C263*(36-1))))</f>
        <v>25.307999999999996</v>
      </c>
      <c r="AM508" s="8">
        <f>IF((0=1),AM193,(C193+(C263*(37-1))))</f>
        <v>26.011</v>
      </c>
      <c r="AN508" s="8">
        <f>IF((0=1),AN193,(C193+(C263*(38-1))))</f>
        <v>26.714</v>
      </c>
      <c r="AO508" s="8">
        <f>IF((0=1),AO193,(C193+(C263*(39-1))))</f>
        <v>27.416999999999998</v>
      </c>
      <c r="AP508" s="8">
        <f>IF((0=1),AP193,(C193+(C263*(40-1))))</f>
        <v>28.119999999999997</v>
      </c>
      <c r="AQ508" s="8">
        <f>IF((0=1),AQ193,(C193+(C263*(41-1))))</f>
        <v>28.822999999999997</v>
      </c>
      <c r="AR508" s="8">
        <f>IF((0=1),AR193,(C193+(C263*(42-1))))</f>
        <v>29.525999999999996</v>
      </c>
      <c r="AS508" s="8">
        <f>IF((0=1),AS193,(C193+(C263*(43-1))))</f>
        <v>30.229</v>
      </c>
      <c r="AT508" s="8">
        <f>IF((0=1),AT193,(C193+(C263*(44-1))))</f>
        <v>30.932</v>
      </c>
      <c r="AU508" s="8">
        <f>IF((0=1),AU193,(C193+(C263*(45-1))))</f>
        <v>31.634999999999998</v>
      </c>
      <c r="AV508" s="8">
        <f>IF((0=1),AV193,(C193+(C263*(46-1))))</f>
        <v>32.338</v>
      </c>
      <c r="AW508" s="8">
        <f>IF((0=1),AW193,(C193+(C263*(47-1))))</f>
        <v>33.041000000000004</v>
      </c>
      <c r="AX508" s="8">
        <f>IF((0=1),AX193,(C193+(C263*(48-1))))</f>
        <v>33.744</v>
      </c>
      <c r="AY508" s="8">
        <f>IF((0=1),AY193,(C193+(C263*(49-1))))</f>
        <v>34.447</v>
      </c>
      <c r="AZ508" s="8">
        <f>IF((0=1),AZ193,(C193+(C263*(50-1))))</f>
        <v>35.15</v>
      </c>
      <c r="BA508" s="8">
        <f>IF((0=1),BA193,(C193+(C263*(51-1))))</f>
        <v>35.853</v>
      </c>
      <c r="BB508" s="8">
        <f>IF((0=1),BB193,(C193+(C263*(52-1))))</f>
        <v>36.556</v>
      </c>
      <c r="BC508" s="8">
        <f>IF((0=1),BC193,(C193+(C263*(53-1))))</f>
        <v>37.259</v>
      </c>
      <c r="BD508" s="8">
        <f>IF((0=1),BD193,(C193+(C263*(54-1))))</f>
        <v>37.962</v>
      </c>
      <c r="BE508" s="8">
        <f>IF((0=1),BE193,(C193+(C263*(55-1))))</f>
        <v>38.665</v>
      </c>
      <c r="BF508" s="8">
        <f>IF((0=1),BF193,(C193+(C263*(56-1))))</f>
        <v>39.368</v>
      </c>
      <c r="BG508" s="8">
        <f>IF((0=1),BG193,(C193+(C263*(57-1))))</f>
        <v>40.071</v>
      </c>
      <c r="BH508" s="8">
        <f>IF((0=1),BH193,(C193+(C263*(58-1))))</f>
        <v>40.774</v>
      </c>
      <c r="BI508" s="8">
        <f>IF((0=1),BI193,(C193+(C263*(59-1))))</f>
        <v>41.477000000000004</v>
      </c>
      <c r="BJ508" s="8">
        <f>IF((0=1),BJ193,(C193+(C263*(60-1))))</f>
        <v>42.18</v>
      </c>
      <c r="BK508" s="8">
        <f>IF((0=1),BK193,(C193+(C263*(61-1))))</f>
        <v>42.883</v>
      </c>
      <c r="BL508" s="8">
        <f>IF((0=1),BL193,(C193+(C263*(62-1))))</f>
        <v>43.586</v>
      </c>
      <c r="BM508" s="8">
        <f>IF((0=1),BM193,(C193+(C263*(63-1))))</f>
        <v>44.289</v>
      </c>
      <c r="BN508" s="8">
        <f>IF((0=1),BN193,(C193+(C263*(64-1))))</f>
        <v>44.992</v>
      </c>
      <c r="BO508" s="8">
        <f>IF((0=1),BO193,(C193+(C263*(65-1))))</f>
        <v>45.695</v>
      </c>
      <c r="BP508" s="8">
        <f>IF((0=1),BP193,(C193+(C263*(66-1))))</f>
        <v>46.398</v>
      </c>
      <c r="BQ508" s="8">
        <f>IF((0=1),BQ193,(C193+(C263*(67-1))))</f>
        <v>47.101</v>
      </c>
      <c r="BR508" s="8">
        <f>IF((0=1),BR193,(C193+(C263*(68-1))))</f>
        <v>47.804</v>
      </c>
      <c r="BS508" s="8">
        <f>IF((0=1),BS193,(C193+(C263*(69-1))))</f>
        <v>48.507</v>
      </c>
      <c r="BT508" s="8">
        <f>IF((0=1),BT193,(C193+(C263*(70-1))))</f>
        <v>49.21</v>
      </c>
      <c r="BU508" s="8">
        <f>IF((0=1),BU193,(C193+(C263*(71-1))))</f>
        <v>49.913</v>
      </c>
      <c r="BV508" s="8">
        <f>IF((0=1),BV193,(C193+(C263*(72-1))))</f>
        <v>50.616</v>
      </c>
      <c r="BW508" s="8">
        <f>IF((0=1),BW193,(C193+(C263*(73-1))))</f>
        <v>51.319</v>
      </c>
      <c r="BX508" s="8">
        <f>IF((0=1),BX193,(C193+(C263*(74-1))))</f>
        <v>52.022</v>
      </c>
      <c r="BY508" s="8">
        <f>IF((0=1),BY193,(C193+(C263*(75-1))))</f>
        <v>52.725</v>
      </c>
      <c r="BZ508" s="8">
        <f>IF((0=1),BZ193,(C193+(C263*(76-1))))</f>
        <v>53.428</v>
      </c>
      <c r="CA508" s="8">
        <f>IF((0=1),CA193,(C193+(C263*(77-1))))</f>
        <v>54.131</v>
      </c>
      <c r="CB508" s="8">
        <f>IF((0=1),CB193,(C193+(C263*(78-1))))</f>
        <v>54.834</v>
      </c>
      <c r="CC508" s="8">
        <f>IF((0=1),CC193,(C193+(C263*(79-1))))</f>
        <v>55.537</v>
      </c>
      <c r="CD508" s="8">
        <f>IF((0=1),CD193,(C193+(C263*(80-1))))</f>
        <v>56.24</v>
      </c>
      <c r="CE508" s="8">
        <f>IF((0=1),CE193,(C193+(C263*(81-1))))</f>
        <v>56.943</v>
      </c>
      <c r="CF508" s="8">
        <f>IF((0=1),CF193,(C193+(C263*(82-1))))</f>
        <v>57.646</v>
      </c>
      <c r="CG508" s="8">
        <f>IF((0=1),CG193,(C193+(C263*(83-1))))</f>
        <v>58.349</v>
      </c>
      <c r="CH508" s="8">
        <f>IF((0=1),CH193,(C193+(C263*(84-1))))</f>
        <v>59.052</v>
      </c>
      <c r="CI508" s="8">
        <f>IF((0=1),CI193,(C193+(C263*(85-1))))</f>
        <v>59.755</v>
      </c>
      <c r="CJ508" s="8">
        <f>IF((0=1),CJ193,(C193+(C263*(86-1))))</f>
        <v>60.458</v>
      </c>
      <c r="CK508" s="8">
        <f>IF((0=1),CK193,(C193+(C263*(87-1))))</f>
        <v>61.161</v>
      </c>
      <c r="CL508" s="8">
        <f>IF((0=1),CL193,(C193+(C263*(88-1))))</f>
        <v>61.864</v>
      </c>
      <c r="CM508" s="8">
        <f>IF((0=1),CM193,(C193+(C263*(89-1))))</f>
        <v>62.567</v>
      </c>
      <c r="CN508" s="8">
        <f>IF((0=1),CN193,(C193+(C263*(90-1))))</f>
        <v>63.269999999999996</v>
      </c>
      <c r="CO508" s="8">
        <f>IF((0=1),CO193,(C193+(C263*(91-1))))</f>
        <v>63.973</v>
      </c>
      <c r="CP508" s="8">
        <f>IF((0=1),CP193,(C193+(C263*(92-1))))</f>
        <v>64.676</v>
      </c>
      <c r="CQ508" s="8">
        <f>IF((0=1),CQ193,(C193+(C263*(93-1))))</f>
        <v>65.379</v>
      </c>
      <c r="CR508" s="8">
        <f>IF((0=1),CR193,(C193+(C263*(94-1))))</f>
        <v>66.082</v>
      </c>
      <c r="CS508" s="8">
        <f>IF((0=1),CS193,(C193+(C263*(95-1))))</f>
        <v>66.785</v>
      </c>
      <c r="CT508" s="8">
        <f>IF((0=1),CT193,(C193+(C263*(96-1))))</f>
        <v>67.488</v>
      </c>
      <c r="CU508" s="8">
        <f>IF((0=1),CU193,(C193+(C263*(97-1))))</f>
        <v>68.191</v>
      </c>
      <c r="CV508" s="8">
        <f>IF((0=1),CV193,(C193+(C263*(98-1))))</f>
        <v>68.894</v>
      </c>
      <c r="CW508" s="8">
        <f>IF((0=1),CW193,(C193+(C263*(99-1))))</f>
        <v>69.597</v>
      </c>
      <c r="CX508" s="8">
        <f>IF((0=1),CX193,(C193+(C263*(100-1))))</f>
        <v>70.3</v>
      </c>
    </row>
    <row r="509">
      <c r="A509" s="0" t="inlineStr">
        <is>
          <t xml:space="preserve">Cumulative excess, realized then projected at running mean</t>
        </is>
      </c>
      <c r="B509" s="0" t="inlineStr">
        <is>
          <t xml:space="preserve">Random 3</t>
        </is>
      </c>
      <c r="C509" s="8">
        <f>IF((1=1),C194,(C194+(C264*(1-1))))</f>
        <v>4.62</v>
      </c>
      <c r="D509" s="8">
        <f>IF((0=1),D194,(C194+(C264*(2-1))))</f>
        <v>9.24</v>
      </c>
      <c r="E509" s="8">
        <f>IF((0=1),E194,(C194+(C264*(3-1))))</f>
        <v>13.86</v>
      </c>
      <c r="F509" s="8">
        <f>IF((0=1),F194,(C194+(C264*(4-1))))</f>
        <v>18.48</v>
      </c>
      <c r="G509" s="8">
        <f>IF((0=1),G194,(C194+(C264*(5-1))))</f>
        <v>23.1</v>
      </c>
      <c r="H509" s="8">
        <f>IF((0=1),H194,(C194+(C264*(6-1))))</f>
        <v>27.720000000000002</v>
      </c>
      <c r="I509" s="8">
        <f>IF((0=1),I194,(C194+(C264*(7-1))))</f>
        <v>32.339999999999996</v>
      </c>
      <c r="J509" s="8">
        <f>IF((0=1),J194,(C194+(C264*(8-1))))</f>
        <v>36.96</v>
      </c>
      <c r="K509" s="8">
        <f>IF((0=1),K194,(C194+(C264*(9-1))))</f>
        <v>41.58</v>
      </c>
      <c r="L509" s="8">
        <f>IF((0=1),L194,(C194+(C264*(10-1))))</f>
        <v>46.199999999999996</v>
      </c>
      <c r="M509" s="8">
        <f>IF((0=1),M194,(C194+(C264*(11-1))))</f>
        <v>50.82</v>
      </c>
      <c r="N509" s="8">
        <f>IF((0=1),N194,(C194+(C264*(12-1))))</f>
        <v>55.44</v>
      </c>
      <c r="O509" s="8">
        <f>IF((0=1),O194,(C194+(C264*(13-1))))</f>
        <v>60.059999999999995</v>
      </c>
      <c r="P509" s="8">
        <f>IF((0=1),P194,(C194+(C264*(14-1))))</f>
        <v>64.68</v>
      </c>
      <c r="Q509" s="8">
        <f>IF((0=1),Q194,(C194+(C264*(15-1))))</f>
        <v>69.30000000000001</v>
      </c>
      <c r="R509" s="8">
        <f>IF((0=1),R194,(C194+(C264*(16-1))))</f>
        <v>73.92</v>
      </c>
      <c r="S509" s="8">
        <f>IF((0=1),S194,(C194+(C264*(17-1))))</f>
        <v>78.54</v>
      </c>
      <c r="T509" s="8">
        <f>IF((0=1),T194,(C194+(C264*(18-1))))</f>
        <v>83.16000000000001</v>
      </c>
      <c r="U509" s="8">
        <f>IF((0=1),U194,(C194+(C264*(19-1))))</f>
        <v>87.78</v>
      </c>
      <c r="V509" s="8">
        <f>IF((0=1),V194,(C194+(C264*(20-1))))</f>
        <v>92.4</v>
      </c>
      <c r="W509" s="8">
        <f>IF((0=1),W194,(C194+(C264*(21-1))))</f>
        <v>97.02000000000001</v>
      </c>
      <c r="X509" s="8">
        <f>IF((0=1),X194,(C194+(C264*(22-1))))</f>
        <v>101.64</v>
      </c>
      <c r="Y509" s="8">
        <f>IF((0=1),Y194,(C194+(C264*(23-1))))</f>
        <v>106.26</v>
      </c>
      <c r="Z509" s="8">
        <f>IF((0=1),Z194,(C194+(C264*(24-1))))</f>
        <v>110.88000000000001</v>
      </c>
      <c r="AA509" s="8">
        <f>IF((0=1),AA194,(C194+(C264*(25-1))))</f>
        <v>115.5</v>
      </c>
      <c r="AB509" s="8">
        <f>IF((0=1),AB194,(C194+(C264*(26-1))))</f>
        <v>120.12</v>
      </c>
      <c r="AC509" s="8">
        <f>IF((0=1),AC194,(C194+(C264*(27-1))))</f>
        <v>124.74000000000001</v>
      </c>
      <c r="AD509" s="8">
        <f>IF((0=1),AD194,(C194+(C264*(28-1))))</f>
        <v>129.36</v>
      </c>
      <c r="AE509" s="8">
        <f>IF((0=1),AE194,(C194+(C264*(29-1))))</f>
        <v>133.98000000000002</v>
      </c>
      <c r="AF509" s="8">
        <f>IF((0=1),AF194,(C194+(C264*(30-1))))</f>
        <v>138.6</v>
      </c>
      <c r="AG509" s="8">
        <f>IF((0=1),AG194,(C194+(C264*(31-1))))</f>
        <v>143.22</v>
      </c>
      <c r="AH509" s="8">
        <f>IF((0=1),AH194,(C194+(C264*(32-1))))</f>
        <v>147.84</v>
      </c>
      <c r="AI509" s="8">
        <f>IF((0=1),AI194,(C194+(C264*(33-1))))</f>
        <v>152.46</v>
      </c>
      <c r="AJ509" s="8">
        <f>IF((0=1),AJ194,(C194+(C264*(34-1))))</f>
        <v>157.08</v>
      </c>
      <c r="AK509" s="8">
        <f>IF((0=1),AK194,(C194+(C264*(35-1))))</f>
        <v>161.70000000000002</v>
      </c>
      <c r="AL509" s="8">
        <f>IF((0=1),AL194,(C194+(C264*(36-1))))</f>
        <v>166.32000000000002</v>
      </c>
      <c r="AM509" s="8">
        <f>IF((0=1),AM194,(C194+(C264*(37-1))))</f>
        <v>170.94</v>
      </c>
      <c r="AN509" s="8">
        <f>IF((0=1),AN194,(C194+(C264*(38-1))))</f>
        <v>175.56</v>
      </c>
      <c r="AO509" s="8">
        <f>IF((0=1),AO194,(C194+(C264*(39-1))))</f>
        <v>180.18</v>
      </c>
      <c r="AP509" s="8">
        <f>IF((0=1),AP194,(C194+(C264*(40-1))))</f>
        <v>184.8</v>
      </c>
      <c r="AQ509" s="8">
        <f>IF((0=1),AQ194,(C194+(C264*(41-1))))</f>
        <v>189.42000000000002</v>
      </c>
      <c r="AR509" s="8">
        <f>IF((0=1),AR194,(C194+(C264*(42-1))))</f>
        <v>194.04000000000002</v>
      </c>
      <c r="AS509" s="8">
        <f>IF((0=1),AS194,(C194+(C264*(43-1))))</f>
        <v>198.66</v>
      </c>
      <c r="AT509" s="8">
        <f>IF((0=1),AT194,(C194+(C264*(44-1))))</f>
        <v>203.28</v>
      </c>
      <c r="AU509" s="8">
        <f>IF((0=1),AU194,(C194+(C264*(45-1))))</f>
        <v>207.9</v>
      </c>
      <c r="AV509" s="8">
        <f>IF((0=1),AV194,(C194+(C264*(46-1))))</f>
        <v>212.52</v>
      </c>
      <c r="AW509" s="8">
        <f>IF((0=1),AW194,(C194+(C264*(47-1))))</f>
        <v>217.14000000000001</v>
      </c>
      <c r="AX509" s="8">
        <f>IF((0=1),AX194,(C194+(C264*(48-1))))</f>
        <v>221.76000000000002</v>
      </c>
      <c r="AY509" s="8">
        <f>IF((0=1),AY194,(C194+(C264*(49-1))))</f>
        <v>226.38</v>
      </c>
      <c r="AZ509" s="8">
        <f>IF((0=1),AZ194,(C194+(C264*(50-1))))</f>
        <v>231</v>
      </c>
      <c r="BA509" s="8">
        <f>IF((0=1),BA194,(C194+(C264*(51-1))))</f>
        <v>235.62</v>
      </c>
      <c r="BB509" s="8">
        <f>IF((0=1),BB194,(C194+(C264*(52-1))))</f>
        <v>240.24</v>
      </c>
      <c r="BC509" s="8">
        <f>IF((0=1),BC194,(C194+(C264*(53-1))))</f>
        <v>244.86</v>
      </c>
      <c r="BD509" s="8">
        <f>IF((0=1),BD194,(C194+(C264*(54-1))))</f>
        <v>249.48000000000002</v>
      </c>
      <c r="BE509" s="8">
        <f>IF((0=1),BE194,(C194+(C264*(55-1))))</f>
        <v>254.10000000000002</v>
      </c>
      <c r="BF509" s="8">
        <f>IF((0=1),BF194,(C194+(C264*(56-1))))</f>
        <v>258.71999999999997</v>
      </c>
      <c r="BG509" s="8">
        <f>IF((0=1),BG194,(C194+(C264*(57-1))))</f>
        <v>263.34000000000003</v>
      </c>
      <c r="BH509" s="8">
        <f>IF((0=1),BH194,(C194+(C264*(58-1))))</f>
        <v>267.96000000000004</v>
      </c>
      <c r="BI509" s="8">
        <f>IF((0=1),BI194,(C194+(C264*(59-1))))</f>
        <v>272.58</v>
      </c>
      <c r="BJ509" s="8">
        <f>IF((0=1),BJ194,(C194+(C264*(60-1))))</f>
        <v>277.2</v>
      </c>
      <c r="BK509" s="8">
        <f>IF((0=1),BK194,(C194+(C264*(61-1))))</f>
        <v>281.82</v>
      </c>
      <c r="BL509" s="8">
        <f>IF((0=1),BL194,(C194+(C264*(62-1))))</f>
        <v>286.44</v>
      </c>
      <c r="BM509" s="8">
        <f>IF((0=1),BM194,(C194+(C264*(63-1))))</f>
        <v>291.06</v>
      </c>
      <c r="BN509" s="8">
        <f>IF((0=1),BN194,(C194+(C264*(64-1))))</f>
        <v>295.68</v>
      </c>
      <c r="BO509" s="8">
        <f>IF((0=1),BO194,(C194+(C264*(65-1))))</f>
        <v>300.3</v>
      </c>
      <c r="BP509" s="8">
        <f>IF((0=1),BP194,(C194+(C264*(66-1))))</f>
        <v>304.92</v>
      </c>
      <c r="BQ509" s="8">
        <f>IF((0=1),BQ194,(C194+(C264*(67-1))))</f>
        <v>309.54</v>
      </c>
      <c r="BR509" s="8">
        <f>IF((0=1),BR194,(C194+(C264*(68-1))))</f>
        <v>314.16</v>
      </c>
      <c r="BS509" s="8">
        <f>IF((0=1),BS194,(C194+(C264*(69-1))))</f>
        <v>318.78000000000003</v>
      </c>
      <c r="BT509" s="8">
        <f>IF((0=1),BT194,(C194+(C264*(70-1))))</f>
        <v>323.40000000000003</v>
      </c>
      <c r="BU509" s="8">
        <f>IF((0=1),BU194,(C194+(C264*(71-1))))</f>
        <v>328.02000000000004</v>
      </c>
      <c r="BV509" s="8">
        <f>IF((0=1),BV194,(C194+(C264*(72-1))))</f>
        <v>332.64</v>
      </c>
      <c r="BW509" s="8">
        <f>IF((0=1),BW194,(C194+(C264*(73-1))))</f>
        <v>337.26</v>
      </c>
      <c r="BX509" s="8">
        <f>IF((0=1),BX194,(C194+(C264*(74-1))))</f>
        <v>341.88</v>
      </c>
      <c r="BY509" s="8">
        <f>IF((0=1),BY194,(C194+(C264*(75-1))))</f>
        <v>346.5</v>
      </c>
      <c r="BZ509" s="8">
        <f>IF((0=1),BZ194,(C194+(C264*(76-1))))</f>
        <v>351.12</v>
      </c>
      <c r="CA509" s="8">
        <f>IF((0=1),CA194,(C194+(C264*(77-1))))</f>
        <v>355.74</v>
      </c>
      <c r="CB509" s="8">
        <f>IF((0=1),CB194,(C194+(C264*(78-1))))</f>
        <v>360.36</v>
      </c>
      <c r="CC509" s="8">
        <f>IF((0=1),CC194,(C194+(C264*(79-1))))</f>
        <v>364.98</v>
      </c>
      <c r="CD509" s="8">
        <f>IF((0=1),CD194,(C194+(C264*(80-1))))</f>
        <v>369.6</v>
      </c>
      <c r="CE509" s="8">
        <f>IF((0=1),CE194,(C194+(C264*(81-1))))</f>
        <v>374.22</v>
      </c>
      <c r="CF509" s="8">
        <f>IF((0=1),CF194,(C194+(C264*(82-1))))</f>
        <v>378.84000000000003</v>
      </c>
      <c r="CG509" s="8">
        <f>IF((0=1),CG194,(C194+(C264*(83-1))))</f>
        <v>383.46000000000004</v>
      </c>
      <c r="CH509" s="8">
        <f>IF((0=1),CH194,(C194+(C264*(84-1))))</f>
        <v>388.08000000000004</v>
      </c>
      <c r="CI509" s="8">
        <f>IF((0=1),CI194,(C194+(C264*(85-1))))</f>
        <v>392.7</v>
      </c>
      <c r="CJ509" s="8">
        <f>IF((0=1),CJ194,(C194+(C264*(86-1))))</f>
        <v>397.32</v>
      </c>
      <c r="CK509" s="8">
        <f>IF((0=1),CK194,(C194+(C264*(87-1))))</f>
        <v>401.94</v>
      </c>
      <c r="CL509" s="8">
        <f>IF((0=1),CL194,(C194+(C264*(88-1))))</f>
        <v>406.56</v>
      </c>
      <c r="CM509" s="8">
        <f>IF((0=1),CM194,(C194+(C264*(89-1))))</f>
        <v>411.18</v>
      </c>
      <c r="CN509" s="8">
        <f>IF((0=1),CN194,(C194+(C264*(90-1))))</f>
        <v>415.8</v>
      </c>
      <c r="CO509" s="8">
        <f>IF((0=1),CO194,(C194+(C264*(91-1))))</f>
        <v>420.42</v>
      </c>
      <c r="CP509" s="8">
        <f>IF((0=1),CP194,(C194+(C264*(92-1))))</f>
        <v>425.04</v>
      </c>
      <c r="CQ509" s="8">
        <f>IF((0=1),CQ194,(C194+(C264*(93-1))))</f>
        <v>429.66</v>
      </c>
      <c r="CR509" s="8">
        <f>IF((0=1),CR194,(C194+(C264*(94-1))))</f>
        <v>434.28000000000003</v>
      </c>
      <c r="CS509" s="8">
        <f>IF((0=1),CS194,(C194+(C264*(95-1))))</f>
        <v>438.90000000000003</v>
      </c>
      <c r="CT509" s="8">
        <f>IF((0=1),CT194,(C194+(C264*(96-1))))</f>
        <v>443.52000000000004</v>
      </c>
      <c r="CU509" s="8">
        <f>IF((0=1),CU194,(C194+(C264*(97-1))))</f>
        <v>448.14</v>
      </c>
      <c r="CV509" s="8">
        <f>IF((0=1),CV194,(C194+(C264*(98-1))))</f>
        <v>452.76</v>
      </c>
      <c r="CW509" s="8">
        <f>IF((0=1),CW194,(C194+(C264*(99-1))))</f>
        <v>457.38</v>
      </c>
      <c r="CX509" s="8">
        <f>IF((0=1),CX194,(C194+(C264*(100-1))))</f>
        <v>462</v>
      </c>
    </row>
    <row r="510">
      <c r="A510" s="0" t="inlineStr">
        <is>
          <t xml:space="preserve">Cumulative excess, realized then projected at running mean</t>
        </is>
      </c>
      <c r="B510" s="0" t="inlineStr">
        <is>
          <t xml:space="preserve">Random 4</t>
        </is>
      </c>
      <c r="C510" s="8">
        <f>IF((1=1),C195,(C195+(C265*(1-1))))</f>
        <v>-1.755</v>
      </c>
      <c r="D510" s="8">
        <f>IF((0=1),D195,(C195+(C265*(2-1))))</f>
        <v>-3.51</v>
      </c>
      <c r="E510" s="8">
        <f>IF((0=1),E195,(C195+(C265*(3-1))))</f>
        <v>-5.265</v>
      </c>
      <c r="F510" s="8">
        <f>IF((0=1),F195,(C195+(C265*(4-1))))</f>
        <v>-7.02</v>
      </c>
      <c r="G510" s="8">
        <f>IF((0=1),G195,(C195+(C265*(5-1))))</f>
        <v>-8.774999999999999</v>
      </c>
      <c r="H510" s="8">
        <f>IF((0=1),H195,(C195+(C265*(6-1))))</f>
        <v>-10.529999999999998</v>
      </c>
      <c r="I510" s="8">
        <f>IF((0=1),I195,(C195+(C265*(7-1))))</f>
        <v>-12.285</v>
      </c>
      <c r="J510" s="8">
        <f>IF((0=1),J195,(C195+(C265*(8-1))))</f>
        <v>-14.04</v>
      </c>
      <c r="K510" s="8">
        <f>IF((0=1),K195,(C195+(C265*(9-1))))</f>
        <v>-15.794999999999998</v>
      </c>
      <c r="L510" s="8">
        <f>IF((0=1),L195,(C195+(C265*(10-1))))</f>
        <v>-17.549999999999997</v>
      </c>
      <c r="M510" s="8">
        <f>IF((0=1),M195,(C195+(C265*(11-1))))</f>
        <v>-19.304999999999996</v>
      </c>
      <c r="N510" s="8">
        <f>IF((0=1),N195,(C195+(C265*(12-1))))</f>
        <v>-21.06</v>
      </c>
      <c r="O510" s="8">
        <f>IF((0=1),O195,(C195+(C265*(13-1))))</f>
        <v>-22.814999999999998</v>
      </c>
      <c r="P510" s="8">
        <f>IF((0=1),P195,(C195+(C265*(14-1))))</f>
        <v>-24.569999999999997</v>
      </c>
      <c r="Q510" s="8">
        <f>IF((0=1),Q195,(C195+(C265*(15-1))))</f>
        <v>-26.325</v>
      </c>
      <c r="R510" s="8">
        <f>IF((0=1),R195,(C195+(C265*(16-1))))</f>
        <v>-28.08</v>
      </c>
      <c r="S510" s="8">
        <f>IF((0=1),S195,(C195+(C265*(17-1))))</f>
        <v>-29.834999999999997</v>
      </c>
      <c r="T510" s="8">
        <f>IF((0=1),T195,(C195+(C265*(18-1))))</f>
        <v>-31.589999999999996</v>
      </c>
      <c r="U510" s="8">
        <f>IF((0=1),U195,(C195+(C265*(19-1))))</f>
        <v>-33.345</v>
      </c>
      <c r="V510" s="8">
        <f>IF((0=1),V195,(C195+(C265*(20-1))))</f>
        <v>-35.1</v>
      </c>
      <c r="W510" s="8">
        <f>IF((0=1),W195,(C195+(C265*(21-1))))</f>
        <v>-36.855</v>
      </c>
      <c r="X510" s="8">
        <f>IF((0=1),X195,(C195+(C265*(22-1))))</f>
        <v>-38.61</v>
      </c>
      <c r="Y510" s="8">
        <f>IF((0=1),Y195,(C195+(C265*(23-1))))</f>
        <v>-40.365</v>
      </c>
      <c r="Z510" s="8">
        <f>IF((0=1),Z195,(C195+(C265*(24-1))))</f>
        <v>-42.12</v>
      </c>
      <c r="AA510" s="8">
        <f>IF((0=1),AA195,(C195+(C265*(25-1))))</f>
        <v>-43.875</v>
      </c>
      <c r="AB510" s="8">
        <f>IF((0=1),AB195,(C195+(C265*(26-1))))</f>
        <v>-45.63</v>
      </c>
      <c r="AC510" s="8">
        <f>IF((0=1),AC195,(C195+(C265*(27-1))))</f>
        <v>-47.385</v>
      </c>
      <c r="AD510" s="8">
        <f>IF((0=1),AD195,(C195+(C265*(28-1))))</f>
        <v>-49.14</v>
      </c>
      <c r="AE510" s="8">
        <f>IF((0=1),AE195,(C195+(C265*(29-1))))</f>
        <v>-50.895</v>
      </c>
      <c r="AF510" s="8">
        <f>IF((0=1),AF195,(C195+(C265*(30-1))))</f>
        <v>-52.65</v>
      </c>
      <c r="AG510" s="8">
        <f>IF((0=1),AG195,(C195+(C265*(31-1))))</f>
        <v>-54.405</v>
      </c>
      <c r="AH510" s="8">
        <f>IF((0=1),AH195,(C195+(C265*(32-1))))</f>
        <v>-56.16</v>
      </c>
      <c r="AI510" s="8">
        <f>IF((0=1),AI195,(C195+(C265*(33-1))))</f>
        <v>-57.915</v>
      </c>
      <c r="AJ510" s="8">
        <f>IF((0=1),AJ195,(C195+(C265*(34-1))))</f>
        <v>-59.67</v>
      </c>
      <c r="AK510" s="8">
        <f>IF((0=1),AK195,(C195+(C265*(35-1))))</f>
        <v>-61.425</v>
      </c>
      <c r="AL510" s="8">
        <f>IF((0=1),AL195,(C195+(C265*(36-1))))</f>
        <v>-63.18</v>
      </c>
      <c r="AM510" s="8">
        <f>IF((0=1),AM195,(C195+(C265*(37-1))))</f>
        <v>-64.93499999999999</v>
      </c>
      <c r="AN510" s="8">
        <f>IF((0=1),AN195,(C195+(C265*(38-1))))</f>
        <v>-66.69</v>
      </c>
      <c r="AO510" s="8">
        <f>IF((0=1),AO195,(C195+(C265*(39-1))))</f>
        <v>-68.445</v>
      </c>
      <c r="AP510" s="8">
        <f>IF((0=1),AP195,(C195+(C265*(40-1))))</f>
        <v>-70.19999999999999</v>
      </c>
      <c r="AQ510" s="8">
        <f>IF((0=1),AQ195,(C195+(C265*(41-1))))</f>
        <v>-71.95499999999998</v>
      </c>
      <c r="AR510" s="8">
        <f>IF((0=1),AR195,(C195+(C265*(42-1))))</f>
        <v>-73.71</v>
      </c>
      <c r="AS510" s="8">
        <f>IF((0=1),AS195,(C195+(C265*(43-1))))</f>
        <v>-75.46499999999999</v>
      </c>
      <c r="AT510" s="8">
        <f>IF((0=1),AT195,(C195+(C265*(44-1))))</f>
        <v>-77.21999999999998</v>
      </c>
      <c r="AU510" s="8">
        <f>IF((0=1),AU195,(C195+(C265*(45-1))))</f>
        <v>-78.975</v>
      </c>
      <c r="AV510" s="8">
        <f>IF((0=1),AV195,(C195+(C265*(46-1))))</f>
        <v>-80.72999999999999</v>
      </c>
      <c r="AW510" s="8">
        <f>IF((0=1),AW195,(C195+(C265*(47-1))))</f>
        <v>-82.48499999999999</v>
      </c>
      <c r="AX510" s="8">
        <f>IF((0=1),AX195,(C195+(C265*(48-1))))</f>
        <v>-84.24</v>
      </c>
      <c r="AY510" s="8">
        <f>IF((0=1),AY195,(C195+(C265*(49-1))))</f>
        <v>-85.99499999999999</v>
      </c>
      <c r="AZ510" s="8">
        <f>IF((0=1),AZ195,(C195+(C265*(50-1))))</f>
        <v>-87.74999999999999</v>
      </c>
      <c r="BA510" s="8">
        <f>IF((0=1),BA195,(C195+(C265*(51-1))))</f>
        <v>-89.505</v>
      </c>
      <c r="BB510" s="8">
        <f>IF((0=1),BB195,(C195+(C265*(52-1))))</f>
        <v>-91.25999999999999</v>
      </c>
      <c r="BC510" s="8">
        <f>IF((0=1),BC195,(C195+(C265*(53-1))))</f>
        <v>-93.01499999999999</v>
      </c>
      <c r="BD510" s="8">
        <f>IF((0=1),BD195,(C195+(C265*(54-1))))</f>
        <v>-94.77</v>
      </c>
      <c r="BE510" s="8">
        <f>IF((0=1),BE195,(C195+(C265*(55-1))))</f>
        <v>-96.52499999999999</v>
      </c>
      <c r="BF510" s="8">
        <f>IF((0=1),BF195,(C195+(C265*(56-1))))</f>
        <v>-98.27999999999999</v>
      </c>
      <c r="BG510" s="8">
        <f>IF((0=1),BG195,(C195+(C265*(57-1))))</f>
        <v>-100.035</v>
      </c>
      <c r="BH510" s="8">
        <f>IF((0=1),BH195,(C195+(C265*(58-1))))</f>
        <v>-101.78999999999999</v>
      </c>
      <c r="BI510" s="8">
        <f>IF((0=1),BI195,(C195+(C265*(59-1))))</f>
        <v>-103.54499999999999</v>
      </c>
      <c r="BJ510" s="8">
        <f>IF((0=1),BJ195,(C195+(C265*(60-1))))</f>
        <v>-105.29999999999998</v>
      </c>
      <c r="BK510" s="8">
        <f>IF((0=1),BK195,(C195+(C265*(61-1))))</f>
        <v>-107.05499999999999</v>
      </c>
      <c r="BL510" s="8">
        <f>IF((0=1),BL195,(C195+(C265*(62-1))))</f>
        <v>-108.80999999999999</v>
      </c>
      <c r="BM510" s="8">
        <f>IF((0=1),BM195,(C195+(C265*(63-1))))</f>
        <v>-110.56499999999998</v>
      </c>
      <c r="BN510" s="8">
        <f>IF((0=1),BN195,(C195+(C265*(64-1))))</f>
        <v>-112.32</v>
      </c>
      <c r="BO510" s="8">
        <f>IF((0=1),BO195,(C195+(C265*(65-1))))</f>
        <v>-114.07499999999999</v>
      </c>
      <c r="BP510" s="8">
        <f>IF((0=1),BP195,(C195+(C265*(66-1))))</f>
        <v>-115.82999999999998</v>
      </c>
      <c r="BQ510" s="8">
        <f>IF((0=1),BQ195,(C195+(C265*(67-1))))</f>
        <v>-117.585</v>
      </c>
      <c r="BR510" s="8">
        <f>IF((0=1),BR195,(C195+(C265*(68-1))))</f>
        <v>-119.33999999999999</v>
      </c>
      <c r="BS510" s="8">
        <f>IF((0=1),BS195,(C195+(C265*(69-1))))</f>
        <v>-121.09499999999998</v>
      </c>
      <c r="BT510" s="8">
        <f>IF((0=1),BT195,(C195+(C265*(70-1))))</f>
        <v>-122.85</v>
      </c>
      <c r="BU510" s="8">
        <f>IF((0=1),BU195,(C195+(C265*(71-1))))</f>
        <v>-124.60499999999999</v>
      </c>
      <c r="BV510" s="8">
        <f>IF((0=1),BV195,(C195+(C265*(72-1))))</f>
        <v>-126.35999999999999</v>
      </c>
      <c r="BW510" s="8">
        <f>IF((0=1),BW195,(C195+(C265*(73-1))))</f>
        <v>-128.11499999999998</v>
      </c>
      <c r="BX510" s="8">
        <f>IF((0=1),BX195,(C195+(C265*(74-1))))</f>
        <v>-129.86999999999998</v>
      </c>
      <c r="BY510" s="8">
        <f>IF((0=1),BY195,(C195+(C265*(75-1))))</f>
        <v>-131.625</v>
      </c>
      <c r="BZ510" s="8">
        <f>IF((0=1),BZ195,(C195+(C265*(76-1))))</f>
        <v>-133.38</v>
      </c>
      <c r="CA510" s="8">
        <f>IF((0=1),CA195,(C195+(C265*(77-1))))</f>
        <v>-135.135</v>
      </c>
      <c r="CB510" s="8">
        <f>IF((0=1),CB195,(C195+(C265*(78-1))))</f>
        <v>-136.89</v>
      </c>
      <c r="CC510" s="8">
        <f>IF((0=1),CC195,(C195+(C265*(79-1))))</f>
        <v>-138.64499999999998</v>
      </c>
      <c r="CD510" s="8">
        <f>IF((0=1),CD195,(C195+(C265*(80-1))))</f>
        <v>-140.39999999999998</v>
      </c>
      <c r="CE510" s="8">
        <f>IF((0=1),CE195,(C195+(C265*(81-1))))</f>
        <v>-142.15499999999997</v>
      </c>
      <c r="CF510" s="8">
        <f>IF((0=1),CF195,(C195+(C265*(82-1))))</f>
        <v>-143.91</v>
      </c>
      <c r="CG510" s="8">
        <f>IF((0=1),CG195,(C195+(C265*(83-1))))</f>
        <v>-145.665</v>
      </c>
      <c r="CH510" s="8">
        <f>IF((0=1),CH195,(C195+(C265*(84-1))))</f>
        <v>-147.42</v>
      </c>
      <c r="CI510" s="8">
        <f>IF((0=1),CI195,(C195+(C265*(85-1))))</f>
        <v>-149.17499999999998</v>
      </c>
      <c r="CJ510" s="8">
        <f>IF((0=1),CJ195,(C195+(C265*(86-1))))</f>
        <v>-150.92999999999998</v>
      </c>
      <c r="CK510" s="8">
        <f>IF((0=1),CK195,(C195+(C265*(87-1))))</f>
        <v>-152.68499999999997</v>
      </c>
      <c r="CL510" s="8">
        <f>IF((0=1),CL195,(C195+(C265*(88-1))))</f>
        <v>-154.44</v>
      </c>
      <c r="CM510" s="8">
        <f>IF((0=1),CM195,(C195+(C265*(89-1))))</f>
        <v>-156.195</v>
      </c>
      <c r="CN510" s="8">
        <f>IF((0=1),CN195,(C195+(C265*(90-1))))</f>
        <v>-157.95</v>
      </c>
      <c r="CO510" s="8">
        <f>IF((0=1),CO195,(C195+(C265*(91-1))))</f>
        <v>-159.70499999999998</v>
      </c>
      <c r="CP510" s="8">
        <f>IF((0=1),CP195,(C195+(C265*(92-1))))</f>
        <v>-161.45999999999998</v>
      </c>
      <c r="CQ510" s="8">
        <f>IF((0=1),CQ195,(C195+(C265*(93-1))))</f>
        <v>-163.21499999999997</v>
      </c>
      <c r="CR510" s="8">
        <f>IF((0=1),CR195,(C195+(C265*(94-1))))</f>
        <v>-164.97</v>
      </c>
      <c r="CS510" s="8">
        <f>IF((0=1),CS195,(C195+(C265*(95-1))))</f>
        <v>-166.725</v>
      </c>
      <c r="CT510" s="8">
        <f>IF((0=1),CT195,(C195+(C265*(96-1))))</f>
        <v>-168.48</v>
      </c>
      <c r="CU510" s="8">
        <f>IF((0=1),CU195,(C195+(C265*(97-1))))</f>
        <v>-170.23499999999999</v>
      </c>
      <c r="CV510" s="8">
        <f>IF((0=1),CV195,(C195+(C265*(98-1))))</f>
        <v>-171.98999999999998</v>
      </c>
      <c r="CW510" s="8">
        <f>IF((0=1),CW195,(C195+(C265*(99-1))))</f>
        <v>-173.74499999999998</v>
      </c>
      <c r="CX510" s="8">
        <f>IF((0=1),CX195,(C195+(C265*(100-1))))</f>
        <v>-175.49999999999997</v>
      </c>
    </row>
    <row r="511">
      <c r="A511" s="0" t="inlineStr">
        <is>
          <t xml:space="preserve">Cumulative excess, realized then projected at running mean</t>
        </is>
      </c>
      <c r="B511" s="0" t="inlineStr">
        <is>
          <t xml:space="preserve">Random 5</t>
        </is>
      </c>
      <c r="C511" s="8">
        <f>IF((1=1),C196,(C196+(C266*(1-1))))</f>
        <v>8.485</v>
      </c>
      <c r="D511" s="8">
        <f>IF((0=1),D196,(C196+(C266*(2-1))))</f>
        <v>16.97</v>
      </c>
      <c r="E511" s="8">
        <f>IF((0=1),E196,(C196+(C266*(3-1))))</f>
        <v>25.455</v>
      </c>
      <c r="F511" s="8">
        <f>IF((0=1),F196,(C196+(C266*(4-1))))</f>
        <v>33.94</v>
      </c>
      <c r="G511" s="8">
        <f>IF((0=1),G196,(C196+(C266*(5-1))))</f>
        <v>42.425</v>
      </c>
      <c r="H511" s="8">
        <f>IF((0=1),H196,(C196+(C266*(6-1))))</f>
        <v>50.91</v>
      </c>
      <c r="I511" s="8">
        <f>IF((0=1),I196,(C196+(C266*(7-1))))</f>
        <v>59.394999999999996</v>
      </c>
      <c r="J511" s="8">
        <f>IF((0=1),J196,(C196+(C266*(8-1))))</f>
        <v>67.88</v>
      </c>
      <c r="K511" s="8">
        <f>IF((0=1),K196,(C196+(C266*(9-1))))</f>
        <v>76.365</v>
      </c>
      <c r="L511" s="8">
        <f>IF((0=1),L196,(C196+(C266*(10-1))))</f>
        <v>84.85</v>
      </c>
      <c r="M511" s="8">
        <f>IF((0=1),M196,(C196+(C266*(11-1))))</f>
        <v>93.335</v>
      </c>
      <c r="N511" s="8">
        <f>IF((0=1),N196,(C196+(C266*(12-1))))</f>
        <v>101.82</v>
      </c>
      <c r="O511" s="8">
        <f>IF((0=1),O196,(C196+(C266*(13-1))))</f>
        <v>110.30499999999999</v>
      </c>
      <c r="P511" s="8">
        <f>IF((0=1),P196,(C196+(C266*(14-1))))</f>
        <v>118.78999999999999</v>
      </c>
      <c r="Q511" s="8">
        <f>IF((0=1),Q196,(C196+(C266*(15-1))))</f>
        <v>127.27499999999999</v>
      </c>
      <c r="R511" s="8">
        <f>IF((0=1),R196,(C196+(C266*(16-1))))</f>
        <v>135.76</v>
      </c>
      <c r="S511" s="8">
        <f>IF((0=1),S196,(C196+(C266*(17-1))))</f>
        <v>144.245</v>
      </c>
      <c r="T511" s="8">
        <f>IF((0=1),T196,(C196+(C266*(18-1))))</f>
        <v>152.73000000000002</v>
      </c>
      <c r="U511" s="8">
        <f>IF((0=1),U196,(C196+(C266*(19-1))))</f>
        <v>161.21499999999997</v>
      </c>
      <c r="V511" s="8">
        <f>IF((0=1),V196,(C196+(C266*(20-1))))</f>
        <v>169.7</v>
      </c>
      <c r="W511" s="8">
        <f>IF((0=1),W196,(C196+(C266*(21-1))))</f>
        <v>178.185</v>
      </c>
      <c r="X511" s="8">
        <f>IF((0=1),X196,(C196+(C266*(22-1))))</f>
        <v>186.67000000000002</v>
      </c>
      <c r="Y511" s="8">
        <f>IF((0=1),Y196,(C196+(C266*(23-1))))</f>
        <v>195.15499999999997</v>
      </c>
      <c r="Z511" s="8">
        <f>IF((0=1),Z196,(C196+(C266*(24-1))))</f>
        <v>203.64</v>
      </c>
      <c r="AA511" s="8">
        <f>IF((0=1),AA196,(C196+(C266*(25-1))))</f>
        <v>212.125</v>
      </c>
      <c r="AB511" s="8">
        <f>IF((0=1),AB196,(C196+(C266*(26-1))))</f>
        <v>220.61</v>
      </c>
      <c r="AC511" s="8">
        <f>IF((0=1),AC196,(C196+(C266*(27-1))))</f>
        <v>229.09499999999997</v>
      </c>
      <c r="AD511" s="8">
        <f>IF((0=1),AD196,(C196+(C266*(28-1))))</f>
        <v>237.57999999999998</v>
      </c>
      <c r="AE511" s="8">
        <f>IF((0=1),AE196,(C196+(C266*(29-1))))</f>
        <v>246.065</v>
      </c>
      <c r="AF511" s="8">
        <f>IF((0=1),AF196,(C196+(C266*(30-1))))</f>
        <v>254.55</v>
      </c>
      <c r="AG511" s="8">
        <f>IF((0=1),AG196,(C196+(C266*(31-1))))</f>
        <v>263.03499999999997</v>
      </c>
      <c r="AH511" s="8">
        <f>IF((0=1),AH196,(C196+(C266*(32-1))))</f>
        <v>271.52</v>
      </c>
      <c r="AI511" s="8">
        <f>IF((0=1),AI196,(C196+(C266*(33-1))))</f>
        <v>280.005</v>
      </c>
      <c r="AJ511" s="8">
        <f>IF((0=1),AJ196,(C196+(C266*(34-1))))</f>
        <v>288.49</v>
      </c>
      <c r="AK511" s="8">
        <f>IF((0=1),AK196,(C196+(C266*(35-1))))</f>
        <v>296.975</v>
      </c>
      <c r="AL511" s="8">
        <f>IF((0=1),AL196,(C196+(C266*(36-1))))</f>
        <v>305.46</v>
      </c>
      <c r="AM511" s="8">
        <f>IF((0=1),AM196,(C196+(C266*(37-1))))</f>
        <v>313.945</v>
      </c>
      <c r="AN511" s="8">
        <f>IF((0=1),AN196,(C196+(C266*(38-1))))</f>
        <v>322.43</v>
      </c>
      <c r="AO511" s="8">
        <f>IF((0=1),AO196,(C196+(C266*(39-1))))</f>
        <v>330.91499999999996</v>
      </c>
      <c r="AP511" s="8">
        <f>IF((0=1),AP196,(C196+(C266*(40-1))))</f>
        <v>339.4</v>
      </c>
      <c r="AQ511" s="8">
        <f>IF((0=1),AQ196,(C196+(C266*(41-1))))</f>
        <v>347.885</v>
      </c>
      <c r="AR511" s="8">
        <f>IF((0=1),AR196,(C196+(C266*(42-1))))</f>
        <v>356.37</v>
      </c>
      <c r="AS511" s="8">
        <f>IF((0=1),AS196,(C196+(C266*(43-1))))</f>
        <v>364.855</v>
      </c>
      <c r="AT511" s="8">
        <f>IF((0=1),AT196,(C196+(C266*(44-1))))</f>
        <v>373.34</v>
      </c>
      <c r="AU511" s="8">
        <f>IF((0=1),AU196,(C196+(C266*(45-1))))</f>
        <v>381.825</v>
      </c>
      <c r="AV511" s="8">
        <f>IF((0=1),AV196,(C196+(C266*(46-1))))</f>
        <v>390.31</v>
      </c>
      <c r="AW511" s="8">
        <f>IF((0=1),AW196,(C196+(C266*(47-1))))</f>
        <v>398.79499999999996</v>
      </c>
      <c r="AX511" s="8">
        <f>IF((0=1),AX196,(C196+(C266*(48-1))))</f>
        <v>407.28</v>
      </c>
      <c r="AY511" s="8">
        <f>IF((0=1),AY196,(C196+(C266*(49-1))))</f>
        <v>415.765</v>
      </c>
      <c r="AZ511" s="8">
        <f>IF((0=1),AZ196,(C196+(C266*(50-1))))</f>
        <v>424.25</v>
      </c>
      <c r="BA511" s="8">
        <f>IF((0=1),BA196,(C196+(C266*(51-1))))</f>
        <v>432.735</v>
      </c>
      <c r="BB511" s="8">
        <f>IF((0=1),BB196,(C196+(C266*(52-1))))</f>
        <v>441.21999999999997</v>
      </c>
      <c r="BC511" s="8">
        <f>IF((0=1),BC196,(C196+(C266*(53-1))))</f>
        <v>449.705</v>
      </c>
      <c r="BD511" s="8">
        <f>IF((0=1),BD196,(C196+(C266*(54-1))))</f>
        <v>458.19</v>
      </c>
      <c r="BE511" s="8">
        <f>IF((0=1),BE196,(C196+(C266*(55-1))))</f>
        <v>466.67499999999995</v>
      </c>
      <c r="BF511" s="8">
        <f>IF((0=1),BF196,(C196+(C266*(56-1))))</f>
        <v>475.15999999999997</v>
      </c>
      <c r="BG511" s="8">
        <f>IF((0=1),BG196,(C196+(C266*(57-1))))</f>
        <v>483.645</v>
      </c>
      <c r="BH511" s="8">
        <f>IF((0=1),BH196,(C196+(C266*(58-1))))</f>
        <v>492.13</v>
      </c>
      <c r="BI511" s="8">
        <f>IF((0=1),BI196,(C196+(C266*(59-1))))</f>
        <v>500.615</v>
      </c>
      <c r="BJ511" s="8">
        <f>IF((0=1),BJ196,(C196+(C266*(60-1))))</f>
        <v>509.09999999999997</v>
      </c>
      <c r="BK511" s="8">
        <f>IF((0=1),BK196,(C196+(C266*(61-1))))</f>
        <v>517.5849999999999</v>
      </c>
      <c r="BL511" s="8">
        <f>IF((0=1),BL196,(C196+(C266*(62-1))))</f>
        <v>526.0699999999999</v>
      </c>
      <c r="BM511" s="8">
        <f>IF((0=1),BM196,(C196+(C266*(63-1))))</f>
        <v>534.555</v>
      </c>
      <c r="BN511" s="8">
        <f>IF((0=1),BN196,(C196+(C266*(64-1))))</f>
        <v>543.04</v>
      </c>
      <c r="BO511" s="8">
        <f>IF((0=1),BO196,(C196+(C266*(65-1))))</f>
        <v>551.525</v>
      </c>
      <c r="BP511" s="8">
        <f>IF((0=1),BP196,(C196+(C266*(66-1))))</f>
        <v>560.01</v>
      </c>
      <c r="BQ511" s="8">
        <f>IF((0=1),BQ196,(C196+(C266*(67-1))))</f>
        <v>568.495</v>
      </c>
      <c r="BR511" s="8">
        <f>IF((0=1),BR196,(C196+(C266*(68-1))))</f>
        <v>576.98</v>
      </c>
      <c r="BS511" s="8">
        <f>IF((0=1),BS196,(C196+(C266*(69-1))))</f>
        <v>585.465</v>
      </c>
      <c r="BT511" s="8">
        <f>IF((0=1),BT196,(C196+(C266*(70-1))))</f>
        <v>593.9499999999999</v>
      </c>
      <c r="BU511" s="8">
        <f>IF((0=1),BU196,(C196+(C266*(71-1))))</f>
        <v>602.435</v>
      </c>
      <c r="BV511" s="8">
        <f>IF((0=1),BV196,(C196+(C266*(72-1))))</f>
        <v>610.92</v>
      </c>
      <c r="BW511" s="8">
        <f>IF((0=1),BW196,(C196+(C266*(73-1))))</f>
        <v>619.405</v>
      </c>
      <c r="BX511" s="8">
        <f>IF((0=1),BX196,(C196+(C266*(74-1))))</f>
        <v>627.89</v>
      </c>
      <c r="BY511" s="8">
        <f>IF((0=1),BY196,(C196+(C266*(75-1))))</f>
        <v>636.375</v>
      </c>
      <c r="BZ511" s="8">
        <f>IF((0=1),BZ196,(C196+(C266*(76-1))))</f>
        <v>644.86</v>
      </c>
      <c r="CA511" s="8">
        <f>IF((0=1),CA196,(C196+(C266*(77-1))))</f>
        <v>653.3449999999999</v>
      </c>
      <c r="CB511" s="8">
        <f>IF((0=1),CB196,(C196+(C266*(78-1))))</f>
        <v>661.8299999999999</v>
      </c>
      <c r="CC511" s="8">
        <f>IF((0=1),CC196,(C196+(C266*(79-1))))</f>
        <v>670.3149999999999</v>
      </c>
      <c r="CD511" s="8">
        <f>IF((0=1),CD196,(C196+(C266*(80-1))))</f>
        <v>678.8</v>
      </c>
      <c r="CE511" s="8">
        <f>IF((0=1),CE196,(C196+(C266*(81-1))))</f>
        <v>687.285</v>
      </c>
      <c r="CF511" s="8">
        <f>IF((0=1),CF196,(C196+(C266*(82-1))))</f>
        <v>695.77</v>
      </c>
      <c r="CG511" s="8">
        <f>IF((0=1),CG196,(C196+(C266*(83-1))))</f>
        <v>704.255</v>
      </c>
      <c r="CH511" s="8">
        <f>IF((0=1),CH196,(C196+(C266*(84-1))))</f>
        <v>712.74</v>
      </c>
      <c r="CI511" s="8">
        <f>IF((0=1),CI196,(C196+(C266*(85-1))))</f>
        <v>721.225</v>
      </c>
      <c r="CJ511" s="8">
        <f>IF((0=1),CJ196,(C196+(C266*(86-1))))</f>
        <v>729.7099999999999</v>
      </c>
      <c r="CK511" s="8">
        <f>IF((0=1),CK196,(C196+(C266*(87-1))))</f>
        <v>738.1949999999999</v>
      </c>
      <c r="CL511" s="8">
        <f>IF((0=1),CL196,(C196+(C266*(88-1))))</f>
        <v>746.68</v>
      </c>
      <c r="CM511" s="8">
        <f>IF((0=1),CM196,(C196+(C266*(89-1))))</f>
        <v>755.165</v>
      </c>
      <c r="CN511" s="8">
        <f>IF((0=1),CN196,(C196+(C266*(90-1))))</f>
        <v>763.65</v>
      </c>
      <c r="CO511" s="8">
        <f>IF((0=1),CO196,(C196+(C266*(91-1))))</f>
        <v>772.135</v>
      </c>
      <c r="CP511" s="8">
        <f>IF((0=1),CP196,(C196+(C266*(92-1))))</f>
        <v>780.62</v>
      </c>
      <c r="CQ511" s="8">
        <f>IF((0=1),CQ196,(C196+(C266*(93-1))))</f>
        <v>789.1049999999999</v>
      </c>
      <c r="CR511" s="8">
        <f>IF((0=1),CR196,(C196+(C266*(94-1))))</f>
        <v>797.5899999999999</v>
      </c>
      <c r="CS511" s="8">
        <f>IF((0=1),CS196,(C196+(C266*(95-1))))</f>
        <v>806.0749999999999</v>
      </c>
      <c r="CT511" s="8">
        <f>IF((0=1),CT196,(C196+(C266*(96-1))))</f>
        <v>814.56</v>
      </c>
      <c r="CU511" s="8">
        <f>IF((0=1),CU196,(C196+(C266*(97-1))))</f>
        <v>823.045</v>
      </c>
      <c r="CV511" s="8">
        <f>IF((0=1),CV196,(C196+(C266*(98-1))))</f>
        <v>831.53</v>
      </c>
      <c r="CW511" s="8">
        <f>IF((0=1),CW196,(C196+(C266*(99-1))))</f>
        <v>840.015</v>
      </c>
      <c r="CX511" s="8">
        <f>IF((0=1),CX196,(C196+(C266*(100-1))))</f>
        <v>848.5</v>
      </c>
    </row>
    <row r="512">
      <c r="A512" s="0" t="inlineStr">
        <is>
          <t xml:space="preserve">Cumulative excess, realized then projected at running mean</t>
        </is>
      </c>
      <c r="B512" s="0" t="inlineStr">
        <is>
          <t xml:space="preserve">Random 6</t>
        </is>
      </c>
      <c r="C512" s="8">
        <f>IF((1=1),C197,(C197+(C267*(1-1))))</f>
        <v>-3.004</v>
      </c>
      <c r="D512" s="8">
        <f>IF((0=1),D197,(C197+(C267*(2-1))))</f>
        <v>-6.008</v>
      </c>
      <c r="E512" s="8">
        <f>IF((0=1),E197,(C197+(C267*(3-1))))</f>
        <v>-9.012</v>
      </c>
      <c r="F512" s="8">
        <f>IF((0=1),F197,(C197+(C267*(4-1))))</f>
        <v>-12.016</v>
      </c>
      <c r="G512" s="8">
        <f>IF((0=1),G197,(C197+(C267*(5-1))))</f>
        <v>-15.02</v>
      </c>
      <c r="H512" s="8">
        <f>IF((0=1),H197,(C197+(C267*(6-1))))</f>
        <v>-18.024</v>
      </c>
      <c r="I512" s="8">
        <f>IF((0=1),I197,(C197+(C267*(7-1))))</f>
        <v>-21.028000000000002</v>
      </c>
      <c r="J512" s="8">
        <f>IF((0=1),J197,(C197+(C267*(8-1))))</f>
        <v>-24.032</v>
      </c>
      <c r="K512" s="8">
        <f>IF((0=1),K197,(C197+(C267*(9-1))))</f>
        <v>-27.036</v>
      </c>
      <c r="L512" s="8">
        <f>IF((0=1),L197,(C197+(C267*(10-1))))</f>
        <v>-30.040000000000003</v>
      </c>
      <c r="M512" s="8">
        <f>IF((0=1),M197,(C197+(C267*(11-1))))</f>
        <v>-33.044</v>
      </c>
      <c r="N512" s="8">
        <f>IF((0=1),N197,(C197+(C267*(12-1))))</f>
        <v>-36.047999999999995</v>
      </c>
      <c r="O512" s="8">
        <f>IF((0=1),O197,(C197+(C267*(13-1))))</f>
        <v>-39.052</v>
      </c>
      <c r="P512" s="8">
        <f>IF((0=1),P197,(C197+(C267*(14-1))))</f>
        <v>-42.056</v>
      </c>
      <c r="Q512" s="8">
        <f>IF((0=1),Q197,(C197+(C267*(15-1))))</f>
        <v>-45.059999999999995</v>
      </c>
      <c r="R512" s="8">
        <f>IF((0=1),R197,(C197+(C267*(16-1))))</f>
        <v>-48.064</v>
      </c>
      <c r="S512" s="8">
        <f>IF((0=1),S197,(C197+(C267*(17-1))))</f>
        <v>-51.068</v>
      </c>
      <c r="T512" s="8">
        <f>IF((0=1),T197,(C197+(C267*(18-1))))</f>
        <v>-54.071999999999996</v>
      </c>
      <c r="U512" s="8">
        <f>IF((0=1),U197,(C197+(C267*(19-1))))</f>
        <v>-57.076</v>
      </c>
      <c r="V512" s="8">
        <f>IF((0=1),V197,(C197+(C267*(20-1))))</f>
        <v>-60.08</v>
      </c>
      <c r="W512" s="8">
        <f>IF((0=1),W197,(C197+(C267*(21-1))))</f>
        <v>-63.083999999999996</v>
      </c>
      <c r="X512" s="8">
        <f>IF((0=1),X197,(C197+(C267*(22-1))))</f>
        <v>-66.08800000000001</v>
      </c>
      <c r="Y512" s="8">
        <f>IF((0=1),Y197,(C197+(C267*(23-1))))</f>
        <v>-69.092</v>
      </c>
      <c r="Z512" s="8">
        <f>IF((0=1),Z197,(C197+(C267*(24-1))))</f>
        <v>-72.096</v>
      </c>
      <c r="AA512" s="8">
        <f>IF((0=1),AA197,(C197+(C267*(25-1))))</f>
        <v>-75.10000000000001</v>
      </c>
      <c r="AB512" s="8">
        <f>IF((0=1),AB197,(C197+(C267*(26-1))))</f>
        <v>-78.104</v>
      </c>
      <c r="AC512" s="8">
        <f>IF((0=1),AC197,(C197+(C267*(27-1))))</f>
        <v>-81.108</v>
      </c>
      <c r="AD512" s="8">
        <f>IF((0=1),AD197,(C197+(C267*(28-1))))</f>
        <v>-84.11200000000001</v>
      </c>
      <c r="AE512" s="8">
        <f>IF((0=1),AE197,(C197+(C267*(29-1))))</f>
        <v>-87.116</v>
      </c>
      <c r="AF512" s="8">
        <f>IF((0=1),AF197,(C197+(C267*(30-1))))</f>
        <v>-90.12</v>
      </c>
      <c r="AG512" s="8">
        <f>IF((0=1),AG197,(C197+(C267*(31-1))))</f>
        <v>-93.12400000000001</v>
      </c>
      <c r="AH512" s="8">
        <f>IF((0=1),AH197,(C197+(C267*(32-1))))</f>
        <v>-96.128</v>
      </c>
      <c r="AI512" s="8">
        <f>IF((0=1),AI197,(C197+(C267*(33-1))))</f>
        <v>-99.132</v>
      </c>
      <c r="AJ512" s="8">
        <f>IF((0=1),AJ197,(C197+(C267*(34-1))))</f>
        <v>-102.13600000000001</v>
      </c>
      <c r="AK512" s="8">
        <f>IF((0=1),AK197,(C197+(C267*(35-1))))</f>
        <v>-105.14</v>
      </c>
      <c r="AL512" s="8">
        <f>IF((0=1),AL197,(C197+(C267*(36-1))))</f>
        <v>-108.144</v>
      </c>
      <c r="AM512" s="8">
        <f>IF((0=1),AM197,(C197+(C267*(37-1))))</f>
        <v>-111.14800000000001</v>
      </c>
      <c r="AN512" s="8">
        <f>IF((0=1),AN197,(C197+(C267*(38-1))))</f>
        <v>-114.152</v>
      </c>
      <c r="AO512" s="8">
        <f>IF((0=1),AO197,(C197+(C267*(39-1))))</f>
        <v>-117.156</v>
      </c>
      <c r="AP512" s="8">
        <f>IF((0=1),AP197,(C197+(C267*(40-1))))</f>
        <v>-120.16000000000001</v>
      </c>
      <c r="AQ512" s="8">
        <f>IF((0=1),AQ197,(C197+(C267*(41-1))))</f>
        <v>-123.164</v>
      </c>
      <c r="AR512" s="8">
        <f>IF((0=1),AR197,(C197+(C267*(42-1))))</f>
        <v>-126.168</v>
      </c>
      <c r="AS512" s="8">
        <f>IF((0=1),AS197,(C197+(C267*(43-1))))</f>
        <v>-129.172</v>
      </c>
      <c r="AT512" s="8">
        <f>IF((0=1),AT197,(C197+(C267*(44-1))))</f>
        <v>-132.176</v>
      </c>
      <c r="AU512" s="8">
        <f>IF((0=1),AU197,(C197+(C267*(45-1))))</f>
        <v>-135.17999999999998</v>
      </c>
      <c r="AV512" s="8">
        <f>IF((0=1),AV197,(C197+(C267*(46-1))))</f>
        <v>-138.184</v>
      </c>
      <c r="AW512" s="8">
        <f>IF((0=1),AW197,(C197+(C267*(47-1))))</f>
        <v>-141.188</v>
      </c>
      <c r="AX512" s="8">
        <f>IF((0=1),AX197,(C197+(C267*(48-1))))</f>
        <v>-144.19199999999998</v>
      </c>
      <c r="AY512" s="8">
        <f>IF((0=1),AY197,(C197+(C267*(49-1))))</f>
        <v>-147.196</v>
      </c>
      <c r="AZ512" s="8">
        <f>IF((0=1),AZ197,(C197+(C267*(50-1))))</f>
        <v>-150.2</v>
      </c>
      <c r="BA512" s="8">
        <f>IF((0=1),BA197,(C197+(C267*(51-1))))</f>
        <v>-153.20399999999998</v>
      </c>
      <c r="BB512" s="8">
        <f>IF((0=1),BB197,(C197+(C267*(52-1))))</f>
        <v>-156.208</v>
      </c>
      <c r="BC512" s="8">
        <f>IF((0=1),BC197,(C197+(C267*(53-1))))</f>
        <v>-159.212</v>
      </c>
      <c r="BD512" s="8">
        <f>IF((0=1),BD197,(C197+(C267*(54-1))))</f>
        <v>-162.21599999999998</v>
      </c>
      <c r="BE512" s="8">
        <f>IF((0=1),BE197,(C197+(C267*(55-1))))</f>
        <v>-165.22</v>
      </c>
      <c r="BF512" s="8">
        <f>IF((0=1),BF197,(C197+(C267*(56-1))))</f>
        <v>-168.224</v>
      </c>
      <c r="BG512" s="8">
        <f>IF((0=1),BG197,(C197+(C267*(57-1))))</f>
        <v>-171.22799999999998</v>
      </c>
      <c r="BH512" s="8">
        <f>IF((0=1),BH197,(C197+(C267*(58-1))))</f>
        <v>-174.232</v>
      </c>
      <c r="BI512" s="8">
        <f>IF((0=1),BI197,(C197+(C267*(59-1))))</f>
        <v>-177.236</v>
      </c>
      <c r="BJ512" s="8">
        <f>IF((0=1),BJ197,(C197+(C267*(60-1))))</f>
        <v>-180.23999999999998</v>
      </c>
      <c r="BK512" s="8">
        <f>IF((0=1),BK197,(C197+(C267*(61-1))))</f>
        <v>-183.244</v>
      </c>
      <c r="BL512" s="8">
        <f>IF((0=1),BL197,(C197+(C267*(62-1))))</f>
        <v>-186.248</v>
      </c>
      <c r="BM512" s="8">
        <f>IF((0=1),BM197,(C197+(C267*(63-1))))</f>
        <v>-189.25199999999998</v>
      </c>
      <c r="BN512" s="8">
        <f>IF((0=1),BN197,(C197+(C267*(64-1))))</f>
        <v>-192.256</v>
      </c>
      <c r="BO512" s="8">
        <f>IF((0=1),BO197,(C197+(C267*(65-1))))</f>
        <v>-195.26</v>
      </c>
      <c r="BP512" s="8">
        <f>IF((0=1),BP197,(C197+(C267*(66-1))))</f>
        <v>-198.26399999999998</v>
      </c>
      <c r="BQ512" s="8">
        <f>IF((0=1),BQ197,(C197+(C267*(67-1))))</f>
        <v>-201.268</v>
      </c>
      <c r="BR512" s="8">
        <f>IF((0=1),BR197,(C197+(C267*(68-1))))</f>
        <v>-204.272</v>
      </c>
      <c r="BS512" s="8">
        <f>IF((0=1),BS197,(C197+(C267*(69-1))))</f>
        <v>-207.27599999999998</v>
      </c>
      <c r="BT512" s="8">
        <f>IF((0=1),BT197,(C197+(C267*(70-1))))</f>
        <v>-210.28</v>
      </c>
      <c r="BU512" s="8">
        <f>IF((0=1),BU197,(C197+(C267*(71-1))))</f>
        <v>-213.284</v>
      </c>
      <c r="BV512" s="8">
        <f>IF((0=1),BV197,(C197+(C267*(72-1))))</f>
        <v>-216.28799999999998</v>
      </c>
      <c r="BW512" s="8">
        <f>IF((0=1),BW197,(C197+(C267*(73-1))))</f>
        <v>-219.292</v>
      </c>
      <c r="BX512" s="8">
        <f>IF((0=1),BX197,(C197+(C267*(74-1))))</f>
        <v>-222.296</v>
      </c>
      <c r="BY512" s="8">
        <f>IF((0=1),BY197,(C197+(C267*(75-1))))</f>
        <v>-225.29999999999998</v>
      </c>
      <c r="BZ512" s="8">
        <f>IF((0=1),BZ197,(C197+(C267*(76-1))))</f>
        <v>-228.304</v>
      </c>
      <c r="CA512" s="8">
        <f>IF((0=1),CA197,(C197+(C267*(77-1))))</f>
        <v>-231.308</v>
      </c>
      <c r="CB512" s="8">
        <f>IF((0=1),CB197,(C197+(C267*(78-1))))</f>
        <v>-234.31199999999998</v>
      </c>
      <c r="CC512" s="8">
        <f>IF((0=1),CC197,(C197+(C267*(79-1))))</f>
        <v>-237.316</v>
      </c>
      <c r="CD512" s="8">
        <f>IF((0=1),CD197,(C197+(C267*(80-1))))</f>
        <v>-240.32</v>
      </c>
      <c r="CE512" s="8">
        <f>IF((0=1),CE197,(C197+(C267*(81-1))))</f>
        <v>-243.32399999999998</v>
      </c>
      <c r="CF512" s="8">
        <f>IF((0=1),CF197,(C197+(C267*(82-1))))</f>
        <v>-246.328</v>
      </c>
      <c r="CG512" s="8">
        <f>IF((0=1),CG197,(C197+(C267*(83-1))))</f>
        <v>-249.332</v>
      </c>
      <c r="CH512" s="8">
        <f>IF((0=1),CH197,(C197+(C267*(84-1))))</f>
        <v>-252.33599999999998</v>
      </c>
      <c r="CI512" s="8">
        <f>IF((0=1),CI197,(C197+(C267*(85-1))))</f>
        <v>-255.34</v>
      </c>
      <c r="CJ512" s="8">
        <f>IF((0=1),CJ197,(C197+(C267*(86-1))))</f>
        <v>-258.344</v>
      </c>
      <c r="CK512" s="8">
        <f>IF((0=1),CK197,(C197+(C267*(87-1))))</f>
        <v>-261.348</v>
      </c>
      <c r="CL512" s="8">
        <f>IF((0=1),CL197,(C197+(C267*(88-1))))</f>
        <v>-264.35200000000003</v>
      </c>
      <c r="CM512" s="8">
        <f>IF((0=1),CM197,(C197+(C267*(89-1))))</f>
        <v>-267.356</v>
      </c>
      <c r="CN512" s="8">
        <f>IF((0=1),CN197,(C197+(C267*(90-1))))</f>
        <v>-270.36</v>
      </c>
      <c r="CO512" s="8">
        <f>IF((0=1),CO197,(C197+(C267*(91-1))))</f>
        <v>-273.36400000000003</v>
      </c>
      <c r="CP512" s="8">
        <f>IF((0=1),CP197,(C197+(C267*(92-1))))</f>
        <v>-276.368</v>
      </c>
      <c r="CQ512" s="8">
        <f>IF((0=1),CQ197,(C197+(C267*(93-1))))</f>
        <v>-279.372</v>
      </c>
      <c r="CR512" s="8">
        <f>IF((0=1),CR197,(C197+(C267*(94-1))))</f>
        <v>-282.37600000000003</v>
      </c>
      <c r="CS512" s="8">
        <f>IF((0=1),CS197,(C197+(C267*(95-1))))</f>
        <v>-285.38</v>
      </c>
      <c r="CT512" s="8">
        <f>IF((0=1),CT197,(C197+(C267*(96-1))))</f>
        <v>-288.384</v>
      </c>
      <c r="CU512" s="8">
        <f>IF((0=1),CU197,(C197+(C267*(97-1))))</f>
        <v>-291.38800000000003</v>
      </c>
      <c r="CV512" s="8">
        <f>IF((0=1),CV197,(C197+(C267*(98-1))))</f>
        <v>-294.392</v>
      </c>
      <c r="CW512" s="8">
        <f>IF((0=1),CW197,(C197+(C267*(99-1))))</f>
        <v>-297.396</v>
      </c>
      <c r="CX512" s="8">
        <f>IF((0=1),CX197,(C197+(C267*(100-1))))</f>
        <v>-300.40000000000003</v>
      </c>
    </row>
    <row r="513">
      <c r="A513" s="0" t="inlineStr">
        <is>
          <t xml:space="preserve">Cumulative excess, realized then projected at running mean</t>
        </is>
      </c>
      <c r="B513" s="0" t="inlineStr">
        <is>
          <t xml:space="preserve">Random 7</t>
        </is>
      </c>
      <c r="C513" s="8">
        <f>IF((1=1),C198,(C198+(C268*(1-1))))</f>
        <v>-3.263</v>
      </c>
      <c r="D513" s="8">
        <f>IF((0=1),D198,(C198+(C268*(2-1))))</f>
        <v>-6.526</v>
      </c>
      <c r="E513" s="8">
        <f>IF((0=1),E198,(C198+(C268*(3-1))))</f>
        <v>-9.789</v>
      </c>
      <c r="F513" s="8">
        <f>IF((0=1),F198,(C198+(C268*(4-1))))</f>
        <v>-13.052</v>
      </c>
      <c r="G513" s="8">
        <f>IF((0=1),G198,(C198+(C268*(5-1))))</f>
        <v>-16.314999999999998</v>
      </c>
      <c r="H513" s="8">
        <f>IF((0=1),H198,(C198+(C268*(6-1))))</f>
        <v>-19.577999999999996</v>
      </c>
      <c r="I513" s="8">
        <f>IF((0=1),I198,(C198+(C268*(7-1))))</f>
        <v>-22.841</v>
      </c>
      <c r="J513" s="8">
        <f>IF((0=1),J198,(C198+(C268*(8-1))))</f>
        <v>-26.104</v>
      </c>
      <c r="K513" s="8">
        <f>IF((0=1),K198,(C198+(C268*(9-1))))</f>
        <v>-29.366999999999997</v>
      </c>
      <c r="L513" s="8">
        <f>IF((0=1),L198,(C198+(C268*(10-1))))</f>
        <v>-32.629999999999995</v>
      </c>
      <c r="M513" s="8">
        <f>IF((0=1),M198,(C198+(C268*(11-1))))</f>
        <v>-35.892999999999994</v>
      </c>
      <c r="N513" s="8">
        <f>IF((0=1),N198,(C198+(C268*(12-1))))</f>
        <v>-39.156</v>
      </c>
      <c r="O513" s="8">
        <f>IF((0=1),O198,(C198+(C268*(13-1))))</f>
        <v>-42.419</v>
      </c>
      <c r="P513" s="8">
        <f>IF((0=1),P198,(C198+(C268*(14-1))))</f>
        <v>-45.681999999999995</v>
      </c>
      <c r="Q513" s="8">
        <f>IF((0=1),Q198,(C198+(C268*(15-1))))</f>
        <v>-48.945</v>
      </c>
      <c r="R513" s="8">
        <f>IF((0=1),R198,(C198+(C268*(16-1))))</f>
        <v>-52.208</v>
      </c>
      <c r="S513" s="8">
        <f>IF((0=1),S198,(C198+(C268*(17-1))))</f>
        <v>-55.471</v>
      </c>
      <c r="T513" s="8">
        <f>IF((0=1),T198,(C198+(C268*(18-1))))</f>
        <v>-58.733999999999995</v>
      </c>
      <c r="U513" s="8">
        <f>IF((0=1),U198,(C198+(C268*(19-1))))</f>
        <v>-61.99699999999999</v>
      </c>
      <c r="V513" s="8">
        <f>IF((0=1),V198,(C198+(C268*(20-1))))</f>
        <v>-65.26</v>
      </c>
      <c r="W513" s="8">
        <f>IF((0=1),W198,(C198+(C268*(21-1))))</f>
        <v>-68.523</v>
      </c>
      <c r="X513" s="8">
        <f>IF((0=1),X198,(C198+(C268*(22-1))))</f>
        <v>-71.786</v>
      </c>
      <c r="Y513" s="8">
        <f>IF((0=1),Y198,(C198+(C268*(23-1))))</f>
        <v>-75.049</v>
      </c>
      <c r="Z513" s="8">
        <f>IF((0=1),Z198,(C198+(C268*(24-1))))</f>
        <v>-78.312</v>
      </c>
      <c r="AA513" s="8">
        <f>IF((0=1),AA198,(C198+(C268*(25-1))))</f>
        <v>-81.575</v>
      </c>
      <c r="AB513" s="8">
        <f>IF((0=1),AB198,(C198+(C268*(26-1))))</f>
        <v>-84.83800000000001</v>
      </c>
      <c r="AC513" s="8">
        <f>IF((0=1),AC198,(C198+(C268*(27-1))))</f>
        <v>-88.101</v>
      </c>
      <c r="AD513" s="8">
        <f>IF((0=1),AD198,(C198+(C268*(28-1))))</f>
        <v>-91.364</v>
      </c>
      <c r="AE513" s="8">
        <f>IF((0=1),AE198,(C198+(C268*(29-1))))</f>
        <v>-94.62700000000001</v>
      </c>
      <c r="AF513" s="8">
        <f>IF((0=1),AF198,(C198+(C268*(30-1))))</f>
        <v>-97.89</v>
      </c>
      <c r="AG513" s="8">
        <f>IF((0=1),AG198,(C198+(C268*(31-1))))</f>
        <v>-101.153</v>
      </c>
      <c r="AH513" s="8">
        <f>IF((0=1),AH198,(C198+(C268*(32-1))))</f>
        <v>-104.416</v>
      </c>
      <c r="AI513" s="8">
        <f>IF((0=1),AI198,(C198+(C268*(33-1))))</f>
        <v>-107.679</v>
      </c>
      <c r="AJ513" s="8">
        <f>IF((0=1),AJ198,(C198+(C268*(34-1))))</f>
        <v>-110.94200000000001</v>
      </c>
      <c r="AK513" s="8">
        <f>IF((0=1),AK198,(C198+(C268*(35-1))))</f>
        <v>-114.205</v>
      </c>
      <c r="AL513" s="8">
        <f>IF((0=1),AL198,(C198+(C268*(36-1))))</f>
        <v>-117.468</v>
      </c>
      <c r="AM513" s="8">
        <f>IF((0=1),AM198,(C198+(C268*(37-1))))</f>
        <v>-120.731</v>
      </c>
      <c r="AN513" s="8">
        <f>IF((0=1),AN198,(C198+(C268*(38-1))))</f>
        <v>-123.994</v>
      </c>
      <c r="AO513" s="8">
        <f>IF((0=1),AO198,(C198+(C268*(39-1))))</f>
        <v>-127.257</v>
      </c>
      <c r="AP513" s="8">
        <f>IF((0=1),AP198,(C198+(C268*(40-1))))</f>
        <v>-130.51999999999998</v>
      </c>
      <c r="AQ513" s="8">
        <f>IF((0=1),AQ198,(C198+(C268*(41-1))))</f>
        <v>-133.783</v>
      </c>
      <c r="AR513" s="8">
        <f>IF((0=1),AR198,(C198+(C268*(42-1))))</f>
        <v>-137.046</v>
      </c>
      <c r="AS513" s="8">
        <f>IF((0=1),AS198,(C198+(C268*(43-1))))</f>
        <v>-140.309</v>
      </c>
      <c r="AT513" s="8">
        <f>IF((0=1),AT198,(C198+(C268*(44-1))))</f>
        <v>-143.572</v>
      </c>
      <c r="AU513" s="8">
        <f>IF((0=1),AU198,(C198+(C268*(45-1))))</f>
        <v>-146.835</v>
      </c>
      <c r="AV513" s="8">
        <f>IF((0=1),AV198,(C198+(C268*(46-1))))</f>
        <v>-150.098</v>
      </c>
      <c r="AW513" s="8">
        <f>IF((0=1),AW198,(C198+(C268*(47-1))))</f>
        <v>-153.361</v>
      </c>
      <c r="AX513" s="8">
        <f>IF((0=1),AX198,(C198+(C268*(48-1))))</f>
        <v>-156.624</v>
      </c>
      <c r="AY513" s="8">
        <f>IF((0=1),AY198,(C198+(C268*(49-1))))</f>
        <v>-159.887</v>
      </c>
      <c r="AZ513" s="8">
        <f>IF((0=1),AZ198,(C198+(C268*(50-1))))</f>
        <v>-163.15</v>
      </c>
      <c r="BA513" s="8">
        <f>IF((0=1),BA198,(C198+(C268*(51-1))))</f>
        <v>-166.413</v>
      </c>
      <c r="BB513" s="8">
        <f>IF((0=1),BB198,(C198+(C268*(52-1))))</f>
        <v>-169.676</v>
      </c>
      <c r="BC513" s="8">
        <f>IF((0=1),BC198,(C198+(C268*(53-1))))</f>
        <v>-172.939</v>
      </c>
      <c r="BD513" s="8">
        <f>IF((0=1),BD198,(C198+(C268*(54-1))))</f>
        <v>-176.202</v>
      </c>
      <c r="BE513" s="8">
        <f>IF((0=1),BE198,(C198+(C268*(55-1))))</f>
        <v>-179.465</v>
      </c>
      <c r="BF513" s="8">
        <f>IF((0=1),BF198,(C198+(C268*(56-1))))</f>
        <v>-182.728</v>
      </c>
      <c r="BG513" s="8">
        <f>IF((0=1),BG198,(C198+(C268*(57-1))))</f>
        <v>-185.991</v>
      </c>
      <c r="BH513" s="8">
        <f>IF((0=1),BH198,(C198+(C268*(58-1))))</f>
        <v>-189.254</v>
      </c>
      <c r="BI513" s="8">
        <f>IF((0=1),BI198,(C198+(C268*(59-1))))</f>
        <v>-192.517</v>
      </c>
      <c r="BJ513" s="8">
        <f>IF((0=1),BJ198,(C198+(C268*(60-1))))</f>
        <v>-195.78</v>
      </c>
      <c r="BK513" s="8">
        <f>IF((0=1),BK198,(C198+(C268*(61-1))))</f>
        <v>-199.043</v>
      </c>
      <c r="BL513" s="8">
        <f>IF((0=1),BL198,(C198+(C268*(62-1))))</f>
        <v>-202.306</v>
      </c>
      <c r="BM513" s="8">
        <f>IF((0=1),BM198,(C198+(C268*(63-1))))</f>
        <v>-205.569</v>
      </c>
      <c r="BN513" s="8">
        <f>IF((0=1),BN198,(C198+(C268*(64-1))))</f>
        <v>-208.832</v>
      </c>
      <c r="BO513" s="8">
        <f>IF((0=1),BO198,(C198+(C268*(65-1))))</f>
        <v>-212.095</v>
      </c>
      <c r="BP513" s="8">
        <f>IF((0=1),BP198,(C198+(C268*(66-1))))</f>
        <v>-215.358</v>
      </c>
      <c r="BQ513" s="8">
        <f>IF((0=1),BQ198,(C198+(C268*(67-1))))</f>
        <v>-218.621</v>
      </c>
      <c r="BR513" s="8">
        <f>IF((0=1),BR198,(C198+(C268*(68-1))))</f>
        <v>-221.884</v>
      </c>
      <c r="BS513" s="8">
        <f>IF((0=1),BS198,(C198+(C268*(69-1))))</f>
        <v>-225.147</v>
      </c>
      <c r="BT513" s="8">
        <f>IF((0=1),BT198,(C198+(C268*(70-1))))</f>
        <v>-228.41</v>
      </c>
      <c r="BU513" s="8">
        <f>IF((0=1),BU198,(C198+(C268*(71-1))))</f>
        <v>-231.673</v>
      </c>
      <c r="BV513" s="8">
        <f>IF((0=1),BV198,(C198+(C268*(72-1))))</f>
        <v>-234.936</v>
      </c>
      <c r="BW513" s="8">
        <f>IF((0=1),BW198,(C198+(C268*(73-1))))</f>
        <v>-238.19899999999998</v>
      </c>
      <c r="BX513" s="8">
        <f>IF((0=1),BX198,(C198+(C268*(74-1))))</f>
        <v>-241.462</v>
      </c>
      <c r="BY513" s="8">
        <f>IF((0=1),BY198,(C198+(C268*(75-1))))</f>
        <v>-244.725</v>
      </c>
      <c r="BZ513" s="8">
        <f>IF((0=1),BZ198,(C198+(C268*(76-1))))</f>
        <v>-247.988</v>
      </c>
      <c r="CA513" s="8">
        <f>IF((0=1),CA198,(C198+(C268*(77-1))))</f>
        <v>-251.251</v>
      </c>
      <c r="CB513" s="8">
        <f>IF((0=1),CB198,(C198+(C268*(78-1))))</f>
        <v>-254.514</v>
      </c>
      <c r="CC513" s="8">
        <f>IF((0=1),CC198,(C198+(C268*(79-1))))</f>
        <v>-257.777</v>
      </c>
      <c r="CD513" s="8">
        <f>IF((0=1),CD198,(C198+(C268*(80-1))))</f>
        <v>-261.03999999999996</v>
      </c>
      <c r="CE513" s="8">
        <f>IF((0=1),CE198,(C198+(C268*(81-1))))</f>
        <v>-264.30299999999994</v>
      </c>
      <c r="CF513" s="8">
        <f>IF((0=1),CF198,(C198+(C268*(82-1))))</f>
        <v>-267.566</v>
      </c>
      <c r="CG513" s="8">
        <f>IF((0=1),CG198,(C198+(C268*(83-1))))</f>
        <v>-270.82899999999995</v>
      </c>
      <c r="CH513" s="8">
        <f>IF((0=1),CH198,(C198+(C268*(84-1))))</f>
        <v>-274.092</v>
      </c>
      <c r="CI513" s="8">
        <f>IF((0=1),CI198,(C198+(C268*(85-1))))</f>
        <v>-277.35499999999996</v>
      </c>
      <c r="CJ513" s="8">
        <f>IF((0=1),CJ198,(C198+(C268*(86-1))))</f>
        <v>-280.618</v>
      </c>
      <c r="CK513" s="8">
        <f>IF((0=1),CK198,(C198+(C268*(87-1))))</f>
        <v>-283.881</v>
      </c>
      <c r="CL513" s="8">
        <f>IF((0=1),CL198,(C198+(C268*(88-1))))</f>
        <v>-287.14399999999995</v>
      </c>
      <c r="CM513" s="8">
        <f>IF((0=1),CM198,(C198+(C268*(89-1))))</f>
        <v>-290.407</v>
      </c>
      <c r="CN513" s="8">
        <f>IF((0=1),CN198,(C198+(C268*(90-1))))</f>
        <v>-293.66999999999996</v>
      </c>
      <c r="CO513" s="8">
        <f>IF((0=1),CO198,(C198+(C268*(91-1))))</f>
        <v>-296.933</v>
      </c>
      <c r="CP513" s="8">
        <f>IF((0=1),CP198,(C198+(C268*(92-1))))</f>
        <v>-300.19599999999997</v>
      </c>
      <c r="CQ513" s="8">
        <f>IF((0=1),CQ198,(C198+(C268*(93-1))))</f>
        <v>-303.45899999999995</v>
      </c>
      <c r="CR513" s="8">
        <f>IF((0=1),CR198,(C198+(C268*(94-1))))</f>
        <v>-306.722</v>
      </c>
      <c r="CS513" s="8">
        <f>IF((0=1),CS198,(C198+(C268*(95-1))))</f>
        <v>-309.98499999999996</v>
      </c>
      <c r="CT513" s="8">
        <f>IF((0=1),CT198,(C198+(C268*(96-1))))</f>
        <v>-313.248</v>
      </c>
      <c r="CU513" s="8">
        <f>IF((0=1),CU198,(C198+(C268*(97-1))))</f>
        <v>-316.51099999999997</v>
      </c>
      <c r="CV513" s="8">
        <f>IF((0=1),CV198,(C198+(C268*(98-1))))</f>
        <v>-319.77399999999994</v>
      </c>
      <c r="CW513" s="8">
        <f>IF((0=1),CW198,(C198+(C268*(99-1))))</f>
        <v>-323.037</v>
      </c>
      <c r="CX513" s="8">
        <f>IF((0=1),CX198,(C198+(C268*(100-1))))</f>
        <v>-326.29999999999995</v>
      </c>
    </row>
    <row r="514">
      <c r="A514" s="0" t="inlineStr">
        <is>
          <t xml:space="preserve">Cumulative excess, realized then projected at running mean</t>
        </is>
      </c>
      <c r="B514" s="0" t="inlineStr">
        <is>
          <t xml:space="preserve">Random 8</t>
        </is>
      </c>
      <c r="C514" s="8">
        <f>IF((1=1),C199,(C199+(C269*(1-1))))</f>
        <v>3.133</v>
      </c>
      <c r="D514" s="8">
        <f>IF((0=1),D199,(C199+(C269*(2-1))))</f>
        <v>6.266</v>
      </c>
      <c r="E514" s="8">
        <f>IF((0=1),E199,(C199+(C269*(3-1))))</f>
        <v>9.399000000000001</v>
      </c>
      <c r="F514" s="8">
        <f>IF((0=1),F199,(C199+(C269*(4-1))))</f>
        <v>12.532</v>
      </c>
      <c r="G514" s="8">
        <f>IF((0=1),G199,(C199+(C269*(5-1))))</f>
        <v>15.665</v>
      </c>
      <c r="H514" s="8">
        <f>IF((0=1),H199,(C199+(C269*(6-1))))</f>
        <v>18.798</v>
      </c>
      <c r="I514" s="8">
        <f>IF((0=1),I199,(C199+(C269*(7-1))))</f>
        <v>21.931</v>
      </c>
      <c r="J514" s="8">
        <f>IF((0=1),J199,(C199+(C269*(8-1))))</f>
        <v>25.064</v>
      </c>
      <c r="K514" s="8">
        <f>IF((0=1),K199,(C199+(C269*(9-1))))</f>
        <v>28.197</v>
      </c>
      <c r="L514" s="8">
        <f>IF((0=1),L199,(C199+(C269*(10-1))))</f>
        <v>31.33</v>
      </c>
      <c r="M514" s="8">
        <f>IF((0=1),M199,(C199+(C269*(11-1))))</f>
        <v>34.463</v>
      </c>
      <c r="N514" s="8">
        <f>IF((0=1),N199,(C199+(C269*(12-1))))</f>
        <v>37.596000000000004</v>
      </c>
      <c r="O514" s="8">
        <f>IF((0=1),O199,(C199+(C269*(13-1))))</f>
        <v>40.729000000000006</v>
      </c>
      <c r="P514" s="8">
        <f>IF((0=1),P199,(C199+(C269*(14-1))))</f>
        <v>43.862</v>
      </c>
      <c r="Q514" s="8">
        <f>IF((0=1),Q199,(C199+(C269*(15-1))))</f>
        <v>46.995000000000005</v>
      </c>
      <c r="R514" s="8">
        <f>IF((0=1),R199,(C199+(C269*(16-1))))</f>
        <v>50.128</v>
      </c>
      <c r="S514" s="8">
        <f>IF((0=1),S199,(C199+(C269*(17-1))))</f>
        <v>53.261</v>
      </c>
      <c r="T514" s="8">
        <f>IF((0=1),T199,(C199+(C269*(18-1))))</f>
        <v>56.394000000000005</v>
      </c>
      <c r="U514" s="8">
        <f>IF((0=1),U199,(C199+(C269*(19-1))))</f>
        <v>59.527</v>
      </c>
      <c r="V514" s="8">
        <f>IF((0=1),V199,(C199+(C269*(20-1))))</f>
        <v>62.660000000000004</v>
      </c>
      <c r="W514" s="8">
        <f>IF((0=1),W199,(C199+(C269*(21-1))))</f>
        <v>65.79299999999999</v>
      </c>
      <c r="X514" s="8">
        <f>IF((0=1),X199,(C199+(C269*(22-1))))</f>
        <v>68.926</v>
      </c>
      <c r="Y514" s="8">
        <f>IF((0=1),Y199,(C199+(C269*(23-1))))</f>
        <v>72.059</v>
      </c>
      <c r="Z514" s="8">
        <f>IF((0=1),Z199,(C199+(C269*(24-1))))</f>
        <v>75.192</v>
      </c>
      <c r="AA514" s="8">
        <f>IF((0=1),AA199,(C199+(C269*(25-1))))</f>
        <v>78.325</v>
      </c>
      <c r="AB514" s="8">
        <f>IF((0=1),AB199,(C199+(C269*(26-1))))</f>
        <v>81.458</v>
      </c>
      <c r="AC514" s="8">
        <f>IF((0=1),AC199,(C199+(C269*(27-1))))</f>
        <v>84.591</v>
      </c>
      <c r="AD514" s="8">
        <f>IF((0=1),AD199,(C199+(C269*(28-1))))</f>
        <v>87.72399999999999</v>
      </c>
      <c r="AE514" s="8">
        <f>IF((0=1),AE199,(C199+(C269*(29-1))))</f>
        <v>90.857</v>
      </c>
      <c r="AF514" s="8">
        <f>IF((0=1),AF199,(C199+(C269*(30-1))))</f>
        <v>93.99</v>
      </c>
      <c r="AG514" s="8">
        <f>IF((0=1),AG199,(C199+(C269*(31-1))))</f>
        <v>97.12299999999999</v>
      </c>
      <c r="AH514" s="8">
        <f>IF((0=1),AH199,(C199+(C269*(32-1))))</f>
        <v>100.256</v>
      </c>
      <c r="AI514" s="8">
        <f>IF((0=1),AI199,(C199+(C269*(33-1))))</f>
        <v>103.389</v>
      </c>
      <c r="AJ514" s="8">
        <f>IF((0=1),AJ199,(C199+(C269*(34-1))))</f>
        <v>106.52199999999999</v>
      </c>
      <c r="AK514" s="8">
        <f>IF((0=1),AK199,(C199+(C269*(35-1))))</f>
        <v>109.655</v>
      </c>
      <c r="AL514" s="8">
        <f>IF((0=1),AL199,(C199+(C269*(36-1))))</f>
        <v>112.788</v>
      </c>
      <c r="AM514" s="8">
        <f>IF((0=1),AM199,(C199+(C269*(37-1))))</f>
        <v>115.92099999999999</v>
      </c>
      <c r="AN514" s="8">
        <f>IF((0=1),AN199,(C199+(C269*(38-1))))</f>
        <v>119.054</v>
      </c>
      <c r="AO514" s="8">
        <f>IF((0=1),AO199,(C199+(C269*(39-1))))</f>
        <v>122.187</v>
      </c>
      <c r="AP514" s="8">
        <f>IF((0=1),AP199,(C199+(C269*(40-1))))</f>
        <v>125.32</v>
      </c>
      <c r="AQ514" s="8">
        <f>IF((0=1),AQ199,(C199+(C269*(41-1))))</f>
        <v>128.453</v>
      </c>
      <c r="AR514" s="8">
        <f>IF((0=1),AR199,(C199+(C269*(42-1))))</f>
        <v>131.586</v>
      </c>
      <c r="AS514" s="8">
        <f>IF((0=1),AS199,(C199+(C269*(43-1))))</f>
        <v>134.71900000000002</v>
      </c>
      <c r="AT514" s="8">
        <f>IF((0=1),AT199,(C199+(C269*(44-1))))</f>
        <v>137.852</v>
      </c>
      <c r="AU514" s="8">
        <f>IF((0=1),AU199,(C199+(C269*(45-1))))</f>
        <v>140.985</v>
      </c>
      <c r="AV514" s="8">
        <f>IF((0=1),AV199,(C199+(C269*(46-1))))</f>
        <v>144.11800000000002</v>
      </c>
      <c r="AW514" s="8">
        <f>IF((0=1),AW199,(C199+(C269*(47-1))))</f>
        <v>147.251</v>
      </c>
      <c r="AX514" s="8">
        <f>IF((0=1),AX199,(C199+(C269*(48-1))))</f>
        <v>150.38400000000001</v>
      </c>
      <c r="AY514" s="8">
        <f>IF((0=1),AY199,(C199+(C269*(49-1))))</f>
        <v>153.51700000000002</v>
      </c>
      <c r="AZ514" s="8">
        <f>IF((0=1),AZ199,(C199+(C269*(50-1))))</f>
        <v>156.65</v>
      </c>
      <c r="BA514" s="8">
        <f>IF((0=1),BA199,(C199+(C269*(51-1))))</f>
        <v>159.78300000000002</v>
      </c>
      <c r="BB514" s="8">
        <f>IF((0=1),BB199,(C199+(C269*(52-1))))</f>
        <v>162.916</v>
      </c>
      <c r="BC514" s="8">
        <f>IF((0=1),BC199,(C199+(C269*(53-1))))</f>
        <v>166.049</v>
      </c>
      <c r="BD514" s="8">
        <f>IF((0=1),BD199,(C199+(C269*(54-1))))</f>
        <v>169.18200000000002</v>
      </c>
      <c r="BE514" s="8">
        <f>IF((0=1),BE199,(C199+(C269*(55-1))))</f>
        <v>172.315</v>
      </c>
      <c r="BF514" s="8">
        <f>IF((0=1),BF199,(C199+(C269*(56-1))))</f>
        <v>175.448</v>
      </c>
      <c r="BG514" s="8">
        <f>IF((0=1),BG199,(C199+(C269*(57-1))))</f>
        <v>178.58100000000002</v>
      </c>
      <c r="BH514" s="8">
        <f>IF((0=1),BH199,(C199+(C269*(58-1))))</f>
        <v>181.714</v>
      </c>
      <c r="BI514" s="8">
        <f>IF((0=1),BI199,(C199+(C269*(59-1))))</f>
        <v>184.847</v>
      </c>
      <c r="BJ514" s="8">
        <f>IF((0=1),BJ199,(C199+(C269*(60-1))))</f>
        <v>187.98000000000002</v>
      </c>
      <c r="BK514" s="8">
        <f>IF((0=1),BK199,(C199+(C269*(61-1))))</f>
        <v>191.113</v>
      </c>
      <c r="BL514" s="8">
        <f>IF((0=1),BL199,(C199+(C269*(62-1))))</f>
        <v>194.246</v>
      </c>
      <c r="BM514" s="8">
        <f>IF((0=1),BM199,(C199+(C269*(63-1))))</f>
        <v>197.37900000000002</v>
      </c>
      <c r="BN514" s="8">
        <f>IF((0=1),BN199,(C199+(C269*(64-1))))</f>
        <v>200.512</v>
      </c>
      <c r="BO514" s="8">
        <f>IF((0=1),BO199,(C199+(C269*(65-1))))</f>
        <v>203.645</v>
      </c>
      <c r="BP514" s="8">
        <f>IF((0=1),BP199,(C199+(C269*(66-1))))</f>
        <v>206.77800000000002</v>
      </c>
      <c r="BQ514" s="8">
        <f>IF((0=1),BQ199,(C199+(C269*(67-1))))</f>
        <v>209.911</v>
      </c>
      <c r="BR514" s="8">
        <f>IF((0=1),BR199,(C199+(C269*(68-1))))</f>
        <v>213.044</v>
      </c>
      <c r="BS514" s="8">
        <f>IF((0=1),BS199,(C199+(C269*(69-1))))</f>
        <v>216.17700000000002</v>
      </c>
      <c r="BT514" s="8">
        <f>IF((0=1),BT199,(C199+(C269*(70-1))))</f>
        <v>219.31</v>
      </c>
      <c r="BU514" s="8">
        <f>IF((0=1),BU199,(C199+(C269*(71-1))))</f>
        <v>222.443</v>
      </c>
      <c r="BV514" s="8">
        <f>IF((0=1),BV199,(C199+(C269*(72-1))))</f>
        <v>225.57600000000002</v>
      </c>
      <c r="BW514" s="8">
        <f>IF((0=1),BW199,(C199+(C269*(73-1))))</f>
        <v>228.709</v>
      </c>
      <c r="BX514" s="8">
        <f>IF((0=1),BX199,(C199+(C269*(74-1))))</f>
        <v>231.842</v>
      </c>
      <c r="BY514" s="8">
        <f>IF((0=1),BY199,(C199+(C269*(75-1))))</f>
        <v>234.97500000000002</v>
      </c>
      <c r="BZ514" s="8">
        <f>IF((0=1),BZ199,(C199+(C269*(76-1))))</f>
        <v>238.108</v>
      </c>
      <c r="CA514" s="8">
        <f>IF((0=1),CA199,(C199+(C269*(77-1))))</f>
        <v>241.241</v>
      </c>
      <c r="CB514" s="8">
        <f>IF((0=1),CB199,(C199+(C269*(78-1))))</f>
        <v>244.37400000000002</v>
      </c>
      <c r="CC514" s="8">
        <f>IF((0=1),CC199,(C199+(C269*(79-1))))</f>
        <v>247.507</v>
      </c>
      <c r="CD514" s="8">
        <f>IF((0=1),CD199,(C199+(C269*(80-1))))</f>
        <v>250.64000000000001</v>
      </c>
      <c r="CE514" s="8">
        <f>IF((0=1),CE199,(C199+(C269*(81-1))))</f>
        <v>253.773</v>
      </c>
      <c r="CF514" s="8">
        <f>IF((0=1),CF199,(C199+(C269*(82-1))))</f>
        <v>256.906</v>
      </c>
      <c r="CG514" s="8">
        <f>IF((0=1),CG199,(C199+(C269*(83-1))))</f>
        <v>260.039</v>
      </c>
      <c r="CH514" s="8">
        <f>IF((0=1),CH199,(C199+(C269*(84-1))))</f>
        <v>263.17199999999997</v>
      </c>
      <c r="CI514" s="8">
        <f>IF((0=1),CI199,(C199+(C269*(85-1))))</f>
        <v>266.305</v>
      </c>
      <c r="CJ514" s="8">
        <f>IF((0=1),CJ199,(C199+(C269*(86-1))))</f>
        <v>269.438</v>
      </c>
      <c r="CK514" s="8">
        <f>IF((0=1),CK199,(C199+(C269*(87-1))))</f>
        <v>272.57099999999997</v>
      </c>
      <c r="CL514" s="8">
        <f>IF((0=1),CL199,(C199+(C269*(88-1))))</f>
        <v>275.704</v>
      </c>
      <c r="CM514" s="8">
        <f>IF((0=1),CM199,(C199+(C269*(89-1))))</f>
        <v>278.837</v>
      </c>
      <c r="CN514" s="8">
        <f>IF((0=1),CN199,(C199+(C269*(90-1))))</f>
        <v>281.96999999999997</v>
      </c>
      <c r="CO514" s="8">
        <f>IF((0=1),CO199,(C199+(C269*(91-1))))</f>
        <v>285.103</v>
      </c>
      <c r="CP514" s="8">
        <f>IF((0=1),CP199,(C199+(C269*(92-1))))</f>
        <v>288.236</v>
      </c>
      <c r="CQ514" s="8">
        <f>IF((0=1),CQ199,(C199+(C269*(93-1))))</f>
        <v>291.36899999999997</v>
      </c>
      <c r="CR514" s="8">
        <f>IF((0=1),CR199,(C199+(C269*(94-1))))</f>
        <v>294.502</v>
      </c>
      <c r="CS514" s="8">
        <f>IF((0=1),CS199,(C199+(C269*(95-1))))</f>
        <v>297.635</v>
      </c>
      <c r="CT514" s="8">
        <f>IF((0=1),CT199,(C199+(C269*(96-1))))</f>
        <v>300.768</v>
      </c>
      <c r="CU514" s="8">
        <f>IF((0=1),CU199,(C199+(C269*(97-1))))</f>
        <v>303.901</v>
      </c>
      <c r="CV514" s="8">
        <f>IF((0=1),CV199,(C199+(C269*(98-1))))</f>
        <v>307.034</v>
      </c>
      <c r="CW514" s="8">
        <f>IF((0=1),CW199,(C199+(C269*(99-1))))</f>
        <v>310.167</v>
      </c>
      <c r="CX514" s="8">
        <f>IF((0=1),CX199,(C199+(C269*(100-1))))</f>
        <v>313.29999999999995</v>
      </c>
    </row>
    <row r="515">
      <c r="A515" s="0" t="inlineStr">
        <is>
          <t xml:space="preserve">Cumulative excess, realized then projected at running mean</t>
        </is>
      </c>
      <c r="B515" s="0" t="inlineStr">
        <is>
          <t xml:space="preserve">Random 9</t>
        </is>
      </c>
      <c r="C515" s="8">
        <f>IF((1=1),C200,(C200+(C270*(1-1))))</f>
        <v>-3.328</v>
      </c>
      <c r="D515" s="8">
        <f>IF((0=1),D200,(C200+(C270*(2-1))))</f>
        <v>-6.656</v>
      </c>
      <c r="E515" s="8">
        <f>IF((0=1),E200,(C200+(C270*(3-1))))</f>
        <v>-9.984</v>
      </c>
      <c r="F515" s="8">
        <f>IF((0=1),F200,(C200+(C270*(4-1))))</f>
        <v>-13.312</v>
      </c>
      <c r="G515" s="8">
        <f>IF((0=1),G200,(C200+(C270*(5-1))))</f>
        <v>-16.64</v>
      </c>
      <c r="H515" s="8">
        <f>IF((0=1),H200,(C200+(C270*(6-1))))</f>
        <v>-19.968</v>
      </c>
      <c r="I515" s="8">
        <f>IF((0=1),I200,(C200+(C270*(7-1))))</f>
        <v>-23.296</v>
      </c>
      <c r="J515" s="8">
        <f>IF((0=1),J200,(C200+(C270*(8-1))))</f>
        <v>-26.624</v>
      </c>
      <c r="K515" s="8">
        <f>IF((0=1),K200,(C200+(C270*(9-1))))</f>
        <v>-29.951999999999998</v>
      </c>
      <c r="L515" s="8">
        <f>IF((0=1),L200,(C200+(C270*(10-1))))</f>
        <v>-33.28</v>
      </c>
      <c r="M515" s="8">
        <f>IF((0=1),M200,(C200+(C270*(11-1))))</f>
        <v>-36.608000000000004</v>
      </c>
      <c r="N515" s="8">
        <f>IF((0=1),N200,(C200+(C270*(12-1))))</f>
        <v>-39.936</v>
      </c>
      <c r="O515" s="8">
        <f>IF((0=1),O200,(C200+(C270*(13-1))))</f>
        <v>-43.264</v>
      </c>
      <c r="P515" s="8">
        <f>IF((0=1),P200,(C200+(C270*(14-1))))</f>
        <v>-46.592</v>
      </c>
      <c r="Q515" s="8">
        <f>IF((0=1),Q200,(C200+(C270*(15-1))))</f>
        <v>-49.92</v>
      </c>
      <c r="R515" s="8">
        <f>IF((0=1),R200,(C200+(C270*(16-1))))</f>
        <v>-53.248</v>
      </c>
      <c r="S515" s="8">
        <f>IF((0=1),S200,(C200+(C270*(17-1))))</f>
        <v>-56.576</v>
      </c>
      <c r="T515" s="8">
        <f>IF((0=1),T200,(C200+(C270*(18-1))))</f>
        <v>-59.904</v>
      </c>
      <c r="U515" s="8">
        <f>IF((0=1),U200,(C200+(C270*(19-1))))</f>
        <v>-63.232</v>
      </c>
      <c r="V515" s="8">
        <f>IF((0=1),V200,(C200+(C270*(20-1))))</f>
        <v>-66.56</v>
      </c>
      <c r="W515" s="8">
        <f>IF((0=1),W200,(C200+(C270*(21-1))))</f>
        <v>-69.888</v>
      </c>
      <c r="X515" s="8">
        <f>IF((0=1),X200,(C200+(C270*(22-1))))</f>
        <v>-73.216</v>
      </c>
      <c r="Y515" s="8">
        <f>IF((0=1),Y200,(C200+(C270*(23-1))))</f>
        <v>-76.544</v>
      </c>
      <c r="Z515" s="8">
        <f>IF((0=1),Z200,(C200+(C270*(24-1))))</f>
        <v>-79.872</v>
      </c>
      <c r="AA515" s="8">
        <f>IF((0=1),AA200,(C200+(C270*(25-1))))</f>
        <v>-83.2</v>
      </c>
      <c r="AB515" s="8">
        <f>IF((0=1),AB200,(C200+(C270*(26-1))))</f>
        <v>-86.528</v>
      </c>
      <c r="AC515" s="8">
        <f>IF((0=1),AC200,(C200+(C270*(27-1))))</f>
        <v>-89.856</v>
      </c>
      <c r="AD515" s="8">
        <f>IF((0=1),AD200,(C200+(C270*(28-1))))</f>
        <v>-93.184</v>
      </c>
      <c r="AE515" s="8">
        <f>IF((0=1),AE200,(C200+(C270*(29-1))))</f>
        <v>-96.512</v>
      </c>
      <c r="AF515" s="8">
        <f>IF((0=1),AF200,(C200+(C270*(30-1))))</f>
        <v>-99.84</v>
      </c>
      <c r="AG515" s="8">
        <f>IF((0=1),AG200,(C200+(C270*(31-1))))</f>
        <v>-103.16799999999999</v>
      </c>
      <c r="AH515" s="8">
        <f>IF((0=1),AH200,(C200+(C270*(32-1))))</f>
        <v>-106.496</v>
      </c>
      <c r="AI515" s="8">
        <f>IF((0=1),AI200,(C200+(C270*(33-1))))</f>
        <v>-109.824</v>
      </c>
      <c r="AJ515" s="8">
        <f>IF((0=1),AJ200,(C200+(C270*(34-1))))</f>
        <v>-113.152</v>
      </c>
      <c r="AK515" s="8">
        <f>IF((0=1),AK200,(C200+(C270*(35-1))))</f>
        <v>-116.48</v>
      </c>
      <c r="AL515" s="8">
        <f>IF((0=1),AL200,(C200+(C270*(36-1))))</f>
        <v>-119.80799999999999</v>
      </c>
      <c r="AM515" s="8">
        <f>IF((0=1),AM200,(C200+(C270*(37-1))))</f>
        <v>-123.136</v>
      </c>
      <c r="AN515" s="8">
        <f>IF((0=1),AN200,(C200+(C270*(38-1))))</f>
        <v>-126.464</v>
      </c>
      <c r="AO515" s="8">
        <f>IF((0=1),AO200,(C200+(C270*(39-1))))</f>
        <v>-129.792</v>
      </c>
      <c r="AP515" s="8">
        <f>IF((0=1),AP200,(C200+(C270*(40-1))))</f>
        <v>-133.12</v>
      </c>
      <c r="AQ515" s="8">
        <f>IF((0=1),AQ200,(C200+(C270*(41-1))))</f>
        <v>-136.448</v>
      </c>
      <c r="AR515" s="8">
        <f>IF((0=1),AR200,(C200+(C270*(42-1))))</f>
        <v>-139.776</v>
      </c>
      <c r="AS515" s="8">
        <f>IF((0=1),AS200,(C200+(C270*(43-1))))</f>
        <v>-143.10399999999998</v>
      </c>
      <c r="AT515" s="8">
        <f>IF((0=1),AT200,(C200+(C270*(44-1))))</f>
        <v>-146.432</v>
      </c>
      <c r="AU515" s="8">
        <f>IF((0=1),AU200,(C200+(C270*(45-1))))</f>
        <v>-149.76</v>
      </c>
      <c r="AV515" s="8">
        <f>IF((0=1),AV200,(C200+(C270*(46-1))))</f>
        <v>-153.088</v>
      </c>
      <c r="AW515" s="8">
        <f>IF((0=1),AW200,(C200+(C270*(47-1))))</f>
        <v>-156.416</v>
      </c>
      <c r="AX515" s="8">
        <f>IF((0=1),AX200,(C200+(C270*(48-1))))</f>
        <v>-159.744</v>
      </c>
      <c r="AY515" s="8">
        <f>IF((0=1),AY200,(C200+(C270*(49-1))))</f>
        <v>-163.072</v>
      </c>
      <c r="AZ515" s="8">
        <f>IF((0=1),AZ200,(C200+(C270*(50-1))))</f>
        <v>-166.4</v>
      </c>
      <c r="BA515" s="8">
        <f>IF((0=1),BA200,(C200+(C270*(51-1))))</f>
        <v>-169.728</v>
      </c>
      <c r="BB515" s="8">
        <f>IF((0=1),BB200,(C200+(C270*(52-1))))</f>
        <v>-173.05599999999998</v>
      </c>
      <c r="BC515" s="8">
        <f>IF((0=1),BC200,(C200+(C270*(53-1))))</f>
        <v>-176.384</v>
      </c>
      <c r="BD515" s="8">
        <f>IF((0=1),BD200,(C200+(C270*(54-1))))</f>
        <v>-179.712</v>
      </c>
      <c r="BE515" s="8">
        <f>IF((0=1),BE200,(C200+(C270*(55-1))))</f>
        <v>-183.04</v>
      </c>
      <c r="BF515" s="8">
        <f>IF((0=1),BF200,(C200+(C270*(56-1))))</f>
        <v>-186.368</v>
      </c>
      <c r="BG515" s="8">
        <f>IF((0=1),BG200,(C200+(C270*(57-1))))</f>
        <v>-189.696</v>
      </c>
      <c r="BH515" s="8">
        <f>IF((0=1),BH200,(C200+(C270*(58-1))))</f>
        <v>-193.024</v>
      </c>
      <c r="BI515" s="8">
        <f>IF((0=1),BI200,(C200+(C270*(59-1))))</f>
        <v>-196.352</v>
      </c>
      <c r="BJ515" s="8">
        <f>IF((0=1),BJ200,(C200+(C270*(60-1))))</f>
        <v>-199.68</v>
      </c>
      <c r="BK515" s="8">
        <f>IF((0=1),BK200,(C200+(C270*(61-1))))</f>
        <v>-203.00799999999998</v>
      </c>
      <c r="BL515" s="8">
        <f>IF((0=1),BL200,(C200+(C270*(62-1))))</f>
        <v>-206.33599999999998</v>
      </c>
      <c r="BM515" s="8">
        <f>IF((0=1),BM200,(C200+(C270*(63-1))))</f>
        <v>-209.664</v>
      </c>
      <c r="BN515" s="8">
        <f>IF((0=1),BN200,(C200+(C270*(64-1))))</f>
        <v>-212.992</v>
      </c>
      <c r="BO515" s="8">
        <f>IF((0=1),BO200,(C200+(C270*(65-1))))</f>
        <v>-216.32</v>
      </c>
      <c r="BP515" s="8">
        <f>IF((0=1),BP200,(C200+(C270*(66-1))))</f>
        <v>-219.648</v>
      </c>
      <c r="BQ515" s="8">
        <f>IF((0=1),BQ200,(C200+(C270*(67-1))))</f>
        <v>-222.976</v>
      </c>
      <c r="BR515" s="8">
        <f>IF((0=1),BR200,(C200+(C270*(68-1))))</f>
        <v>-226.304</v>
      </c>
      <c r="BS515" s="8">
        <f>IF((0=1),BS200,(C200+(C270*(69-1))))</f>
        <v>-229.632</v>
      </c>
      <c r="BT515" s="8">
        <f>IF((0=1),BT200,(C200+(C270*(70-1))))</f>
        <v>-232.95999999999998</v>
      </c>
      <c r="BU515" s="8">
        <f>IF((0=1),BU200,(C200+(C270*(71-1))))</f>
        <v>-236.28799999999998</v>
      </c>
      <c r="BV515" s="8">
        <f>IF((0=1),BV200,(C200+(C270*(72-1))))</f>
        <v>-239.61599999999999</v>
      </c>
      <c r="BW515" s="8">
        <f>IF((0=1),BW200,(C200+(C270*(73-1))))</f>
        <v>-242.944</v>
      </c>
      <c r="BX515" s="8">
        <f>IF((0=1),BX200,(C200+(C270*(74-1))))</f>
        <v>-246.272</v>
      </c>
      <c r="BY515" s="8">
        <f>IF((0=1),BY200,(C200+(C270*(75-1))))</f>
        <v>-249.6</v>
      </c>
      <c r="BZ515" s="8">
        <f>IF((0=1),BZ200,(C200+(C270*(76-1))))</f>
        <v>-252.928</v>
      </c>
      <c r="CA515" s="8">
        <f>IF((0=1),CA200,(C200+(C270*(77-1))))</f>
        <v>-256.256</v>
      </c>
      <c r="CB515" s="8">
        <f>IF((0=1),CB200,(C200+(C270*(78-1))))</f>
        <v>-259.58399999999995</v>
      </c>
      <c r="CC515" s="8">
        <f>IF((0=1),CC200,(C200+(C270*(79-1))))</f>
        <v>-262.912</v>
      </c>
      <c r="CD515" s="8">
        <f>IF((0=1),CD200,(C200+(C270*(80-1))))</f>
        <v>-266.23999999999995</v>
      </c>
      <c r="CE515" s="8">
        <f>IF((0=1),CE200,(C200+(C270*(81-1))))</f>
        <v>-269.568</v>
      </c>
      <c r="CF515" s="8">
        <f>IF((0=1),CF200,(C200+(C270*(82-1))))</f>
        <v>-272.89599999999996</v>
      </c>
      <c r="CG515" s="8">
        <f>IF((0=1),CG200,(C200+(C270*(83-1))))</f>
        <v>-276.224</v>
      </c>
      <c r="CH515" s="8">
        <f>IF((0=1),CH200,(C200+(C270*(84-1))))</f>
        <v>-279.55199999999996</v>
      </c>
      <c r="CI515" s="8">
        <f>IF((0=1),CI200,(C200+(C270*(85-1))))</f>
        <v>-282.87999999999994</v>
      </c>
      <c r="CJ515" s="8">
        <f>IF((0=1),CJ200,(C200+(C270*(86-1))))</f>
        <v>-286.20799999999997</v>
      </c>
      <c r="CK515" s="8">
        <f>IF((0=1),CK200,(C200+(C270*(87-1))))</f>
        <v>-289.53599999999994</v>
      </c>
      <c r="CL515" s="8">
        <f>IF((0=1),CL200,(C200+(C270*(88-1))))</f>
        <v>-292.864</v>
      </c>
      <c r="CM515" s="8">
        <f>IF((0=1),CM200,(C200+(C270*(89-1))))</f>
        <v>-296.19199999999995</v>
      </c>
      <c r="CN515" s="8">
        <f>IF((0=1),CN200,(C200+(C270*(90-1))))</f>
        <v>-299.52</v>
      </c>
      <c r="CO515" s="8">
        <f>IF((0=1),CO200,(C200+(C270*(91-1))))</f>
        <v>-302.84799999999996</v>
      </c>
      <c r="CP515" s="8">
        <f>IF((0=1),CP200,(C200+(C270*(92-1))))</f>
        <v>-306.176</v>
      </c>
      <c r="CQ515" s="8">
        <f>IF((0=1),CQ200,(C200+(C270*(93-1))))</f>
        <v>-309.50399999999996</v>
      </c>
      <c r="CR515" s="8">
        <f>IF((0=1),CR200,(C200+(C270*(94-1))))</f>
        <v>-312.83199999999994</v>
      </c>
      <c r="CS515" s="8">
        <f>IF((0=1),CS200,(C200+(C270*(95-1))))</f>
        <v>-316.15999999999997</v>
      </c>
      <c r="CT515" s="8">
        <f>IF((0=1),CT200,(C200+(C270*(96-1))))</f>
        <v>-319.48799999999994</v>
      </c>
      <c r="CU515" s="8">
        <f>IF((0=1),CU200,(C200+(C270*(97-1))))</f>
        <v>-322.816</v>
      </c>
      <c r="CV515" s="8">
        <f>IF((0=1),CV200,(C200+(C270*(98-1))))</f>
        <v>-326.14399999999995</v>
      </c>
      <c r="CW515" s="8">
        <f>IF((0=1),CW200,(C200+(C270*(99-1))))</f>
        <v>-329.472</v>
      </c>
      <c r="CX515" s="8">
        <f>IF((0=1),CX200,(C200+(C270*(100-1))))</f>
        <v>-332.79999999999995</v>
      </c>
    </row>
    <row r="516">
      <c r="A516" s="0" t="inlineStr">
        <is>
          <t xml:space="preserve">Cumulative excess, realized then projected at running mean</t>
        </is>
      </c>
      <c r="B516" s="0" t="inlineStr">
        <is>
          <t xml:space="preserve">Random 10</t>
        </is>
      </c>
      <c r="C516" s="8">
        <f>IF((1=1),C201,(C201+(C271*(1-1))))</f>
        <v>4.866</v>
      </c>
      <c r="D516" s="8">
        <f>IF((0=1),D201,(C201+(C271*(2-1))))</f>
        <v>9.732</v>
      </c>
      <c r="E516" s="8">
        <f>IF((0=1),E201,(C201+(C271*(3-1))))</f>
        <v>14.597999999999999</v>
      </c>
      <c r="F516" s="8">
        <f>IF((0=1),F201,(C201+(C271*(4-1))))</f>
        <v>19.464</v>
      </c>
      <c r="G516" s="8">
        <f>IF((0=1),G201,(C201+(C271*(5-1))))</f>
        <v>24.33</v>
      </c>
      <c r="H516" s="8">
        <f>IF((0=1),H201,(C201+(C271*(6-1))))</f>
        <v>29.195999999999998</v>
      </c>
      <c r="I516" s="8">
        <f>IF((0=1),I201,(C201+(C271*(7-1))))</f>
        <v>34.062</v>
      </c>
      <c r="J516" s="8">
        <f>IF((0=1),J201,(C201+(C271*(8-1))))</f>
        <v>38.928</v>
      </c>
      <c r="K516" s="8">
        <f>IF((0=1),K201,(C201+(C271*(9-1))))</f>
        <v>43.794</v>
      </c>
      <c r="L516" s="8">
        <f>IF((0=1),L201,(C201+(C271*(10-1))))</f>
        <v>48.66</v>
      </c>
      <c r="M516" s="8">
        <f>IF((0=1),M201,(C201+(C271*(11-1))))</f>
        <v>53.525999999999996</v>
      </c>
      <c r="N516" s="8">
        <f>IF((0=1),N201,(C201+(C271*(12-1))))</f>
        <v>58.391999999999996</v>
      </c>
      <c r="O516" s="8">
        <f>IF((0=1),O201,(C201+(C271*(13-1))))</f>
        <v>63.257999999999996</v>
      </c>
      <c r="P516" s="8">
        <f>IF((0=1),P201,(C201+(C271*(14-1))))</f>
        <v>68.124</v>
      </c>
      <c r="Q516" s="8">
        <f>IF((0=1),Q201,(C201+(C271*(15-1))))</f>
        <v>72.99</v>
      </c>
      <c r="R516" s="8">
        <f>IF((0=1),R201,(C201+(C271*(16-1))))</f>
        <v>77.856</v>
      </c>
      <c r="S516" s="8">
        <f>IF((0=1),S201,(C201+(C271*(17-1))))</f>
        <v>82.722</v>
      </c>
      <c r="T516" s="8">
        <f>IF((0=1),T201,(C201+(C271*(18-1))))</f>
        <v>87.588</v>
      </c>
      <c r="U516" s="8">
        <f>IF((0=1),U201,(C201+(C271*(19-1))))</f>
        <v>92.454</v>
      </c>
      <c r="V516" s="8">
        <f>IF((0=1),V201,(C201+(C271*(20-1))))</f>
        <v>97.32</v>
      </c>
      <c r="W516" s="8">
        <f>IF((0=1),W201,(C201+(C271*(21-1))))</f>
        <v>102.18599999999999</v>
      </c>
      <c r="X516" s="8">
        <f>IF((0=1),X201,(C201+(C271*(22-1))))</f>
        <v>107.05199999999999</v>
      </c>
      <c r="Y516" s="8">
        <f>IF((0=1),Y201,(C201+(C271*(23-1))))</f>
        <v>111.91799999999999</v>
      </c>
      <c r="Z516" s="8">
        <f>IF((0=1),Z201,(C201+(C271*(24-1))))</f>
        <v>116.78399999999999</v>
      </c>
      <c r="AA516" s="8">
        <f>IF((0=1),AA201,(C201+(C271*(25-1))))</f>
        <v>121.64999999999999</v>
      </c>
      <c r="AB516" s="8">
        <f>IF((0=1),AB201,(C201+(C271*(26-1))))</f>
        <v>126.51599999999999</v>
      </c>
      <c r="AC516" s="8">
        <f>IF((0=1),AC201,(C201+(C271*(27-1))))</f>
        <v>131.382</v>
      </c>
      <c r="AD516" s="8">
        <f>IF((0=1),AD201,(C201+(C271*(28-1))))</f>
        <v>136.248</v>
      </c>
      <c r="AE516" s="8">
        <f>IF((0=1),AE201,(C201+(C271*(29-1))))</f>
        <v>141.11399999999998</v>
      </c>
      <c r="AF516" s="8">
        <f>IF((0=1),AF201,(C201+(C271*(30-1))))</f>
        <v>145.97999999999996</v>
      </c>
      <c r="AG516" s="8">
        <f>IF((0=1),AG201,(C201+(C271*(31-1))))</f>
        <v>150.846</v>
      </c>
      <c r="AH516" s="8">
        <f>IF((0=1),AH201,(C201+(C271*(32-1))))</f>
        <v>155.712</v>
      </c>
      <c r="AI516" s="8">
        <f>IF((0=1),AI201,(C201+(C271*(33-1))))</f>
        <v>160.57799999999997</v>
      </c>
      <c r="AJ516" s="8">
        <f>IF((0=1),AJ201,(C201+(C271*(34-1))))</f>
        <v>165.44399999999996</v>
      </c>
      <c r="AK516" s="8">
        <f>IF((0=1),AK201,(C201+(C271*(35-1))))</f>
        <v>170.31</v>
      </c>
      <c r="AL516" s="8">
        <f>IF((0=1),AL201,(C201+(C271*(36-1))))</f>
        <v>175.176</v>
      </c>
      <c r="AM516" s="8">
        <f>IF((0=1),AM201,(C201+(C271*(37-1))))</f>
        <v>180.04199999999997</v>
      </c>
      <c r="AN516" s="8">
        <f>IF((0=1),AN201,(C201+(C271*(38-1))))</f>
        <v>184.90799999999996</v>
      </c>
      <c r="AO516" s="8">
        <f>IF((0=1),AO201,(C201+(C271*(39-1))))</f>
        <v>189.774</v>
      </c>
      <c r="AP516" s="8">
        <f>IF((0=1),AP201,(C201+(C271*(40-1))))</f>
        <v>194.64</v>
      </c>
      <c r="AQ516" s="8">
        <f>IF((0=1),AQ201,(C201+(C271*(41-1))))</f>
        <v>199.50599999999997</v>
      </c>
      <c r="AR516" s="8">
        <f>IF((0=1),AR201,(C201+(C271*(42-1))))</f>
        <v>204.37199999999996</v>
      </c>
      <c r="AS516" s="8">
        <f>IF((0=1),AS201,(C201+(C271*(43-1))))</f>
        <v>209.238</v>
      </c>
      <c r="AT516" s="8">
        <f>IF((0=1),AT201,(C201+(C271*(44-1))))</f>
        <v>214.10399999999998</v>
      </c>
      <c r="AU516" s="8">
        <f>IF((0=1),AU201,(C201+(C271*(45-1))))</f>
        <v>218.96999999999997</v>
      </c>
      <c r="AV516" s="8">
        <f>IF((0=1),AV201,(C201+(C271*(46-1))))</f>
        <v>223.83599999999996</v>
      </c>
      <c r="AW516" s="8">
        <f>IF((0=1),AW201,(C201+(C271*(47-1))))</f>
        <v>228.702</v>
      </c>
      <c r="AX516" s="8">
        <f>IF((0=1),AX201,(C201+(C271*(48-1))))</f>
        <v>233.56799999999998</v>
      </c>
      <c r="AY516" s="8">
        <f>IF((0=1),AY201,(C201+(C271*(49-1))))</f>
        <v>238.43399999999997</v>
      </c>
      <c r="AZ516" s="8">
        <f>IF((0=1),AZ201,(C201+(C271*(50-1))))</f>
        <v>243.29999999999995</v>
      </c>
      <c r="BA516" s="8">
        <f>IF((0=1),BA201,(C201+(C271*(51-1))))</f>
        <v>248.166</v>
      </c>
      <c r="BB516" s="8">
        <f>IF((0=1),BB201,(C201+(C271*(52-1))))</f>
        <v>253.03199999999998</v>
      </c>
      <c r="BC516" s="8">
        <f>IF((0=1),BC201,(C201+(C271*(53-1))))</f>
        <v>257.89799999999997</v>
      </c>
      <c r="BD516" s="8">
        <f>IF((0=1),BD201,(C201+(C271*(54-1))))</f>
        <v>262.76399999999995</v>
      </c>
      <c r="BE516" s="8">
        <f>IF((0=1),BE201,(C201+(C271*(55-1))))</f>
        <v>267.63</v>
      </c>
      <c r="BF516" s="8">
        <f>IF((0=1),BF201,(C201+(C271*(56-1))))</f>
        <v>272.496</v>
      </c>
      <c r="BG516" s="8">
        <f>IF((0=1),BG201,(C201+(C271*(57-1))))</f>
        <v>277.36199999999997</v>
      </c>
      <c r="BH516" s="8">
        <f>IF((0=1),BH201,(C201+(C271*(58-1))))</f>
        <v>282.22799999999995</v>
      </c>
      <c r="BI516" s="8">
        <f>IF((0=1),BI201,(C201+(C271*(59-1))))</f>
        <v>287.09399999999994</v>
      </c>
      <c r="BJ516" s="8">
        <f>IF((0=1),BJ201,(C201+(C271*(60-1))))</f>
        <v>291.96</v>
      </c>
      <c r="BK516" s="8">
        <f>IF((0=1),BK201,(C201+(C271*(61-1))))</f>
        <v>296.82599999999996</v>
      </c>
      <c r="BL516" s="8">
        <f>IF((0=1),BL201,(C201+(C271*(62-1))))</f>
        <v>301.69199999999995</v>
      </c>
      <c r="BM516" s="8">
        <f>IF((0=1),BM201,(C201+(C271*(63-1))))</f>
        <v>306.558</v>
      </c>
      <c r="BN516" s="8">
        <f>IF((0=1),BN201,(C201+(C271*(64-1))))</f>
        <v>311.424</v>
      </c>
      <c r="BO516" s="8">
        <f>IF((0=1),BO201,(C201+(C271*(65-1))))</f>
        <v>316.28999999999996</v>
      </c>
      <c r="BP516" s="8">
        <f>IF((0=1),BP201,(C201+(C271*(66-1))))</f>
        <v>321.15599999999995</v>
      </c>
      <c r="BQ516" s="8">
        <f>IF((0=1),BQ201,(C201+(C271*(67-1))))</f>
        <v>326.02199999999993</v>
      </c>
      <c r="BR516" s="8">
        <f>IF((0=1),BR201,(C201+(C271*(68-1))))</f>
        <v>330.888</v>
      </c>
      <c r="BS516" s="8">
        <f>IF((0=1),BS201,(C201+(C271*(69-1))))</f>
        <v>335.75399999999996</v>
      </c>
      <c r="BT516" s="8">
        <f>IF((0=1),BT201,(C201+(C271*(70-1))))</f>
        <v>340.61999999999995</v>
      </c>
      <c r="BU516" s="8">
        <f>IF((0=1),BU201,(C201+(C271*(71-1))))</f>
        <v>345.486</v>
      </c>
      <c r="BV516" s="8">
        <f>IF((0=1),BV201,(C201+(C271*(72-1))))</f>
        <v>350.352</v>
      </c>
      <c r="BW516" s="8">
        <f>IF((0=1),BW201,(C201+(C271*(73-1))))</f>
        <v>355.21799999999996</v>
      </c>
      <c r="BX516" s="8">
        <f>IF((0=1),BX201,(C201+(C271*(74-1))))</f>
        <v>360.08399999999995</v>
      </c>
      <c r="BY516" s="8">
        <f>IF((0=1),BY201,(C201+(C271*(75-1))))</f>
        <v>364.94999999999993</v>
      </c>
      <c r="BZ516" s="8">
        <f>IF((0=1),BZ201,(C201+(C271*(76-1))))</f>
        <v>369.816</v>
      </c>
      <c r="CA516" s="8">
        <f>IF((0=1),CA201,(C201+(C271*(77-1))))</f>
        <v>374.68199999999996</v>
      </c>
      <c r="CB516" s="8">
        <f>IF((0=1),CB201,(C201+(C271*(78-1))))</f>
        <v>379.54799999999994</v>
      </c>
      <c r="CC516" s="8">
        <f>IF((0=1),CC201,(C201+(C271*(79-1))))</f>
        <v>384.414</v>
      </c>
      <c r="CD516" s="8">
        <f>IF((0=1),CD201,(C201+(C271*(80-1))))</f>
        <v>389.28</v>
      </c>
      <c r="CE516" s="8">
        <f>IF((0=1),CE201,(C201+(C271*(81-1))))</f>
        <v>394.14599999999996</v>
      </c>
      <c r="CF516" s="8">
        <f>IF((0=1),CF201,(C201+(C271*(82-1))))</f>
        <v>399.01199999999994</v>
      </c>
      <c r="CG516" s="8">
        <f>IF((0=1),CG201,(C201+(C271*(83-1))))</f>
        <v>403.87799999999993</v>
      </c>
      <c r="CH516" s="8">
        <f>IF((0=1),CH201,(C201+(C271*(84-1))))</f>
        <v>408.74399999999997</v>
      </c>
      <c r="CI516" s="8">
        <f>IF((0=1),CI201,(C201+(C271*(85-1))))</f>
        <v>413.60999999999996</v>
      </c>
      <c r="CJ516" s="8">
        <f>IF((0=1),CJ201,(C201+(C271*(86-1))))</f>
        <v>418.47599999999994</v>
      </c>
      <c r="CK516" s="8">
        <f>IF((0=1),CK201,(C201+(C271*(87-1))))</f>
        <v>423.342</v>
      </c>
      <c r="CL516" s="8">
        <f>IF((0=1),CL201,(C201+(C271*(88-1))))</f>
        <v>428.20799999999997</v>
      </c>
      <c r="CM516" s="8">
        <f>IF((0=1),CM201,(C201+(C271*(89-1))))</f>
        <v>433.07399999999996</v>
      </c>
      <c r="CN516" s="8">
        <f>IF((0=1),CN201,(C201+(C271*(90-1))))</f>
        <v>437.93999999999994</v>
      </c>
      <c r="CO516" s="8">
        <f>IF((0=1),CO201,(C201+(C271*(91-1))))</f>
        <v>442.8059999999999</v>
      </c>
      <c r="CP516" s="8">
        <f>IF((0=1),CP201,(C201+(C271*(92-1))))</f>
        <v>447.67199999999997</v>
      </c>
      <c r="CQ516" s="8">
        <f>IF((0=1),CQ201,(C201+(C271*(93-1))))</f>
        <v>452.53799999999995</v>
      </c>
      <c r="CR516" s="8">
        <f>IF((0=1),CR201,(C201+(C271*(94-1))))</f>
        <v>457.40399999999994</v>
      </c>
      <c r="CS516" s="8">
        <f>IF((0=1),CS201,(C201+(C271*(95-1))))</f>
        <v>462.27</v>
      </c>
      <c r="CT516" s="8">
        <f>IF((0=1),CT201,(C201+(C271*(96-1))))</f>
        <v>467.13599999999997</v>
      </c>
      <c r="CU516" s="8">
        <f>IF((0=1),CU201,(C201+(C271*(97-1))))</f>
        <v>472.00199999999995</v>
      </c>
      <c r="CV516" s="8">
        <f>IF((0=1),CV201,(C201+(C271*(98-1))))</f>
        <v>476.86799999999994</v>
      </c>
      <c r="CW516" s="8">
        <f>IF((0=1),CW201,(C201+(C271*(99-1))))</f>
        <v>481.7339999999999</v>
      </c>
      <c r="CX516" s="8">
        <f>IF((0=1),CX201,(C201+(C271*(100-1))))</f>
        <v>486.59999999999997</v>
      </c>
    </row>
    <row r="517">
      <c r="A517" s="0" t="inlineStr">
        <is>
          <t xml:space="preserve">Cumulative excess, realized then projected at running mean</t>
        </is>
      </c>
      <c r="B517" s="0" t="inlineStr">
        <is>
          <t xml:space="preserve">Random 11</t>
        </is>
      </c>
      <c r="C517" s="8">
        <f>IF((1=1),C202,(C202+(C272*(1-1))))</f>
        <v>13.888</v>
      </c>
      <c r="D517" s="8">
        <f>IF((0=1),D202,(C202+(C272*(2-1))))</f>
        <v>27.776</v>
      </c>
      <c r="E517" s="8">
        <f>IF((0=1),E202,(C202+(C272*(3-1))))</f>
        <v>41.664</v>
      </c>
      <c r="F517" s="8">
        <f>IF((0=1),F202,(C202+(C272*(4-1))))</f>
        <v>55.552</v>
      </c>
      <c r="G517" s="8">
        <f>IF((0=1),G202,(C202+(C272*(5-1))))</f>
        <v>69.44</v>
      </c>
      <c r="H517" s="8">
        <f>IF((0=1),H202,(C202+(C272*(6-1))))</f>
        <v>83.328</v>
      </c>
      <c r="I517" s="8">
        <f>IF((0=1),I202,(C202+(C272*(7-1))))</f>
        <v>97.21600000000001</v>
      </c>
      <c r="J517" s="8">
        <f>IF((0=1),J202,(C202+(C272*(8-1))))</f>
        <v>111.104</v>
      </c>
      <c r="K517" s="8">
        <f>IF((0=1),K202,(C202+(C272*(9-1))))</f>
        <v>124.992</v>
      </c>
      <c r="L517" s="8">
        <f>IF((0=1),L202,(C202+(C272*(10-1))))</f>
        <v>138.88</v>
      </c>
      <c r="M517" s="8">
        <f>IF((0=1),M202,(C202+(C272*(11-1))))</f>
        <v>152.768</v>
      </c>
      <c r="N517" s="8">
        <f>IF((0=1),N202,(C202+(C272*(12-1))))</f>
        <v>166.656</v>
      </c>
      <c r="O517" s="8">
        <f>IF((0=1),O202,(C202+(C272*(13-1))))</f>
        <v>180.544</v>
      </c>
      <c r="P517" s="8">
        <f>IF((0=1),P202,(C202+(C272*(14-1))))</f>
        <v>194.43200000000002</v>
      </c>
      <c r="Q517" s="8">
        <f>IF((0=1),Q202,(C202+(C272*(15-1))))</f>
        <v>208.32</v>
      </c>
      <c r="R517" s="8">
        <f>IF((0=1),R202,(C202+(C272*(16-1))))</f>
        <v>222.208</v>
      </c>
      <c r="S517" s="8">
        <f>IF((0=1),S202,(C202+(C272*(17-1))))</f>
        <v>236.096</v>
      </c>
      <c r="T517" s="8">
        <f>IF((0=1),T202,(C202+(C272*(18-1))))</f>
        <v>249.984</v>
      </c>
      <c r="U517" s="8">
        <f>IF((0=1),U202,(C202+(C272*(19-1))))</f>
        <v>263.872</v>
      </c>
      <c r="V517" s="8">
        <f>IF((0=1),V202,(C202+(C272*(20-1))))</f>
        <v>277.76</v>
      </c>
      <c r="W517" s="8">
        <f>IF((0=1),W202,(C202+(C272*(21-1))))</f>
        <v>291.64799999999997</v>
      </c>
      <c r="X517" s="8">
        <f>IF((0=1),X202,(C202+(C272*(22-1))))</f>
        <v>305.536</v>
      </c>
      <c r="Y517" s="8">
        <f>IF((0=1),Y202,(C202+(C272*(23-1))))</f>
        <v>319.424</v>
      </c>
      <c r="Z517" s="8">
        <f>IF((0=1),Z202,(C202+(C272*(24-1))))</f>
        <v>333.31199999999995</v>
      </c>
      <c r="AA517" s="8">
        <f>IF((0=1),AA202,(C202+(C272*(25-1))))</f>
        <v>347.2</v>
      </c>
      <c r="AB517" s="8">
        <f>IF((0=1),AB202,(C202+(C272*(26-1))))</f>
        <v>361.08799999999997</v>
      </c>
      <c r="AC517" s="8">
        <f>IF((0=1),AC202,(C202+(C272*(27-1))))</f>
        <v>374.976</v>
      </c>
      <c r="AD517" s="8">
        <f>IF((0=1),AD202,(C202+(C272*(28-1))))</f>
        <v>388.864</v>
      </c>
      <c r="AE517" s="8">
        <f>IF((0=1),AE202,(C202+(C272*(29-1))))</f>
        <v>402.75199999999995</v>
      </c>
      <c r="AF517" s="8">
        <f>IF((0=1),AF202,(C202+(C272*(30-1))))</f>
        <v>416.64</v>
      </c>
      <c r="AG517" s="8">
        <f>IF((0=1),AG202,(C202+(C272*(31-1))))</f>
        <v>430.52799999999996</v>
      </c>
      <c r="AH517" s="8">
        <f>IF((0=1),AH202,(C202+(C272*(32-1))))</f>
        <v>444.416</v>
      </c>
      <c r="AI517" s="8">
        <f>IF((0=1),AI202,(C202+(C272*(33-1))))</f>
        <v>458.304</v>
      </c>
      <c r="AJ517" s="8">
        <f>IF((0=1),AJ202,(C202+(C272*(34-1))))</f>
        <v>472.19199999999995</v>
      </c>
      <c r="AK517" s="8">
        <f>IF((0=1),AK202,(C202+(C272*(35-1))))</f>
        <v>486.08</v>
      </c>
      <c r="AL517" s="8">
        <f>IF((0=1),AL202,(C202+(C272*(36-1))))</f>
        <v>499.96799999999996</v>
      </c>
      <c r="AM517" s="8">
        <f>IF((0=1),AM202,(C202+(C272*(37-1))))</f>
        <v>513.856</v>
      </c>
      <c r="AN517" s="8">
        <f>IF((0=1),AN202,(C202+(C272*(38-1))))</f>
        <v>527.744</v>
      </c>
      <c r="AO517" s="8">
        <f>IF((0=1),AO202,(C202+(C272*(39-1))))</f>
        <v>541.6320000000001</v>
      </c>
      <c r="AP517" s="8">
        <f>IF((0=1),AP202,(C202+(C272*(40-1))))</f>
        <v>555.52</v>
      </c>
      <c r="AQ517" s="8">
        <f>IF((0=1),AQ202,(C202+(C272*(41-1))))</f>
        <v>569.408</v>
      </c>
      <c r="AR517" s="8">
        <f>IF((0=1),AR202,(C202+(C272*(42-1))))</f>
        <v>583.296</v>
      </c>
      <c r="AS517" s="8">
        <f>IF((0=1),AS202,(C202+(C272*(43-1))))</f>
        <v>597.1840000000001</v>
      </c>
      <c r="AT517" s="8">
        <f>IF((0=1),AT202,(C202+(C272*(44-1))))</f>
        <v>611.072</v>
      </c>
      <c r="AU517" s="8">
        <f>IF((0=1),AU202,(C202+(C272*(45-1))))</f>
        <v>624.96</v>
      </c>
      <c r="AV517" s="8">
        <f>IF((0=1),AV202,(C202+(C272*(46-1))))</f>
        <v>638.8480000000001</v>
      </c>
      <c r="AW517" s="8">
        <f>IF((0=1),AW202,(C202+(C272*(47-1))))</f>
        <v>652.736</v>
      </c>
      <c r="AX517" s="8">
        <f>IF((0=1),AX202,(C202+(C272*(48-1))))</f>
        <v>666.624</v>
      </c>
      <c r="AY517" s="8">
        <f>IF((0=1),AY202,(C202+(C272*(49-1))))</f>
        <v>680.5120000000001</v>
      </c>
      <c r="AZ517" s="8">
        <f>IF((0=1),AZ202,(C202+(C272*(50-1))))</f>
        <v>694.4</v>
      </c>
      <c r="BA517" s="8">
        <f>IF((0=1),BA202,(C202+(C272*(51-1))))</f>
        <v>708.288</v>
      </c>
      <c r="BB517" s="8">
        <f>IF((0=1),BB202,(C202+(C272*(52-1))))</f>
        <v>722.176</v>
      </c>
      <c r="BC517" s="8">
        <f>IF((0=1),BC202,(C202+(C272*(53-1))))</f>
        <v>736.0640000000001</v>
      </c>
      <c r="BD517" s="8">
        <f>IF((0=1),BD202,(C202+(C272*(54-1))))</f>
        <v>749.952</v>
      </c>
      <c r="BE517" s="8">
        <f>IF((0=1),BE202,(C202+(C272*(55-1))))</f>
        <v>763.84</v>
      </c>
      <c r="BF517" s="8">
        <f>IF((0=1),BF202,(C202+(C272*(56-1))))</f>
        <v>777.7280000000001</v>
      </c>
      <c r="BG517" s="8">
        <f>IF((0=1),BG202,(C202+(C272*(57-1))))</f>
        <v>791.616</v>
      </c>
      <c r="BH517" s="8">
        <f>IF((0=1),BH202,(C202+(C272*(58-1))))</f>
        <v>805.504</v>
      </c>
      <c r="BI517" s="8">
        <f>IF((0=1),BI202,(C202+(C272*(59-1))))</f>
        <v>819.392</v>
      </c>
      <c r="BJ517" s="8">
        <f>IF((0=1),BJ202,(C202+(C272*(60-1))))</f>
        <v>833.28</v>
      </c>
      <c r="BK517" s="8">
        <f>IF((0=1),BK202,(C202+(C272*(61-1))))</f>
        <v>847.168</v>
      </c>
      <c r="BL517" s="8">
        <f>IF((0=1),BL202,(C202+(C272*(62-1))))</f>
        <v>861.056</v>
      </c>
      <c r="BM517" s="8">
        <f>IF((0=1),BM202,(C202+(C272*(63-1))))</f>
        <v>874.9440000000001</v>
      </c>
      <c r="BN517" s="8">
        <f>IF((0=1),BN202,(C202+(C272*(64-1))))</f>
        <v>888.832</v>
      </c>
      <c r="BO517" s="8">
        <f>IF((0=1),BO202,(C202+(C272*(65-1))))</f>
        <v>902.72</v>
      </c>
      <c r="BP517" s="8">
        <f>IF((0=1),BP202,(C202+(C272*(66-1))))</f>
        <v>916.6080000000001</v>
      </c>
      <c r="BQ517" s="8">
        <f>IF((0=1),BQ202,(C202+(C272*(67-1))))</f>
        <v>930.496</v>
      </c>
      <c r="BR517" s="8">
        <f>IF((0=1),BR202,(C202+(C272*(68-1))))</f>
        <v>944.384</v>
      </c>
      <c r="BS517" s="8">
        <f>IF((0=1),BS202,(C202+(C272*(69-1))))</f>
        <v>958.272</v>
      </c>
      <c r="BT517" s="8">
        <f>IF((0=1),BT202,(C202+(C272*(70-1))))</f>
        <v>972.1600000000001</v>
      </c>
      <c r="BU517" s="8">
        <f>IF((0=1),BU202,(C202+(C272*(71-1))))</f>
        <v>986.048</v>
      </c>
      <c r="BV517" s="8">
        <f>IF((0=1),BV202,(C202+(C272*(72-1))))</f>
        <v>999.936</v>
      </c>
      <c r="BW517" s="8">
        <f>IF((0=1),BW202,(C202+(C272*(73-1))))</f>
        <v>1013.8240000000001</v>
      </c>
      <c r="BX517" s="8">
        <f>IF((0=1),BX202,(C202+(C272*(74-1))))</f>
        <v>1027.712</v>
      </c>
      <c r="BY517" s="8">
        <f>IF((0=1),BY202,(C202+(C272*(75-1))))</f>
        <v>1041.6</v>
      </c>
      <c r="BZ517" s="8">
        <f>IF((0=1),BZ202,(C202+(C272*(76-1))))</f>
        <v>1055.4879999999998</v>
      </c>
      <c r="CA517" s="8">
        <f>IF((0=1),CA202,(C202+(C272*(77-1))))</f>
        <v>1069.376</v>
      </c>
      <c r="CB517" s="8">
        <f>IF((0=1),CB202,(C202+(C272*(78-1))))</f>
        <v>1083.264</v>
      </c>
      <c r="CC517" s="8">
        <f>IF((0=1),CC202,(C202+(C272*(79-1))))</f>
        <v>1097.1519999999998</v>
      </c>
      <c r="CD517" s="8">
        <f>IF((0=1),CD202,(C202+(C272*(80-1))))</f>
        <v>1111.04</v>
      </c>
      <c r="CE517" s="8">
        <f>IF((0=1),CE202,(C202+(C272*(81-1))))</f>
        <v>1124.9279999999999</v>
      </c>
      <c r="CF517" s="8">
        <f>IF((0=1),CF202,(C202+(C272*(82-1))))</f>
        <v>1138.8159999999998</v>
      </c>
      <c r="CG517" s="8">
        <f>IF((0=1),CG202,(C202+(C272*(83-1))))</f>
        <v>1152.704</v>
      </c>
      <c r="CH517" s="8">
        <f>IF((0=1),CH202,(C202+(C272*(84-1))))</f>
        <v>1166.5919999999999</v>
      </c>
      <c r="CI517" s="8">
        <f>IF((0=1),CI202,(C202+(C272*(85-1))))</f>
        <v>1180.48</v>
      </c>
      <c r="CJ517" s="8">
        <f>IF((0=1),CJ202,(C202+(C272*(86-1))))</f>
        <v>1194.368</v>
      </c>
      <c r="CK517" s="8">
        <f>IF((0=1),CK202,(C202+(C272*(87-1))))</f>
        <v>1208.2559999999999</v>
      </c>
      <c r="CL517" s="8">
        <f>IF((0=1),CL202,(C202+(C272*(88-1))))</f>
        <v>1222.144</v>
      </c>
      <c r="CM517" s="8">
        <f>IF((0=1),CM202,(C202+(C272*(89-1))))</f>
        <v>1236.032</v>
      </c>
      <c r="CN517" s="8">
        <f>IF((0=1),CN202,(C202+(C272*(90-1))))</f>
        <v>1249.9199999999998</v>
      </c>
      <c r="CO517" s="8">
        <f>IF((0=1),CO202,(C202+(C272*(91-1))))</f>
        <v>1263.808</v>
      </c>
      <c r="CP517" s="8">
        <f>IF((0=1),CP202,(C202+(C272*(92-1))))</f>
        <v>1277.696</v>
      </c>
      <c r="CQ517" s="8">
        <f>IF((0=1),CQ202,(C202+(C272*(93-1))))</f>
        <v>1291.5839999999998</v>
      </c>
      <c r="CR517" s="8">
        <f>IF((0=1),CR202,(C202+(C272*(94-1))))</f>
        <v>1305.472</v>
      </c>
      <c r="CS517" s="8">
        <f>IF((0=1),CS202,(C202+(C272*(95-1))))</f>
        <v>1319.36</v>
      </c>
      <c r="CT517" s="8">
        <f>IF((0=1),CT202,(C202+(C272*(96-1))))</f>
        <v>1333.2479999999998</v>
      </c>
      <c r="CU517" s="8">
        <f>IF((0=1),CU202,(C202+(C272*(97-1))))</f>
        <v>1347.136</v>
      </c>
      <c r="CV517" s="8">
        <f>IF((0=1),CV202,(C202+(C272*(98-1))))</f>
        <v>1361.024</v>
      </c>
      <c r="CW517" s="8">
        <f>IF((0=1),CW202,(C202+(C272*(99-1))))</f>
        <v>1374.9119999999998</v>
      </c>
      <c r="CX517" s="8">
        <f>IF((0=1),CX202,(C202+(C272*(100-1))))</f>
        <v>1388.8</v>
      </c>
    </row>
    <row r="518">
      <c r="A518" s="0" t="inlineStr">
        <is>
          <t xml:space="preserve">Cumulative excess, realized then projected at running mean</t>
        </is>
      </c>
      <c r="B518" s="0" t="inlineStr">
        <is>
          <t xml:space="preserve">Random 12</t>
        </is>
      </c>
      <c r="C518" s="8">
        <f>IF((1=1),C203,(C203+(C273*(1-1))))</f>
        <v>-0.503</v>
      </c>
      <c r="D518" s="8">
        <f>IF((0=1),D203,(C203+(C273*(2-1))))</f>
        <v>-1.006</v>
      </c>
      <c r="E518" s="8">
        <f>IF((0=1),E203,(C203+(C273*(3-1))))</f>
        <v>-1.509</v>
      </c>
      <c r="F518" s="8">
        <f>IF((0=1),F203,(C203+(C273*(4-1))))</f>
        <v>-2.012</v>
      </c>
      <c r="G518" s="8">
        <f>IF((0=1),G203,(C203+(C273*(5-1))))</f>
        <v>-2.515</v>
      </c>
      <c r="H518" s="8">
        <f>IF((0=1),H203,(C203+(C273*(6-1))))</f>
        <v>-3.0180000000000002</v>
      </c>
      <c r="I518" s="8">
        <f>IF((0=1),I203,(C203+(C273*(7-1))))</f>
        <v>-3.521</v>
      </c>
      <c r="J518" s="8">
        <f>IF((0=1),J203,(C203+(C273*(8-1))))</f>
        <v>-4.024</v>
      </c>
      <c r="K518" s="8">
        <f>IF((0=1),K203,(C203+(C273*(9-1))))</f>
        <v>-4.527</v>
      </c>
      <c r="L518" s="8">
        <f>IF((0=1),L203,(C203+(C273*(10-1))))</f>
        <v>-5.03</v>
      </c>
      <c r="M518" s="8">
        <f>IF((0=1),M203,(C203+(C273*(11-1))))</f>
        <v>-5.533</v>
      </c>
      <c r="N518" s="8">
        <f>IF((0=1),N203,(C203+(C273*(12-1))))</f>
        <v>-6.0360000000000005</v>
      </c>
      <c r="O518" s="8">
        <f>IF((0=1),O203,(C203+(C273*(13-1))))</f>
        <v>-6.539</v>
      </c>
      <c r="P518" s="8">
        <f>IF((0=1),P203,(C203+(C273*(14-1))))</f>
        <v>-7.042</v>
      </c>
      <c r="Q518" s="8">
        <f>IF((0=1),Q203,(C203+(C273*(15-1))))</f>
        <v>-7.545</v>
      </c>
      <c r="R518" s="8">
        <f>IF((0=1),R203,(C203+(C273*(16-1))))</f>
        <v>-8.048</v>
      </c>
      <c r="S518" s="8">
        <f>IF((0=1),S203,(C203+(C273*(17-1))))</f>
        <v>-8.551</v>
      </c>
      <c r="T518" s="8">
        <f>IF((0=1),T203,(C203+(C273*(18-1))))</f>
        <v>-9.054</v>
      </c>
      <c r="U518" s="8">
        <f>IF((0=1),U203,(C203+(C273*(19-1))))</f>
        <v>-9.557</v>
      </c>
      <c r="V518" s="8">
        <f>IF((0=1),V203,(C203+(C273*(20-1))))</f>
        <v>-10.06</v>
      </c>
      <c r="W518" s="8">
        <f>IF((0=1),W203,(C203+(C273*(21-1))))</f>
        <v>-10.563</v>
      </c>
      <c r="X518" s="8">
        <f>IF((0=1),X203,(C203+(C273*(22-1))))</f>
        <v>-11.066</v>
      </c>
      <c r="Y518" s="8">
        <f>IF((0=1),Y203,(C203+(C273*(23-1))))</f>
        <v>-11.569</v>
      </c>
      <c r="Z518" s="8">
        <f>IF((0=1),Z203,(C203+(C273*(24-1))))</f>
        <v>-12.072000000000001</v>
      </c>
      <c r="AA518" s="8">
        <f>IF((0=1),AA203,(C203+(C273*(25-1))))</f>
        <v>-12.575</v>
      </c>
      <c r="AB518" s="8">
        <f>IF((0=1),AB203,(C203+(C273*(26-1))))</f>
        <v>-13.078</v>
      </c>
      <c r="AC518" s="8">
        <f>IF((0=1),AC203,(C203+(C273*(27-1))))</f>
        <v>-13.581</v>
      </c>
      <c r="AD518" s="8">
        <f>IF((0=1),AD203,(C203+(C273*(28-1))))</f>
        <v>-14.084</v>
      </c>
      <c r="AE518" s="8">
        <f>IF((0=1),AE203,(C203+(C273*(29-1))))</f>
        <v>-14.587</v>
      </c>
      <c r="AF518" s="8">
        <f>IF((0=1),AF203,(C203+(C273*(30-1))))</f>
        <v>-15.09</v>
      </c>
      <c r="AG518" s="8">
        <f>IF((0=1),AG203,(C203+(C273*(31-1))))</f>
        <v>-15.593</v>
      </c>
      <c r="AH518" s="8">
        <f>IF((0=1),AH203,(C203+(C273*(32-1))))</f>
        <v>-16.096</v>
      </c>
      <c r="AI518" s="8">
        <f>IF((0=1),AI203,(C203+(C273*(33-1))))</f>
        <v>-16.599</v>
      </c>
      <c r="AJ518" s="8">
        <f>IF((0=1),AJ203,(C203+(C273*(34-1))))</f>
        <v>-17.102</v>
      </c>
      <c r="AK518" s="8">
        <f>IF((0=1),AK203,(C203+(C273*(35-1))))</f>
        <v>-17.605</v>
      </c>
      <c r="AL518" s="8">
        <f>IF((0=1),AL203,(C203+(C273*(36-1))))</f>
        <v>-18.108</v>
      </c>
      <c r="AM518" s="8">
        <f>IF((0=1),AM203,(C203+(C273*(37-1))))</f>
        <v>-18.611</v>
      </c>
      <c r="AN518" s="8">
        <f>IF((0=1),AN203,(C203+(C273*(38-1))))</f>
        <v>-19.114</v>
      </c>
      <c r="AO518" s="8">
        <f>IF((0=1),AO203,(C203+(C273*(39-1))))</f>
        <v>-19.617</v>
      </c>
      <c r="AP518" s="8">
        <f>IF((0=1),AP203,(C203+(C273*(40-1))))</f>
        <v>-20.12</v>
      </c>
      <c r="AQ518" s="8">
        <f>IF((0=1),AQ203,(C203+(C273*(41-1))))</f>
        <v>-20.623</v>
      </c>
      <c r="AR518" s="8">
        <f>IF((0=1),AR203,(C203+(C273*(42-1))))</f>
        <v>-21.126</v>
      </c>
      <c r="AS518" s="8">
        <f>IF((0=1),AS203,(C203+(C273*(43-1))))</f>
        <v>-21.629</v>
      </c>
      <c r="AT518" s="8">
        <f>IF((0=1),AT203,(C203+(C273*(44-1))))</f>
        <v>-22.132</v>
      </c>
      <c r="AU518" s="8">
        <f>IF((0=1),AU203,(C203+(C273*(45-1))))</f>
        <v>-22.635</v>
      </c>
      <c r="AV518" s="8">
        <f>IF((0=1),AV203,(C203+(C273*(46-1))))</f>
        <v>-23.138</v>
      </c>
      <c r="AW518" s="8">
        <f>IF((0=1),AW203,(C203+(C273*(47-1))))</f>
        <v>-23.641000000000002</v>
      </c>
      <c r="AX518" s="8">
        <f>IF((0=1),AX203,(C203+(C273*(48-1))))</f>
        <v>-24.144000000000002</v>
      </c>
      <c r="AY518" s="8">
        <f>IF((0=1),AY203,(C203+(C273*(49-1))))</f>
        <v>-24.647</v>
      </c>
      <c r="AZ518" s="8">
        <f>IF((0=1),AZ203,(C203+(C273*(50-1))))</f>
        <v>-25.15</v>
      </c>
      <c r="BA518" s="8">
        <f>IF((0=1),BA203,(C203+(C273*(51-1))))</f>
        <v>-25.653</v>
      </c>
      <c r="BB518" s="8">
        <f>IF((0=1),BB203,(C203+(C273*(52-1))))</f>
        <v>-26.156</v>
      </c>
      <c r="BC518" s="8">
        <f>IF((0=1),BC203,(C203+(C273*(53-1))))</f>
        <v>-26.659</v>
      </c>
      <c r="BD518" s="8">
        <f>IF((0=1),BD203,(C203+(C273*(54-1))))</f>
        <v>-27.162</v>
      </c>
      <c r="BE518" s="8">
        <f>IF((0=1),BE203,(C203+(C273*(55-1))))</f>
        <v>-27.665</v>
      </c>
      <c r="BF518" s="8">
        <f>IF((0=1),BF203,(C203+(C273*(56-1))))</f>
        <v>-28.168</v>
      </c>
      <c r="BG518" s="8">
        <f>IF((0=1),BG203,(C203+(C273*(57-1))))</f>
        <v>-28.671</v>
      </c>
      <c r="BH518" s="8">
        <f>IF((0=1),BH203,(C203+(C273*(58-1))))</f>
        <v>-29.174</v>
      </c>
      <c r="BI518" s="8">
        <f>IF((0=1),BI203,(C203+(C273*(59-1))))</f>
        <v>-29.677</v>
      </c>
      <c r="BJ518" s="8">
        <f>IF((0=1),BJ203,(C203+(C273*(60-1))))</f>
        <v>-30.18</v>
      </c>
      <c r="BK518" s="8">
        <f>IF((0=1),BK203,(C203+(C273*(61-1))))</f>
        <v>-30.683</v>
      </c>
      <c r="BL518" s="8">
        <f>IF((0=1),BL203,(C203+(C273*(62-1))))</f>
        <v>-31.186</v>
      </c>
      <c r="BM518" s="8">
        <f>IF((0=1),BM203,(C203+(C273*(63-1))))</f>
        <v>-31.689</v>
      </c>
      <c r="BN518" s="8">
        <f>IF((0=1),BN203,(C203+(C273*(64-1))))</f>
        <v>-32.192</v>
      </c>
      <c r="BO518" s="8">
        <f>IF((0=1),BO203,(C203+(C273*(65-1))))</f>
        <v>-32.695</v>
      </c>
      <c r="BP518" s="8">
        <f>IF((0=1),BP203,(C203+(C273*(66-1))))</f>
        <v>-33.198</v>
      </c>
      <c r="BQ518" s="8">
        <f>IF((0=1),BQ203,(C203+(C273*(67-1))))</f>
        <v>-33.701</v>
      </c>
      <c r="BR518" s="8">
        <f>IF((0=1),BR203,(C203+(C273*(68-1))))</f>
        <v>-34.204</v>
      </c>
      <c r="BS518" s="8">
        <f>IF((0=1),BS203,(C203+(C273*(69-1))))</f>
        <v>-34.707</v>
      </c>
      <c r="BT518" s="8">
        <f>IF((0=1),BT203,(C203+(C273*(70-1))))</f>
        <v>-35.21</v>
      </c>
      <c r="BU518" s="8">
        <f>IF((0=1),BU203,(C203+(C273*(71-1))))</f>
        <v>-35.713</v>
      </c>
      <c r="BV518" s="8">
        <f>IF((0=1),BV203,(C203+(C273*(72-1))))</f>
        <v>-36.216</v>
      </c>
      <c r="BW518" s="8">
        <f>IF((0=1),BW203,(C203+(C273*(73-1))))</f>
        <v>-36.719</v>
      </c>
      <c r="BX518" s="8">
        <f>IF((0=1),BX203,(C203+(C273*(74-1))))</f>
        <v>-37.222</v>
      </c>
      <c r="BY518" s="8">
        <f>IF((0=1),BY203,(C203+(C273*(75-1))))</f>
        <v>-37.725</v>
      </c>
      <c r="BZ518" s="8">
        <f>IF((0=1),BZ203,(C203+(C273*(76-1))))</f>
        <v>-38.228</v>
      </c>
      <c r="CA518" s="8">
        <f>IF((0=1),CA203,(C203+(C273*(77-1))))</f>
        <v>-38.731</v>
      </c>
      <c r="CB518" s="8">
        <f>IF((0=1),CB203,(C203+(C273*(78-1))))</f>
        <v>-39.234</v>
      </c>
      <c r="CC518" s="8">
        <f>IF((0=1),CC203,(C203+(C273*(79-1))))</f>
        <v>-39.737</v>
      </c>
      <c r="CD518" s="8">
        <f>IF((0=1),CD203,(C203+(C273*(80-1))))</f>
        <v>-40.24</v>
      </c>
      <c r="CE518" s="8">
        <f>IF((0=1),CE203,(C203+(C273*(81-1))))</f>
        <v>-40.743</v>
      </c>
      <c r="CF518" s="8">
        <f>IF((0=1),CF203,(C203+(C273*(82-1))))</f>
        <v>-41.246</v>
      </c>
      <c r="CG518" s="8">
        <f>IF((0=1),CG203,(C203+(C273*(83-1))))</f>
        <v>-41.749</v>
      </c>
      <c r="CH518" s="8">
        <f>IF((0=1),CH203,(C203+(C273*(84-1))))</f>
        <v>-42.252</v>
      </c>
      <c r="CI518" s="8">
        <f>IF((0=1),CI203,(C203+(C273*(85-1))))</f>
        <v>-42.755</v>
      </c>
      <c r="CJ518" s="8">
        <f>IF((0=1),CJ203,(C203+(C273*(86-1))))</f>
        <v>-43.258</v>
      </c>
      <c r="CK518" s="8">
        <f>IF((0=1),CK203,(C203+(C273*(87-1))))</f>
        <v>-43.761</v>
      </c>
      <c r="CL518" s="8">
        <f>IF((0=1),CL203,(C203+(C273*(88-1))))</f>
        <v>-44.264</v>
      </c>
      <c r="CM518" s="8">
        <f>IF((0=1),CM203,(C203+(C273*(89-1))))</f>
        <v>-44.767</v>
      </c>
      <c r="CN518" s="8">
        <f>IF((0=1),CN203,(C203+(C273*(90-1))))</f>
        <v>-45.27</v>
      </c>
      <c r="CO518" s="8">
        <f>IF((0=1),CO203,(C203+(C273*(91-1))))</f>
        <v>-45.773</v>
      </c>
      <c r="CP518" s="8">
        <f>IF((0=1),CP203,(C203+(C273*(92-1))))</f>
        <v>-46.276</v>
      </c>
      <c r="CQ518" s="8">
        <f>IF((0=1),CQ203,(C203+(C273*(93-1))))</f>
        <v>-46.779</v>
      </c>
      <c r="CR518" s="8">
        <f>IF((0=1),CR203,(C203+(C273*(94-1))))</f>
        <v>-47.282000000000004</v>
      </c>
      <c r="CS518" s="8">
        <f>IF((0=1),CS203,(C203+(C273*(95-1))))</f>
        <v>-47.785000000000004</v>
      </c>
      <c r="CT518" s="8">
        <f>IF((0=1),CT203,(C203+(C273*(96-1))))</f>
        <v>-48.288000000000004</v>
      </c>
      <c r="CU518" s="8">
        <f>IF((0=1),CU203,(C203+(C273*(97-1))))</f>
        <v>-48.791</v>
      </c>
      <c r="CV518" s="8">
        <f>IF((0=1),CV203,(C203+(C273*(98-1))))</f>
        <v>-49.294</v>
      </c>
      <c r="CW518" s="8">
        <f>IF((0=1),CW203,(C203+(C273*(99-1))))</f>
        <v>-49.797</v>
      </c>
      <c r="CX518" s="8">
        <f>IF((0=1),CX203,(C203+(C273*(100-1))))</f>
        <v>-50.3</v>
      </c>
    </row>
    <row r="519">
      <c r="A519" s="0" t="inlineStr">
        <is>
          <t xml:space="preserve">Cumulative excess, realized then projected at running mean</t>
        </is>
      </c>
      <c r="B519" s="0" t="inlineStr">
        <is>
          <t xml:space="preserve">Random 13</t>
        </is>
      </c>
      <c r="C519" s="8">
        <f>IF((1=1),C204,(C204+(C274*(1-1))))</f>
        <v>-8.316</v>
      </c>
      <c r="D519" s="8">
        <f>IF((0=1),D204,(C204+(C274*(2-1))))</f>
        <v>-16.632</v>
      </c>
      <c r="E519" s="8">
        <f>IF((0=1),E204,(C204+(C274*(3-1))))</f>
        <v>-24.948</v>
      </c>
      <c r="F519" s="8">
        <f>IF((0=1),F204,(C204+(C274*(4-1))))</f>
        <v>-33.264</v>
      </c>
      <c r="G519" s="8">
        <f>IF((0=1),G204,(C204+(C274*(5-1))))</f>
        <v>-41.580000000000005</v>
      </c>
      <c r="H519" s="8">
        <f>IF((0=1),H204,(C204+(C274*(6-1))))</f>
        <v>-49.89600000000001</v>
      </c>
      <c r="I519" s="8">
        <f>IF((0=1),I204,(C204+(C274*(7-1))))</f>
        <v>-58.212</v>
      </c>
      <c r="J519" s="8">
        <f>IF((0=1),J204,(C204+(C274*(8-1))))</f>
        <v>-66.528</v>
      </c>
      <c r="K519" s="8">
        <f>IF((0=1),K204,(C204+(C274*(9-1))))</f>
        <v>-74.84400000000001</v>
      </c>
      <c r="L519" s="8">
        <f>IF((0=1),L204,(C204+(C274*(10-1))))</f>
        <v>-83.16000000000001</v>
      </c>
      <c r="M519" s="8">
        <f>IF((0=1),M204,(C204+(C274*(11-1))))</f>
        <v>-91.47600000000001</v>
      </c>
      <c r="N519" s="8">
        <f>IF((0=1),N204,(C204+(C274*(12-1))))</f>
        <v>-99.79200000000002</v>
      </c>
      <c r="O519" s="8">
        <f>IF((0=1),O204,(C204+(C274*(13-1))))</f>
        <v>-108.108</v>
      </c>
      <c r="P519" s="8">
        <f>IF((0=1),P204,(C204+(C274*(14-1))))</f>
        <v>-116.424</v>
      </c>
      <c r="Q519" s="8">
        <f>IF((0=1),Q204,(C204+(C274*(15-1))))</f>
        <v>-124.74000000000001</v>
      </c>
      <c r="R519" s="8">
        <f>IF((0=1),R204,(C204+(C274*(16-1))))</f>
        <v>-133.056</v>
      </c>
      <c r="S519" s="8">
        <f>IF((0=1),S204,(C204+(C274*(17-1))))</f>
        <v>-141.372</v>
      </c>
      <c r="T519" s="8">
        <f>IF((0=1),T204,(C204+(C274*(18-1))))</f>
        <v>-149.68800000000002</v>
      </c>
      <c r="U519" s="8">
        <f>IF((0=1),U204,(C204+(C274*(19-1))))</f>
        <v>-158.00400000000002</v>
      </c>
      <c r="V519" s="8">
        <f>IF((0=1),V204,(C204+(C274*(20-1))))</f>
        <v>-166.32000000000002</v>
      </c>
      <c r="W519" s="8">
        <f>IF((0=1),W204,(C204+(C274*(21-1))))</f>
        <v>-174.63600000000002</v>
      </c>
      <c r="X519" s="8">
        <f>IF((0=1),X204,(C204+(C274*(22-1))))</f>
        <v>-182.95200000000003</v>
      </c>
      <c r="Y519" s="8">
        <f>IF((0=1),Y204,(C204+(C274*(23-1))))</f>
        <v>-191.26800000000003</v>
      </c>
      <c r="Z519" s="8">
        <f>IF((0=1),Z204,(C204+(C274*(24-1))))</f>
        <v>-199.58400000000003</v>
      </c>
      <c r="AA519" s="8">
        <f>IF((0=1),AA204,(C204+(C274*(25-1))))</f>
        <v>-207.9</v>
      </c>
      <c r="AB519" s="8">
        <f>IF((0=1),AB204,(C204+(C274*(26-1))))</f>
        <v>-216.216</v>
      </c>
      <c r="AC519" s="8">
        <f>IF((0=1),AC204,(C204+(C274*(27-1))))</f>
        <v>-224.532</v>
      </c>
      <c r="AD519" s="8">
        <f>IF((0=1),AD204,(C204+(C274*(28-1))))</f>
        <v>-232.848</v>
      </c>
      <c r="AE519" s="8">
        <f>IF((0=1),AE204,(C204+(C274*(29-1))))</f>
        <v>-241.16400000000002</v>
      </c>
      <c r="AF519" s="8">
        <f>IF((0=1),AF204,(C204+(C274*(30-1))))</f>
        <v>-249.48000000000002</v>
      </c>
      <c r="AG519" s="8">
        <f>IF((0=1),AG204,(C204+(C274*(31-1))))</f>
        <v>-257.796</v>
      </c>
      <c r="AH519" s="8">
        <f>IF((0=1),AH204,(C204+(C274*(32-1))))</f>
        <v>-266.112</v>
      </c>
      <c r="AI519" s="8">
        <f>IF((0=1),AI204,(C204+(C274*(33-1))))</f>
        <v>-274.428</v>
      </c>
      <c r="AJ519" s="8">
        <f>IF((0=1),AJ204,(C204+(C274*(34-1))))</f>
        <v>-282.74399999999997</v>
      </c>
      <c r="AK519" s="8">
        <f>IF((0=1),AK204,(C204+(C274*(35-1))))</f>
        <v>-291.06</v>
      </c>
      <c r="AL519" s="8">
        <f>IF((0=1),AL204,(C204+(C274*(36-1))))</f>
        <v>-299.376</v>
      </c>
      <c r="AM519" s="8">
        <f>IF((0=1),AM204,(C204+(C274*(37-1))))</f>
        <v>-307.692</v>
      </c>
      <c r="AN519" s="8">
        <f>IF((0=1),AN204,(C204+(C274*(38-1))))</f>
        <v>-316.008</v>
      </c>
      <c r="AO519" s="8">
        <f>IF((0=1),AO204,(C204+(C274*(39-1))))</f>
        <v>-324.324</v>
      </c>
      <c r="AP519" s="8">
        <f>IF((0=1),AP204,(C204+(C274*(40-1))))</f>
        <v>-332.64</v>
      </c>
      <c r="AQ519" s="8">
        <f>IF((0=1),AQ204,(C204+(C274*(41-1))))</f>
        <v>-340.956</v>
      </c>
      <c r="AR519" s="8">
        <f>IF((0=1),AR204,(C204+(C274*(42-1))))</f>
        <v>-349.272</v>
      </c>
      <c r="AS519" s="8">
        <f>IF((0=1),AS204,(C204+(C274*(43-1))))</f>
        <v>-357.588</v>
      </c>
      <c r="AT519" s="8">
        <f>IF((0=1),AT204,(C204+(C274*(44-1))))</f>
        <v>-365.904</v>
      </c>
      <c r="AU519" s="8">
        <f>IF((0=1),AU204,(C204+(C274*(45-1))))</f>
        <v>-374.22</v>
      </c>
      <c r="AV519" s="8">
        <f>IF((0=1),AV204,(C204+(C274*(46-1))))</f>
        <v>-382.536</v>
      </c>
      <c r="AW519" s="8">
        <f>IF((0=1),AW204,(C204+(C274*(47-1))))</f>
        <v>-390.85200000000003</v>
      </c>
      <c r="AX519" s="8">
        <f>IF((0=1),AX204,(C204+(C274*(48-1))))</f>
        <v>-399.168</v>
      </c>
      <c r="AY519" s="8">
        <f>IF((0=1),AY204,(C204+(C274*(49-1))))</f>
        <v>-407.484</v>
      </c>
      <c r="AZ519" s="8">
        <f>IF((0=1),AZ204,(C204+(C274*(50-1))))</f>
        <v>-415.8</v>
      </c>
      <c r="BA519" s="8">
        <f>IF((0=1),BA204,(C204+(C274*(51-1))))</f>
        <v>-424.116</v>
      </c>
      <c r="BB519" s="8">
        <f>IF((0=1),BB204,(C204+(C274*(52-1))))</f>
        <v>-432.432</v>
      </c>
      <c r="BC519" s="8">
        <f>IF((0=1),BC204,(C204+(C274*(53-1))))</f>
        <v>-440.748</v>
      </c>
      <c r="BD519" s="8">
        <f>IF((0=1),BD204,(C204+(C274*(54-1))))</f>
        <v>-449.064</v>
      </c>
      <c r="BE519" s="8">
        <f>IF((0=1),BE204,(C204+(C274*(55-1))))</f>
        <v>-457.38</v>
      </c>
      <c r="BF519" s="8">
        <f>IF((0=1),BF204,(C204+(C274*(56-1))))</f>
        <v>-465.696</v>
      </c>
      <c r="BG519" s="8">
        <f>IF((0=1),BG204,(C204+(C274*(57-1))))</f>
        <v>-474.012</v>
      </c>
      <c r="BH519" s="8">
        <f>IF((0=1),BH204,(C204+(C274*(58-1))))</f>
        <v>-482.32800000000003</v>
      </c>
      <c r="BI519" s="8">
        <f>IF((0=1),BI204,(C204+(C274*(59-1))))</f>
        <v>-490.644</v>
      </c>
      <c r="BJ519" s="8">
        <f>IF((0=1),BJ204,(C204+(C274*(60-1))))</f>
        <v>-498.96000000000004</v>
      </c>
      <c r="BK519" s="8">
        <f>IF((0=1),BK204,(C204+(C274*(61-1))))</f>
        <v>-507.276</v>
      </c>
      <c r="BL519" s="8">
        <f>IF((0=1),BL204,(C204+(C274*(62-1))))</f>
        <v>-515.5920000000001</v>
      </c>
      <c r="BM519" s="8">
        <f>IF((0=1),BM204,(C204+(C274*(63-1))))</f>
        <v>-523.9080000000001</v>
      </c>
      <c r="BN519" s="8">
        <f>IF((0=1),BN204,(C204+(C274*(64-1))))</f>
        <v>-532.224</v>
      </c>
      <c r="BO519" s="8">
        <f>IF((0=1),BO204,(C204+(C274*(65-1))))</f>
        <v>-540.5400000000001</v>
      </c>
      <c r="BP519" s="8">
        <f>IF((0=1),BP204,(C204+(C274*(66-1))))</f>
        <v>-548.8560000000001</v>
      </c>
      <c r="BQ519" s="8">
        <f>IF((0=1),BQ204,(C204+(C274*(67-1))))</f>
        <v>-557.172</v>
      </c>
      <c r="BR519" s="8">
        <f>IF((0=1),BR204,(C204+(C274*(68-1))))</f>
        <v>-565.488</v>
      </c>
      <c r="BS519" s="8">
        <f>IF((0=1),BS204,(C204+(C274*(69-1))))</f>
        <v>-573.8040000000001</v>
      </c>
      <c r="BT519" s="8">
        <f>IF((0=1),BT204,(C204+(C274*(70-1))))</f>
        <v>-582.1200000000001</v>
      </c>
      <c r="BU519" s="8">
        <f>IF((0=1),BU204,(C204+(C274*(71-1))))</f>
        <v>-590.436</v>
      </c>
      <c r="BV519" s="8">
        <f>IF((0=1),BV204,(C204+(C274*(72-1))))</f>
        <v>-598.7520000000001</v>
      </c>
      <c r="BW519" s="8">
        <f>IF((0=1),BW204,(C204+(C274*(73-1))))</f>
        <v>-607.0680000000001</v>
      </c>
      <c r="BX519" s="8">
        <f>IF((0=1),BX204,(C204+(C274*(74-1))))</f>
        <v>-615.3840000000001</v>
      </c>
      <c r="BY519" s="8">
        <f>IF((0=1),BY204,(C204+(C274*(75-1))))</f>
        <v>-623.7</v>
      </c>
      <c r="BZ519" s="8">
        <f>IF((0=1),BZ204,(C204+(C274*(76-1))))</f>
        <v>-632.0160000000001</v>
      </c>
      <c r="CA519" s="8">
        <f>IF((0=1),CA204,(C204+(C274*(77-1))))</f>
        <v>-640.3320000000001</v>
      </c>
      <c r="CB519" s="8">
        <f>IF((0=1),CB204,(C204+(C274*(78-1))))</f>
        <v>-648.6480000000001</v>
      </c>
      <c r="CC519" s="8">
        <f>IF((0=1),CC204,(C204+(C274*(79-1))))</f>
        <v>-656.964</v>
      </c>
      <c r="CD519" s="8">
        <f>IF((0=1),CD204,(C204+(C274*(80-1))))</f>
        <v>-665.2800000000001</v>
      </c>
      <c r="CE519" s="8">
        <f>IF((0=1),CE204,(C204+(C274*(81-1))))</f>
        <v>-673.5960000000001</v>
      </c>
      <c r="CF519" s="8">
        <f>IF((0=1),CF204,(C204+(C274*(82-1))))</f>
        <v>-681.912</v>
      </c>
      <c r="CG519" s="8">
        <f>IF((0=1),CG204,(C204+(C274*(83-1))))</f>
        <v>-690.2280000000001</v>
      </c>
      <c r="CH519" s="8">
        <f>IF((0=1),CH204,(C204+(C274*(84-1))))</f>
        <v>-698.5440000000001</v>
      </c>
      <c r="CI519" s="8">
        <f>IF((0=1),CI204,(C204+(C274*(85-1))))</f>
        <v>-706.8600000000001</v>
      </c>
      <c r="CJ519" s="8">
        <f>IF((0=1),CJ204,(C204+(C274*(86-1))))</f>
        <v>-715.176</v>
      </c>
      <c r="CK519" s="8">
        <f>IF((0=1),CK204,(C204+(C274*(87-1))))</f>
        <v>-723.4920000000001</v>
      </c>
      <c r="CL519" s="8">
        <f>IF((0=1),CL204,(C204+(C274*(88-1))))</f>
        <v>-731.8080000000001</v>
      </c>
      <c r="CM519" s="8">
        <f>IF((0=1),CM204,(C204+(C274*(89-1))))</f>
        <v>-740.1240000000001</v>
      </c>
      <c r="CN519" s="8">
        <f>IF((0=1),CN204,(C204+(C274*(90-1))))</f>
        <v>-748.44</v>
      </c>
      <c r="CO519" s="8">
        <f>IF((0=1),CO204,(C204+(C274*(91-1))))</f>
        <v>-756.7560000000001</v>
      </c>
      <c r="CP519" s="8">
        <f>IF((0=1),CP204,(C204+(C274*(92-1))))</f>
        <v>-765.0720000000001</v>
      </c>
      <c r="CQ519" s="8">
        <f>IF((0=1),CQ204,(C204+(C274*(93-1))))</f>
        <v>-773.3880000000001</v>
      </c>
      <c r="CR519" s="8">
        <f>IF((0=1),CR204,(C204+(C274*(94-1))))</f>
        <v>-781.7040000000001</v>
      </c>
      <c r="CS519" s="8">
        <f>IF((0=1),CS204,(C204+(C274*(95-1))))</f>
        <v>-790.0200000000001</v>
      </c>
      <c r="CT519" s="8">
        <f>IF((0=1),CT204,(C204+(C274*(96-1))))</f>
        <v>-798.3360000000001</v>
      </c>
      <c r="CU519" s="8">
        <f>IF((0=1),CU204,(C204+(C274*(97-1))))</f>
        <v>-806.652</v>
      </c>
      <c r="CV519" s="8">
        <f>IF((0=1),CV204,(C204+(C274*(98-1))))</f>
        <v>-814.9680000000001</v>
      </c>
      <c r="CW519" s="8">
        <f>IF((0=1),CW204,(C204+(C274*(99-1))))</f>
        <v>-823.2840000000001</v>
      </c>
      <c r="CX519" s="8">
        <f>IF((0=1),CX204,(C204+(C274*(100-1))))</f>
        <v>-831.6000000000001</v>
      </c>
    </row>
    <row r="520">
      <c r="A520" s="0" t="inlineStr">
        <is>
          <t xml:space="preserve">Cumulative excess, realized then projected at running mean</t>
        </is>
      </c>
      <c r="B520" s="0" t="inlineStr">
        <is>
          <t xml:space="preserve">Random 14</t>
        </is>
      </c>
      <c r="C520" s="8">
        <f>IF((1=1),C205,(C205+(C275*(1-1))))</f>
        <v>1.692</v>
      </c>
      <c r="D520" s="8">
        <f>IF((0=1),D205,(C205+(C275*(2-1))))</f>
        <v>3.384</v>
      </c>
      <c r="E520" s="8">
        <f>IF((0=1),E205,(C205+(C275*(3-1))))</f>
        <v>5.076</v>
      </c>
      <c r="F520" s="8">
        <f>IF((0=1),F205,(C205+(C275*(4-1))))</f>
        <v>6.768</v>
      </c>
      <c r="G520" s="8">
        <f>IF((0=1),G205,(C205+(C275*(5-1))))</f>
        <v>8.459999999999999</v>
      </c>
      <c r="H520" s="8">
        <f>IF((0=1),H205,(C205+(C275*(6-1))))</f>
        <v>10.152</v>
      </c>
      <c r="I520" s="8">
        <f>IF((0=1),I205,(C205+(C275*(7-1))))</f>
        <v>11.844</v>
      </c>
      <c r="J520" s="8">
        <f>IF((0=1),J205,(C205+(C275*(8-1))))</f>
        <v>13.536</v>
      </c>
      <c r="K520" s="8">
        <f>IF((0=1),K205,(C205+(C275*(9-1))))</f>
        <v>15.228</v>
      </c>
      <c r="L520" s="8">
        <f>IF((0=1),L205,(C205+(C275*(10-1))))</f>
        <v>16.919999999999998</v>
      </c>
      <c r="M520" s="8">
        <f>IF((0=1),M205,(C205+(C275*(11-1))))</f>
        <v>18.612</v>
      </c>
      <c r="N520" s="8">
        <f>IF((0=1),N205,(C205+(C275*(12-1))))</f>
        <v>20.304</v>
      </c>
      <c r="O520" s="8">
        <f>IF((0=1),O205,(C205+(C275*(13-1))))</f>
        <v>21.996</v>
      </c>
      <c r="P520" s="8">
        <f>IF((0=1),P205,(C205+(C275*(14-1))))</f>
        <v>23.688</v>
      </c>
      <c r="Q520" s="8">
        <f>IF((0=1),Q205,(C205+(C275*(15-1))))</f>
        <v>25.38</v>
      </c>
      <c r="R520" s="8">
        <f>IF((0=1),R205,(C205+(C275*(16-1))))</f>
        <v>27.072</v>
      </c>
      <c r="S520" s="8">
        <f>IF((0=1),S205,(C205+(C275*(17-1))))</f>
        <v>28.764</v>
      </c>
      <c r="T520" s="8">
        <f>IF((0=1),T205,(C205+(C275*(18-1))))</f>
        <v>30.456</v>
      </c>
      <c r="U520" s="8">
        <f>IF((0=1),U205,(C205+(C275*(19-1))))</f>
        <v>32.147999999999996</v>
      </c>
      <c r="V520" s="8">
        <f>IF((0=1),V205,(C205+(C275*(20-1))))</f>
        <v>33.839999999999996</v>
      </c>
      <c r="W520" s="8">
        <f>IF((0=1),W205,(C205+(C275*(21-1))))</f>
        <v>35.532</v>
      </c>
      <c r="X520" s="8">
        <f>IF((0=1),X205,(C205+(C275*(22-1))))</f>
        <v>37.224</v>
      </c>
      <c r="Y520" s="8">
        <f>IF((0=1),Y205,(C205+(C275*(23-1))))</f>
        <v>38.916</v>
      </c>
      <c r="Z520" s="8">
        <f>IF((0=1),Z205,(C205+(C275*(24-1))))</f>
        <v>40.608</v>
      </c>
      <c r="AA520" s="8">
        <f>IF((0=1),AA205,(C205+(C275*(25-1))))</f>
        <v>42.3</v>
      </c>
      <c r="AB520" s="8">
        <f>IF((0=1),AB205,(C205+(C275*(26-1))))</f>
        <v>43.992</v>
      </c>
      <c r="AC520" s="8">
        <f>IF((0=1),AC205,(C205+(C275*(27-1))))</f>
        <v>45.684</v>
      </c>
      <c r="AD520" s="8">
        <f>IF((0=1),AD205,(C205+(C275*(28-1))))</f>
        <v>47.376</v>
      </c>
      <c r="AE520" s="8">
        <f>IF((0=1),AE205,(C205+(C275*(29-1))))</f>
        <v>49.068</v>
      </c>
      <c r="AF520" s="8">
        <f>IF((0=1),AF205,(C205+(C275*(30-1))))</f>
        <v>50.76</v>
      </c>
      <c r="AG520" s="8">
        <f>IF((0=1),AG205,(C205+(C275*(31-1))))</f>
        <v>52.452</v>
      </c>
      <c r="AH520" s="8">
        <f>IF((0=1),AH205,(C205+(C275*(32-1))))</f>
        <v>54.144</v>
      </c>
      <c r="AI520" s="8">
        <f>IF((0=1),AI205,(C205+(C275*(33-1))))</f>
        <v>55.836</v>
      </c>
      <c r="AJ520" s="8">
        <f>IF((0=1),AJ205,(C205+(C275*(34-1))))</f>
        <v>57.528</v>
      </c>
      <c r="AK520" s="8">
        <f>IF((0=1),AK205,(C205+(C275*(35-1))))</f>
        <v>59.22</v>
      </c>
      <c r="AL520" s="8">
        <f>IF((0=1),AL205,(C205+(C275*(36-1))))</f>
        <v>60.912</v>
      </c>
      <c r="AM520" s="8">
        <f>IF((0=1),AM205,(C205+(C275*(37-1))))</f>
        <v>62.604</v>
      </c>
      <c r="AN520" s="8">
        <f>IF((0=1),AN205,(C205+(C275*(38-1))))</f>
        <v>64.29599999999999</v>
      </c>
      <c r="AO520" s="8">
        <f>IF((0=1),AO205,(C205+(C275*(39-1))))</f>
        <v>65.98799999999999</v>
      </c>
      <c r="AP520" s="8">
        <f>IF((0=1),AP205,(C205+(C275*(40-1))))</f>
        <v>67.67999999999999</v>
      </c>
      <c r="AQ520" s="8">
        <f>IF((0=1),AQ205,(C205+(C275*(41-1))))</f>
        <v>69.37199999999999</v>
      </c>
      <c r="AR520" s="8">
        <f>IF((0=1),AR205,(C205+(C275*(42-1))))</f>
        <v>71.064</v>
      </c>
      <c r="AS520" s="8">
        <f>IF((0=1),AS205,(C205+(C275*(43-1))))</f>
        <v>72.75599999999999</v>
      </c>
      <c r="AT520" s="8">
        <f>IF((0=1),AT205,(C205+(C275*(44-1))))</f>
        <v>74.448</v>
      </c>
      <c r="AU520" s="8">
        <f>IF((0=1),AU205,(C205+(C275*(45-1))))</f>
        <v>76.13999999999999</v>
      </c>
      <c r="AV520" s="8">
        <f>IF((0=1),AV205,(C205+(C275*(46-1))))</f>
        <v>77.832</v>
      </c>
      <c r="AW520" s="8">
        <f>IF((0=1),AW205,(C205+(C275*(47-1))))</f>
        <v>79.52399999999999</v>
      </c>
      <c r="AX520" s="8">
        <f>IF((0=1),AX205,(C205+(C275*(48-1))))</f>
        <v>81.216</v>
      </c>
      <c r="AY520" s="8">
        <f>IF((0=1),AY205,(C205+(C275*(49-1))))</f>
        <v>82.90799999999999</v>
      </c>
      <c r="AZ520" s="8">
        <f>IF((0=1),AZ205,(C205+(C275*(50-1))))</f>
        <v>84.6</v>
      </c>
      <c r="BA520" s="8">
        <f>IF((0=1),BA205,(C205+(C275*(51-1))))</f>
        <v>86.29199999999999</v>
      </c>
      <c r="BB520" s="8">
        <f>IF((0=1),BB205,(C205+(C275*(52-1))))</f>
        <v>87.984</v>
      </c>
      <c r="BC520" s="8">
        <f>IF((0=1),BC205,(C205+(C275*(53-1))))</f>
        <v>89.67599999999999</v>
      </c>
      <c r="BD520" s="8">
        <f>IF((0=1),BD205,(C205+(C275*(54-1))))</f>
        <v>91.368</v>
      </c>
      <c r="BE520" s="8">
        <f>IF((0=1),BE205,(C205+(C275*(55-1))))</f>
        <v>93.05999999999999</v>
      </c>
      <c r="BF520" s="8">
        <f>IF((0=1),BF205,(C205+(C275*(56-1))))</f>
        <v>94.752</v>
      </c>
      <c r="BG520" s="8">
        <f>IF((0=1),BG205,(C205+(C275*(57-1))))</f>
        <v>96.44399999999999</v>
      </c>
      <c r="BH520" s="8">
        <f>IF((0=1),BH205,(C205+(C275*(58-1))))</f>
        <v>98.136</v>
      </c>
      <c r="BI520" s="8">
        <f>IF((0=1),BI205,(C205+(C275*(59-1))))</f>
        <v>99.82799999999999</v>
      </c>
      <c r="BJ520" s="8">
        <f>IF((0=1),BJ205,(C205+(C275*(60-1))))</f>
        <v>101.52</v>
      </c>
      <c r="BK520" s="8">
        <f>IF((0=1),BK205,(C205+(C275*(61-1))))</f>
        <v>103.21199999999999</v>
      </c>
      <c r="BL520" s="8">
        <f>IF((0=1),BL205,(C205+(C275*(62-1))))</f>
        <v>104.904</v>
      </c>
      <c r="BM520" s="8">
        <f>IF((0=1),BM205,(C205+(C275*(63-1))))</f>
        <v>106.59599999999999</v>
      </c>
      <c r="BN520" s="8">
        <f>IF((0=1),BN205,(C205+(C275*(64-1))))</f>
        <v>108.288</v>
      </c>
      <c r="BO520" s="8">
        <f>IF((0=1),BO205,(C205+(C275*(65-1))))</f>
        <v>109.97999999999999</v>
      </c>
      <c r="BP520" s="8">
        <f>IF((0=1),BP205,(C205+(C275*(66-1))))</f>
        <v>111.67199999999998</v>
      </c>
      <c r="BQ520" s="8">
        <f>IF((0=1),BQ205,(C205+(C275*(67-1))))</f>
        <v>113.36399999999999</v>
      </c>
      <c r="BR520" s="8">
        <f>IF((0=1),BR205,(C205+(C275*(68-1))))</f>
        <v>115.05599999999998</v>
      </c>
      <c r="BS520" s="8">
        <f>IF((0=1),BS205,(C205+(C275*(69-1))))</f>
        <v>116.74799999999999</v>
      </c>
      <c r="BT520" s="8">
        <f>IF((0=1),BT205,(C205+(C275*(70-1))))</f>
        <v>118.43999999999998</v>
      </c>
      <c r="BU520" s="8">
        <f>IF((0=1),BU205,(C205+(C275*(71-1))))</f>
        <v>120.13199999999999</v>
      </c>
      <c r="BV520" s="8">
        <f>IF((0=1),BV205,(C205+(C275*(72-1))))</f>
        <v>121.82399999999998</v>
      </c>
      <c r="BW520" s="8">
        <f>IF((0=1),BW205,(C205+(C275*(73-1))))</f>
        <v>123.51599999999999</v>
      </c>
      <c r="BX520" s="8">
        <f>IF((0=1),BX205,(C205+(C275*(74-1))))</f>
        <v>125.20799999999998</v>
      </c>
      <c r="BY520" s="8">
        <f>IF((0=1),BY205,(C205+(C275*(75-1))))</f>
        <v>126.89999999999999</v>
      </c>
      <c r="BZ520" s="8">
        <f>IF((0=1),BZ205,(C205+(C275*(76-1))))</f>
        <v>128.59199999999998</v>
      </c>
      <c r="CA520" s="8">
        <f>IF((0=1),CA205,(C205+(C275*(77-1))))</f>
        <v>130.284</v>
      </c>
      <c r="CB520" s="8">
        <f>IF((0=1),CB205,(C205+(C275*(78-1))))</f>
        <v>131.976</v>
      </c>
      <c r="CC520" s="8">
        <f>IF((0=1),CC205,(C205+(C275*(79-1))))</f>
        <v>133.668</v>
      </c>
      <c r="CD520" s="8">
        <f>IF((0=1),CD205,(C205+(C275*(80-1))))</f>
        <v>135.36</v>
      </c>
      <c r="CE520" s="8">
        <f>IF((0=1),CE205,(C205+(C275*(81-1))))</f>
        <v>137.052</v>
      </c>
      <c r="CF520" s="8">
        <f>IF((0=1),CF205,(C205+(C275*(82-1))))</f>
        <v>138.744</v>
      </c>
      <c r="CG520" s="8">
        <f>IF((0=1),CG205,(C205+(C275*(83-1))))</f>
        <v>140.436</v>
      </c>
      <c r="CH520" s="8">
        <f>IF((0=1),CH205,(C205+(C275*(84-1))))</f>
        <v>142.12800000000001</v>
      </c>
      <c r="CI520" s="8">
        <f>IF((0=1),CI205,(C205+(C275*(85-1))))</f>
        <v>143.82</v>
      </c>
      <c r="CJ520" s="8">
        <f>IF((0=1),CJ205,(C205+(C275*(86-1))))</f>
        <v>145.512</v>
      </c>
      <c r="CK520" s="8">
        <f>IF((0=1),CK205,(C205+(C275*(87-1))))</f>
        <v>147.204</v>
      </c>
      <c r="CL520" s="8">
        <f>IF((0=1),CL205,(C205+(C275*(88-1))))</f>
        <v>148.89600000000002</v>
      </c>
      <c r="CM520" s="8">
        <f>IF((0=1),CM205,(C205+(C275*(89-1))))</f>
        <v>150.588</v>
      </c>
      <c r="CN520" s="8">
        <f>IF((0=1),CN205,(C205+(C275*(90-1))))</f>
        <v>152.28</v>
      </c>
      <c r="CO520" s="8">
        <f>IF((0=1),CO205,(C205+(C275*(91-1))))</f>
        <v>153.972</v>
      </c>
      <c r="CP520" s="8">
        <f>IF((0=1),CP205,(C205+(C275*(92-1))))</f>
        <v>155.66400000000002</v>
      </c>
      <c r="CQ520" s="8">
        <f>IF((0=1),CQ205,(C205+(C275*(93-1))))</f>
        <v>157.356</v>
      </c>
      <c r="CR520" s="8">
        <f>IF((0=1),CR205,(C205+(C275*(94-1))))</f>
        <v>159.048</v>
      </c>
      <c r="CS520" s="8">
        <f>IF((0=1),CS205,(C205+(C275*(95-1))))</f>
        <v>160.74</v>
      </c>
      <c r="CT520" s="8">
        <f>IF((0=1),CT205,(C205+(C275*(96-1))))</f>
        <v>162.43200000000002</v>
      </c>
      <c r="CU520" s="8">
        <f>IF((0=1),CU205,(C205+(C275*(97-1))))</f>
        <v>164.124</v>
      </c>
      <c r="CV520" s="8">
        <f>IF((0=1),CV205,(C205+(C275*(98-1))))</f>
        <v>165.816</v>
      </c>
      <c r="CW520" s="8">
        <f>IF((0=1),CW205,(C205+(C275*(99-1))))</f>
        <v>167.508</v>
      </c>
      <c r="CX520" s="8">
        <f>IF((0=1),CX205,(C205+(C275*(100-1))))</f>
        <v>169.2</v>
      </c>
    </row>
    <row r="521">
      <c r="A521" s="0" t="inlineStr">
        <is>
          <t xml:space="preserve">Cumulative excess, realized then projected at running mean</t>
        </is>
      </c>
      <c r="B521" s="0" t="inlineStr">
        <is>
          <t xml:space="preserve">Random 15</t>
        </is>
      </c>
      <c r="C521" s="8">
        <f>IF((1=1),C206,(C206+(C276*(1-1))))</f>
        <v>-13.795</v>
      </c>
      <c r="D521" s="8">
        <f>IF((0=1),D206,(C206+(C276*(2-1))))</f>
        <v>-27.59</v>
      </c>
      <c r="E521" s="8">
        <f>IF((0=1),E206,(C206+(C276*(3-1))))</f>
        <v>-41.385</v>
      </c>
      <c r="F521" s="8">
        <f>IF((0=1),F206,(C206+(C276*(4-1))))</f>
        <v>-55.18</v>
      </c>
      <c r="G521" s="8">
        <f>IF((0=1),G206,(C206+(C276*(5-1))))</f>
        <v>-68.975</v>
      </c>
      <c r="H521" s="8">
        <f>IF((0=1),H206,(C206+(C276*(6-1))))</f>
        <v>-82.77</v>
      </c>
      <c r="I521" s="8">
        <f>IF((0=1),I206,(C206+(C276*(7-1))))</f>
        <v>-96.565</v>
      </c>
      <c r="J521" s="8">
        <f>IF((0=1),J206,(C206+(C276*(8-1))))</f>
        <v>-110.36</v>
      </c>
      <c r="K521" s="8">
        <f>IF((0=1),K206,(C206+(C276*(9-1))))</f>
        <v>-124.155</v>
      </c>
      <c r="L521" s="8">
        <f>IF((0=1),L206,(C206+(C276*(10-1))))</f>
        <v>-137.95</v>
      </c>
      <c r="M521" s="8">
        <f>IF((0=1),M206,(C206+(C276*(11-1))))</f>
        <v>-151.74499999999998</v>
      </c>
      <c r="N521" s="8">
        <f>IF((0=1),N206,(C206+(C276*(12-1))))</f>
        <v>-165.54</v>
      </c>
      <c r="O521" s="8">
        <f>IF((0=1),O206,(C206+(C276*(13-1))))</f>
        <v>-179.33499999999998</v>
      </c>
      <c r="P521" s="8">
        <f>IF((0=1),P206,(C206+(C276*(14-1))))</f>
        <v>-193.13</v>
      </c>
      <c r="Q521" s="8">
        <f>IF((0=1),Q206,(C206+(C276*(15-1))))</f>
        <v>-206.92499999999998</v>
      </c>
      <c r="R521" s="8">
        <f>IF((0=1),R206,(C206+(C276*(16-1))))</f>
        <v>-220.72</v>
      </c>
      <c r="S521" s="8">
        <f>IF((0=1),S206,(C206+(C276*(17-1))))</f>
        <v>-234.515</v>
      </c>
      <c r="T521" s="8">
        <f>IF((0=1),T206,(C206+(C276*(18-1))))</f>
        <v>-248.30999999999997</v>
      </c>
      <c r="U521" s="8">
        <f>IF((0=1),U206,(C206+(C276*(19-1))))</f>
        <v>-262.105</v>
      </c>
      <c r="V521" s="8">
        <f>IF((0=1),V206,(C206+(C276*(20-1))))</f>
        <v>-275.90000000000003</v>
      </c>
      <c r="W521" s="8">
        <f>IF((0=1),W206,(C206+(C276*(21-1))))</f>
        <v>-289.695</v>
      </c>
      <c r="X521" s="8">
        <f>IF((0=1),X206,(C206+(C276*(22-1))))</f>
        <v>-303.49</v>
      </c>
      <c r="Y521" s="8">
        <f>IF((0=1),Y206,(C206+(C276*(23-1))))</f>
        <v>-317.285</v>
      </c>
      <c r="Z521" s="8">
        <f>IF((0=1),Z206,(C206+(C276*(24-1))))</f>
        <v>-331.08000000000004</v>
      </c>
      <c r="AA521" s="8">
        <f>IF((0=1),AA206,(C206+(C276*(25-1))))</f>
        <v>-344.875</v>
      </c>
      <c r="AB521" s="8">
        <f>IF((0=1),AB206,(C206+(C276*(26-1))))</f>
        <v>-358.67</v>
      </c>
      <c r="AC521" s="8">
        <f>IF((0=1),AC206,(C206+(C276*(27-1))))</f>
        <v>-372.46500000000003</v>
      </c>
      <c r="AD521" s="8">
        <f>IF((0=1),AD206,(C206+(C276*(28-1))))</f>
        <v>-386.26</v>
      </c>
      <c r="AE521" s="8">
        <f>IF((0=1),AE206,(C206+(C276*(29-1))))</f>
        <v>-400.055</v>
      </c>
      <c r="AF521" s="8">
        <f>IF((0=1),AF206,(C206+(C276*(30-1))))</f>
        <v>-413.85</v>
      </c>
      <c r="AG521" s="8">
        <f>IF((0=1),AG206,(C206+(C276*(31-1))))</f>
        <v>-427.64500000000004</v>
      </c>
      <c r="AH521" s="8">
        <f>IF((0=1),AH206,(C206+(C276*(32-1))))</f>
        <v>-441.44</v>
      </c>
      <c r="AI521" s="8">
        <f>IF((0=1),AI206,(C206+(C276*(33-1))))</f>
        <v>-455.235</v>
      </c>
      <c r="AJ521" s="8">
        <f>IF((0=1),AJ206,(C206+(C276*(34-1))))</f>
        <v>-469.03000000000003</v>
      </c>
      <c r="AK521" s="8">
        <f>IF((0=1),AK206,(C206+(C276*(35-1))))</f>
        <v>-482.825</v>
      </c>
      <c r="AL521" s="8">
        <f>IF((0=1),AL206,(C206+(C276*(36-1))))</f>
        <v>-496.62</v>
      </c>
      <c r="AM521" s="8">
        <f>IF((0=1),AM206,(C206+(C276*(37-1))))</f>
        <v>-510.415</v>
      </c>
      <c r="AN521" s="8">
        <f>IF((0=1),AN206,(C206+(C276*(38-1))))</f>
        <v>-524.21</v>
      </c>
      <c r="AO521" s="8">
        <f>IF((0=1),AO206,(C206+(C276*(39-1))))</f>
        <v>-538.005</v>
      </c>
      <c r="AP521" s="8">
        <f>IF((0=1),AP206,(C206+(C276*(40-1))))</f>
        <v>-551.8</v>
      </c>
      <c r="AQ521" s="8">
        <f>IF((0=1),AQ206,(C206+(C276*(41-1))))</f>
        <v>-565.5949999999999</v>
      </c>
      <c r="AR521" s="8">
        <f>IF((0=1),AR206,(C206+(C276*(42-1))))</f>
        <v>-579.39</v>
      </c>
      <c r="AS521" s="8">
        <f>IF((0=1),AS206,(C206+(C276*(43-1))))</f>
        <v>-593.185</v>
      </c>
      <c r="AT521" s="8">
        <f>IF((0=1),AT206,(C206+(C276*(44-1))))</f>
        <v>-606.9799999999999</v>
      </c>
      <c r="AU521" s="8">
        <f>IF((0=1),AU206,(C206+(C276*(45-1))))</f>
        <v>-620.775</v>
      </c>
      <c r="AV521" s="8">
        <f>IF((0=1),AV206,(C206+(C276*(46-1))))</f>
        <v>-634.5699999999999</v>
      </c>
      <c r="AW521" s="8">
        <f>IF((0=1),AW206,(C206+(C276*(47-1))))</f>
        <v>-648.365</v>
      </c>
      <c r="AX521" s="8">
        <f>IF((0=1),AX206,(C206+(C276*(48-1))))</f>
        <v>-662.16</v>
      </c>
      <c r="AY521" s="8">
        <f>IF((0=1),AY206,(C206+(C276*(49-1))))</f>
        <v>-675.9549999999999</v>
      </c>
      <c r="AZ521" s="8">
        <f>IF((0=1),AZ206,(C206+(C276*(50-1))))</f>
        <v>-689.75</v>
      </c>
      <c r="BA521" s="8">
        <f>IF((0=1),BA206,(C206+(C276*(51-1))))</f>
        <v>-703.545</v>
      </c>
      <c r="BB521" s="8">
        <f>IF((0=1),BB206,(C206+(C276*(52-1))))</f>
        <v>-717.3399999999999</v>
      </c>
      <c r="BC521" s="8">
        <f>IF((0=1),BC206,(C206+(C276*(53-1))))</f>
        <v>-731.135</v>
      </c>
      <c r="BD521" s="8">
        <f>IF((0=1),BD206,(C206+(C276*(54-1))))</f>
        <v>-744.93</v>
      </c>
      <c r="BE521" s="8">
        <f>IF((0=1),BE206,(C206+(C276*(55-1))))</f>
        <v>-758.7249999999999</v>
      </c>
      <c r="BF521" s="8">
        <f>IF((0=1),BF206,(C206+(C276*(56-1))))</f>
        <v>-772.52</v>
      </c>
      <c r="BG521" s="8">
        <f>IF((0=1),BG206,(C206+(C276*(57-1))))</f>
        <v>-786.3149999999999</v>
      </c>
      <c r="BH521" s="8">
        <f>IF((0=1),BH206,(C206+(C276*(58-1))))</f>
        <v>-800.1099999999999</v>
      </c>
      <c r="BI521" s="8">
        <f>IF((0=1),BI206,(C206+(C276*(59-1))))</f>
        <v>-813.905</v>
      </c>
      <c r="BJ521" s="8">
        <f>IF((0=1),BJ206,(C206+(C276*(60-1))))</f>
        <v>-827.6999999999999</v>
      </c>
      <c r="BK521" s="8">
        <f>IF((0=1),BK206,(C206+(C276*(61-1))))</f>
        <v>-841.495</v>
      </c>
      <c r="BL521" s="8">
        <f>IF((0=1),BL206,(C206+(C276*(62-1))))</f>
        <v>-855.29</v>
      </c>
      <c r="BM521" s="8">
        <f>IF((0=1),BM206,(C206+(C276*(63-1))))</f>
        <v>-869.0849999999999</v>
      </c>
      <c r="BN521" s="8">
        <f>IF((0=1),BN206,(C206+(C276*(64-1))))</f>
        <v>-882.88</v>
      </c>
      <c r="BO521" s="8">
        <f>IF((0=1),BO206,(C206+(C276*(65-1))))</f>
        <v>-896.675</v>
      </c>
      <c r="BP521" s="8">
        <f>IF((0=1),BP206,(C206+(C276*(66-1))))</f>
        <v>-910.4699999999999</v>
      </c>
      <c r="BQ521" s="8">
        <f>IF((0=1),BQ206,(C206+(C276*(67-1))))</f>
        <v>-924.265</v>
      </c>
      <c r="BR521" s="8">
        <f>IF((0=1),BR206,(C206+(C276*(68-1))))</f>
        <v>-938.06</v>
      </c>
      <c r="BS521" s="8">
        <f>IF((0=1),BS206,(C206+(C276*(69-1))))</f>
        <v>-951.8549999999999</v>
      </c>
      <c r="BT521" s="8">
        <f>IF((0=1),BT206,(C206+(C276*(70-1))))</f>
        <v>-965.65</v>
      </c>
      <c r="BU521" s="8">
        <f>IF((0=1),BU206,(C206+(C276*(71-1))))</f>
        <v>-979.4449999999999</v>
      </c>
      <c r="BV521" s="8">
        <f>IF((0=1),BV206,(C206+(C276*(72-1))))</f>
        <v>-993.24</v>
      </c>
      <c r="BW521" s="8">
        <f>IF((0=1),BW206,(C206+(C276*(73-1))))</f>
        <v>-1007.035</v>
      </c>
      <c r="BX521" s="8">
        <f>IF((0=1),BX206,(C206+(C276*(74-1))))</f>
        <v>-1020.8299999999999</v>
      </c>
      <c r="BY521" s="8">
        <f>IF((0=1),BY206,(C206+(C276*(75-1))))</f>
        <v>-1034.625</v>
      </c>
      <c r="BZ521" s="8">
        <f>IF((0=1),BZ206,(C206+(C276*(76-1))))</f>
        <v>-1048.42</v>
      </c>
      <c r="CA521" s="8">
        <f>IF((0=1),CA206,(C206+(C276*(77-1))))</f>
        <v>-1062.2150000000001</v>
      </c>
      <c r="CB521" s="8">
        <f>IF((0=1),CB206,(C206+(C276*(78-1))))</f>
        <v>-1076.01</v>
      </c>
      <c r="CC521" s="8">
        <f>IF((0=1),CC206,(C206+(C276*(79-1))))</f>
        <v>-1089.805</v>
      </c>
      <c r="CD521" s="8">
        <f>IF((0=1),CD206,(C206+(C276*(80-1))))</f>
        <v>-1103.6000000000001</v>
      </c>
      <c r="CE521" s="8">
        <f>IF((0=1),CE206,(C206+(C276*(81-1))))</f>
        <v>-1117.395</v>
      </c>
      <c r="CF521" s="8">
        <f>IF((0=1),CF206,(C206+(C276*(82-1))))</f>
        <v>-1131.19</v>
      </c>
      <c r="CG521" s="8">
        <f>IF((0=1),CG206,(C206+(C276*(83-1))))</f>
        <v>-1144.9850000000001</v>
      </c>
      <c r="CH521" s="8">
        <f>IF((0=1),CH206,(C206+(C276*(84-1))))</f>
        <v>-1158.78</v>
      </c>
      <c r="CI521" s="8">
        <f>IF((0=1),CI206,(C206+(C276*(85-1))))</f>
        <v>-1172.575</v>
      </c>
      <c r="CJ521" s="8">
        <f>IF((0=1),CJ206,(C206+(C276*(86-1))))</f>
        <v>-1186.3700000000001</v>
      </c>
      <c r="CK521" s="8">
        <f>IF((0=1),CK206,(C206+(C276*(87-1))))</f>
        <v>-1200.165</v>
      </c>
      <c r="CL521" s="8">
        <f>IF((0=1),CL206,(C206+(C276*(88-1))))</f>
        <v>-1213.96</v>
      </c>
      <c r="CM521" s="8">
        <f>IF((0=1),CM206,(C206+(C276*(89-1))))</f>
        <v>-1227.755</v>
      </c>
      <c r="CN521" s="8">
        <f>IF((0=1),CN206,(C206+(C276*(90-1))))</f>
        <v>-1241.55</v>
      </c>
      <c r="CO521" s="8">
        <f>IF((0=1),CO206,(C206+(C276*(91-1))))</f>
        <v>-1255.345</v>
      </c>
      <c r="CP521" s="8">
        <f>IF((0=1),CP206,(C206+(C276*(92-1))))</f>
        <v>-1269.14</v>
      </c>
      <c r="CQ521" s="8">
        <f>IF((0=1),CQ206,(C206+(C276*(93-1))))</f>
        <v>-1282.9350000000002</v>
      </c>
      <c r="CR521" s="8">
        <f>IF((0=1),CR206,(C206+(C276*(94-1))))</f>
        <v>-1296.73</v>
      </c>
      <c r="CS521" s="8">
        <f>IF((0=1),CS206,(C206+(C276*(95-1))))</f>
        <v>-1310.525</v>
      </c>
      <c r="CT521" s="8">
        <f>IF((0=1),CT206,(C206+(C276*(96-1))))</f>
        <v>-1324.3200000000002</v>
      </c>
      <c r="CU521" s="8">
        <f>IF((0=1),CU206,(C206+(C276*(97-1))))</f>
        <v>-1338.115</v>
      </c>
      <c r="CV521" s="8">
        <f>IF((0=1),CV206,(C206+(C276*(98-1))))</f>
        <v>-1351.91</v>
      </c>
      <c r="CW521" s="8">
        <f>IF((0=1),CW206,(C206+(C276*(99-1))))</f>
        <v>-1365.7050000000002</v>
      </c>
      <c r="CX521" s="8">
        <f>IF((0=1),CX206,(C206+(C276*(100-1))))</f>
        <v>-1379.5</v>
      </c>
    </row>
    <row r="522">
      <c r="A522" s="0" t="inlineStr">
        <is>
          <t xml:space="preserve">Cumulative excess, realized then projected at running mean</t>
        </is>
      </c>
      <c r="B522" s="0" t="inlineStr">
        <is>
          <t xml:space="preserve">Random 16</t>
        </is>
      </c>
      <c r="C522" s="8">
        <f>IF((1=1),C207,(C207+(C277*(1-1))))</f>
        <v>-1.212</v>
      </c>
      <c r="D522" s="8">
        <f>IF((0=1),D207,(C207+(C277*(2-1))))</f>
        <v>-2.424</v>
      </c>
      <c r="E522" s="8">
        <f>IF((0=1),E207,(C207+(C277*(3-1))))</f>
        <v>-3.636</v>
      </c>
      <c r="F522" s="8">
        <f>IF((0=1),F207,(C207+(C277*(4-1))))</f>
        <v>-4.848</v>
      </c>
      <c r="G522" s="8">
        <f>IF((0=1),G207,(C207+(C277*(5-1))))</f>
        <v>-6.06</v>
      </c>
      <c r="H522" s="8">
        <f>IF((0=1),H207,(C207+(C277*(6-1))))</f>
        <v>-7.271999999999999</v>
      </c>
      <c r="I522" s="8">
        <f>IF((0=1),I207,(C207+(C277*(7-1))))</f>
        <v>-8.484</v>
      </c>
      <c r="J522" s="8">
        <f>IF((0=1),J207,(C207+(C277*(8-1))))</f>
        <v>-9.696</v>
      </c>
      <c r="K522" s="8">
        <f>IF((0=1),K207,(C207+(C277*(9-1))))</f>
        <v>-10.908</v>
      </c>
      <c r="L522" s="8">
        <f>IF((0=1),L207,(C207+(C277*(10-1))))</f>
        <v>-12.12</v>
      </c>
      <c r="M522" s="8">
        <f>IF((0=1),M207,(C207+(C277*(11-1))))</f>
        <v>-13.331999999999999</v>
      </c>
      <c r="N522" s="8">
        <f>IF((0=1),N207,(C207+(C277*(12-1))))</f>
        <v>-14.543999999999999</v>
      </c>
      <c r="O522" s="8">
        <f>IF((0=1),O207,(C207+(C277*(13-1))))</f>
        <v>-15.756</v>
      </c>
      <c r="P522" s="8">
        <f>IF((0=1),P207,(C207+(C277*(14-1))))</f>
        <v>-16.968</v>
      </c>
      <c r="Q522" s="8">
        <f>IF((0=1),Q207,(C207+(C277*(15-1))))</f>
        <v>-18.18</v>
      </c>
      <c r="R522" s="8">
        <f>IF((0=1),R207,(C207+(C277*(16-1))))</f>
        <v>-19.392</v>
      </c>
      <c r="S522" s="8">
        <f>IF((0=1),S207,(C207+(C277*(17-1))))</f>
        <v>-20.604</v>
      </c>
      <c r="T522" s="8">
        <f>IF((0=1),T207,(C207+(C277*(18-1))))</f>
        <v>-21.816</v>
      </c>
      <c r="U522" s="8">
        <f>IF((0=1),U207,(C207+(C277*(19-1))))</f>
        <v>-23.028</v>
      </c>
      <c r="V522" s="8">
        <f>IF((0=1),V207,(C207+(C277*(20-1))))</f>
        <v>-24.24</v>
      </c>
      <c r="W522" s="8">
        <f>IF((0=1),W207,(C207+(C277*(21-1))))</f>
        <v>-25.451999999999998</v>
      </c>
      <c r="X522" s="8">
        <f>IF((0=1),X207,(C207+(C277*(22-1))))</f>
        <v>-26.663999999999998</v>
      </c>
      <c r="Y522" s="8">
        <f>IF((0=1),Y207,(C207+(C277*(23-1))))</f>
        <v>-27.875999999999998</v>
      </c>
      <c r="Z522" s="8">
        <f>IF((0=1),Z207,(C207+(C277*(24-1))))</f>
        <v>-29.087999999999997</v>
      </c>
      <c r="AA522" s="8">
        <f>IF((0=1),AA207,(C207+(C277*(25-1))))</f>
        <v>-30.3</v>
      </c>
      <c r="AB522" s="8">
        <f>IF((0=1),AB207,(C207+(C277*(26-1))))</f>
        <v>-31.512</v>
      </c>
      <c r="AC522" s="8">
        <f>IF((0=1),AC207,(C207+(C277*(27-1))))</f>
        <v>-32.724000000000004</v>
      </c>
      <c r="AD522" s="8">
        <f>IF((0=1),AD207,(C207+(C277*(28-1))))</f>
        <v>-33.936</v>
      </c>
      <c r="AE522" s="8">
        <f>IF((0=1),AE207,(C207+(C277*(29-1))))</f>
        <v>-35.148</v>
      </c>
      <c r="AF522" s="8">
        <f>IF((0=1),AF207,(C207+(C277*(30-1))))</f>
        <v>-36.36</v>
      </c>
      <c r="AG522" s="8">
        <f>IF((0=1),AG207,(C207+(C277*(31-1))))</f>
        <v>-37.572</v>
      </c>
      <c r="AH522" s="8">
        <f>IF((0=1),AH207,(C207+(C277*(32-1))))</f>
        <v>-38.784</v>
      </c>
      <c r="AI522" s="8">
        <f>IF((0=1),AI207,(C207+(C277*(33-1))))</f>
        <v>-39.996</v>
      </c>
      <c r="AJ522" s="8">
        <f>IF((0=1),AJ207,(C207+(C277*(34-1))))</f>
        <v>-41.208000000000006</v>
      </c>
      <c r="AK522" s="8">
        <f>IF((0=1),AK207,(C207+(C277*(35-1))))</f>
        <v>-42.42</v>
      </c>
      <c r="AL522" s="8">
        <f>IF((0=1),AL207,(C207+(C277*(36-1))))</f>
        <v>-43.632000000000005</v>
      </c>
      <c r="AM522" s="8">
        <f>IF((0=1),AM207,(C207+(C277*(37-1))))</f>
        <v>-44.844</v>
      </c>
      <c r="AN522" s="8">
        <f>IF((0=1),AN207,(C207+(C277*(38-1))))</f>
        <v>-46.056000000000004</v>
      </c>
      <c r="AO522" s="8">
        <f>IF((0=1),AO207,(C207+(C277*(39-1))))</f>
        <v>-47.268</v>
      </c>
      <c r="AP522" s="8">
        <f>IF((0=1),AP207,(C207+(C277*(40-1))))</f>
        <v>-48.480000000000004</v>
      </c>
      <c r="AQ522" s="8">
        <f>IF((0=1),AQ207,(C207+(C277*(41-1))))</f>
        <v>-49.692</v>
      </c>
      <c r="AR522" s="8">
        <f>IF((0=1),AR207,(C207+(C277*(42-1))))</f>
        <v>-50.904</v>
      </c>
      <c r="AS522" s="8">
        <f>IF((0=1),AS207,(C207+(C277*(43-1))))</f>
        <v>-52.116</v>
      </c>
      <c r="AT522" s="8">
        <f>IF((0=1),AT207,(C207+(C277*(44-1))))</f>
        <v>-53.328</v>
      </c>
      <c r="AU522" s="8">
        <f>IF((0=1),AU207,(C207+(C277*(45-1))))</f>
        <v>-54.54</v>
      </c>
      <c r="AV522" s="8">
        <f>IF((0=1),AV207,(C207+(C277*(46-1))))</f>
        <v>-55.752</v>
      </c>
      <c r="AW522" s="8">
        <f>IF((0=1),AW207,(C207+(C277*(47-1))))</f>
        <v>-56.964</v>
      </c>
      <c r="AX522" s="8">
        <f>IF((0=1),AX207,(C207+(C277*(48-1))))</f>
        <v>-58.176</v>
      </c>
      <c r="AY522" s="8">
        <f>IF((0=1),AY207,(C207+(C277*(49-1))))</f>
        <v>-59.388000000000005</v>
      </c>
      <c r="AZ522" s="8">
        <f>IF((0=1),AZ207,(C207+(C277*(50-1))))</f>
        <v>-60.6</v>
      </c>
      <c r="BA522" s="8">
        <f>IF((0=1),BA207,(C207+(C277*(51-1))))</f>
        <v>-61.812000000000005</v>
      </c>
      <c r="BB522" s="8">
        <f>IF((0=1),BB207,(C207+(C277*(52-1))))</f>
        <v>-63.024</v>
      </c>
      <c r="BC522" s="8">
        <f>IF((0=1),BC207,(C207+(C277*(53-1))))</f>
        <v>-64.236</v>
      </c>
      <c r="BD522" s="8">
        <f>IF((0=1),BD207,(C207+(C277*(54-1))))</f>
        <v>-65.44800000000001</v>
      </c>
      <c r="BE522" s="8">
        <f>IF((0=1),BE207,(C207+(C277*(55-1))))</f>
        <v>-66.66</v>
      </c>
      <c r="BF522" s="8">
        <f>IF((0=1),BF207,(C207+(C277*(56-1))))</f>
        <v>-67.872</v>
      </c>
      <c r="BG522" s="8">
        <f>IF((0=1),BG207,(C207+(C277*(57-1))))</f>
        <v>-69.084</v>
      </c>
      <c r="BH522" s="8">
        <f>IF((0=1),BH207,(C207+(C277*(58-1))))</f>
        <v>-70.296</v>
      </c>
      <c r="BI522" s="8">
        <f>IF((0=1),BI207,(C207+(C277*(59-1))))</f>
        <v>-71.508</v>
      </c>
      <c r="BJ522" s="8">
        <f>IF((0=1),BJ207,(C207+(C277*(60-1))))</f>
        <v>-72.72</v>
      </c>
      <c r="BK522" s="8">
        <f>IF((0=1),BK207,(C207+(C277*(61-1))))</f>
        <v>-73.932</v>
      </c>
      <c r="BL522" s="8">
        <f>IF((0=1),BL207,(C207+(C277*(62-1))))</f>
        <v>-75.144</v>
      </c>
      <c r="BM522" s="8">
        <f>IF((0=1),BM207,(C207+(C277*(63-1))))</f>
        <v>-76.356</v>
      </c>
      <c r="BN522" s="8">
        <f>IF((0=1),BN207,(C207+(C277*(64-1))))</f>
        <v>-77.568</v>
      </c>
      <c r="BO522" s="8">
        <f>IF((0=1),BO207,(C207+(C277*(65-1))))</f>
        <v>-78.78</v>
      </c>
      <c r="BP522" s="8">
        <f>IF((0=1),BP207,(C207+(C277*(66-1))))</f>
        <v>-79.992</v>
      </c>
      <c r="BQ522" s="8">
        <f>IF((0=1),BQ207,(C207+(C277*(67-1))))</f>
        <v>-81.20400000000001</v>
      </c>
      <c r="BR522" s="8">
        <f>IF((0=1),BR207,(C207+(C277*(68-1))))</f>
        <v>-82.416</v>
      </c>
      <c r="BS522" s="8">
        <f>IF((0=1),BS207,(C207+(C277*(69-1))))</f>
        <v>-83.628</v>
      </c>
      <c r="BT522" s="8">
        <f>IF((0=1),BT207,(C207+(C277*(70-1))))</f>
        <v>-84.84</v>
      </c>
      <c r="BU522" s="8">
        <f>IF((0=1),BU207,(C207+(C277*(71-1))))</f>
        <v>-86.052</v>
      </c>
      <c r="BV522" s="8">
        <f>IF((0=1),BV207,(C207+(C277*(72-1))))</f>
        <v>-87.264</v>
      </c>
      <c r="BW522" s="8">
        <f>IF((0=1),BW207,(C207+(C277*(73-1))))</f>
        <v>-88.476</v>
      </c>
      <c r="BX522" s="8">
        <f>IF((0=1),BX207,(C207+(C277*(74-1))))</f>
        <v>-89.688</v>
      </c>
      <c r="BY522" s="8">
        <f>IF((0=1),BY207,(C207+(C277*(75-1))))</f>
        <v>-90.9</v>
      </c>
      <c r="BZ522" s="8">
        <f>IF((0=1),BZ207,(C207+(C277*(76-1))))</f>
        <v>-92.112</v>
      </c>
      <c r="CA522" s="8">
        <f>IF((0=1),CA207,(C207+(C277*(77-1))))</f>
        <v>-93.324</v>
      </c>
      <c r="CB522" s="8">
        <f>IF((0=1),CB207,(C207+(C277*(78-1))))</f>
        <v>-94.536</v>
      </c>
      <c r="CC522" s="8">
        <f>IF((0=1),CC207,(C207+(C277*(79-1))))</f>
        <v>-95.748</v>
      </c>
      <c r="CD522" s="8">
        <f>IF((0=1),CD207,(C207+(C277*(80-1))))</f>
        <v>-96.96</v>
      </c>
      <c r="CE522" s="8">
        <f>IF((0=1),CE207,(C207+(C277*(81-1))))</f>
        <v>-98.172</v>
      </c>
      <c r="CF522" s="8">
        <f>IF((0=1),CF207,(C207+(C277*(82-1))))</f>
        <v>-99.384</v>
      </c>
      <c r="CG522" s="8">
        <f>IF((0=1),CG207,(C207+(C277*(83-1))))</f>
        <v>-100.596</v>
      </c>
      <c r="CH522" s="8">
        <f>IF((0=1),CH207,(C207+(C277*(84-1))))</f>
        <v>-101.808</v>
      </c>
      <c r="CI522" s="8">
        <f>IF((0=1),CI207,(C207+(C277*(85-1))))</f>
        <v>-103.02</v>
      </c>
      <c r="CJ522" s="8">
        <f>IF((0=1),CJ207,(C207+(C277*(86-1))))</f>
        <v>-104.232</v>
      </c>
      <c r="CK522" s="8">
        <f>IF((0=1),CK207,(C207+(C277*(87-1))))</f>
        <v>-105.444</v>
      </c>
      <c r="CL522" s="8">
        <f>IF((0=1),CL207,(C207+(C277*(88-1))))</f>
        <v>-106.656</v>
      </c>
      <c r="CM522" s="8">
        <f>IF((0=1),CM207,(C207+(C277*(89-1))))</f>
        <v>-107.868</v>
      </c>
      <c r="CN522" s="8">
        <f>IF((0=1),CN207,(C207+(C277*(90-1))))</f>
        <v>-109.08</v>
      </c>
      <c r="CO522" s="8">
        <f>IF((0=1),CO207,(C207+(C277*(91-1))))</f>
        <v>-110.292</v>
      </c>
      <c r="CP522" s="8">
        <f>IF((0=1),CP207,(C207+(C277*(92-1))))</f>
        <v>-111.504</v>
      </c>
      <c r="CQ522" s="8">
        <f>IF((0=1),CQ207,(C207+(C277*(93-1))))</f>
        <v>-112.716</v>
      </c>
      <c r="CR522" s="8">
        <f>IF((0=1),CR207,(C207+(C277*(94-1))))</f>
        <v>-113.928</v>
      </c>
      <c r="CS522" s="8">
        <f>IF((0=1),CS207,(C207+(C277*(95-1))))</f>
        <v>-115.14</v>
      </c>
      <c r="CT522" s="8">
        <f>IF((0=1),CT207,(C207+(C277*(96-1))))</f>
        <v>-116.352</v>
      </c>
      <c r="CU522" s="8">
        <f>IF((0=1),CU207,(C207+(C277*(97-1))))</f>
        <v>-117.56400000000001</v>
      </c>
      <c r="CV522" s="8">
        <f>IF((0=1),CV207,(C207+(C277*(98-1))))</f>
        <v>-118.776</v>
      </c>
      <c r="CW522" s="8">
        <f>IF((0=1),CW207,(C207+(C277*(99-1))))</f>
        <v>-119.988</v>
      </c>
      <c r="CX522" s="8">
        <f>IF((0=1),CX207,(C207+(C277*(100-1))))</f>
        <v>-121.2</v>
      </c>
    </row>
    <row r="523">
      <c r="A523" s="0" t="inlineStr">
        <is>
          <t xml:space="preserve">Cumulative excess, realized then projected at running mean</t>
        </is>
      </c>
      <c r="B523" s="0" t="inlineStr">
        <is>
          <t xml:space="preserve">Random 17</t>
        </is>
      </c>
      <c r="C523" s="8">
        <f>IF((1=1),C208,(C208+(C278*(1-1))))</f>
        <v>-2.98</v>
      </c>
      <c r="D523" s="8">
        <f>IF((0=1),D208,(C208+(C278*(2-1))))</f>
        <v>-5.96</v>
      </c>
      <c r="E523" s="8">
        <f>IF((0=1),E208,(C208+(C278*(3-1))))</f>
        <v>-8.94</v>
      </c>
      <c r="F523" s="8">
        <f>IF((0=1),F208,(C208+(C278*(4-1))))</f>
        <v>-11.92</v>
      </c>
      <c r="G523" s="8">
        <f>IF((0=1),G208,(C208+(C278*(5-1))))</f>
        <v>-14.9</v>
      </c>
      <c r="H523" s="8">
        <f>IF((0=1),H208,(C208+(C278*(6-1))))</f>
        <v>-17.88</v>
      </c>
      <c r="I523" s="8">
        <f>IF((0=1),I208,(C208+(C278*(7-1))))</f>
        <v>-20.86</v>
      </c>
      <c r="J523" s="8">
        <f>IF((0=1),J208,(C208+(C278*(8-1))))</f>
        <v>-23.84</v>
      </c>
      <c r="K523" s="8">
        <f>IF((0=1),K208,(C208+(C278*(9-1))))</f>
        <v>-26.82</v>
      </c>
      <c r="L523" s="8">
        <f>IF((0=1),L208,(C208+(C278*(10-1))))</f>
        <v>-29.8</v>
      </c>
      <c r="M523" s="8">
        <f>IF((0=1),M208,(C208+(C278*(11-1))))</f>
        <v>-32.78</v>
      </c>
      <c r="N523" s="8">
        <f>IF((0=1),N208,(C208+(C278*(12-1))))</f>
        <v>-35.76</v>
      </c>
      <c r="O523" s="8">
        <f>IF((0=1),O208,(C208+(C278*(13-1))))</f>
        <v>-38.739999999999995</v>
      </c>
      <c r="P523" s="8">
        <f>IF((0=1),P208,(C208+(C278*(14-1))))</f>
        <v>-41.72</v>
      </c>
      <c r="Q523" s="8">
        <f>IF((0=1),Q208,(C208+(C278*(15-1))))</f>
        <v>-44.699999999999996</v>
      </c>
      <c r="R523" s="8">
        <f>IF((0=1),R208,(C208+(C278*(16-1))))</f>
        <v>-47.68</v>
      </c>
      <c r="S523" s="8">
        <f>IF((0=1),S208,(C208+(C278*(17-1))))</f>
        <v>-50.66</v>
      </c>
      <c r="T523" s="8">
        <f>IF((0=1),T208,(C208+(C278*(18-1))))</f>
        <v>-53.63999999999999</v>
      </c>
      <c r="U523" s="8">
        <f>IF((0=1),U208,(C208+(C278*(19-1))))</f>
        <v>-56.62</v>
      </c>
      <c r="V523" s="8">
        <f>IF((0=1),V208,(C208+(C278*(20-1))))</f>
        <v>-59.599999999999994</v>
      </c>
      <c r="W523" s="8">
        <f>IF((0=1),W208,(C208+(C278*(21-1))))</f>
        <v>-62.58</v>
      </c>
      <c r="X523" s="8">
        <f>IF((0=1),X208,(C208+(C278*(22-1))))</f>
        <v>-65.56</v>
      </c>
      <c r="Y523" s="8">
        <f>IF((0=1),Y208,(C208+(C278*(23-1))))</f>
        <v>-68.54</v>
      </c>
      <c r="Z523" s="8">
        <f>IF((0=1),Z208,(C208+(C278*(24-1))))</f>
        <v>-71.52000000000001</v>
      </c>
      <c r="AA523" s="8">
        <f>IF((0=1),AA208,(C208+(C278*(25-1))))</f>
        <v>-74.5</v>
      </c>
      <c r="AB523" s="8">
        <f>IF((0=1),AB208,(C208+(C278*(26-1))))</f>
        <v>-77.48</v>
      </c>
      <c r="AC523" s="8">
        <f>IF((0=1),AC208,(C208+(C278*(27-1))))</f>
        <v>-80.46000000000001</v>
      </c>
      <c r="AD523" s="8">
        <f>IF((0=1),AD208,(C208+(C278*(28-1))))</f>
        <v>-83.44</v>
      </c>
      <c r="AE523" s="8">
        <f>IF((0=1),AE208,(C208+(C278*(29-1))))</f>
        <v>-86.42</v>
      </c>
      <c r="AF523" s="8">
        <f>IF((0=1),AF208,(C208+(C278*(30-1))))</f>
        <v>-89.4</v>
      </c>
      <c r="AG523" s="8">
        <f>IF((0=1),AG208,(C208+(C278*(31-1))))</f>
        <v>-92.38000000000001</v>
      </c>
      <c r="AH523" s="8">
        <f>IF((0=1),AH208,(C208+(C278*(32-1))))</f>
        <v>-95.36</v>
      </c>
      <c r="AI523" s="8">
        <f>IF((0=1),AI208,(C208+(C278*(33-1))))</f>
        <v>-98.34</v>
      </c>
      <c r="AJ523" s="8">
        <f>IF((0=1),AJ208,(C208+(C278*(34-1))))</f>
        <v>-101.32000000000001</v>
      </c>
      <c r="AK523" s="8">
        <f>IF((0=1),AK208,(C208+(C278*(35-1))))</f>
        <v>-104.3</v>
      </c>
      <c r="AL523" s="8">
        <f>IF((0=1),AL208,(C208+(C278*(36-1))))</f>
        <v>-107.28</v>
      </c>
      <c r="AM523" s="8">
        <f>IF((0=1),AM208,(C208+(C278*(37-1))))</f>
        <v>-110.26</v>
      </c>
      <c r="AN523" s="8">
        <f>IF((0=1),AN208,(C208+(C278*(38-1))))</f>
        <v>-113.24000000000001</v>
      </c>
      <c r="AO523" s="8">
        <f>IF((0=1),AO208,(C208+(C278*(39-1))))</f>
        <v>-116.22</v>
      </c>
      <c r="AP523" s="8">
        <f>IF((0=1),AP208,(C208+(C278*(40-1))))</f>
        <v>-119.2</v>
      </c>
      <c r="AQ523" s="8">
        <f>IF((0=1),AQ208,(C208+(C278*(41-1))))</f>
        <v>-122.18</v>
      </c>
      <c r="AR523" s="8">
        <f>IF((0=1),AR208,(C208+(C278*(42-1))))</f>
        <v>-125.16</v>
      </c>
      <c r="AS523" s="8">
        <f>IF((0=1),AS208,(C208+(C278*(43-1))))</f>
        <v>-128.14</v>
      </c>
      <c r="AT523" s="8">
        <f>IF((0=1),AT208,(C208+(C278*(44-1))))</f>
        <v>-131.11999999999998</v>
      </c>
      <c r="AU523" s="8">
        <f>IF((0=1),AU208,(C208+(C278*(45-1))))</f>
        <v>-134.1</v>
      </c>
      <c r="AV523" s="8">
        <f>IF((0=1),AV208,(C208+(C278*(46-1))))</f>
        <v>-137.07999999999998</v>
      </c>
      <c r="AW523" s="8">
        <f>IF((0=1),AW208,(C208+(C278*(47-1))))</f>
        <v>-140.06</v>
      </c>
      <c r="AX523" s="8">
        <f>IF((0=1),AX208,(C208+(C278*(48-1))))</f>
        <v>-143.04</v>
      </c>
      <c r="AY523" s="8">
        <f>IF((0=1),AY208,(C208+(C278*(49-1))))</f>
        <v>-146.01999999999998</v>
      </c>
      <c r="AZ523" s="8">
        <f>IF((0=1),AZ208,(C208+(C278*(50-1))))</f>
        <v>-149</v>
      </c>
      <c r="BA523" s="8">
        <f>IF((0=1),BA208,(C208+(C278*(51-1))))</f>
        <v>-151.98</v>
      </c>
      <c r="BB523" s="8">
        <f>IF((0=1),BB208,(C208+(C278*(52-1))))</f>
        <v>-154.95999999999998</v>
      </c>
      <c r="BC523" s="8">
        <f>IF((0=1),BC208,(C208+(C278*(53-1))))</f>
        <v>-157.94</v>
      </c>
      <c r="BD523" s="8">
        <f>IF((0=1),BD208,(C208+(C278*(54-1))))</f>
        <v>-160.92</v>
      </c>
      <c r="BE523" s="8">
        <f>IF((0=1),BE208,(C208+(C278*(55-1))))</f>
        <v>-163.89999999999998</v>
      </c>
      <c r="BF523" s="8">
        <f>IF((0=1),BF208,(C208+(C278*(56-1))))</f>
        <v>-166.88</v>
      </c>
      <c r="BG523" s="8">
        <f>IF((0=1),BG208,(C208+(C278*(57-1))))</f>
        <v>-169.85999999999999</v>
      </c>
      <c r="BH523" s="8">
        <f>IF((0=1),BH208,(C208+(C278*(58-1))))</f>
        <v>-172.83999999999997</v>
      </c>
      <c r="BI523" s="8">
        <f>IF((0=1),BI208,(C208+(C278*(59-1))))</f>
        <v>-175.82</v>
      </c>
      <c r="BJ523" s="8">
        <f>IF((0=1),BJ208,(C208+(C278*(60-1))))</f>
        <v>-178.79999999999998</v>
      </c>
      <c r="BK523" s="8">
        <f>IF((0=1),BK208,(C208+(C278*(61-1))))</f>
        <v>-181.78</v>
      </c>
      <c r="BL523" s="8">
        <f>IF((0=1),BL208,(C208+(C278*(62-1))))</f>
        <v>-184.76</v>
      </c>
      <c r="BM523" s="8">
        <f>IF((0=1),BM208,(C208+(C278*(63-1))))</f>
        <v>-187.73999999999998</v>
      </c>
      <c r="BN523" s="8">
        <f>IF((0=1),BN208,(C208+(C278*(64-1))))</f>
        <v>-190.72</v>
      </c>
      <c r="BO523" s="8">
        <f>IF((0=1),BO208,(C208+(C278*(65-1))))</f>
        <v>-193.7</v>
      </c>
      <c r="BP523" s="8">
        <f>IF((0=1),BP208,(C208+(C278*(66-1))))</f>
        <v>-196.67999999999998</v>
      </c>
      <c r="BQ523" s="8">
        <f>IF((0=1),BQ208,(C208+(C278*(67-1))))</f>
        <v>-199.66</v>
      </c>
      <c r="BR523" s="8">
        <f>IF((0=1),BR208,(C208+(C278*(68-1))))</f>
        <v>-202.64</v>
      </c>
      <c r="BS523" s="8">
        <f>IF((0=1),BS208,(C208+(C278*(69-1))))</f>
        <v>-205.61999999999998</v>
      </c>
      <c r="BT523" s="8">
        <f>IF((0=1),BT208,(C208+(C278*(70-1))))</f>
        <v>-208.6</v>
      </c>
      <c r="BU523" s="8">
        <f>IF((0=1),BU208,(C208+(C278*(71-1))))</f>
        <v>-211.57999999999998</v>
      </c>
      <c r="BV523" s="8">
        <f>IF((0=1),BV208,(C208+(C278*(72-1))))</f>
        <v>-214.56</v>
      </c>
      <c r="BW523" s="8">
        <f>IF((0=1),BW208,(C208+(C278*(73-1))))</f>
        <v>-217.54</v>
      </c>
      <c r="BX523" s="8">
        <f>IF((0=1),BX208,(C208+(C278*(74-1))))</f>
        <v>-220.51999999999998</v>
      </c>
      <c r="BY523" s="8">
        <f>IF((0=1),BY208,(C208+(C278*(75-1))))</f>
        <v>-223.5</v>
      </c>
      <c r="BZ523" s="8">
        <f>IF((0=1),BZ208,(C208+(C278*(76-1))))</f>
        <v>-226.48</v>
      </c>
      <c r="CA523" s="8">
        <f>IF((0=1),CA208,(C208+(C278*(77-1))))</f>
        <v>-229.45999999999998</v>
      </c>
      <c r="CB523" s="8">
        <f>IF((0=1),CB208,(C208+(C278*(78-1))))</f>
        <v>-232.44</v>
      </c>
      <c r="CC523" s="8">
        <f>IF((0=1),CC208,(C208+(C278*(79-1))))</f>
        <v>-235.42</v>
      </c>
      <c r="CD523" s="8">
        <f>IF((0=1),CD208,(C208+(C278*(80-1))))</f>
        <v>-238.39999999999998</v>
      </c>
      <c r="CE523" s="8">
        <f>IF((0=1),CE208,(C208+(C278*(81-1))))</f>
        <v>-241.38</v>
      </c>
      <c r="CF523" s="8">
        <f>IF((0=1),CF208,(C208+(C278*(82-1))))</f>
        <v>-244.35999999999999</v>
      </c>
      <c r="CG523" s="8">
        <f>IF((0=1),CG208,(C208+(C278*(83-1))))</f>
        <v>-247.33999999999997</v>
      </c>
      <c r="CH523" s="8">
        <f>IF((0=1),CH208,(C208+(C278*(84-1))))</f>
        <v>-250.32</v>
      </c>
      <c r="CI523" s="8">
        <f>IF((0=1),CI208,(C208+(C278*(85-1))))</f>
        <v>-253.29999999999998</v>
      </c>
      <c r="CJ523" s="8">
        <f>IF((0=1),CJ208,(C208+(C278*(86-1))))</f>
        <v>-256.28000000000003</v>
      </c>
      <c r="CK523" s="8">
        <f>IF((0=1),CK208,(C208+(C278*(87-1))))</f>
        <v>-259.26</v>
      </c>
      <c r="CL523" s="8">
        <f>IF((0=1),CL208,(C208+(C278*(88-1))))</f>
        <v>-262.24</v>
      </c>
      <c r="CM523" s="8">
        <f>IF((0=1),CM208,(C208+(C278*(89-1))))</f>
        <v>-265.22</v>
      </c>
      <c r="CN523" s="8">
        <f>IF((0=1),CN208,(C208+(C278*(90-1))))</f>
        <v>-268.2</v>
      </c>
      <c r="CO523" s="8">
        <f>IF((0=1),CO208,(C208+(C278*(91-1))))</f>
        <v>-271.18</v>
      </c>
      <c r="CP523" s="8">
        <f>IF((0=1),CP208,(C208+(C278*(92-1))))</f>
        <v>-274.16</v>
      </c>
      <c r="CQ523" s="8">
        <f>IF((0=1),CQ208,(C208+(C278*(93-1))))</f>
        <v>-277.14000000000004</v>
      </c>
      <c r="CR523" s="8">
        <f>IF((0=1),CR208,(C208+(C278*(94-1))))</f>
        <v>-280.12</v>
      </c>
      <c r="CS523" s="8">
        <f>IF((0=1),CS208,(C208+(C278*(95-1))))</f>
        <v>-283.1</v>
      </c>
      <c r="CT523" s="8">
        <f>IF((0=1),CT208,(C208+(C278*(96-1))))</f>
        <v>-286.08000000000004</v>
      </c>
      <c r="CU523" s="8">
        <f>IF((0=1),CU208,(C208+(C278*(97-1))))</f>
        <v>-289.06</v>
      </c>
      <c r="CV523" s="8">
        <f>IF((0=1),CV208,(C208+(C278*(98-1))))</f>
        <v>-292.04</v>
      </c>
      <c r="CW523" s="8">
        <f>IF((0=1),CW208,(C208+(C278*(99-1))))</f>
        <v>-295.02000000000004</v>
      </c>
      <c r="CX523" s="8">
        <f>IF((0=1),CX208,(C208+(C278*(100-1))))</f>
        <v>-298</v>
      </c>
    </row>
    <row r="524">
      <c r="A524" s="0" t="inlineStr">
        <is>
          <t xml:space="preserve">Cumulative excess, realized then projected at running mean</t>
        </is>
      </c>
      <c r="B524" s="0" t="inlineStr">
        <is>
          <t xml:space="preserve">Random 18</t>
        </is>
      </c>
      <c r="C524" s="8">
        <f>IF((1=1),C209,(C209+(C279*(1-1))))</f>
        <v>10.83</v>
      </c>
      <c r="D524" s="8">
        <f>IF((0=1),D209,(C209+(C279*(2-1))))</f>
        <v>21.66</v>
      </c>
      <c r="E524" s="8">
        <f>IF((0=1),E209,(C209+(C279*(3-1))))</f>
        <v>32.49</v>
      </c>
      <c r="F524" s="8">
        <f>IF((0=1),F209,(C209+(C279*(4-1))))</f>
        <v>43.32</v>
      </c>
      <c r="G524" s="8">
        <f>IF((0=1),G209,(C209+(C279*(5-1))))</f>
        <v>54.15</v>
      </c>
      <c r="H524" s="8">
        <f>IF((0=1),H209,(C209+(C279*(6-1))))</f>
        <v>64.98</v>
      </c>
      <c r="I524" s="8">
        <f>IF((0=1),I209,(C209+(C279*(7-1))))</f>
        <v>75.81</v>
      </c>
      <c r="J524" s="8">
        <f>IF((0=1),J209,(C209+(C279*(8-1))))</f>
        <v>86.64</v>
      </c>
      <c r="K524" s="8">
        <f>IF((0=1),K209,(C209+(C279*(9-1))))</f>
        <v>97.47</v>
      </c>
      <c r="L524" s="8">
        <f>IF((0=1),L209,(C209+(C279*(10-1))))</f>
        <v>108.3</v>
      </c>
      <c r="M524" s="8">
        <f>IF((0=1),M209,(C209+(C279*(11-1))))</f>
        <v>119.13</v>
      </c>
      <c r="N524" s="8">
        <f>IF((0=1),N209,(C209+(C279*(12-1))))</f>
        <v>129.96</v>
      </c>
      <c r="O524" s="8">
        <f>IF((0=1),O209,(C209+(C279*(13-1))))</f>
        <v>140.79000000000002</v>
      </c>
      <c r="P524" s="8">
        <f>IF((0=1),P209,(C209+(C279*(14-1))))</f>
        <v>151.62</v>
      </c>
      <c r="Q524" s="8">
        <f>IF((0=1),Q209,(C209+(C279*(15-1))))</f>
        <v>162.45000000000002</v>
      </c>
      <c r="R524" s="8">
        <f>IF((0=1),R209,(C209+(C279*(16-1))))</f>
        <v>173.28</v>
      </c>
      <c r="S524" s="8">
        <f>IF((0=1),S209,(C209+(C279*(17-1))))</f>
        <v>184.11</v>
      </c>
      <c r="T524" s="8">
        <f>IF((0=1),T209,(C209+(C279*(18-1))))</f>
        <v>194.94000000000003</v>
      </c>
      <c r="U524" s="8">
        <f>IF((0=1),U209,(C209+(C279*(19-1))))</f>
        <v>205.77</v>
      </c>
      <c r="V524" s="8">
        <f>IF((0=1),V209,(C209+(C279*(20-1))))</f>
        <v>216.60000000000002</v>
      </c>
      <c r="W524" s="8">
        <f>IF((0=1),W209,(C209+(C279*(21-1))))</f>
        <v>227.43</v>
      </c>
      <c r="X524" s="8">
        <f>IF((0=1),X209,(C209+(C279*(22-1))))</f>
        <v>238.26000000000002</v>
      </c>
      <c r="Y524" s="8">
        <f>IF((0=1),Y209,(C209+(C279*(23-1))))</f>
        <v>249.09</v>
      </c>
      <c r="Z524" s="8">
        <f>IF((0=1),Z209,(C209+(C279*(24-1))))</f>
        <v>259.92</v>
      </c>
      <c r="AA524" s="8">
        <f>IF((0=1),AA209,(C209+(C279*(25-1))))</f>
        <v>270.75</v>
      </c>
      <c r="AB524" s="8">
        <f>IF((0=1),AB209,(C209+(C279*(26-1))))</f>
        <v>281.58</v>
      </c>
      <c r="AC524" s="8">
        <f>IF((0=1),AC209,(C209+(C279*(27-1))))</f>
        <v>292.40999999999997</v>
      </c>
      <c r="AD524" s="8">
        <f>IF((0=1),AD209,(C209+(C279*(28-1))))</f>
        <v>303.24</v>
      </c>
      <c r="AE524" s="8">
        <f>IF((0=1),AE209,(C209+(C279*(29-1))))</f>
        <v>314.07</v>
      </c>
      <c r="AF524" s="8">
        <f>IF((0=1),AF209,(C209+(C279*(30-1))))</f>
        <v>324.9</v>
      </c>
      <c r="AG524" s="8">
        <f>IF((0=1),AG209,(C209+(C279*(31-1))))</f>
        <v>335.72999999999996</v>
      </c>
      <c r="AH524" s="8">
        <f>IF((0=1),AH209,(C209+(C279*(32-1))))</f>
        <v>346.56</v>
      </c>
      <c r="AI524" s="8">
        <f>IF((0=1),AI209,(C209+(C279*(33-1))))</f>
        <v>357.39</v>
      </c>
      <c r="AJ524" s="8">
        <f>IF((0=1),AJ209,(C209+(C279*(34-1))))</f>
        <v>368.21999999999997</v>
      </c>
      <c r="AK524" s="8">
        <f>IF((0=1),AK209,(C209+(C279*(35-1))))</f>
        <v>379.05</v>
      </c>
      <c r="AL524" s="8">
        <f>IF((0=1),AL209,(C209+(C279*(36-1))))</f>
        <v>389.88</v>
      </c>
      <c r="AM524" s="8">
        <f>IF((0=1),AM209,(C209+(C279*(37-1))))</f>
        <v>400.71</v>
      </c>
      <c r="AN524" s="8">
        <f>IF((0=1),AN209,(C209+(C279*(38-1))))</f>
        <v>411.53999999999996</v>
      </c>
      <c r="AO524" s="8">
        <f>IF((0=1),AO209,(C209+(C279*(39-1))))</f>
        <v>422.37</v>
      </c>
      <c r="AP524" s="8">
        <f>IF((0=1),AP209,(C209+(C279*(40-1))))</f>
        <v>433.2</v>
      </c>
      <c r="AQ524" s="8">
        <f>IF((0=1),AQ209,(C209+(C279*(41-1))))</f>
        <v>444.03</v>
      </c>
      <c r="AR524" s="8">
        <f>IF((0=1),AR209,(C209+(C279*(42-1))))</f>
        <v>454.86</v>
      </c>
      <c r="AS524" s="8">
        <f>IF((0=1),AS209,(C209+(C279*(43-1))))</f>
        <v>465.69</v>
      </c>
      <c r="AT524" s="8">
        <f>IF((0=1),AT209,(C209+(C279*(44-1))))</f>
        <v>476.52</v>
      </c>
      <c r="AU524" s="8">
        <f>IF((0=1),AU209,(C209+(C279*(45-1))))</f>
        <v>487.34999999999997</v>
      </c>
      <c r="AV524" s="8">
        <f>IF((0=1),AV209,(C209+(C279*(46-1))))</f>
        <v>498.18</v>
      </c>
      <c r="AW524" s="8">
        <f>IF((0=1),AW209,(C209+(C279*(47-1))))</f>
        <v>509.01</v>
      </c>
      <c r="AX524" s="8">
        <f>IF((0=1),AX209,(C209+(C279*(48-1))))</f>
        <v>519.84</v>
      </c>
      <c r="AY524" s="8">
        <f>IF((0=1),AY209,(C209+(C279*(49-1))))</f>
        <v>530.6700000000001</v>
      </c>
      <c r="AZ524" s="8">
        <f>IF((0=1),AZ209,(C209+(C279*(50-1))))</f>
        <v>541.5</v>
      </c>
      <c r="BA524" s="8">
        <f>IF((0=1),BA209,(C209+(C279*(51-1))))</f>
        <v>552.33</v>
      </c>
      <c r="BB524" s="8">
        <f>IF((0=1),BB209,(C209+(C279*(52-1))))</f>
        <v>563.1600000000001</v>
      </c>
      <c r="BC524" s="8">
        <f>IF((0=1),BC209,(C209+(C279*(53-1))))</f>
        <v>573.99</v>
      </c>
      <c r="BD524" s="8">
        <f>IF((0=1),BD209,(C209+(C279*(54-1))))</f>
        <v>584.82</v>
      </c>
      <c r="BE524" s="8">
        <f>IF((0=1),BE209,(C209+(C279*(55-1))))</f>
        <v>595.6500000000001</v>
      </c>
      <c r="BF524" s="8">
        <f>IF((0=1),BF209,(C209+(C279*(56-1))))</f>
        <v>606.48</v>
      </c>
      <c r="BG524" s="8">
        <f>IF((0=1),BG209,(C209+(C279*(57-1))))</f>
        <v>617.3100000000001</v>
      </c>
      <c r="BH524" s="8">
        <f>IF((0=1),BH209,(C209+(C279*(58-1))))</f>
        <v>628.1400000000001</v>
      </c>
      <c r="BI524" s="8">
        <f>IF((0=1),BI209,(C209+(C279*(59-1))))</f>
        <v>638.97</v>
      </c>
      <c r="BJ524" s="8">
        <f>IF((0=1),BJ209,(C209+(C279*(60-1))))</f>
        <v>649.8000000000001</v>
      </c>
      <c r="BK524" s="8">
        <f>IF((0=1),BK209,(C209+(C279*(61-1))))</f>
        <v>660.63</v>
      </c>
      <c r="BL524" s="8">
        <f>IF((0=1),BL209,(C209+(C279*(62-1))))</f>
        <v>671.46</v>
      </c>
      <c r="BM524" s="8">
        <f>IF((0=1),BM209,(C209+(C279*(63-1))))</f>
        <v>682.2900000000001</v>
      </c>
      <c r="BN524" s="8">
        <f>IF((0=1),BN209,(C209+(C279*(64-1))))</f>
        <v>693.12</v>
      </c>
      <c r="BO524" s="8">
        <f>IF((0=1),BO209,(C209+(C279*(65-1))))</f>
        <v>703.95</v>
      </c>
      <c r="BP524" s="8">
        <f>IF((0=1),BP209,(C209+(C279*(66-1))))</f>
        <v>714.7800000000001</v>
      </c>
      <c r="BQ524" s="8">
        <f>IF((0=1),BQ209,(C209+(C279*(67-1))))</f>
        <v>725.61</v>
      </c>
      <c r="BR524" s="8">
        <f>IF((0=1),BR209,(C209+(C279*(68-1))))</f>
        <v>736.44</v>
      </c>
      <c r="BS524" s="8">
        <f>IF((0=1),BS209,(C209+(C279*(69-1))))</f>
        <v>747.2700000000001</v>
      </c>
      <c r="BT524" s="8">
        <f>IF((0=1),BT209,(C209+(C279*(70-1))))</f>
        <v>758.1</v>
      </c>
      <c r="BU524" s="8">
        <f>IF((0=1),BU209,(C209+(C279*(71-1))))</f>
        <v>768.9300000000001</v>
      </c>
      <c r="BV524" s="8">
        <f>IF((0=1),BV209,(C209+(C279*(72-1))))</f>
        <v>779.76</v>
      </c>
      <c r="BW524" s="8">
        <f>IF((0=1),BW209,(C209+(C279*(73-1))))</f>
        <v>790.59</v>
      </c>
      <c r="BX524" s="8">
        <f>IF((0=1),BX209,(C209+(C279*(74-1))))</f>
        <v>801.4200000000001</v>
      </c>
      <c r="BY524" s="8">
        <f>IF((0=1),BY209,(C209+(C279*(75-1))))</f>
        <v>812.25</v>
      </c>
      <c r="BZ524" s="8">
        <f>IF((0=1),BZ209,(C209+(C279*(76-1))))</f>
        <v>823.08</v>
      </c>
      <c r="CA524" s="8">
        <f>IF((0=1),CA209,(C209+(C279*(77-1))))</f>
        <v>833.9100000000001</v>
      </c>
      <c r="CB524" s="8">
        <f>IF((0=1),CB209,(C209+(C279*(78-1))))</f>
        <v>844.74</v>
      </c>
      <c r="CC524" s="8">
        <f>IF((0=1),CC209,(C209+(C279*(79-1))))</f>
        <v>855.57</v>
      </c>
      <c r="CD524" s="8">
        <f>IF((0=1),CD209,(C209+(C279*(80-1))))</f>
        <v>866.4000000000001</v>
      </c>
      <c r="CE524" s="8">
        <f>IF((0=1),CE209,(C209+(C279*(81-1))))</f>
        <v>877.23</v>
      </c>
      <c r="CF524" s="8">
        <f>IF((0=1),CF209,(C209+(C279*(82-1))))</f>
        <v>888.0600000000001</v>
      </c>
      <c r="CG524" s="8">
        <f>IF((0=1),CG209,(C209+(C279*(83-1))))</f>
        <v>898.8900000000001</v>
      </c>
      <c r="CH524" s="8">
        <f>IF((0=1),CH209,(C209+(C279*(84-1))))</f>
        <v>909.72</v>
      </c>
      <c r="CI524" s="8">
        <f>IF((0=1),CI209,(C209+(C279*(85-1))))</f>
        <v>920.5500000000001</v>
      </c>
      <c r="CJ524" s="8">
        <f>IF((0=1),CJ209,(C209+(C279*(86-1))))</f>
        <v>931.38</v>
      </c>
      <c r="CK524" s="8">
        <f>IF((0=1),CK209,(C209+(C279*(87-1))))</f>
        <v>942.21</v>
      </c>
      <c r="CL524" s="8">
        <f>IF((0=1),CL209,(C209+(C279*(88-1))))</f>
        <v>953.0400000000001</v>
      </c>
      <c r="CM524" s="8">
        <f>IF((0=1),CM209,(C209+(C279*(89-1))))</f>
        <v>963.87</v>
      </c>
      <c r="CN524" s="8">
        <f>IF((0=1),CN209,(C209+(C279*(90-1))))</f>
        <v>974.7</v>
      </c>
      <c r="CO524" s="8">
        <f>IF((0=1),CO209,(C209+(C279*(91-1))))</f>
        <v>985.5300000000001</v>
      </c>
      <c r="CP524" s="8">
        <f>IF((0=1),CP209,(C209+(C279*(92-1))))</f>
        <v>996.36</v>
      </c>
      <c r="CQ524" s="8">
        <f>IF((0=1),CQ209,(C209+(C279*(93-1))))</f>
        <v>1007.19</v>
      </c>
      <c r="CR524" s="8">
        <f>IF((0=1),CR209,(C209+(C279*(94-1))))</f>
        <v>1018.0200000000001</v>
      </c>
      <c r="CS524" s="8">
        <f>IF((0=1),CS209,(C209+(C279*(95-1))))</f>
        <v>1028.85</v>
      </c>
      <c r="CT524" s="8">
        <f>IF((0=1),CT209,(C209+(C279*(96-1))))</f>
        <v>1039.6799999999998</v>
      </c>
      <c r="CU524" s="8">
        <f>IF((0=1),CU209,(C209+(C279*(97-1))))</f>
        <v>1050.51</v>
      </c>
      <c r="CV524" s="8">
        <f>IF((0=1),CV209,(C209+(C279*(98-1))))</f>
        <v>1061.34</v>
      </c>
      <c r="CW524" s="8">
        <f>IF((0=1),CW209,(C209+(C279*(99-1))))</f>
        <v>1072.1699999999998</v>
      </c>
      <c r="CX524" s="8">
        <f>IF((0=1),CX209,(C209+(C279*(100-1))))</f>
        <v>1083</v>
      </c>
    </row>
    <row r="525">
      <c r="A525" s="0" t="inlineStr">
        <is>
          <t xml:space="preserve">Cumulative excess, realized then projected at running mean</t>
        </is>
      </c>
      <c r="B525" s="0" t="inlineStr">
        <is>
          <t xml:space="preserve">Random 19</t>
        </is>
      </c>
      <c r="C525" s="8">
        <f>IF((1=1),C210,(C210+(C280*(1-1))))</f>
        <v>5.56</v>
      </c>
      <c r="D525" s="8">
        <f>IF((0=1),D210,(C210+(C280*(2-1))))</f>
        <v>11.12</v>
      </c>
      <c r="E525" s="8">
        <f>IF((0=1),E210,(C210+(C280*(3-1))))</f>
        <v>16.68</v>
      </c>
      <c r="F525" s="8">
        <f>IF((0=1),F210,(C210+(C280*(4-1))))</f>
        <v>22.24</v>
      </c>
      <c r="G525" s="8">
        <f>IF((0=1),G210,(C210+(C280*(5-1))))</f>
        <v>27.799999999999997</v>
      </c>
      <c r="H525" s="8">
        <f>IF((0=1),H210,(C210+(C280*(6-1))))</f>
        <v>33.36</v>
      </c>
      <c r="I525" s="8">
        <f>IF((0=1),I210,(C210+(C280*(7-1))))</f>
        <v>38.92</v>
      </c>
      <c r="J525" s="8">
        <f>IF((0=1),J210,(C210+(C280*(8-1))))</f>
        <v>44.48</v>
      </c>
      <c r="K525" s="8">
        <f>IF((0=1),K210,(C210+(C280*(9-1))))</f>
        <v>50.04</v>
      </c>
      <c r="L525" s="8">
        <f>IF((0=1),L210,(C210+(C280*(10-1))))</f>
        <v>55.6</v>
      </c>
      <c r="M525" s="8">
        <f>IF((0=1),M210,(C210+(C280*(11-1))))</f>
        <v>61.16</v>
      </c>
      <c r="N525" s="8">
        <f>IF((0=1),N210,(C210+(C280*(12-1))))</f>
        <v>66.72</v>
      </c>
      <c r="O525" s="8">
        <f>IF((0=1),O210,(C210+(C280*(13-1))))</f>
        <v>72.28</v>
      </c>
      <c r="P525" s="8">
        <f>IF((0=1),P210,(C210+(C280*(14-1))))</f>
        <v>77.84</v>
      </c>
      <c r="Q525" s="8">
        <f>IF((0=1),Q210,(C210+(C280*(15-1))))</f>
        <v>83.39999999999999</v>
      </c>
      <c r="R525" s="8">
        <f>IF((0=1),R210,(C210+(C280*(16-1))))</f>
        <v>88.96</v>
      </c>
      <c r="S525" s="8">
        <f>IF((0=1),S210,(C210+(C280*(17-1))))</f>
        <v>94.52</v>
      </c>
      <c r="T525" s="8">
        <f>IF((0=1),T210,(C210+(C280*(18-1))))</f>
        <v>100.08</v>
      </c>
      <c r="U525" s="8">
        <f>IF((0=1),U210,(C210+(C280*(19-1))))</f>
        <v>105.64</v>
      </c>
      <c r="V525" s="8">
        <f>IF((0=1),V210,(C210+(C280*(20-1))))</f>
        <v>111.19999999999999</v>
      </c>
      <c r="W525" s="8">
        <f>IF((0=1),W210,(C210+(C280*(21-1))))</f>
        <v>116.75999999999999</v>
      </c>
      <c r="X525" s="8">
        <f>IF((0=1),X210,(C210+(C280*(22-1))))</f>
        <v>122.32</v>
      </c>
      <c r="Y525" s="8">
        <f>IF((0=1),Y210,(C210+(C280*(23-1))))</f>
        <v>127.88</v>
      </c>
      <c r="Z525" s="8">
        <f>IF((0=1),Z210,(C210+(C280*(24-1))))</f>
        <v>133.44</v>
      </c>
      <c r="AA525" s="8">
        <f>IF((0=1),AA210,(C210+(C280*(25-1))))</f>
        <v>139</v>
      </c>
      <c r="AB525" s="8">
        <f>IF((0=1),AB210,(C210+(C280*(26-1))))</f>
        <v>144.56</v>
      </c>
      <c r="AC525" s="8">
        <f>IF((0=1),AC210,(C210+(C280*(27-1))))</f>
        <v>150.12</v>
      </c>
      <c r="AD525" s="8">
        <f>IF((0=1),AD210,(C210+(C280*(28-1))))</f>
        <v>155.67999999999998</v>
      </c>
      <c r="AE525" s="8">
        <f>IF((0=1),AE210,(C210+(C280*(29-1))))</f>
        <v>161.23999999999998</v>
      </c>
      <c r="AF525" s="8">
        <f>IF((0=1),AF210,(C210+(C280*(30-1))))</f>
        <v>166.79999999999998</v>
      </c>
      <c r="AG525" s="8">
        <f>IF((0=1),AG210,(C210+(C280*(31-1))))</f>
        <v>172.35999999999999</v>
      </c>
      <c r="AH525" s="8">
        <f>IF((0=1),AH210,(C210+(C280*(32-1))))</f>
        <v>177.92</v>
      </c>
      <c r="AI525" s="8">
        <f>IF((0=1),AI210,(C210+(C280*(33-1))))</f>
        <v>183.48</v>
      </c>
      <c r="AJ525" s="8">
        <f>IF((0=1),AJ210,(C210+(C280*(34-1))))</f>
        <v>189.04</v>
      </c>
      <c r="AK525" s="8">
        <f>IF((0=1),AK210,(C210+(C280*(35-1))))</f>
        <v>194.6</v>
      </c>
      <c r="AL525" s="8">
        <f>IF((0=1),AL210,(C210+(C280*(36-1))))</f>
        <v>200.16</v>
      </c>
      <c r="AM525" s="8">
        <f>IF((0=1),AM210,(C210+(C280*(37-1))))</f>
        <v>205.72</v>
      </c>
      <c r="AN525" s="8">
        <f>IF((0=1),AN210,(C210+(C280*(38-1))))</f>
        <v>211.28</v>
      </c>
      <c r="AO525" s="8">
        <f>IF((0=1),AO210,(C210+(C280*(39-1))))</f>
        <v>216.83999999999997</v>
      </c>
      <c r="AP525" s="8">
        <f>IF((0=1),AP210,(C210+(C280*(40-1))))</f>
        <v>222.39999999999998</v>
      </c>
      <c r="AQ525" s="8">
        <f>IF((0=1),AQ210,(C210+(C280*(41-1))))</f>
        <v>227.95999999999998</v>
      </c>
      <c r="AR525" s="8">
        <f>IF((0=1),AR210,(C210+(C280*(42-1))))</f>
        <v>233.51999999999998</v>
      </c>
      <c r="AS525" s="8">
        <f>IF((0=1),AS210,(C210+(C280*(43-1))))</f>
        <v>239.07999999999998</v>
      </c>
      <c r="AT525" s="8">
        <f>IF((0=1),AT210,(C210+(C280*(44-1))))</f>
        <v>244.64</v>
      </c>
      <c r="AU525" s="8">
        <f>IF((0=1),AU210,(C210+(C280*(45-1))))</f>
        <v>250.2</v>
      </c>
      <c r="AV525" s="8">
        <f>IF((0=1),AV210,(C210+(C280*(46-1))))</f>
        <v>255.76</v>
      </c>
      <c r="AW525" s="8">
        <f>IF((0=1),AW210,(C210+(C280*(47-1))))</f>
        <v>261.32</v>
      </c>
      <c r="AX525" s="8">
        <f>IF((0=1),AX210,(C210+(C280*(48-1))))</f>
        <v>266.88</v>
      </c>
      <c r="AY525" s="8">
        <f>IF((0=1),AY210,(C210+(C280*(49-1))))</f>
        <v>272.44</v>
      </c>
      <c r="AZ525" s="8">
        <f>IF((0=1),AZ210,(C210+(C280*(50-1))))</f>
        <v>278</v>
      </c>
      <c r="BA525" s="8">
        <f>IF((0=1),BA210,(C210+(C280*(51-1))))</f>
        <v>283.56</v>
      </c>
      <c r="BB525" s="8">
        <f>IF((0=1),BB210,(C210+(C280*(52-1))))</f>
        <v>289.12</v>
      </c>
      <c r="BC525" s="8">
        <f>IF((0=1),BC210,(C210+(C280*(53-1))))</f>
        <v>294.68</v>
      </c>
      <c r="BD525" s="8">
        <f>IF((0=1),BD210,(C210+(C280*(54-1))))</f>
        <v>300.24</v>
      </c>
      <c r="BE525" s="8">
        <f>IF((0=1),BE210,(C210+(C280*(55-1))))</f>
        <v>305.79999999999995</v>
      </c>
      <c r="BF525" s="8">
        <f>IF((0=1),BF210,(C210+(C280*(56-1))))</f>
        <v>311.35999999999996</v>
      </c>
      <c r="BG525" s="8">
        <f>IF((0=1),BG210,(C210+(C280*(57-1))))</f>
        <v>316.91999999999996</v>
      </c>
      <c r="BH525" s="8">
        <f>IF((0=1),BH210,(C210+(C280*(58-1))))</f>
        <v>322.47999999999996</v>
      </c>
      <c r="BI525" s="8">
        <f>IF((0=1),BI210,(C210+(C280*(59-1))))</f>
        <v>328.03999999999996</v>
      </c>
      <c r="BJ525" s="8">
        <f>IF((0=1),BJ210,(C210+(C280*(60-1))))</f>
        <v>333.59999999999997</v>
      </c>
      <c r="BK525" s="8">
        <f>IF((0=1),BK210,(C210+(C280*(61-1))))</f>
        <v>339.15999999999997</v>
      </c>
      <c r="BL525" s="8">
        <f>IF((0=1),BL210,(C210+(C280*(62-1))))</f>
        <v>344.71999999999997</v>
      </c>
      <c r="BM525" s="8">
        <f>IF((0=1),BM210,(C210+(C280*(63-1))))</f>
        <v>350.28</v>
      </c>
      <c r="BN525" s="8">
        <f>IF((0=1),BN210,(C210+(C280*(64-1))))</f>
        <v>355.84</v>
      </c>
      <c r="BO525" s="8">
        <f>IF((0=1),BO210,(C210+(C280*(65-1))))</f>
        <v>361.4</v>
      </c>
      <c r="BP525" s="8">
        <f>IF((0=1),BP210,(C210+(C280*(66-1))))</f>
        <v>366.96</v>
      </c>
      <c r="BQ525" s="8">
        <f>IF((0=1),BQ210,(C210+(C280*(67-1))))</f>
        <v>372.52</v>
      </c>
      <c r="BR525" s="8">
        <f>IF((0=1),BR210,(C210+(C280*(68-1))))</f>
        <v>378.08</v>
      </c>
      <c r="BS525" s="8">
        <f>IF((0=1),BS210,(C210+(C280*(69-1))))</f>
        <v>383.64</v>
      </c>
      <c r="BT525" s="8">
        <f>IF((0=1),BT210,(C210+(C280*(70-1))))</f>
        <v>389.2</v>
      </c>
      <c r="BU525" s="8">
        <f>IF((0=1),BU210,(C210+(C280*(71-1))))</f>
        <v>394.76</v>
      </c>
      <c r="BV525" s="8">
        <f>IF((0=1),BV210,(C210+(C280*(72-1))))</f>
        <v>400.32</v>
      </c>
      <c r="BW525" s="8">
        <f>IF((0=1),BW210,(C210+(C280*(73-1))))</f>
        <v>405.88</v>
      </c>
      <c r="BX525" s="8">
        <f>IF((0=1),BX210,(C210+(C280*(74-1))))</f>
        <v>411.44</v>
      </c>
      <c r="BY525" s="8">
        <f>IF((0=1),BY210,(C210+(C280*(75-1))))</f>
        <v>417</v>
      </c>
      <c r="BZ525" s="8">
        <f>IF((0=1),BZ210,(C210+(C280*(76-1))))</f>
        <v>422.55999999999995</v>
      </c>
      <c r="CA525" s="8">
        <f>IF((0=1),CA210,(C210+(C280*(77-1))))</f>
        <v>428.11999999999995</v>
      </c>
      <c r="CB525" s="8">
        <f>IF((0=1),CB210,(C210+(C280*(78-1))))</f>
        <v>433.67999999999995</v>
      </c>
      <c r="CC525" s="8">
        <f>IF((0=1),CC210,(C210+(C280*(79-1))))</f>
        <v>439.23999999999995</v>
      </c>
      <c r="CD525" s="8">
        <f>IF((0=1),CD210,(C210+(C280*(80-1))))</f>
        <v>444.79999999999995</v>
      </c>
      <c r="CE525" s="8">
        <f>IF((0=1),CE210,(C210+(C280*(81-1))))</f>
        <v>450.35999999999996</v>
      </c>
      <c r="CF525" s="8">
        <f>IF((0=1),CF210,(C210+(C280*(82-1))))</f>
        <v>455.91999999999996</v>
      </c>
      <c r="CG525" s="8">
        <f>IF((0=1),CG210,(C210+(C280*(83-1))))</f>
        <v>461.47999999999996</v>
      </c>
      <c r="CH525" s="8">
        <f>IF((0=1),CH210,(C210+(C280*(84-1))))</f>
        <v>467.03999999999996</v>
      </c>
      <c r="CI525" s="8">
        <f>IF((0=1),CI210,(C210+(C280*(85-1))))</f>
        <v>472.59999999999997</v>
      </c>
      <c r="CJ525" s="8">
        <f>IF((0=1),CJ210,(C210+(C280*(86-1))))</f>
        <v>478.15999999999997</v>
      </c>
      <c r="CK525" s="8">
        <f>IF((0=1),CK210,(C210+(C280*(87-1))))</f>
        <v>483.71999999999997</v>
      </c>
      <c r="CL525" s="8">
        <f>IF((0=1),CL210,(C210+(C280*(88-1))))</f>
        <v>489.28</v>
      </c>
      <c r="CM525" s="8">
        <f>IF((0=1),CM210,(C210+(C280*(89-1))))</f>
        <v>494.84</v>
      </c>
      <c r="CN525" s="8">
        <f>IF((0=1),CN210,(C210+(C280*(90-1))))</f>
        <v>500.4</v>
      </c>
      <c r="CO525" s="8">
        <f>IF((0=1),CO210,(C210+(C280*(91-1))))</f>
        <v>505.96</v>
      </c>
      <c r="CP525" s="8">
        <f>IF((0=1),CP210,(C210+(C280*(92-1))))</f>
        <v>511.52</v>
      </c>
      <c r="CQ525" s="8">
        <f>IF((0=1),CQ210,(C210+(C280*(93-1))))</f>
        <v>517.0799999999999</v>
      </c>
      <c r="CR525" s="8">
        <f>IF((0=1),CR210,(C210+(C280*(94-1))))</f>
        <v>522.6399999999999</v>
      </c>
      <c r="CS525" s="8">
        <f>IF((0=1),CS210,(C210+(C280*(95-1))))</f>
        <v>528.1999999999999</v>
      </c>
      <c r="CT525" s="8">
        <f>IF((0=1),CT210,(C210+(C280*(96-1))))</f>
        <v>533.7599999999999</v>
      </c>
      <c r="CU525" s="8">
        <f>IF((0=1),CU210,(C210+(C280*(97-1))))</f>
        <v>539.3199999999999</v>
      </c>
      <c r="CV525" s="8">
        <f>IF((0=1),CV210,(C210+(C280*(98-1))))</f>
        <v>544.8799999999999</v>
      </c>
      <c r="CW525" s="8">
        <f>IF((0=1),CW210,(C210+(C280*(99-1))))</f>
        <v>550.4399999999999</v>
      </c>
      <c r="CX525" s="8">
        <f>IF((0=1),CX210,(C210+(C280*(100-1))))</f>
        <v>555.9999999999999</v>
      </c>
    </row>
    <row r="526">
      <c r="A526" s="0" t="inlineStr">
        <is>
          <t xml:space="preserve">Cumulative excess, realized then projected at running mean</t>
        </is>
      </c>
      <c r="B526" s="0" t="inlineStr">
        <is>
          <t xml:space="preserve">Random 20</t>
        </is>
      </c>
      <c r="C526" s="8">
        <f>IF((1=1),C211,(C211+(C281*(1-1))))</f>
        <v>5.013</v>
      </c>
      <c r="D526" s="8">
        <f>IF((0=1),D211,(C211+(C281*(2-1))))</f>
        <v>10.026</v>
      </c>
      <c r="E526" s="8">
        <f>IF((0=1),E211,(C211+(C281*(3-1))))</f>
        <v>15.039</v>
      </c>
      <c r="F526" s="8">
        <f>IF((0=1),F211,(C211+(C281*(4-1))))</f>
        <v>20.052</v>
      </c>
      <c r="G526" s="8">
        <f>IF((0=1),G211,(C211+(C281*(5-1))))</f>
        <v>25.064999999999998</v>
      </c>
      <c r="H526" s="8">
        <f>IF((0=1),H211,(C211+(C281*(6-1))))</f>
        <v>30.077999999999996</v>
      </c>
      <c r="I526" s="8">
        <f>IF((0=1),I211,(C211+(C281*(7-1))))</f>
        <v>35.091</v>
      </c>
      <c r="J526" s="8">
        <f>IF((0=1),J211,(C211+(C281*(8-1))))</f>
        <v>40.104</v>
      </c>
      <c r="K526" s="8">
        <f>IF((0=1),K211,(C211+(C281*(9-1))))</f>
        <v>45.117</v>
      </c>
      <c r="L526" s="8">
        <f>IF((0=1),L211,(C211+(C281*(10-1))))</f>
        <v>50.129999999999995</v>
      </c>
      <c r="M526" s="8">
        <f>IF((0=1),M211,(C211+(C281*(11-1))))</f>
        <v>55.142999999999994</v>
      </c>
      <c r="N526" s="8">
        <f>IF((0=1),N211,(C211+(C281*(12-1))))</f>
        <v>60.156</v>
      </c>
      <c r="O526" s="8">
        <f>IF((0=1),O211,(C211+(C281*(13-1))))</f>
        <v>65.169</v>
      </c>
      <c r="P526" s="8">
        <f>IF((0=1),P211,(C211+(C281*(14-1))))</f>
        <v>70.182</v>
      </c>
      <c r="Q526" s="8">
        <f>IF((0=1),Q211,(C211+(C281*(15-1))))</f>
        <v>75.19500000000001</v>
      </c>
      <c r="R526" s="8">
        <f>IF((0=1),R211,(C211+(C281*(16-1))))</f>
        <v>80.208</v>
      </c>
      <c r="S526" s="8">
        <f>IF((0=1),S211,(C211+(C281*(17-1))))</f>
        <v>85.221</v>
      </c>
      <c r="T526" s="8">
        <f>IF((0=1),T211,(C211+(C281*(18-1))))</f>
        <v>90.23400000000001</v>
      </c>
      <c r="U526" s="8">
        <f>IF((0=1),U211,(C211+(C281*(19-1))))</f>
        <v>95.247</v>
      </c>
      <c r="V526" s="8">
        <f>IF((0=1),V211,(C211+(C281*(20-1))))</f>
        <v>100.26</v>
      </c>
      <c r="W526" s="8">
        <f>IF((0=1),W211,(C211+(C281*(21-1))))</f>
        <v>105.273</v>
      </c>
      <c r="X526" s="8">
        <f>IF((0=1),X211,(C211+(C281*(22-1))))</f>
        <v>110.286</v>
      </c>
      <c r="Y526" s="8">
        <f>IF((0=1),Y211,(C211+(C281*(23-1))))</f>
        <v>115.299</v>
      </c>
      <c r="Z526" s="8">
        <f>IF((0=1),Z211,(C211+(C281*(24-1))))</f>
        <v>120.312</v>
      </c>
      <c r="AA526" s="8">
        <f>IF((0=1),AA211,(C211+(C281*(25-1))))</f>
        <v>125.325</v>
      </c>
      <c r="AB526" s="8">
        <f>IF((0=1),AB211,(C211+(C281*(26-1))))</f>
        <v>130.338</v>
      </c>
      <c r="AC526" s="8">
        <f>IF((0=1),AC211,(C211+(C281*(27-1))))</f>
        <v>135.351</v>
      </c>
      <c r="AD526" s="8">
        <f>IF((0=1),AD211,(C211+(C281*(28-1))))</f>
        <v>140.364</v>
      </c>
      <c r="AE526" s="8">
        <f>IF((0=1),AE211,(C211+(C281*(29-1))))</f>
        <v>145.377</v>
      </c>
      <c r="AF526" s="8">
        <f>IF((0=1),AF211,(C211+(C281*(30-1))))</f>
        <v>150.39000000000001</v>
      </c>
      <c r="AG526" s="8">
        <f>IF((0=1),AG211,(C211+(C281*(31-1))))</f>
        <v>155.403</v>
      </c>
      <c r="AH526" s="8">
        <f>IF((0=1),AH211,(C211+(C281*(32-1))))</f>
        <v>160.416</v>
      </c>
      <c r="AI526" s="8">
        <f>IF((0=1),AI211,(C211+(C281*(33-1))))</f>
        <v>165.429</v>
      </c>
      <c r="AJ526" s="8">
        <f>IF((0=1),AJ211,(C211+(C281*(34-1))))</f>
        <v>170.442</v>
      </c>
      <c r="AK526" s="8">
        <f>IF((0=1),AK211,(C211+(C281*(35-1))))</f>
        <v>175.455</v>
      </c>
      <c r="AL526" s="8">
        <f>IF((0=1),AL211,(C211+(C281*(36-1))))</f>
        <v>180.468</v>
      </c>
      <c r="AM526" s="8">
        <f>IF((0=1),AM211,(C211+(C281*(37-1))))</f>
        <v>185.481</v>
      </c>
      <c r="AN526" s="8">
        <f>IF((0=1),AN211,(C211+(C281*(38-1))))</f>
        <v>190.494</v>
      </c>
      <c r="AO526" s="8">
        <f>IF((0=1),AO211,(C211+(C281*(39-1))))</f>
        <v>195.507</v>
      </c>
      <c r="AP526" s="8">
        <f>IF((0=1),AP211,(C211+(C281*(40-1))))</f>
        <v>200.52</v>
      </c>
      <c r="AQ526" s="8">
        <f>IF((0=1),AQ211,(C211+(C281*(41-1))))</f>
        <v>205.533</v>
      </c>
      <c r="AR526" s="8">
        <f>IF((0=1),AR211,(C211+(C281*(42-1))))</f>
        <v>210.546</v>
      </c>
      <c r="AS526" s="8">
        <f>IF((0=1),AS211,(C211+(C281*(43-1))))</f>
        <v>215.559</v>
      </c>
      <c r="AT526" s="8">
        <f>IF((0=1),AT211,(C211+(C281*(44-1))))</f>
        <v>220.572</v>
      </c>
      <c r="AU526" s="8">
        <f>IF((0=1),AU211,(C211+(C281*(45-1))))</f>
        <v>225.585</v>
      </c>
      <c r="AV526" s="8">
        <f>IF((0=1),AV211,(C211+(C281*(46-1))))</f>
        <v>230.598</v>
      </c>
      <c r="AW526" s="8">
        <f>IF((0=1),AW211,(C211+(C281*(47-1))))</f>
        <v>235.611</v>
      </c>
      <c r="AX526" s="8">
        <f>IF((0=1),AX211,(C211+(C281*(48-1))))</f>
        <v>240.624</v>
      </c>
      <c r="AY526" s="8">
        <f>IF((0=1),AY211,(C211+(C281*(49-1))))</f>
        <v>245.637</v>
      </c>
      <c r="AZ526" s="8">
        <f>IF((0=1),AZ211,(C211+(C281*(50-1))))</f>
        <v>250.65</v>
      </c>
      <c r="BA526" s="8">
        <f>IF((0=1),BA211,(C211+(C281*(51-1))))</f>
        <v>255.663</v>
      </c>
      <c r="BB526" s="8">
        <f>IF((0=1),BB211,(C211+(C281*(52-1))))</f>
        <v>260.676</v>
      </c>
      <c r="BC526" s="8">
        <f>IF((0=1),BC211,(C211+(C281*(53-1))))</f>
        <v>265.68899999999996</v>
      </c>
      <c r="BD526" s="8">
        <f>IF((0=1),BD211,(C211+(C281*(54-1))))</f>
        <v>270.702</v>
      </c>
      <c r="BE526" s="8">
        <f>IF((0=1),BE211,(C211+(C281*(55-1))))</f>
        <v>275.715</v>
      </c>
      <c r="BF526" s="8">
        <f>IF((0=1),BF211,(C211+(C281*(56-1))))</f>
        <v>280.72799999999995</v>
      </c>
      <c r="BG526" s="8">
        <f>IF((0=1),BG211,(C211+(C281*(57-1))))</f>
        <v>285.741</v>
      </c>
      <c r="BH526" s="8">
        <f>IF((0=1),BH211,(C211+(C281*(58-1))))</f>
        <v>290.75399999999996</v>
      </c>
      <c r="BI526" s="8">
        <f>IF((0=1),BI211,(C211+(C281*(59-1))))</f>
        <v>295.767</v>
      </c>
      <c r="BJ526" s="8">
        <f>IF((0=1),BJ211,(C211+(C281*(60-1))))</f>
        <v>300.78</v>
      </c>
      <c r="BK526" s="8">
        <f>IF((0=1),BK211,(C211+(C281*(61-1))))</f>
        <v>305.79299999999995</v>
      </c>
      <c r="BL526" s="8">
        <f>IF((0=1),BL211,(C211+(C281*(62-1))))</f>
        <v>310.806</v>
      </c>
      <c r="BM526" s="8">
        <f>IF((0=1),BM211,(C211+(C281*(63-1))))</f>
        <v>315.81899999999996</v>
      </c>
      <c r="BN526" s="8">
        <f>IF((0=1),BN211,(C211+(C281*(64-1))))</f>
        <v>320.832</v>
      </c>
      <c r="BO526" s="8">
        <f>IF((0=1),BO211,(C211+(C281*(65-1))))</f>
        <v>325.84499999999997</v>
      </c>
      <c r="BP526" s="8">
        <f>IF((0=1),BP211,(C211+(C281*(66-1))))</f>
        <v>330.85799999999995</v>
      </c>
      <c r="BQ526" s="8">
        <f>IF((0=1),BQ211,(C211+(C281*(67-1))))</f>
        <v>335.871</v>
      </c>
      <c r="BR526" s="8">
        <f>IF((0=1),BR211,(C211+(C281*(68-1))))</f>
        <v>340.88399999999996</v>
      </c>
      <c r="BS526" s="8">
        <f>IF((0=1),BS211,(C211+(C281*(69-1))))</f>
        <v>345.897</v>
      </c>
      <c r="BT526" s="8">
        <f>IF((0=1),BT211,(C211+(C281*(70-1))))</f>
        <v>350.90999999999997</v>
      </c>
      <c r="BU526" s="8">
        <f>IF((0=1),BU211,(C211+(C281*(71-1))))</f>
        <v>355.92299999999994</v>
      </c>
      <c r="BV526" s="8">
        <f>IF((0=1),BV211,(C211+(C281*(72-1))))</f>
        <v>360.936</v>
      </c>
      <c r="BW526" s="8">
        <f>IF((0=1),BW211,(C211+(C281*(73-1))))</f>
        <v>365.94899999999996</v>
      </c>
      <c r="BX526" s="8">
        <f>IF((0=1),BX211,(C211+(C281*(74-1))))</f>
        <v>370.962</v>
      </c>
      <c r="BY526" s="8">
        <f>IF((0=1),BY211,(C211+(C281*(75-1))))</f>
        <v>375.97499999999997</v>
      </c>
      <c r="BZ526" s="8">
        <f>IF((0=1),BZ211,(C211+(C281*(76-1))))</f>
        <v>380.98799999999994</v>
      </c>
      <c r="CA526" s="8">
        <f>IF((0=1),CA211,(C211+(C281*(77-1))))</f>
        <v>386.001</v>
      </c>
      <c r="CB526" s="8">
        <f>IF((0=1),CB211,(C211+(C281*(78-1))))</f>
        <v>391.01399999999995</v>
      </c>
      <c r="CC526" s="8">
        <f>IF((0=1),CC211,(C211+(C281*(79-1))))</f>
        <v>396.027</v>
      </c>
      <c r="CD526" s="8">
        <f>IF((0=1),CD211,(C211+(C281*(80-1))))</f>
        <v>401.03999999999996</v>
      </c>
      <c r="CE526" s="8">
        <f>IF((0=1),CE211,(C211+(C281*(81-1))))</f>
        <v>406.05299999999994</v>
      </c>
      <c r="CF526" s="8">
        <f>IF((0=1),CF211,(C211+(C281*(82-1))))</f>
        <v>411.066</v>
      </c>
      <c r="CG526" s="8">
        <f>IF((0=1),CG211,(C211+(C281*(83-1))))</f>
        <v>416.07899999999995</v>
      </c>
      <c r="CH526" s="8">
        <f>IF((0=1),CH211,(C211+(C281*(84-1))))</f>
        <v>421.092</v>
      </c>
      <c r="CI526" s="8">
        <f>IF((0=1),CI211,(C211+(C281*(85-1))))</f>
        <v>426.10499999999996</v>
      </c>
      <c r="CJ526" s="8">
        <f>IF((0=1),CJ211,(C211+(C281*(86-1))))</f>
        <v>431.118</v>
      </c>
      <c r="CK526" s="8">
        <f>IF((0=1),CK211,(C211+(C281*(87-1))))</f>
        <v>436.131</v>
      </c>
      <c r="CL526" s="8">
        <f>IF((0=1),CL211,(C211+(C281*(88-1))))</f>
        <v>441.14399999999995</v>
      </c>
      <c r="CM526" s="8">
        <f>IF((0=1),CM211,(C211+(C281*(89-1))))</f>
        <v>446.157</v>
      </c>
      <c r="CN526" s="8">
        <f>IF((0=1),CN211,(C211+(C281*(90-1))))</f>
        <v>451.16999999999996</v>
      </c>
      <c r="CO526" s="8">
        <f>IF((0=1),CO211,(C211+(C281*(91-1))))</f>
        <v>456.183</v>
      </c>
      <c r="CP526" s="8">
        <f>IF((0=1),CP211,(C211+(C281*(92-1))))</f>
        <v>461.19599999999997</v>
      </c>
      <c r="CQ526" s="8">
        <f>IF((0=1),CQ211,(C211+(C281*(93-1))))</f>
        <v>466.20899999999995</v>
      </c>
      <c r="CR526" s="8">
        <f>IF((0=1),CR211,(C211+(C281*(94-1))))</f>
        <v>471.222</v>
      </c>
      <c r="CS526" s="8">
        <f>IF((0=1),CS211,(C211+(C281*(95-1))))</f>
        <v>476.23499999999996</v>
      </c>
      <c r="CT526" s="8">
        <f>IF((0=1),CT211,(C211+(C281*(96-1))))</f>
        <v>481.248</v>
      </c>
      <c r="CU526" s="8">
        <f>IF((0=1),CU211,(C211+(C281*(97-1))))</f>
        <v>486.26099999999997</v>
      </c>
      <c r="CV526" s="8">
        <f>IF((0=1),CV211,(C211+(C281*(98-1))))</f>
        <v>491.27399999999994</v>
      </c>
      <c r="CW526" s="8">
        <f>IF((0=1),CW211,(C211+(C281*(99-1))))</f>
        <v>496.287</v>
      </c>
      <c r="CX526" s="8">
        <f>IF((0=1),CX211,(C211+(C281*(100-1))))</f>
        <v>501.29999999999995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</cols>
  <sheetData>
    <row r="1">
      <c r="A1" s="1" t="inlineStr">
        <is>
          <t xml:space="preserve">line</t>
        </is>
      </c>
      <c r="B1" s="1" t="inlineStr">
        <is>
          <t xml:space="preserve">worst 100 by yesterday's close-to-close return</t>
        </is>
      </c>
      <c r="C1" s="1" t="inlineStr">
        <is>
          <t xml:space="preserve">lowest 100 by 60-day volatility</t>
        </is>
      </c>
      <c r="D1" s="1" t="inlineStr">
        <is>
          <t xml:space="preserve">largest 100 by market cap</t>
        </is>
      </c>
      <c r="E1" s="1" t="inlineStr">
        <is>
          <t xml:space="preserve">top 100 by 12-1 month return</t>
        </is>
      </c>
      <c r="F1" s="1" t="inlineStr">
        <is>
          <t xml:space="preserve">best 100 by yesterday's close-to-close return</t>
        </is>
      </c>
      <c r="G1" s="1" t="inlineStr">
        <is>
          <t xml:space="preserve">Retail Attention Overnight</t>
        </is>
      </c>
      <c r="H1" s="1" t="inlineStr">
        <is>
          <t xml:space="preserve">Post-Earnings Drift, Overnight Leg</t>
        </is>
      </c>
      <c r="I1" s="1" t="inlineStr">
        <is>
          <t xml:space="preserve">Intraday-to-Overnight Reversal</t>
        </is>
      </c>
      <c r="J1" s="1" t="inlineStr">
        <is>
          <t xml:space="preserve">Analyst Revision Momentum</t>
        </is>
      </c>
      <c r="K1" s="1" t="inlineStr">
        <is>
          <t xml:space="preserve">Clustered Insider Buying</t>
        </is>
      </c>
      <c r="L1" s="1" t="inlineStr">
        <is>
          <t xml:space="preserve">Same-Month Seasonality</t>
        </is>
      </c>
      <c r="M1" s="1" t="inlineStr">
        <is>
          <t xml:space="preserve">Quality at a Reasonable Price</t>
        </is>
      </c>
      <c r="N1" s="1" t="inlineStr">
        <is>
          <t xml:space="preserve">Residual Momentum</t>
        </is>
      </c>
      <c r="O1" s="1" t="inlineStr">
        <is>
          <t xml:space="preserve">Overnight Return Persistence</t>
        </is>
      </c>
      <c r="P1" s="1" t="inlineStr">
        <is>
          <t xml:space="preserve">52-Week-High Anchoring</t>
        </is>
      </c>
      <c r="Q1" s="1" t="inlineStr">
        <is>
          <t xml:space="preserve">Random 1</t>
        </is>
      </c>
      <c r="R1" s="1" t="inlineStr">
        <is>
          <t xml:space="preserve">Random 2</t>
        </is>
      </c>
      <c r="S1" s="1" t="inlineStr">
        <is>
          <t xml:space="preserve">Random 3</t>
        </is>
      </c>
      <c r="T1" s="1" t="inlineStr">
        <is>
          <t xml:space="preserve">Random 4</t>
        </is>
      </c>
      <c r="U1" s="1" t="inlineStr">
        <is>
          <t xml:space="preserve">Random 5</t>
        </is>
      </c>
      <c r="V1" s="1" t="inlineStr">
        <is>
          <t xml:space="preserve">Random 6</t>
        </is>
      </c>
      <c r="W1" s="1" t="inlineStr">
        <is>
          <t xml:space="preserve">Random 7</t>
        </is>
      </c>
      <c r="X1" s="1" t="inlineStr">
        <is>
          <t xml:space="preserve">Random 8</t>
        </is>
      </c>
      <c r="Y1" s="1" t="inlineStr">
        <is>
          <t xml:space="preserve">Random 9</t>
        </is>
      </c>
      <c r="Z1" s="1" t="inlineStr">
        <is>
          <t xml:space="preserve">Random 10</t>
        </is>
      </c>
      <c r="AA1" s="1" t="inlineStr">
        <is>
          <t xml:space="preserve">Random 11</t>
        </is>
      </c>
      <c r="AB1" s="1" t="inlineStr">
        <is>
          <t xml:space="preserve">Random 12</t>
        </is>
      </c>
      <c r="AC1" s="1" t="inlineStr">
        <is>
          <t xml:space="preserve">Random 13</t>
        </is>
      </c>
      <c r="AD1" s="1" t="inlineStr">
        <is>
          <t xml:space="preserve">Random 14</t>
        </is>
      </c>
      <c r="AE1" s="1" t="inlineStr">
        <is>
          <t xml:space="preserve">Random 15</t>
        </is>
      </c>
      <c r="AF1" s="1" t="inlineStr">
        <is>
          <t xml:space="preserve">Random 16</t>
        </is>
      </c>
      <c r="AG1" s="1" t="inlineStr">
        <is>
          <t xml:space="preserve">Random 17</t>
        </is>
      </c>
      <c r="AH1" s="1" t="inlineStr">
        <is>
          <t xml:space="preserve">Random 18</t>
        </is>
      </c>
      <c r="AI1" s="1" t="inlineStr">
        <is>
          <t xml:space="preserve">Random 19</t>
        </is>
      </c>
      <c r="AJ1" s="1" t="inlineStr">
        <is>
          <t xml:space="preserve">Random 20</t>
        </is>
      </c>
    </row>
    <row r="2">
      <c r="A2" s="0" t="inlineStr">
        <is>
          <t xml:space="preserve">Evaluated days</t>
        </is>
      </c>
      <c r="B2" s="4">
        <f>COUNTIFS('Daily evaluations'!$B$2:$B$36,"=naive_loser1d",'Daily evaluations'!$D$2:$D$36,"&lt;&gt;")</f>
        <v>1</v>
      </c>
      <c r="C2" s="4">
        <f>COUNTIFS('Daily evaluations'!$B$2:$B$36,"=naive_lowvol",'Daily evaluations'!$D$2:$D$36,"&lt;&gt;")</f>
        <v>1</v>
      </c>
      <c r="D2" s="4">
        <f>COUNTIFS('Daily evaluations'!$B$2:$B$36,"=naive_mcap",'Daily evaluations'!$D$2:$D$36,"&lt;&gt;")</f>
        <v>1</v>
      </c>
      <c r="E2" s="4">
        <f>COUNTIFS('Daily evaluations'!$B$2:$B$36,"=naive_mom",'Daily evaluations'!$D$2:$D$36,"&lt;&gt;")</f>
        <v>1</v>
      </c>
      <c r="F2" s="4">
        <f>COUNTIFS('Daily evaluations'!$B$2:$B$36,"=naive_winner1d",'Daily evaluations'!$D$2:$D$36,"&lt;&gt;")</f>
        <v>1</v>
      </c>
      <c r="G2" s="4">
        <f>COUNTIFS('Daily evaluations'!$B$2:$B$36,"=p01_attention",'Daily evaluations'!$D$2:$D$36,"&lt;&gt;")</f>
        <v>1</v>
      </c>
      <c r="H2" s="4">
        <f>COUNTIFS('Daily evaluations'!$B$2:$B$36,"=p02_earnings_drift",'Daily evaluations'!$D$2:$D$36,"&lt;&gt;")</f>
        <v>1</v>
      </c>
      <c r="I2" s="4">
        <f>COUNTIFS('Daily evaluations'!$B$2:$B$36,"=p03_intraday_reversal",'Daily evaluations'!$D$2:$D$36,"&lt;&gt;")</f>
        <v>1</v>
      </c>
      <c r="J2" s="4">
        <f>COUNTIFS('Daily evaluations'!$B$2:$B$36,"=p04_analyst_revisions",'Daily evaluations'!$D$2:$D$36,"&lt;&gt;")</f>
        <v>1</v>
      </c>
      <c r="K2" s="4">
        <f>COUNTIFS('Daily evaluations'!$B$2:$B$36,"=p05_insider_clusters",'Daily evaluations'!$D$2:$D$36,"&lt;&gt;")</f>
        <v>1</v>
      </c>
      <c r="L2" s="4">
        <f>COUNTIFS('Daily evaluations'!$B$2:$B$36,"=p06_seasonality",'Daily evaluations'!$D$2:$D$36,"&lt;&gt;")</f>
        <v>1</v>
      </c>
      <c r="M2" s="4">
        <f>COUNTIFS('Daily evaluations'!$B$2:$B$36,"=p07_quality_value",'Daily evaluations'!$D$2:$D$36,"&lt;&gt;")</f>
        <v>1</v>
      </c>
      <c r="N2" s="4">
        <f>COUNTIFS('Daily evaluations'!$B$2:$B$36,"=p08_residual_momentum",'Daily evaluations'!$D$2:$D$36,"&lt;&gt;")</f>
        <v>1</v>
      </c>
      <c r="O2" s="4">
        <f>COUNTIFS('Daily evaluations'!$B$2:$B$36,"=p09_overnight_persistence",'Daily evaluations'!$D$2:$D$36,"&lt;&gt;")</f>
        <v>1</v>
      </c>
      <c r="P2" s="4">
        <f>COUNTIFS('Daily evaluations'!$B$2:$B$36,"=p10_52wk_high",'Daily evaluations'!$D$2:$D$36,"&lt;&gt;")</f>
        <v>1</v>
      </c>
      <c r="Q2" s="4">
        <f>COUNTIFS('Daily evaluations'!$B$2:$B$36,"=random_01",'Daily evaluations'!$D$2:$D$36,"&lt;&gt;")</f>
        <v>1</v>
      </c>
      <c r="R2" s="4">
        <f>COUNTIFS('Daily evaluations'!$B$2:$B$36,"=random_02",'Daily evaluations'!$D$2:$D$36,"&lt;&gt;")</f>
        <v>1</v>
      </c>
      <c r="S2" s="4">
        <f>COUNTIFS('Daily evaluations'!$B$2:$B$36,"=random_03",'Daily evaluations'!$D$2:$D$36,"&lt;&gt;")</f>
        <v>1</v>
      </c>
      <c r="T2" s="4">
        <f>COUNTIFS('Daily evaluations'!$B$2:$B$36,"=random_04",'Daily evaluations'!$D$2:$D$36,"&lt;&gt;")</f>
        <v>1</v>
      </c>
      <c r="U2" s="4">
        <f>COUNTIFS('Daily evaluations'!$B$2:$B$36,"=random_05",'Daily evaluations'!$D$2:$D$36,"&lt;&gt;")</f>
        <v>1</v>
      </c>
      <c r="V2" s="4">
        <f>COUNTIFS('Daily evaluations'!$B$2:$B$36,"=random_06",'Daily evaluations'!$D$2:$D$36,"&lt;&gt;")</f>
        <v>1</v>
      </c>
      <c r="W2" s="4">
        <f>COUNTIFS('Daily evaluations'!$B$2:$B$36,"=random_07",'Daily evaluations'!$D$2:$D$36,"&lt;&gt;")</f>
        <v>1</v>
      </c>
      <c r="X2" s="4">
        <f>COUNTIFS('Daily evaluations'!$B$2:$B$36,"=random_08",'Daily evaluations'!$D$2:$D$36,"&lt;&gt;")</f>
        <v>1</v>
      </c>
      <c r="Y2" s="4">
        <f>COUNTIFS('Daily evaluations'!$B$2:$B$36,"=random_09",'Daily evaluations'!$D$2:$D$36,"&lt;&gt;")</f>
        <v>1</v>
      </c>
      <c r="Z2" s="4">
        <f>COUNTIFS('Daily evaluations'!$B$2:$B$36,"=random_10",'Daily evaluations'!$D$2:$D$36,"&lt;&gt;")</f>
        <v>1</v>
      </c>
      <c r="AA2" s="4">
        <f>COUNTIFS('Daily evaluations'!$B$2:$B$36,"=random_11",'Daily evaluations'!$D$2:$D$36,"&lt;&gt;")</f>
        <v>1</v>
      </c>
      <c r="AB2" s="4">
        <f>COUNTIFS('Daily evaluations'!$B$2:$B$36,"=random_12",'Daily evaluations'!$D$2:$D$36,"&lt;&gt;")</f>
        <v>1</v>
      </c>
      <c r="AC2" s="4">
        <f>COUNTIFS('Daily evaluations'!$B$2:$B$36,"=random_13",'Daily evaluations'!$D$2:$D$36,"&lt;&gt;")</f>
        <v>1</v>
      </c>
      <c r="AD2" s="4">
        <f>COUNTIFS('Daily evaluations'!$B$2:$B$36,"=random_14",'Daily evaluations'!$D$2:$D$36,"&lt;&gt;")</f>
        <v>1</v>
      </c>
      <c r="AE2" s="4">
        <f>COUNTIFS('Daily evaluations'!$B$2:$B$36,"=random_15",'Daily evaluations'!$D$2:$D$36,"&lt;&gt;")</f>
        <v>1</v>
      </c>
      <c r="AF2" s="4">
        <f>COUNTIFS('Daily evaluations'!$B$2:$B$36,"=random_16",'Daily evaluations'!$D$2:$D$36,"&lt;&gt;")</f>
        <v>1</v>
      </c>
      <c r="AG2" s="4">
        <f>COUNTIFS('Daily evaluations'!$B$2:$B$36,"=random_17",'Daily evaluations'!$D$2:$D$36,"&lt;&gt;")</f>
        <v>1</v>
      </c>
      <c r="AH2" s="4">
        <f>COUNTIFS('Daily evaluations'!$B$2:$B$36,"=random_18",'Daily evaluations'!$D$2:$D$36,"&lt;&gt;")</f>
        <v>1</v>
      </c>
      <c r="AI2" s="4">
        <f>COUNTIFS('Daily evaluations'!$B$2:$B$36,"=random_19",'Daily evaluations'!$D$2:$D$36,"&lt;&gt;")</f>
        <v>1</v>
      </c>
      <c r="AJ2" s="4">
        <f>COUNTIFS('Daily evaluations'!$B$2:$B$36,"=random_20",'Daily evaluations'!$D$2:$D$36,"&lt;&gt;")</f>
        <v>1</v>
      </c>
    </row>
    <row r="3">
      <c r="A3" s="0" t="inlineStr">
        <is>
          <t xml:space="preserve">Mean sector-neutral excess, bps/day</t>
        </is>
      </c>
      <c r="B3" s="8">
        <f>IF((B2&gt;0),AVERAGEIFS('Daily evaluations'!$D$2:$D$36,'Daily evaluations'!$B$2:$B$36,"=naive_loser1d"),"")</f>
        <v>13.654</v>
      </c>
      <c r="C3" s="8">
        <f>IF((C2&gt;0),AVERAGEIFS('Daily evaluations'!$D$2:$D$36,'Daily evaluations'!$B$2:$B$36,"=naive_lowvol"),"")</f>
        <v>12.648</v>
      </c>
      <c r="D3" s="8">
        <f>IF((D2&gt;0),AVERAGEIFS('Daily evaluations'!$D$2:$D$36,'Daily evaluations'!$B$2:$B$36,"=naive_mcap"),"")</f>
        <v>4.751</v>
      </c>
      <c r="E3" s="8">
        <f>IF((E2&gt;0),AVERAGEIFS('Daily evaluations'!$D$2:$D$36,'Daily evaluations'!$B$2:$B$36,"=naive_mom"),"")</f>
        <v>-23.532</v>
      </c>
      <c r="F3" s="8">
        <f>IF((F2&gt;0),AVERAGEIFS('Daily evaluations'!$D$2:$D$36,'Daily evaluations'!$B$2:$B$36,"=naive_winner1d"),"")</f>
        <v>-14.463</v>
      </c>
      <c r="G3" s="8">
        <f>IF((G2&gt;0),AVERAGEIFS('Daily evaluations'!$D$2:$D$36,'Daily evaluations'!$B$2:$B$36,"=p01_attention"),"")</f>
        <v>-19.56</v>
      </c>
      <c r="H3" s="8">
        <f>IF((H2&gt;0),AVERAGEIFS('Daily evaluations'!$D$2:$D$36,'Daily evaluations'!$B$2:$B$36,"=p02_earnings_drift"),"")</f>
        <v>11.704</v>
      </c>
      <c r="I3" s="8">
        <f>IF((I2&gt;0),AVERAGEIFS('Daily evaluations'!$D$2:$D$36,'Daily evaluations'!$B$2:$B$36,"=p03_intraday_reversal"),"")</f>
        <v>4.098</v>
      </c>
      <c r="J3" s="8">
        <f>IF((J2&gt;0),AVERAGEIFS('Daily evaluations'!$D$2:$D$36,'Daily evaluations'!$B$2:$B$36,"=p04_analyst_revisions"),"")</f>
        <v>-2.965</v>
      </c>
      <c r="K3" s="8">
        <f>IF((K2&gt;0),AVERAGEIFS('Daily evaluations'!$D$2:$D$36,'Daily evaluations'!$B$2:$B$36,"=p05_insider_clusters"),"")</f>
        <v>2.143</v>
      </c>
      <c r="L3" s="8">
        <f>IF((L2&gt;0),AVERAGEIFS('Daily evaluations'!$D$2:$D$36,'Daily evaluations'!$B$2:$B$36,"=p06_seasonality"),"")</f>
        <v>-21.574</v>
      </c>
      <c r="M3" s="8">
        <f>IF((M2&gt;0),AVERAGEIFS('Daily evaluations'!$D$2:$D$36,'Daily evaluations'!$B$2:$B$36,"=p07_quality_value"),"")</f>
        <v>-0.086</v>
      </c>
      <c r="N3" s="8">
        <f>IF((N2&gt;0),AVERAGEIFS('Daily evaluations'!$D$2:$D$36,'Daily evaluations'!$B$2:$B$36,"=p08_residual_momentum"),"")</f>
        <v>13.936</v>
      </c>
      <c r="O3" s="8">
        <f>IF((O2&gt;0),AVERAGEIFS('Daily evaluations'!$D$2:$D$36,'Daily evaluations'!$B$2:$B$36,"=p09_overnight_persistence"),"")</f>
        <v>8.172</v>
      </c>
      <c r="P3" s="8">
        <f>IF((P2&gt;0),AVERAGEIFS('Daily evaluations'!$D$2:$D$36,'Daily evaluations'!$B$2:$B$36,"=p10_52wk_high"),"")</f>
        <v>17.164</v>
      </c>
      <c r="Q3" s="8">
        <f>IF((Q2&gt;0),AVERAGEIFS('Daily evaluations'!$D$2:$D$36,'Daily evaluations'!$B$2:$B$36,"=random_01"),"")</f>
        <v>-4.097</v>
      </c>
      <c r="R3" s="8">
        <f>IF((R2&gt;0),AVERAGEIFS('Daily evaluations'!$D$2:$D$36,'Daily evaluations'!$B$2:$B$36,"=random_02"),"")</f>
        <v>0.703</v>
      </c>
      <c r="S3" s="8">
        <f>IF((S2&gt;0),AVERAGEIFS('Daily evaluations'!$D$2:$D$36,'Daily evaluations'!$B$2:$B$36,"=random_03"),"")</f>
        <v>4.62</v>
      </c>
      <c r="T3" s="8">
        <f>IF((T2&gt;0),AVERAGEIFS('Daily evaluations'!$D$2:$D$36,'Daily evaluations'!$B$2:$B$36,"=random_04"),"")</f>
        <v>-1.755</v>
      </c>
      <c r="U3" s="8">
        <f>IF((U2&gt;0),AVERAGEIFS('Daily evaluations'!$D$2:$D$36,'Daily evaluations'!$B$2:$B$36,"=random_05"),"")</f>
        <v>8.485</v>
      </c>
      <c r="V3" s="8">
        <f>IF((V2&gt;0),AVERAGEIFS('Daily evaluations'!$D$2:$D$36,'Daily evaluations'!$B$2:$B$36,"=random_06"),"")</f>
        <v>-3.004</v>
      </c>
      <c r="W3" s="8">
        <f>IF((W2&gt;0),AVERAGEIFS('Daily evaluations'!$D$2:$D$36,'Daily evaluations'!$B$2:$B$36,"=random_07"),"")</f>
        <v>-3.263</v>
      </c>
      <c r="X3" s="8">
        <f>IF((X2&gt;0),AVERAGEIFS('Daily evaluations'!$D$2:$D$36,'Daily evaluations'!$B$2:$B$36,"=random_08"),"")</f>
        <v>3.133</v>
      </c>
      <c r="Y3" s="8">
        <f>IF((Y2&gt;0),AVERAGEIFS('Daily evaluations'!$D$2:$D$36,'Daily evaluations'!$B$2:$B$36,"=random_09"),"")</f>
        <v>-3.328</v>
      </c>
      <c r="Z3" s="8">
        <f>IF((Z2&gt;0),AVERAGEIFS('Daily evaluations'!$D$2:$D$36,'Daily evaluations'!$B$2:$B$36,"=random_10"),"")</f>
        <v>4.866</v>
      </c>
      <c r="AA3" s="8">
        <f>IF((AA2&gt;0),AVERAGEIFS('Daily evaluations'!$D$2:$D$36,'Daily evaluations'!$B$2:$B$36,"=random_11"),"")</f>
        <v>13.888</v>
      </c>
      <c r="AB3" s="8">
        <f>IF((AB2&gt;0),AVERAGEIFS('Daily evaluations'!$D$2:$D$36,'Daily evaluations'!$B$2:$B$36,"=random_12"),"")</f>
        <v>-0.503</v>
      </c>
      <c r="AC3" s="8">
        <f>IF((AC2&gt;0),AVERAGEIFS('Daily evaluations'!$D$2:$D$36,'Daily evaluations'!$B$2:$B$36,"=random_13"),"")</f>
        <v>-8.316</v>
      </c>
      <c r="AD3" s="8">
        <f>IF((AD2&gt;0),AVERAGEIFS('Daily evaluations'!$D$2:$D$36,'Daily evaluations'!$B$2:$B$36,"=random_14"),"")</f>
        <v>1.692</v>
      </c>
      <c r="AE3" s="8">
        <f>IF((AE2&gt;0),AVERAGEIFS('Daily evaluations'!$D$2:$D$36,'Daily evaluations'!$B$2:$B$36,"=random_15"),"")</f>
        <v>-13.795</v>
      </c>
      <c r="AF3" s="8">
        <f>IF((AF2&gt;0),AVERAGEIFS('Daily evaluations'!$D$2:$D$36,'Daily evaluations'!$B$2:$B$36,"=random_16"),"")</f>
        <v>-1.212</v>
      </c>
      <c r="AG3" s="8">
        <f>IF((AG2&gt;0),AVERAGEIFS('Daily evaluations'!$D$2:$D$36,'Daily evaluations'!$B$2:$B$36,"=random_17"),"")</f>
        <v>-2.98</v>
      </c>
      <c r="AH3" s="8">
        <f>IF((AH2&gt;0),AVERAGEIFS('Daily evaluations'!$D$2:$D$36,'Daily evaluations'!$B$2:$B$36,"=random_18"),"")</f>
        <v>10.83</v>
      </c>
      <c r="AI3" s="8">
        <f>IF((AI2&gt;0),AVERAGEIFS('Daily evaluations'!$D$2:$D$36,'Daily evaluations'!$B$2:$B$36,"=random_19"),"")</f>
        <v>5.56</v>
      </c>
      <c r="AJ3" s="8">
        <f>IF((AJ2&gt;0),AVERAGEIFS('Daily evaluations'!$D$2:$D$36,'Daily evaluations'!$B$2:$B$36,"=random_20"),"")</f>
        <v>5.013</v>
      </c>
    </row>
    <row r="4">
      <c r="A4" s="0" t="inlineStr">
        <is>
          <t xml:space="preserve">Cumulative excess, bps</t>
        </is>
      </c>
      <c r="B4" s="8">
        <f>IF((B2&gt;0),SUMIFS('Daily evaluations'!$D$2:$D$36,'Daily evaluations'!$B$2:$B$36,"=naive_loser1d"),"")</f>
        <v>13.654</v>
      </c>
      <c r="C4" s="8">
        <f>IF((C2&gt;0),SUMIFS('Daily evaluations'!$D$2:$D$36,'Daily evaluations'!$B$2:$B$36,"=naive_lowvol"),"")</f>
        <v>12.648</v>
      </c>
      <c r="D4" s="8">
        <f>IF((D2&gt;0),SUMIFS('Daily evaluations'!$D$2:$D$36,'Daily evaluations'!$B$2:$B$36,"=naive_mcap"),"")</f>
        <v>4.751</v>
      </c>
      <c r="E4" s="8">
        <f>IF((E2&gt;0),SUMIFS('Daily evaluations'!$D$2:$D$36,'Daily evaluations'!$B$2:$B$36,"=naive_mom"),"")</f>
        <v>-23.532</v>
      </c>
      <c r="F4" s="8">
        <f>IF((F2&gt;0),SUMIFS('Daily evaluations'!$D$2:$D$36,'Daily evaluations'!$B$2:$B$36,"=naive_winner1d"),"")</f>
        <v>-14.463</v>
      </c>
      <c r="G4" s="8">
        <f>IF((G2&gt;0),SUMIFS('Daily evaluations'!$D$2:$D$36,'Daily evaluations'!$B$2:$B$36,"=p01_attention"),"")</f>
        <v>-19.56</v>
      </c>
      <c r="H4" s="8">
        <f>IF((H2&gt;0),SUMIFS('Daily evaluations'!$D$2:$D$36,'Daily evaluations'!$B$2:$B$36,"=p02_earnings_drift"),"")</f>
        <v>11.704</v>
      </c>
      <c r="I4" s="8">
        <f>IF((I2&gt;0),SUMIFS('Daily evaluations'!$D$2:$D$36,'Daily evaluations'!$B$2:$B$36,"=p03_intraday_reversal"),"")</f>
        <v>4.098</v>
      </c>
      <c r="J4" s="8">
        <f>IF((J2&gt;0),SUMIFS('Daily evaluations'!$D$2:$D$36,'Daily evaluations'!$B$2:$B$36,"=p04_analyst_revisions"),"")</f>
        <v>-2.965</v>
      </c>
      <c r="K4" s="8">
        <f>IF((K2&gt;0),SUMIFS('Daily evaluations'!$D$2:$D$36,'Daily evaluations'!$B$2:$B$36,"=p05_insider_clusters"),"")</f>
        <v>2.143</v>
      </c>
      <c r="L4" s="8">
        <f>IF((L2&gt;0),SUMIFS('Daily evaluations'!$D$2:$D$36,'Daily evaluations'!$B$2:$B$36,"=p06_seasonality"),"")</f>
        <v>-21.574</v>
      </c>
      <c r="M4" s="8">
        <f>IF((M2&gt;0),SUMIFS('Daily evaluations'!$D$2:$D$36,'Daily evaluations'!$B$2:$B$36,"=p07_quality_value"),"")</f>
        <v>-0.086</v>
      </c>
      <c r="N4" s="8">
        <f>IF((N2&gt;0),SUMIFS('Daily evaluations'!$D$2:$D$36,'Daily evaluations'!$B$2:$B$36,"=p08_residual_momentum"),"")</f>
        <v>13.936</v>
      </c>
      <c r="O4" s="8">
        <f>IF((O2&gt;0),SUMIFS('Daily evaluations'!$D$2:$D$36,'Daily evaluations'!$B$2:$B$36,"=p09_overnight_persistence"),"")</f>
        <v>8.172</v>
      </c>
      <c r="P4" s="8">
        <f>IF((P2&gt;0),SUMIFS('Daily evaluations'!$D$2:$D$36,'Daily evaluations'!$B$2:$B$36,"=p10_52wk_high"),"")</f>
        <v>17.164</v>
      </c>
      <c r="Q4" s="8">
        <f>IF((Q2&gt;0),SUMIFS('Daily evaluations'!$D$2:$D$36,'Daily evaluations'!$B$2:$B$36,"=random_01"),"")</f>
        <v>-4.097</v>
      </c>
      <c r="R4" s="8">
        <f>IF((R2&gt;0),SUMIFS('Daily evaluations'!$D$2:$D$36,'Daily evaluations'!$B$2:$B$36,"=random_02"),"")</f>
        <v>0.703</v>
      </c>
      <c r="S4" s="8">
        <f>IF((S2&gt;0),SUMIFS('Daily evaluations'!$D$2:$D$36,'Daily evaluations'!$B$2:$B$36,"=random_03"),"")</f>
        <v>4.62</v>
      </c>
      <c r="T4" s="8">
        <f>IF((T2&gt;0),SUMIFS('Daily evaluations'!$D$2:$D$36,'Daily evaluations'!$B$2:$B$36,"=random_04"),"")</f>
        <v>-1.755</v>
      </c>
      <c r="U4" s="8">
        <f>IF((U2&gt;0),SUMIFS('Daily evaluations'!$D$2:$D$36,'Daily evaluations'!$B$2:$B$36,"=random_05"),"")</f>
        <v>8.485</v>
      </c>
      <c r="V4" s="8">
        <f>IF((V2&gt;0),SUMIFS('Daily evaluations'!$D$2:$D$36,'Daily evaluations'!$B$2:$B$36,"=random_06"),"")</f>
        <v>-3.004</v>
      </c>
      <c r="W4" s="8">
        <f>IF((W2&gt;0),SUMIFS('Daily evaluations'!$D$2:$D$36,'Daily evaluations'!$B$2:$B$36,"=random_07"),"")</f>
        <v>-3.263</v>
      </c>
      <c r="X4" s="8">
        <f>IF((X2&gt;0),SUMIFS('Daily evaluations'!$D$2:$D$36,'Daily evaluations'!$B$2:$B$36,"=random_08"),"")</f>
        <v>3.133</v>
      </c>
      <c r="Y4" s="8">
        <f>IF((Y2&gt;0),SUMIFS('Daily evaluations'!$D$2:$D$36,'Daily evaluations'!$B$2:$B$36,"=random_09"),"")</f>
        <v>-3.328</v>
      </c>
      <c r="Z4" s="8">
        <f>IF((Z2&gt;0),SUMIFS('Daily evaluations'!$D$2:$D$36,'Daily evaluations'!$B$2:$B$36,"=random_10"),"")</f>
        <v>4.866</v>
      </c>
      <c r="AA4" s="8">
        <f>IF((AA2&gt;0),SUMIFS('Daily evaluations'!$D$2:$D$36,'Daily evaluations'!$B$2:$B$36,"=random_11"),"")</f>
        <v>13.888</v>
      </c>
      <c r="AB4" s="8">
        <f>IF((AB2&gt;0),SUMIFS('Daily evaluations'!$D$2:$D$36,'Daily evaluations'!$B$2:$B$36,"=random_12"),"")</f>
        <v>-0.503</v>
      </c>
      <c r="AC4" s="8">
        <f>IF((AC2&gt;0),SUMIFS('Daily evaluations'!$D$2:$D$36,'Daily evaluations'!$B$2:$B$36,"=random_13"),"")</f>
        <v>-8.316</v>
      </c>
      <c r="AD4" s="8">
        <f>IF((AD2&gt;0),SUMIFS('Daily evaluations'!$D$2:$D$36,'Daily evaluations'!$B$2:$B$36,"=random_14"),"")</f>
        <v>1.692</v>
      </c>
      <c r="AE4" s="8">
        <f>IF((AE2&gt;0),SUMIFS('Daily evaluations'!$D$2:$D$36,'Daily evaluations'!$B$2:$B$36,"=random_15"),"")</f>
        <v>-13.795</v>
      </c>
      <c r="AF4" s="8">
        <f>IF((AF2&gt;0),SUMIFS('Daily evaluations'!$D$2:$D$36,'Daily evaluations'!$B$2:$B$36,"=random_16"),"")</f>
        <v>-1.212</v>
      </c>
      <c r="AG4" s="8">
        <f>IF((AG2&gt;0),SUMIFS('Daily evaluations'!$D$2:$D$36,'Daily evaluations'!$B$2:$B$36,"=random_17"),"")</f>
        <v>-2.98</v>
      </c>
      <c r="AH4" s="8">
        <f>IF((AH2&gt;0),SUMIFS('Daily evaluations'!$D$2:$D$36,'Daily evaluations'!$B$2:$B$36,"=random_18"),"")</f>
        <v>10.83</v>
      </c>
      <c r="AI4" s="8">
        <f>IF((AI2&gt;0),SUMIFS('Daily evaluations'!$D$2:$D$36,'Daily evaluations'!$B$2:$B$36,"=random_19"),"")</f>
        <v>5.56</v>
      </c>
      <c r="AJ4" s="8">
        <f>IF((AJ2&gt;0),SUMIFS('Daily evaluations'!$D$2:$D$36,'Daily evaluations'!$B$2:$B$36,"=random_20"),"")</f>
        <v>5.013</v>
      </c>
    </row>
    <row r="5">
      <c r="A5" s="0" t="inlineStr">
        <is>
          <t xml:space="preserve">Mean net of costs, bps/day</t>
        </is>
      </c>
      <c r="B5" s="8">
        <f>IF((B2&gt;0),(AVERAGEIFS('Daily evaluations'!$E$2:$E$36,'Daily evaluations'!$B$2:$B$36,"=naive_loser1d")-'Assumptions (edit)'!B4),"")</f>
        <v>27.378999999999998</v>
      </c>
      <c r="C5" s="8">
        <f>IF((C2&gt;0),(AVERAGEIFS('Daily evaluations'!$E$2:$E$36,'Daily evaluations'!$B$2:$B$36,"=naive_lowvol")-'Assumptions (edit)'!B4),"")</f>
        <v>-14.709</v>
      </c>
      <c r="D5" s="8">
        <f>IF((D2&gt;0),(AVERAGEIFS('Daily evaluations'!$E$2:$E$36,'Daily evaluations'!$B$2:$B$36,"=naive_mcap")-'Assumptions (edit)'!B4),"")</f>
        <v>4.964</v>
      </c>
      <c r="E5" s="8">
        <f>IF((E2&gt;0),(AVERAGEIFS('Daily evaluations'!$E$2:$E$36,'Daily evaluations'!$B$2:$B$36,"=naive_mom")-'Assumptions (edit)'!B4),"")</f>
        <v>-12.603</v>
      </c>
      <c r="F5" s="8">
        <f>IF((F2&gt;0),(AVERAGEIFS('Daily evaluations'!$E$2:$E$36,'Daily evaluations'!$B$2:$B$36,"=naive_winner1d")-'Assumptions (edit)'!B4),"")</f>
        <v>-5.67</v>
      </c>
      <c r="G5" s="8">
        <f>IF((G2&gt;0),(AVERAGEIFS('Daily evaluations'!$E$2:$E$36,'Daily evaluations'!$B$2:$B$36,"=p01_attention")-'Assumptions (edit)'!B4),"")</f>
        <v>-27.227</v>
      </c>
      <c r="H5" s="8">
        <f>IF((H2&gt;0),(AVERAGEIFS('Daily evaluations'!$E$2:$E$36,'Daily evaluations'!$B$2:$B$36,"=p02_earnings_drift")-'Assumptions (edit)'!B4),"")</f>
        <v>5.228999999999999</v>
      </c>
      <c r="I5" s="8">
        <f>IF((I2&gt;0),(AVERAGEIFS('Daily evaluations'!$E$2:$E$36,'Daily evaluations'!$B$2:$B$36,"=p03_intraday_reversal")-'Assumptions (edit)'!B4),"")</f>
        <v>-7.452999999999999</v>
      </c>
      <c r="J5" s="8">
        <f>IF((J2&gt;0),(AVERAGEIFS('Daily evaluations'!$E$2:$E$36,'Daily evaluations'!$B$2:$B$36,"=p04_analyst_revisions")-'Assumptions (edit)'!B4),"")</f>
        <v>-16.285</v>
      </c>
      <c r="K5" s="8">
        <f>IF((K2&gt;0),(AVERAGEIFS('Daily evaluations'!$E$2:$E$36,'Daily evaluations'!$B$2:$B$36,"=p05_insider_clusters")-'Assumptions (edit)'!B4),"")</f>
        <v>4.195</v>
      </c>
      <c r="L5" s="8">
        <f>IF((L2&gt;0),(AVERAGEIFS('Daily evaluations'!$E$2:$E$36,'Daily evaluations'!$B$2:$B$36,"=p06_seasonality")-'Assumptions (edit)'!B4),"")</f>
        <v>-18.298000000000002</v>
      </c>
      <c r="M5" s="8">
        <f>IF((M2&gt;0),(AVERAGEIFS('Daily evaluations'!$E$2:$E$36,'Daily evaluations'!$B$2:$B$36,"=p07_quality_value")-'Assumptions (edit)'!B4),"")</f>
        <v>0.1899999999999995</v>
      </c>
      <c r="N5" s="8">
        <f>IF((N2&gt;0),(AVERAGEIFS('Daily evaluations'!$E$2:$E$36,'Daily evaluations'!$B$2:$B$36,"=p08_residual_momentum")-'Assumptions (edit)'!B4),"")</f>
        <v>4.833</v>
      </c>
      <c r="O5" s="8">
        <f>IF((O2&gt;0),(AVERAGEIFS('Daily evaluations'!$E$2:$E$36,'Daily evaluations'!$B$2:$B$36,"=p09_overnight_persistence")-'Assumptions (edit)'!B4),"")</f>
        <v>-8.522</v>
      </c>
      <c r="P5" s="8">
        <f>IF((P2&gt;0),(AVERAGEIFS('Daily evaluations'!$E$2:$E$36,'Daily evaluations'!$B$2:$B$36,"=p10_52wk_high")-'Assumptions (edit)'!B4),"")</f>
        <v>29.110999999999997</v>
      </c>
      <c r="Q5" s="8">
        <f>IF((Q2&gt;0),(AVERAGEIFS('Daily evaluations'!$E$2:$E$36,'Daily evaluations'!$B$2:$B$36,"=random_01")-'Assumptions (edit)'!B4),"")</f>
        <v>-12.933</v>
      </c>
      <c r="R5" s="8">
        <f>IF((R2&gt;0),(AVERAGEIFS('Daily evaluations'!$E$2:$E$36,'Daily evaluations'!$B$2:$B$36,"=random_02")-'Assumptions (edit)'!B4),"")</f>
        <v>-12.049</v>
      </c>
      <c r="S5" s="8">
        <f>IF((S2&gt;0),(AVERAGEIFS('Daily evaluations'!$E$2:$E$36,'Daily evaluations'!$B$2:$B$36,"=random_03")-'Assumptions (edit)'!B4),"")</f>
        <v>-4.1</v>
      </c>
      <c r="T5" s="8">
        <f>IF((T2&gt;0),(AVERAGEIFS('Daily evaluations'!$E$2:$E$36,'Daily evaluations'!$B$2:$B$36,"=random_04")-'Assumptions (edit)'!B4),"")</f>
        <v>-15.497</v>
      </c>
      <c r="U5" s="8">
        <f>IF((U2&gt;0),(AVERAGEIFS('Daily evaluations'!$E$2:$E$36,'Daily evaluations'!$B$2:$B$36,"=random_05")-'Assumptions (edit)'!B4),"")</f>
        <v>-7.258</v>
      </c>
      <c r="V5" s="8">
        <f>IF((V2&gt;0),(AVERAGEIFS('Daily evaluations'!$E$2:$E$36,'Daily evaluations'!$B$2:$B$36,"=random_06")-'Assumptions (edit)'!B4),"")</f>
        <v>-13.953</v>
      </c>
      <c r="W5" s="8">
        <f>IF((W2&gt;0),(AVERAGEIFS('Daily evaluations'!$E$2:$E$36,'Daily evaluations'!$B$2:$B$36,"=random_07")-'Assumptions (edit)'!B4),"")</f>
        <v>-9.805</v>
      </c>
      <c r="X5" s="8">
        <f>IF((X2&gt;0),(AVERAGEIFS('Daily evaluations'!$E$2:$E$36,'Daily evaluations'!$B$2:$B$36,"=random_08")-'Assumptions (edit)'!B4),"")</f>
        <v>-4.538</v>
      </c>
      <c r="Y5" s="8">
        <f>IF((Y2&gt;0),(AVERAGEIFS('Daily evaluations'!$E$2:$E$36,'Daily evaluations'!$B$2:$B$36,"=random_09")-'Assumptions (edit)'!B4),"")</f>
        <v>-10.968</v>
      </c>
      <c r="Z5" s="8">
        <f>IF((Z2&gt;0),(AVERAGEIFS('Daily evaluations'!$E$2:$E$36,'Daily evaluations'!$B$2:$B$36,"=random_10")-'Assumptions (edit)'!B4),"")</f>
        <v>-6.351</v>
      </c>
      <c r="AA5" s="8">
        <f>IF((AA2&gt;0),(AVERAGEIFS('Daily evaluations'!$E$2:$E$36,'Daily evaluations'!$B$2:$B$36,"=random_11")-'Assumptions (edit)'!B4),"")</f>
        <v>1.5009999999999994</v>
      </c>
      <c r="AB5" s="8">
        <f>IF((AB2&gt;0),(AVERAGEIFS('Daily evaluations'!$E$2:$E$36,'Daily evaluations'!$B$2:$B$36,"=random_12")-'Assumptions (edit)'!B4),"")</f>
        <v>-9.263</v>
      </c>
      <c r="AC5" s="8">
        <f>IF((AC2&gt;0),(AVERAGEIFS('Daily evaluations'!$E$2:$E$36,'Daily evaluations'!$B$2:$B$36,"=random_13")-'Assumptions (edit)'!B4),"")</f>
        <v>-13.193999999999999</v>
      </c>
      <c r="AD5" s="8">
        <f>IF((AD2&gt;0),(AVERAGEIFS('Daily evaluations'!$E$2:$E$36,'Daily evaluations'!$B$2:$B$36,"=random_14")-'Assumptions (edit)'!B4),"")</f>
        <v>-5.273</v>
      </c>
      <c r="AE5" s="8">
        <f>IF((AE2&gt;0),(AVERAGEIFS('Daily evaluations'!$E$2:$E$36,'Daily evaluations'!$B$2:$B$36,"=random_15")-'Assumptions (edit)'!B4),"")</f>
        <v>-21.721</v>
      </c>
      <c r="AF5" s="8">
        <f>IF((AF2&gt;0),(AVERAGEIFS('Daily evaluations'!$E$2:$E$36,'Daily evaluations'!$B$2:$B$36,"=random_16")-'Assumptions (edit)'!B4),"")</f>
        <v>-11.774000000000001</v>
      </c>
      <c r="AG5" s="8">
        <f>IF((AG2&gt;0),(AVERAGEIFS('Daily evaluations'!$E$2:$E$36,'Daily evaluations'!$B$2:$B$36,"=random_17")-'Assumptions (edit)'!B4),"")</f>
        <v>-13.443</v>
      </c>
      <c r="AH5" s="8">
        <f>IF((AH2&gt;0),(AVERAGEIFS('Daily evaluations'!$E$2:$E$36,'Daily evaluations'!$B$2:$B$36,"=random_18")-'Assumptions (edit)'!B4),"")</f>
        <v>-1.8100000000000005</v>
      </c>
      <c r="AI5" s="8">
        <f>IF((AI2&gt;0),(AVERAGEIFS('Daily evaluations'!$E$2:$E$36,'Daily evaluations'!$B$2:$B$36,"=random_19")-'Assumptions (edit)'!B4),"")</f>
        <v>-8.638</v>
      </c>
      <c r="AJ5" s="8">
        <f>IF((AJ2&gt;0),(AVERAGEIFS('Daily evaluations'!$E$2:$E$36,'Daily evaluations'!$B$2:$B$36,"=random_20")-'Assumptions (edit)'!B4),"")</f>
        <v>-4.861</v>
      </c>
    </row>
    <row r="6">
      <c r="A6" s="0" t="inlineStr">
        <is>
          <t xml:space="preserve">Hit rate</t>
        </is>
      </c>
      <c r="B6" s="12">
        <f>IF((B2&gt;0),AVERAGEIFS('Daily evaluations'!$H$2:$H$36,'Daily evaluations'!$B$2:$B$36,"=naive_loser1d"),"")</f>
        <v>0.67</v>
      </c>
      <c r="C6" s="12">
        <f>IF((C2&gt;0),AVERAGEIFS('Daily evaluations'!$H$2:$H$36,'Daily evaluations'!$B$2:$B$36,"=naive_lowvol"),"")</f>
        <v>0.44</v>
      </c>
      <c r="D6" s="12">
        <f>IF((D2&gt;0),AVERAGEIFS('Daily evaluations'!$H$2:$H$36,'Daily evaluations'!$B$2:$B$36,"=naive_mcap"),"")</f>
        <v>0.64</v>
      </c>
      <c r="E6" s="12">
        <f>IF((E2&gt;0),AVERAGEIFS('Daily evaluations'!$H$2:$H$36,'Daily evaluations'!$B$2:$B$36,"=naive_mom"),"")</f>
        <v>0.51</v>
      </c>
      <c r="F6" s="12">
        <f>IF((F2&gt;0),AVERAGEIFS('Daily evaluations'!$H$2:$H$36,'Daily evaluations'!$B$2:$B$36,"=naive_winner1d"),"")</f>
        <v>0.5758</v>
      </c>
      <c r="G6" s="12">
        <f>IF((G2&gt;0),AVERAGEIFS('Daily evaluations'!$H$2:$H$36,'Daily evaluations'!$B$2:$B$36,"=p01_attention"),"")</f>
        <v>0.404</v>
      </c>
      <c r="H6" s="12">
        <f>IF((H2&gt;0),AVERAGEIFS('Daily evaluations'!$H$2:$H$36,'Daily evaluations'!$B$2:$B$36,"=p02_earnings_drift"),"")</f>
        <v>0.53</v>
      </c>
      <c r="I6" s="12">
        <f>IF((I2&gt;0),AVERAGEIFS('Daily evaluations'!$H$2:$H$36,'Daily evaluations'!$B$2:$B$36,"=p03_intraday_reversal"),"")</f>
        <v>0.53</v>
      </c>
      <c r="J6" s="12">
        <f>IF((J2&gt;0),AVERAGEIFS('Daily evaluations'!$H$2:$H$36,'Daily evaluations'!$B$2:$B$36,"=p04_analyst_revisions"),"")</f>
        <v>0.49</v>
      </c>
      <c r="K6" s="12">
        <f>IF((K2&gt;0),AVERAGEIFS('Daily evaluations'!$H$2:$H$36,'Daily evaluations'!$B$2:$B$36,"=p05_insider_clusters"),"")</f>
        <v>0.53</v>
      </c>
      <c r="L6" s="12">
        <f>IF((L2&gt;0),AVERAGEIFS('Daily evaluations'!$H$2:$H$36,'Daily evaluations'!$B$2:$B$36,"=p06_seasonality"),"")</f>
        <v>0.5</v>
      </c>
      <c r="M6" s="12">
        <f>IF((M2&gt;0),AVERAGEIFS('Daily evaluations'!$H$2:$H$36,'Daily evaluations'!$B$2:$B$36,"=p07_quality_value"),"")</f>
        <v>0.63</v>
      </c>
      <c r="N6" s="12">
        <f>IF((N2&gt;0),AVERAGEIFS('Daily evaluations'!$H$2:$H$36,'Daily evaluations'!$B$2:$B$36,"=p08_residual_momentum"),"")</f>
        <v>0.53</v>
      </c>
      <c r="O6" s="12">
        <f>IF((O2&gt;0),AVERAGEIFS('Daily evaluations'!$H$2:$H$36,'Daily evaluations'!$B$2:$B$36,"=p09_overnight_persistence"),"")</f>
        <v>0.56</v>
      </c>
      <c r="P6" s="12">
        <f>IF((P2&gt;0),AVERAGEIFS('Daily evaluations'!$H$2:$H$36,'Daily evaluations'!$B$2:$B$36,"=p10_52wk_high"),"")</f>
        <v>0.78</v>
      </c>
      <c r="Q6" s="12">
        <f>IF((Q2&gt;0),AVERAGEIFS('Daily evaluations'!$H$2:$H$36,'Daily evaluations'!$B$2:$B$36,"=random_01"),"")</f>
        <v>0.48</v>
      </c>
      <c r="R6" s="12">
        <f>IF((R2&gt;0),AVERAGEIFS('Daily evaluations'!$H$2:$H$36,'Daily evaluations'!$B$2:$B$36,"=random_02"),"")</f>
        <v>0.49</v>
      </c>
      <c r="S6" s="12">
        <f>IF((S2&gt;0),AVERAGEIFS('Daily evaluations'!$H$2:$H$36,'Daily evaluations'!$B$2:$B$36,"=random_03"),"")</f>
        <v>0.55</v>
      </c>
      <c r="T6" s="12">
        <f>IF((T2&gt;0),AVERAGEIFS('Daily evaluations'!$H$2:$H$36,'Daily evaluations'!$B$2:$B$36,"=random_04"),"")</f>
        <v>0.47</v>
      </c>
      <c r="U6" s="12">
        <f>IF((U2&gt;0),AVERAGEIFS('Daily evaluations'!$H$2:$H$36,'Daily evaluations'!$B$2:$B$36,"=random_05"),"")</f>
        <v>0.45</v>
      </c>
      <c r="V6" s="12">
        <f>IF((V2&gt;0),AVERAGEIFS('Daily evaluations'!$H$2:$H$36,'Daily evaluations'!$B$2:$B$36,"=random_06"),"")</f>
        <v>0.52</v>
      </c>
      <c r="W6" s="12">
        <f>IF((W2&gt;0),AVERAGEIFS('Daily evaluations'!$H$2:$H$36,'Daily evaluations'!$B$2:$B$36,"=random_07"),"")</f>
        <v>0.52</v>
      </c>
      <c r="X6" s="12">
        <f>IF((X2&gt;0),AVERAGEIFS('Daily evaluations'!$H$2:$H$36,'Daily evaluations'!$B$2:$B$36,"=random_08"),"")</f>
        <v>0.5</v>
      </c>
      <c r="Y6" s="12">
        <f>IF((Y2&gt;0),AVERAGEIFS('Daily evaluations'!$H$2:$H$36,'Daily evaluations'!$B$2:$B$36,"=random_09"),"")</f>
        <v>0.44</v>
      </c>
      <c r="Z6" s="12">
        <f>IF((Z2&gt;0),AVERAGEIFS('Daily evaluations'!$H$2:$H$36,'Daily evaluations'!$B$2:$B$36,"=random_10"),"")</f>
        <v>0.47</v>
      </c>
      <c r="AA6" s="12">
        <f>IF((AA2&gt;0),AVERAGEIFS('Daily evaluations'!$H$2:$H$36,'Daily evaluations'!$B$2:$B$36,"=random_11"),"")</f>
        <v>0.56</v>
      </c>
      <c r="AB6" s="12">
        <f>IF((AB2&gt;0),AVERAGEIFS('Daily evaluations'!$H$2:$H$36,'Daily evaluations'!$B$2:$B$36,"=random_12"),"")</f>
        <v>0.52</v>
      </c>
      <c r="AC6" s="12">
        <f>IF((AC2&gt;0),AVERAGEIFS('Daily evaluations'!$H$2:$H$36,'Daily evaluations'!$B$2:$B$36,"=random_13"),"")</f>
        <v>0.56</v>
      </c>
      <c r="AD6" s="12">
        <f>IF((AD2&gt;0),AVERAGEIFS('Daily evaluations'!$H$2:$H$36,'Daily evaluations'!$B$2:$B$36,"=random_14"),"")</f>
        <v>0.6263</v>
      </c>
      <c r="AE6" s="12">
        <f>IF((AE2&gt;0),AVERAGEIFS('Daily evaluations'!$H$2:$H$36,'Daily evaluations'!$B$2:$B$36,"=random_15"),"")</f>
        <v>0.4</v>
      </c>
      <c r="AF6" s="12">
        <f>IF((AF2&gt;0),AVERAGEIFS('Daily evaluations'!$H$2:$H$36,'Daily evaluations'!$B$2:$B$36,"=random_16"),"")</f>
        <v>0.52</v>
      </c>
      <c r="AG6" s="12">
        <f>IF((AG2&gt;0),AVERAGEIFS('Daily evaluations'!$H$2:$H$36,'Daily evaluations'!$B$2:$B$36,"=random_17"),"")</f>
        <v>0.45</v>
      </c>
      <c r="AH6" s="12">
        <f>IF((AH2&gt;0),AVERAGEIFS('Daily evaluations'!$H$2:$H$36,'Daily evaluations'!$B$2:$B$36,"=random_18"),"")</f>
        <v>0.51</v>
      </c>
      <c r="AI6" s="12">
        <f>IF((AI2&gt;0),AVERAGEIFS('Daily evaluations'!$H$2:$H$36,'Daily evaluations'!$B$2:$B$36,"=random_19"),"")</f>
        <v>0.51</v>
      </c>
      <c r="AJ6" s="12">
        <f>IF((AJ2&gt;0),AVERAGEIFS('Daily evaluations'!$H$2:$H$36,'Daily evaluations'!$B$2:$B$36,"=random_20"),"")</f>
        <v>0.45</v>
      </c>
    </row>
    <row r="7">
      <c r="A7" s="0" t="inlineStr">
        <is>
          <t xml:space="preserve">Mean IC</t>
        </is>
      </c>
      <c r="B7" s="8">
        <f>IF((B2&gt;0),AVERAGEIFS('Daily evaluations'!$I$2:$I$36,'Daily evaluations'!$B$2:$B$36,"=naive_loser1d"),"")</f>
        <v>0.0962</v>
      </c>
      <c r="C7" s="8">
        <f>IF((C2&gt;0),AVERAGEIFS('Daily evaluations'!$I$2:$I$36,'Daily evaluations'!$B$2:$B$36,"=naive_lowvol"),"")</f>
        <v>-0.0239</v>
      </c>
      <c r="D7" s="8">
        <f>IF((D2&gt;0),AVERAGEIFS('Daily evaluations'!$I$2:$I$36,'Daily evaluations'!$B$2:$B$36,"=naive_mcap"),"")</f>
        <v>0.0763</v>
      </c>
      <c r="E7" s="8">
        <f>IF((E2&gt;0),AVERAGEIFS('Daily evaluations'!$I$2:$I$36,'Daily evaluations'!$B$2:$B$36,"=naive_mom"),"")</f>
        <v>0.0517</v>
      </c>
      <c r="F7" s="8">
        <f>IF((F2&gt;0),AVERAGEIFS('Daily evaluations'!$I$2:$I$36,'Daily evaluations'!$B$2:$B$36,"=naive_winner1d"),"")</f>
        <v>-0.0962</v>
      </c>
      <c r="G7" s="8">
        <f>IF((G2&gt;0),AVERAGEIFS('Daily evaluations'!$I$2:$I$36,'Daily evaluations'!$B$2:$B$36,"=p01_attention"),"")</f>
        <v>-0.0688</v>
      </c>
      <c r="H7" s="8">
        <f>IF((H2&gt;0),AVERAGEIFS('Daily evaluations'!$I$2:$I$36,'Daily evaluations'!$B$2:$B$36,"=p02_earnings_drift"),"")</f>
        <v>-0.1282</v>
      </c>
      <c r="I7" s="8">
        <f>IF((I2&gt;0),AVERAGEIFS('Daily evaluations'!$I$2:$I$36,'Daily evaluations'!$B$2:$B$36,"=p03_intraday_reversal"),"")</f>
        <v>0.0638</v>
      </c>
      <c r="J7" s="8">
        <f>IF((J2&gt;0),AVERAGEIFS('Daily evaluations'!$I$2:$I$36,'Daily evaluations'!$B$2:$B$36,"=p04_analyst_revisions"),"")</f>
        <v>0.074</v>
      </c>
      <c r="K7" s="8">
        <f>IF((K2&gt;0),AVERAGEIFS('Daily evaluations'!$I$2:$I$36,'Daily evaluations'!$B$2:$B$36,"=p05_insider_clusters"),"")</f>
        <v>-0.0244</v>
      </c>
      <c r="L7" s="8">
        <f>IF((L2&gt;0),AVERAGEIFS('Daily evaluations'!$I$2:$I$36,'Daily evaluations'!$B$2:$B$36,"=p06_seasonality"),"")</f>
        <v>0.0123</v>
      </c>
      <c r="M7" s="8">
        <f>IF((M2&gt;0),AVERAGEIFS('Daily evaluations'!$I$2:$I$36,'Daily evaluations'!$B$2:$B$36,"=p07_quality_value"),"")</f>
        <v>0.1021</v>
      </c>
      <c r="N7" s="8">
        <f>IF((N2&gt;0),AVERAGEIFS('Daily evaluations'!$I$2:$I$36,'Daily evaluations'!$B$2:$B$36,"=p08_residual_momentum"),"")</f>
        <v>0.1171</v>
      </c>
      <c r="O7" s="8">
        <f>IF((O2&gt;0),AVERAGEIFS('Daily evaluations'!$I$2:$I$36,'Daily evaluations'!$B$2:$B$36,"=p09_overnight_persistence"),"")</f>
        <v>0.0133</v>
      </c>
      <c r="P7" s="8">
        <f>IF((P2&gt;0),AVERAGEIFS('Daily evaluations'!$I$2:$I$36,'Daily evaluations'!$B$2:$B$36,"=p10_52wk_high"),"")</f>
        <v>0.149</v>
      </c>
      <c r="Q7" s="8">
        <f>IF((Q2&gt;0),AVERAGEIFS('Daily evaluations'!$I$2:$I$36,'Daily evaluations'!$B$2:$B$36,"=random_01"),"")</f>
        <v>0.0364</v>
      </c>
      <c r="R7" s="8">
        <f>IF((R2&gt;0),AVERAGEIFS('Daily evaluations'!$I$2:$I$36,'Daily evaluations'!$B$2:$B$36,"=random_02"),"")</f>
        <v>0.0008</v>
      </c>
      <c r="S7" s="8">
        <f>IF((S2&gt;0),AVERAGEIFS('Daily evaluations'!$I$2:$I$36,'Daily evaluations'!$B$2:$B$36,"=random_03"),"")</f>
        <v>0.0242</v>
      </c>
      <c r="T7" s="8">
        <f>IF((T2&gt;0),AVERAGEIFS('Daily evaluations'!$I$2:$I$36,'Daily evaluations'!$B$2:$B$36,"=random_04"),"")</f>
        <v>-0.0556</v>
      </c>
      <c r="U7" s="8">
        <f>IF((U2&gt;0),AVERAGEIFS('Daily evaluations'!$I$2:$I$36,'Daily evaluations'!$B$2:$B$36,"=random_05"),"")</f>
        <v>0.0179</v>
      </c>
      <c r="V7" s="8">
        <f>IF((V2&gt;0),AVERAGEIFS('Daily evaluations'!$I$2:$I$36,'Daily evaluations'!$B$2:$B$36,"=random_06"),"")</f>
        <v>-0.0092</v>
      </c>
      <c r="W7" s="8">
        <f>IF((W2&gt;0),AVERAGEIFS('Daily evaluations'!$I$2:$I$36,'Daily evaluations'!$B$2:$B$36,"=random_07"),"")</f>
        <v>0.0337</v>
      </c>
      <c r="X7" s="8">
        <f>IF((X2&gt;0),AVERAGEIFS('Daily evaluations'!$I$2:$I$36,'Daily evaluations'!$B$2:$B$36,"=random_08"),"")</f>
        <v>-0.021</v>
      </c>
      <c r="Y7" s="8">
        <f>IF((Y2&gt;0),AVERAGEIFS('Daily evaluations'!$I$2:$I$36,'Daily evaluations'!$B$2:$B$36,"=random_09"),"")</f>
        <v>0.057</v>
      </c>
      <c r="Z7" s="8">
        <f>IF((Z2&gt;0),AVERAGEIFS('Daily evaluations'!$I$2:$I$36,'Daily evaluations'!$B$2:$B$36,"=random_10"),"")</f>
        <v>-0.0459</v>
      </c>
      <c r="AA7" s="8">
        <f>IF((AA2&gt;0),AVERAGEIFS('Daily evaluations'!$I$2:$I$36,'Daily evaluations'!$B$2:$B$36,"=random_11"),"")</f>
        <v>0.0314</v>
      </c>
      <c r="AB7" s="8">
        <f>IF((AB2&gt;0),AVERAGEIFS('Daily evaluations'!$I$2:$I$36,'Daily evaluations'!$B$2:$B$36,"=random_12"),"")</f>
        <v>0.0119</v>
      </c>
      <c r="AC7" s="8">
        <f>IF((AC2&gt;0),AVERAGEIFS('Daily evaluations'!$I$2:$I$36,'Daily evaluations'!$B$2:$B$36,"=random_13"),"")</f>
        <v>0.026</v>
      </c>
      <c r="AD7" s="8">
        <f>IF((AD2&gt;0),AVERAGEIFS('Daily evaluations'!$I$2:$I$36,'Daily evaluations'!$B$2:$B$36,"=random_14"),"")</f>
        <v>0.0579</v>
      </c>
      <c r="AE7" s="8">
        <f>IF((AE2&gt;0),AVERAGEIFS('Daily evaluations'!$I$2:$I$36,'Daily evaluations'!$B$2:$B$36,"=random_15"),"")</f>
        <v>-0.0193</v>
      </c>
      <c r="AF7" s="8">
        <f>IF((AF2&gt;0),AVERAGEIFS('Daily evaluations'!$I$2:$I$36,'Daily evaluations'!$B$2:$B$36,"=random_16"),"")</f>
        <v>-0.0384</v>
      </c>
      <c r="AG7" s="8">
        <f>IF((AG2&gt;0),AVERAGEIFS('Daily evaluations'!$I$2:$I$36,'Daily evaluations'!$B$2:$B$36,"=random_17"),"")</f>
        <v>-0.0086</v>
      </c>
      <c r="AH7" s="8">
        <f>IF((AH2&gt;0),AVERAGEIFS('Daily evaluations'!$I$2:$I$36,'Daily evaluations'!$B$2:$B$36,"=random_18"),"")</f>
        <v>0.007</v>
      </c>
      <c r="AI7" s="8">
        <f>IF((AI2&gt;0),AVERAGEIFS('Daily evaluations'!$I$2:$I$36,'Daily evaluations'!$B$2:$B$36,"=random_19"),"")</f>
        <v>-0.0102</v>
      </c>
      <c r="AJ7" s="8">
        <f>IF((AJ2&gt;0),AVERAGEIFS('Daily evaluations'!$I$2:$I$36,'Daily evaluations'!$B$2:$B$36,"=random_20"),"")</f>
        <v>-0.0314</v>
      </c>
    </row>
    <row r="8">
      <c r="A8" s="0" t="inlineStr">
        <is>
          <t xml:space="preserve">Close-to-close sector-neutral excess, bps/day</t>
        </is>
      </c>
      <c r="B8" s="4">
        <f>IF((B2&gt;0),AVERAGEIFS('Daily evaluations'!$G$2:$G$36,'Daily evaluations'!$B$2:$B$36,"=naive_loser1d"),"")</f>
      </c>
      <c r="C8" s="4">
        <f>IF((C2&gt;0),AVERAGEIFS('Daily evaluations'!$G$2:$G$36,'Daily evaluations'!$B$2:$B$36,"=naive_lowvol"),"")</f>
      </c>
      <c r="D8" s="4">
        <f>IF((D2&gt;0),AVERAGEIFS('Daily evaluations'!$G$2:$G$36,'Daily evaluations'!$B$2:$B$36,"=naive_mcap"),"")</f>
      </c>
      <c r="E8" s="4">
        <f>IF((E2&gt;0),AVERAGEIFS('Daily evaluations'!$G$2:$G$36,'Daily evaluations'!$B$2:$B$36,"=naive_mom"),"")</f>
      </c>
      <c r="F8" s="4">
        <f>IF((F2&gt;0),AVERAGEIFS('Daily evaluations'!$G$2:$G$36,'Daily evaluations'!$B$2:$B$36,"=naive_winner1d"),"")</f>
      </c>
      <c r="G8" s="4">
        <f>IF((G2&gt;0),AVERAGEIFS('Daily evaluations'!$G$2:$G$36,'Daily evaluations'!$B$2:$B$36,"=p01_attention"),"")</f>
      </c>
      <c r="H8" s="4">
        <f>IF((H2&gt;0),AVERAGEIFS('Daily evaluations'!$G$2:$G$36,'Daily evaluations'!$B$2:$B$36,"=p02_earnings_drift"),"")</f>
      </c>
      <c r="I8" s="4">
        <f>IF((I2&gt;0),AVERAGEIFS('Daily evaluations'!$G$2:$G$36,'Daily evaluations'!$B$2:$B$36,"=p03_intraday_reversal"),"")</f>
      </c>
      <c r="J8" s="4">
        <f>IF((J2&gt;0),AVERAGEIFS('Daily evaluations'!$G$2:$G$36,'Daily evaluations'!$B$2:$B$36,"=p04_analyst_revisions"),"")</f>
      </c>
      <c r="K8" s="4">
        <f>IF((K2&gt;0),AVERAGEIFS('Daily evaluations'!$G$2:$G$36,'Daily evaluations'!$B$2:$B$36,"=p05_insider_clusters"),"")</f>
      </c>
      <c r="L8" s="4">
        <f>IF((L2&gt;0),AVERAGEIFS('Daily evaluations'!$G$2:$G$36,'Daily evaluations'!$B$2:$B$36,"=p06_seasonality"),"")</f>
      </c>
      <c r="M8" s="4">
        <f>IF((M2&gt;0),AVERAGEIFS('Daily evaluations'!$G$2:$G$36,'Daily evaluations'!$B$2:$B$36,"=p07_quality_value"),"")</f>
      </c>
      <c r="N8" s="4">
        <f>IF((N2&gt;0),AVERAGEIFS('Daily evaluations'!$G$2:$G$36,'Daily evaluations'!$B$2:$B$36,"=p08_residual_momentum"),"")</f>
      </c>
      <c r="O8" s="4">
        <f>IF((O2&gt;0),AVERAGEIFS('Daily evaluations'!$G$2:$G$36,'Daily evaluations'!$B$2:$B$36,"=p09_overnight_persistence"),"")</f>
      </c>
      <c r="P8" s="4">
        <f>IF((P2&gt;0),AVERAGEIFS('Daily evaluations'!$G$2:$G$36,'Daily evaluations'!$B$2:$B$36,"=p10_52wk_high"),"")</f>
      </c>
      <c r="Q8" s="4">
        <f>IF((Q2&gt;0),AVERAGEIFS('Daily evaluations'!$G$2:$G$36,'Daily evaluations'!$B$2:$B$36,"=random_01"),"")</f>
      </c>
      <c r="R8" s="4">
        <f>IF((R2&gt;0),AVERAGEIFS('Daily evaluations'!$G$2:$G$36,'Daily evaluations'!$B$2:$B$36,"=random_02"),"")</f>
      </c>
      <c r="S8" s="4">
        <f>IF((S2&gt;0),AVERAGEIFS('Daily evaluations'!$G$2:$G$36,'Daily evaluations'!$B$2:$B$36,"=random_03"),"")</f>
      </c>
      <c r="T8" s="4">
        <f>IF((T2&gt;0),AVERAGEIFS('Daily evaluations'!$G$2:$G$36,'Daily evaluations'!$B$2:$B$36,"=random_04"),"")</f>
      </c>
      <c r="U8" s="4">
        <f>IF((U2&gt;0),AVERAGEIFS('Daily evaluations'!$G$2:$G$36,'Daily evaluations'!$B$2:$B$36,"=random_05"),"")</f>
      </c>
      <c r="V8" s="4">
        <f>IF((V2&gt;0),AVERAGEIFS('Daily evaluations'!$G$2:$G$36,'Daily evaluations'!$B$2:$B$36,"=random_06"),"")</f>
      </c>
      <c r="W8" s="4">
        <f>IF((W2&gt;0),AVERAGEIFS('Daily evaluations'!$G$2:$G$36,'Daily evaluations'!$B$2:$B$36,"=random_07"),"")</f>
      </c>
      <c r="X8" s="4">
        <f>IF((X2&gt;0),AVERAGEIFS('Daily evaluations'!$G$2:$G$36,'Daily evaluations'!$B$2:$B$36,"=random_08"),"")</f>
      </c>
      <c r="Y8" s="4">
        <f>IF((Y2&gt;0),AVERAGEIFS('Daily evaluations'!$G$2:$G$36,'Daily evaluations'!$B$2:$B$36,"=random_09"),"")</f>
      </c>
      <c r="Z8" s="4">
        <f>IF((Z2&gt;0),AVERAGEIFS('Daily evaluations'!$G$2:$G$36,'Daily evaluations'!$B$2:$B$36,"=random_10"),"")</f>
      </c>
      <c r="AA8" s="4">
        <f>IF((AA2&gt;0),AVERAGEIFS('Daily evaluations'!$G$2:$G$36,'Daily evaluations'!$B$2:$B$36,"=random_11"),"")</f>
      </c>
      <c r="AB8" s="4">
        <f>IF((AB2&gt;0),AVERAGEIFS('Daily evaluations'!$G$2:$G$36,'Daily evaluations'!$B$2:$B$36,"=random_12"),"")</f>
      </c>
      <c r="AC8" s="4">
        <f>IF((AC2&gt;0),AVERAGEIFS('Daily evaluations'!$G$2:$G$36,'Daily evaluations'!$B$2:$B$36,"=random_13"),"")</f>
      </c>
      <c r="AD8" s="4">
        <f>IF((AD2&gt;0),AVERAGEIFS('Daily evaluations'!$G$2:$G$36,'Daily evaluations'!$B$2:$B$36,"=random_14"),"")</f>
      </c>
      <c r="AE8" s="4">
        <f>IF((AE2&gt;0),AVERAGEIFS('Daily evaluations'!$G$2:$G$36,'Daily evaluations'!$B$2:$B$36,"=random_15"),"")</f>
      </c>
      <c r="AF8" s="4">
        <f>IF((AF2&gt;0),AVERAGEIFS('Daily evaluations'!$G$2:$G$36,'Daily evaluations'!$B$2:$B$36,"=random_16"),"")</f>
      </c>
      <c r="AG8" s="4">
        <f>IF((AG2&gt;0),AVERAGEIFS('Daily evaluations'!$G$2:$G$36,'Daily evaluations'!$B$2:$B$36,"=random_17"),"")</f>
      </c>
      <c r="AH8" s="4">
        <f>IF((AH2&gt;0),AVERAGEIFS('Daily evaluations'!$G$2:$G$36,'Daily evaluations'!$B$2:$B$36,"=random_18"),"")</f>
      </c>
      <c r="AI8" s="4">
        <f>IF((AI2&gt;0),AVERAGEIFS('Daily evaluations'!$G$2:$G$36,'Daily evaluations'!$B$2:$B$36,"=random_19"),"")</f>
      </c>
      <c r="AJ8" s="4">
        <f>IF((AJ2&gt;0),AVERAGEIFS('Daily evaluations'!$G$2:$G$36,'Daily evaluations'!$B$2:$B$36,"=random_20"),"")</f>
      </c>
    </row>
    <row r="9">
      <c r="A9" s="0" t="inlineStr">
        <is>
          <t xml:space="preserve">Mean of squares</t>
        </is>
      </c>
      <c r="B9" s="8">
        <f>IF((B2&gt;0),AVERAGEIFS('Daily evaluations'!$K$2:$K$36,'Daily evaluations'!$B$2:$B$36,"=naive_loser1d"),"")</f>
        <v>186.432</v>
      </c>
      <c r="C9" s="8">
        <f>IF((C2&gt;0),AVERAGEIFS('Daily evaluations'!$K$2:$K$36,'Daily evaluations'!$B$2:$B$36,"=naive_lowvol"),"")</f>
        <v>159.975</v>
      </c>
      <c r="D9" s="8">
        <f>IF((D2&gt;0),AVERAGEIFS('Daily evaluations'!$K$2:$K$36,'Daily evaluations'!$B$2:$B$36,"=naive_mcap"),"")</f>
        <v>22.568</v>
      </c>
      <c r="E9" s="8">
        <f>IF((E2&gt;0),AVERAGEIFS('Daily evaluations'!$K$2:$K$36,'Daily evaluations'!$B$2:$B$36,"=naive_mom"),"")</f>
        <v>553.747</v>
      </c>
      <c r="F9" s="8">
        <f>IF((F2&gt;0),AVERAGEIFS('Daily evaluations'!$K$2:$K$36,'Daily evaluations'!$B$2:$B$36,"=naive_winner1d"),"")</f>
        <v>209.181</v>
      </c>
      <c r="G9" s="8">
        <f>IF((G2&gt;0),AVERAGEIFS('Daily evaluations'!$K$2:$K$36,'Daily evaluations'!$B$2:$B$36,"=p01_attention"),"")</f>
        <v>382.594</v>
      </c>
      <c r="H9" s="8">
        <f>IF((H2&gt;0),AVERAGEIFS('Daily evaluations'!$K$2:$K$36,'Daily evaluations'!$B$2:$B$36,"=p02_earnings_drift"),"")</f>
        <v>136.976</v>
      </c>
      <c r="I9" s="8">
        <f>IF((I2&gt;0),AVERAGEIFS('Daily evaluations'!$K$2:$K$36,'Daily evaluations'!$B$2:$B$36,"=p03_intraday_reversal"),"")</f>
        <v>16.793</v>
      </c>
      <c r="J9" s="8">
        <f>IF((J2&gt;0),AVERAGEIFS('Daily evaluations'!$K$2:$K$36,'Daily evaluations'!$B$2:$B$36,"=p04_analyst_revisions"),"")</f>
        <v>8.79</v>
      </c>
      <c r="K9" s="8">
        <f>IF((K2&gt;0),AVERAGEIFS('Daily evaluations'!$K$2:$K$36,'Daily evaluations'!$B$2:$B$36,"=p05_insider_clusters"),"")</f>
        <v>4.592</v>
      </c>
      <c r="L9" s="8">
        <f>IF((L2&gt;0),AVERAGEIFS('Daily evaluations'!$K$2:$K$36,'Daily evaluations'!$B$2:$B$36,"=p06_seasonality"),"")</f>
        <v>465.431</v>
      </c>
      <c r="M9" s="8">
        <f>IF((M2&gt;0),AVERAGEIFS('Daily evaluations'!$K$2:$K$36,'Daily evaluations'!$B$2:$B$36,"=p07_quality_value"),"")</f>
        <v>0.007</v>
      </c>
      <c r="N9" s="8">
        <f>IF((N2&gt;0),AVERAGEIFS('Daily evaluations'!$K$2:$K$36,'Daily evaluations'!$B$2:$B$36,"=p08_residual_momentum"),"")</f>
        <v>194.219</v>
      </c>
      <c r="O9" s="8">
        <f>IF((O2&gt;0),AVERAGEIFS('Daily evaluations'!$K$2:$K$36,'Daily evaluations'!$B$2:$B$36,"=p09_overnight_persistence"),"")</f>
        <v>66.784</v>
      </c>
      <c r="P9" s="8">
        <f>IF((P2&gt;0),AVERAGEIFS('Daily evaluations'!$K$2:$K$36,'Daily evaluations'!$B$2:$B$36,"=p10_52wk_high"),"")</f>
        <v>294.597</v>
      </c>
      <c r="Q9" s="8">
        <f>IF((Q2&gt;0),AVERAGEIFS('Daily evaluations'!$K$2:$K$36,'Daily evaluations'!$B$2:$B$36,"=random_01"),"")</f>
        <v>16.784</v>
      </c>
      <c r="R9" s="8">
        <f>IF((R2&gt;0),AVERAGEIFS('Daily evaluations'!$K$2:$K$36,'Daily evaluations'!$B$2:$B$36,"=random_02"),"")</f>
        <v>0.494</v>
      </c>
      <c r="S9" s="8">
        <f>IF((S2&gt;0),AVERAGEIFS('Daily evaluations'!$K$2:$K$36,'Daily evaluations'!$B$2:$B$36,"=random_03"),"")</f>
        <v>21.343</v>
      </c>
      <c r="T9" s="8">
        <f>IF((T2&gt;0),AVERAGEIFS('Daily evaluations'!$K$2:$K$36,'Daily evaluations'!$B$2:$B$36,"=random_04"),"")</f>
        <v>3.08</v>
      </c>
      <c r="U9" s="8">
        <f>IF((U2&gt;0),AVERAGEIFS('Daily evaluations'!$K$2:$K$36,'Daily evaluations'!$B$2:$B$36,"=random_05"),"")</f>
        <v>71.997</v>
      </c>
      <c r="V9" s="8">
        <f>IF((V2&gt;0),AVERAGEIFS('Daily evaluations'!$K$2:$K$36,'Daily evaluations'!$B$2:$B$36,"=random_06"),"")</f>
        <v>9.026</v>
      </c>
      <c r="W9" s="8">
        <f>IF((W2&gt;0),AVERAGEIFS('Daily evaluations'!$K$2:$K$36,'Daily evaluations'!$B$2:$B$36,"=random_07"),"")</f>
        <v>10.65</v>
      </c>
      <c r="X9" s="8">
        <f>IF((X2&gt;0),AVERAGEIFS('Daily evaluations'!$K$2:$K$36,'Daily evaluations'!$B$2:$B$36,"=random_08"),"")</f>
        <v>9.816</v>
      </c>
      <c r="Y9" s="8">
        <f>IF((Y2&gt;0),AVERAGEIFS('Daily evaluations'!$K$2:$K$36,'Daily evaluations'!$B$2:$B$36,"=random_09"),"")</f>
        <v>11.075</v>
      </c>
      <c r="Z9" s="8">
        <f>IF((Z2&gt;0),AVERAGEIFS('Daily evaluations'!$K$2:$K$36,'Daily evaluations'!$B$2:$B$36,"=random_10"),"")</f>
        <v>23.681</v>
      </c>
      <c r="AA9" s="8">
        <f>IF((AA2&gt;0),AVERAGEIFS('Daily evaluations'!$K$2:$K$36,'Daily evaluations'!$B$2:$B$36,"=random_11"),"")</f>
        <v>192.885</v>
      </c>
      <c r="AB9" s="8">
        <f>IF((AB2&gt;0),AVERAGEIFS('Daily evaluations'!$K$2:$K$36,'Daily evaluations'!$B$2:$B$36,"=random_12"),"")</f>
        <v>0.253</v>
      </c>
      <c r="AC9" s="8">
        <f>IF((AC2&gt;0),AVERAGEIFS('Daily evaluations'!$K$2:$K$36,'Daily evaluations'!$B$2:$B$36,"=random_13"),"")</f>
        <v>69.162</v>
      </c>
      <c r="AD9" s="8">
        <f>IF((AD2&gt;0),AVERAGEIFS('Daily evaluations'!$K$2:$K$36,'Daily evaluations'!$B$2:$B$36,"=random_14"),"")</f>
        <v>2.863</v>
      </c>
      <c r="AE9" s="8">
        <f>IF((AE2&gt;0),AVERAGEIFS('Daily evaluations'!$K$2:$K$36,'Daily evaluations'!$B$2:$B$36,"=random_15"),"")</f>
        <v>190.31</v>
      </c>
      <c r="AF9" s="8">
        <f>IF((AF2&gt;0),AVERAGEIFS('Daily evaluations'!$K$2:$K$36,'Daily evaluations'!$B$2:$B$36,"=random_16"),"")</f>
        <v>1.469</v>
      </c>
      <c r="AG9" s="8">
        <f>IF((AG2&gt;0),AVERAGEIFS('Daily evaluations'!$K$2:$K$36,'Daily evaluations'!$B$2:$B$36,"=random_17"),"")</f>
        <v>8.879</v>
      </c>
      <c r="AH9" s="8">
        <f>IF((AH2&gt;0),AVERAGEIFS('Daily evaluations'!$K$2:$K$36,'Daily evaluations'!$B$2:$B$36,"=random_18"),"")</f>
        <v>117.293</v>
      </c>
      <c r="AI9" s="8">
        <f>IF((AI2&gt;0),AVERAGEIFS('Daily evaluations'!$K$2:$K$36,'Daily evaluations'!$B$2:$B$36,"=random_19"),"")</f>
        <v>30.917</v>
      </c>
      <c r="AJ9" s="8">
        <f>IF((AJ2&gt;0),AVERAGEIFS('Daily evaluations'!$K$2:$K$36,'Daily evaluations'!$B$2:$B$36,"=random_20"),"")</f>
        <v>25.13</v>
      </c>
    </row>
    <row r="10">
      <c r="A10" s="0" t="inlineStr">
        <is>
          <t xml:space="preserve">Daily sd, bps</t>
        </is>
      </c>
      <c r="B10" s="8">
        <v>0.016852299546160212</v>
      </c>
      <c r="C10" s="8">
        <v>0.05564171097296813</v>
      </c>
      <c r="D10" s="8">
        <v>0</v>
      </c>
      <c r="E10" s="8">
        <v>0</v>
      </c>
      <c r="F10" s="8">
        <v>0.0512932744132841</v>
      </c>
      <c r="G10" s="8">
        <v>0.02000000000175305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0.08309031231131331</v>
      </c>
      <c r="O10" s="8">
        <v>0.04915282290974388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0.04213074886599081</v>
      </c>
      <c r="V10" s="8">
        <v>0.04454211490264251</v>
      </c>
      <c r="W10" s="8">
        <v>0.05320714237769655</v>
      </c>
      <c r="X10" s="8">
        <v>0.017635192088546987</v>
      </c>
      <c r="Y10" s="8">
        <v>0</v>
      </c>
      <c r="Z10" s="8">
        <v>0.05517245689655946</v>
      </c>
      <c r="AA10" s="8">
        <v>0.09195651146055595</v>
      </c>
      <c r="AB10" s="8">
        <v>0</v>
      </c>
      <c r="AC10" s="8">
        <v>0.07838367176901025</v>
      </c>
      <c r="AD10" s="8">
        <v>0.011661903789705953</v>
      </c>
      <c r="AE10" s="8">
        <v>0.08930285549754864</v>
      </c>
      <c r="AF10" s="8">
        <v>0.007483314773551625</v>
      </c>
      <c r="AG10" s="8">
        <v>0</v>
      </c>
      <c r="AH10" s="8">
        <v>0.06403124237439259</v>
      </c>
      <c r="AI10" s="8">
        <v>0.058309518948506917</v>
      </c>
      <c r="AJ10" s="8">
        <v>0</v>
      </c>
    </row>
    <row r="11">
      <c r="A11" s="0" t="inlineStr">
        <is>
          <t xml:space="preserve">t-stat</t>
        </is>
      </c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</row>
    <row r="12">
      <c r="A12" s="0" t="inlineStr">
        <is>
          <t xml:space="preserve">Annualized Sharpe of the overnight leg</t>
        </is>
      </c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</row>
    <row r="13">
      <c r="A13" s="0" t="inlineStr">
        <is>
          <t xml:space="preserve">z-score vs random pods</t>
        </is>
      </c>
      <c r="B13" s="8">
        <f>IF(AND((B2&gt;0),('Fund and null distribution'!B10&gt;0)),((B3-'Fund and null distribution'!B8)/'Fund and null distribution'!B10),"")</f>
        <v>2.023856411055993</v>
      </c>
      <c r="C13" s="8">
        <f>IF(AND((C2&gt;0),('Fund and null distribution'!B10&gt;0)),((C3-'Fund and null distribution'!B8)/'Fund and null distribution'!B10),"")</f>
        <v>1.8651306185360392</v>
      </c>
      <c r="D13" s="8">
        <f>IF(AND((D2&gt;0),('Fund and null distribution'!B10&gt;0)),((D3-'Fund and null distribution'!B8)/'Fund and null distribution'!B10),"")</f>
        <v>0.6191489251661809</v>
      </c>
      <c r="E13" s="8">
        <f>IF(AND((E2&gt;0),('Fund and null distribution'!B10&gt;0)),((E3-'Fund and null distribution'!B8)/'Fund and null distribution'!B10),"")</f>
        <v>-3.843317863941038</v>
      </c>
      <c r="F13" s="8">
        <f>IF(AND((F2&gt;0),('Fund and null distribution'!B10&gt;0)),((F3-'Fund and null distribution'!B8)/'Fund and null distribution'!B10),"")</f>
        <v>-2.412419044494255</v>
      </c>
      <c r="G13" s="8">
        <f>IF(AND((G2&gt;0),('Fund and null distribution'!B10&gt;0)),((G3-'Fund and null distribution'!B8)/'Fund and null distribution'!B10),"")</f>
        <v>-3.216619207987501</v>
      </c>
      <c r="H13" s="8">
        <f>IF(AND((H2&gt;0),('Fund and null distribution'!B10&gt;0)),((H3-'Fund and null distribution'!B8)/'Fund and null distribution'!B10),"")</f>
        <v>1.716187131320496</v>
      </c>
      <c r="I13" s="8">
        <f>IF(AND((I2&gt;0),('Fund and null distribution'!B10&gt;0)),((I3-'Fund and null distribution'!B8)/'Fund and null distribution'!B10),"")</f>
        <v>0.5161191612342424</v>
      </c>
      <c r="J13" s="8">
        <f>IF(AND((J2&gt;0),('Fund and null distribution'!B10&gt;0)),((J3-'Fund and null distribution'!B8)/'Fund and null distribution'!B10),"")</f>
        <v>-0.5982747478795108</v>
      </c>
      <c r="K13" s="8">
        <f>IF(AND((K2&gt;0),('Fund and null distribution'!B10&gt;0)),((K3-'Fund and null distribution'!B8)/'Fund and null distribution'!B10),"")</f>
        <v>0.20766098590967952</v>
      </c>
      <c r="L13" s="8">
        <f>IF(AND((L2&gt;0),('Fund and null distribution'!B10&gt;0)),((L3-'Fund and null distribution'!B8)/'Fund and null distribution'!B10),"")</f>
        <v>-3.534386351263036</v>
      </c>
      <c r="M13" s="8">
        <f>IF(AND((M2&gt;0),('Fund and null distribution'!B10&gt;0)),((M3-'Fund and null distribution'!B8)/'Fund and null distribution'!B10),"")</f>
        <v>-0.1440286676956661</v>
      </c>
      <c r="N13" s="8">
        <f>IF(AND((N2&gt;0),('Fund and null distribution'!B10&gt;0)),((N3-'Fund and null distribution'!B8)/'Fund and null distribution'!B10),"")</f>
        <v>2.0683501222792806</v>
      </c>
      <c r="O13" s="8">
        <f>IF(AND((O2&gt;0),('Fund and null distribution'!B10&gt;0)),((O3-'Fund and null distribution'!B8)/'Fund and null distribution'!B10),"")</f>
        <v>1.1589112872047127</v>
      </c>
      <c r="P13" s="8">
        <f>IF(AND((P2&gt;0),('Fund and null distribution'!B10&gt;0)),((P3-'Fund and null distribution'!B8)/'Fund and null distribution'!B10),"")</f>
        <v>2.577661114579889</v>
      </c>
      <c r="Q13" s="8">
        <f>IF(AND((Q2&gt;0),('Fund and null distribution'!B10&gt;0)),((Q3-'Fund and null distribution'!B8)/'Fund and null distribution'!B10),"")</f>
        <v>-0.7768807092439127</v>
      </c>
      <c r="R13" s="8">
        <f>IF(AND((R2&gt;0),('Fund and null distribution'!B10&gt;0)),((R3-'Fund and null distribution'!B8)/'Fund and null distribution'!B10),"")</f>
        <v>-0.01954094374114942</v>
      </c>
      <c r="S13" s="8">
        <f>IF(AND((S2&gt;0),('Fund and null distribution'!B10&gt;0)),((S3-'Fund and null distribution'!B8)/'Fund and null distribution'!B10),"")</f>
        <v>0.5984798607326679</v>
      </c>
      <c r="T13" s="8">
        <f>IF(AND((T2&gt;0),('Fund and null distribution'!B10&gt;0)),((T3-'Fund and null distribution'!B8)/'Fund and null distribution'!B10),"")</f>
        <v>-0.40736201532568933</v>
      </c>
      <c r="U13" s="8">
        <f>IF(AND((U2&gt;0),('Fund and null distribution'!B10&gt;0)),((U3-'Fund and null distribution'!B8)/'Fund and null distribution'!B10),"")</f>
        <v>1.2082961510802053</v>
      </c>
      <c r="V13" s="8">
        <f>IF(AND((V2&gt;0),('Fund and null distribution'!B10&gt;0)),((V3-'Fund and null distribution'!B8)/'Fund and null distribution'!B10),"")</f>
        <v>-0.6044281334742209</v>
      </c>
      <c r="W13" s="8">
        <f>IF(AND((W2&gt;0),('Fund and null distribution'!B10&gt;0)),((W3-'Fund and null distribution'!B8)/'Fund and null distribution'!B10),"")</f>
        <v>-0.6452929249878075</v>
      </c>
      <c r="X13" s="8">
        <f>IF(AND((X2&gt;0),('Fund and null distribution'!B10&gt;0)),((X3-'Fund and null distribution'!B8)/'Fund and null distribution'!B10),"")</f>
        <v>0.3638623125446244</v>
      </c>
      <c r="Y13" s="8">
        <f>IF(AND((Y2&gt;0),('Fund and null distribution'!B10&gt;0)),((Y3-'Fund and null distribution'!B8)/'Fund and null distribution'!B10),"")</f>
        <v>-0.6555485676456574</v>
      </c>
      <c r="Z13" s="8">
        <f>IF(AND((Z2&gt;0),('Fund and null distribution'!B10&gt;0)),((Z3-'Fund and null distribution'!B8)/'Fund and null distribution'!B10),"")</f>
        <v>0.6372935237146844</v>
      </c>
      <c r="AA13" s="8">
        <f>IF(AND((AA2&gt;0),('Fund and null distribution'!B10&gt;0)),((AA3-'Fund and null distribution'!B8)/'Fund and null distribution'!B10),"")</f>
        <v>2.060776724624253</v>
      </c>
      <c r="AB13" s="8">
        <f>IF(AND((AB2&gt;0),('Fund and null distribution'!B10&gt;0)),((AB3-'Fund and null distribution'!B8)/'Fund and null distribution'!B10),"")</f>
        <v>-0.20982255982371864</v>
      </c>
      <c r="AC13" s="8">
        <f>IF(AND((AC2&gt;0),('Fund and null distribution'!B10&gt;0)),((AC3-'Fund and null distribution'!B8)/'Fund and null distribution'!B10),"")</f>
        <v>-1.4425508072972788</v>
      </c>
      <c r="AD13" s="8">
        <f>IF(AND((AD2&gt;0),('Fund and null distribution'!B10&gt;0)),((AD3-'Fund and null distribution'!B8)/'Fund and null distribution'!B10),"")</f>
        <v>0.1365026037759824</v>
      </c>
      <c r="AE13" s="8">
        <f>IF(AND((AE2&gt;0),('Fund and null distribution'!B10&gt;0)),((AE3-'Fund and null distribution'!B8)/'Fund and null distribution'!B10),"")</f>
        <v>-2.30702259379512</v>
      </c>
      <c r="AF13" s="8">
        <f>IF(AND((AF2&gt;0),('Fund and null distribution'!B10&gt;0)),((AF3-'Fund and null distribution'!B8)/'Fund and null distribution'!B10),"")</f>
        <v>-0.3216879543531893</v>
      </c>
      <c r="AG13" s="8">
        <f>IF(AND((AG2&gt;0),('Fund and null distribution'!B10&gt;0)),((AG3-'Fund and null distribution'!B8)/'Fund and null distribution'!B10),"")</f>
        <v>-0.600641434646707</v>
      </c>
      <c r="AH13" s="8">
        <f>IF(AND((AH2&gt;0),('Fund and null distribution'!B10&gt;0)),((AH3-'Fund and null distribution'!B8)/'Fund and null distribution'!B10),"")</f>
        <v>1.5782881823518677</v>
      </c>
      <c r="AI13" s="8">
        <f>IF(AND((AI2&gt;0),('Fund and null distribution'!B10&gt;0)),((AI3-'Fund and null distribution'!B8)/'Fund and null distribution'!B10),"")</f>
        <v>0.746792231476959</v>
      </c>
      <c r="AJ13" s="8">
        <f>IF(AND((AJ2&gt;0),('Fund and null distribution'!B10&gt;0)),((AJ3-'Fund and null distribution'!B8)/'Fund and null distribution'!B10),"")</f>
        <v>0.6604870540332066</v>
      </c>
    </row>
    <row r="14">
      <c r="A14" s="0" t="inlineStr">
        <is>
          <t xml:space="preserve">Days needed to reach the t threshold at this mean and sd</t>
        </is>
      </c>
      <c r="B14" s="4">
        <f>IF(AND(AND((B2&gt;1),(B3&gt;0)),(B10&gt;0)),POWER((('Assumptions (edit)'!B5*B10)/B3),2),"")</f>
      </c>
      <c r="C14" s="4">
        <f>IF(AND(AND((C2&gt;1),(C3&gt;0)),(C10&gt;0)),POWER((('Assumptions (edit)'!B5*C10)/C3),2),"")</f>
      </c>
      <c r="D14" s="4">
        <f>IF(AND(AND((D2&gt;1),(D3&gt;0)),(D10&gt;0)),POWER((('Assumptions (edit)'!B5*D10)/D3),2),"")</f>
      </c>
      <c r="E14" s="4">
        <f>IF(AND(AND((E2&gt;1),(E3&gt;0)),(E10&gt;0)),POWER((('Assumptions (edit)'!B5*E10)/E3),2),"")</f>
      </c>
      <c r="F14" s="4">
        <f>IF(AND(AND((F2&gt;1),(F3&gt;0)),(F10&gt;0)),POWER((('Assumptions (edit)'!B5*F10)/F3),2),"")</f>
      </c>
      <c r="G14" s="4">
        <f>IF(AND(AND((G2&gt;1),(G3&gt;0)),(G10&gt;0)),POWER((('Assumptions (edit)'!B5*G10)/G3),2),"")</f>
      </c>
      <c r="H14" s="4">
        <f>IF(AND(AND((H2&gt;1),(H3&gt;0)),(H10&gt;0)),POWER((('Assumptions (edit)'!B5*H10)/H3),2),"")</f>
      </c>
      <c r="I14" s="4">
        <f>IF(AND(AND((I2&gt;1),(I3&gt;0)),(I10&gt;0)),POWER((('Assumptions (edit)'!B5*I10)/I3),2),"")</f>
      </c>
      <c r="J14" s="4">
        <f>IF(AND(AND((J2&gt;1),(J3&gt;0)),(J10&gt;0)),POWER((('Assumptions (edit)'!B5*J10)/J3),2),"")</f>
      </c>
      <c r="K14" s="4">
        <f>IF(AND(AND((K2&gt;1),(K3&gt;0)),(K10&gt;0)),POWER((('Assumptions (edit)'!B5*K10)/K3),2),"")</f>
      </c>
      <c r="L14" s="4">
        <f>IF(AND(AND((L2&gt;1),(L3&gt;0)),(L10&gt;0)),POWER((('Assumptions (edit)'!B5*L10)/L3),2),"")</f>
      </c>
      <c r="M14" s="4">
        <f>IF(AND(AND((M2&gt;1),(M3&gt;0)),(M10&gt;0)),POWER((('Assumptions (edit)'!B5*M10)/M3),2),"")</f>
      </c>
      <c r="N14" s="4">
        <f>IF(AND(AND((N2&gt;1),(N3&gt;0)),(N10&gt;0)),POWER((('Assumptions (edit)'!B5*N10)/N3),2),"")</f>
      </c>
      <c r="O14" s="4">
        <f>IF(AND(AND((O2&gt;1),(O3&gt;0)),(O10&gt;0)),POWER((('Assumptions (edit)'!B5*O10)/O3),2),"")</f>
      </c>
      <c r="P14" s="4">
        <f>IF(AND(AND((P2&gt;1),(P3&gt;0)),(P10&gt;0)),POWER((('Assumptions (edit)'!B5*P10)/P3),2),"")</f>
      </c>
      <c r="Q14" s="4">
        <f>IF(AND(AND((Q2&gt;1),(Q3&gt;0)),(Q10&gt;0)),POWER((('Assumptions (edit)'!B5*Q10)/Q3),2),"")</f>
      </c>
      <c r="R14" s="4">
        <f>IF(AND(AND((R2&gt;1),(R3&gt;0)),(R10&gt;0)),POWER((('Assumptions (edit)'!B5*R10)/R3),2),"")</f>
      </c>
      <c r="S14" s="4">
        <f>IF(AND(AND((S2&gt;1),(S3&gt;0)),(S10&gt;0)),POWER((('Assumptions (edit)'!B5*S10)/S3),2),"")</f>
      </c>
      <c r="T14" s="4">
        <f>IF(AND(AND((T2&gt;1),(T3&gt;0)),(T10&gt;0)),POWER((('Assumptions (edit)'!B5*T10)/T3),2),"")</f>
      </c>
      <c r="U14" s="4">
        <f>IF(AND(AND((U2&gt;1),(U3&gt;0)),(U10&gt;0)),POWER((('Assumptions (edit)'!B5*U10)/U3),2),"")</f>
      </c>
      <c r="V14" s="4">
        <f>IF(AND(AND((V2&gt;1),(V3&gt;0)),(V10&gt;0)),POWER((('Assumptions (edit)'!B5*V10)/V3),2),"")</f>
      </c>
      <c r="W14" s="4">
        <f>IF(AND(AND((W2&gt;1),(W3&gt;0)),(W10&gt;0)),POWER((('Assumptions (edit)'!B5*W10)/W3),2),"")</f>
      </c>
      <c r="X14" s="4">
        <f>IF(AND(AND((X2&gt;1),(X3&gt;0)),(X10&gt;0)),POWER((('Assumptions (edit)'!B5*X10)/X3),2),"")</f>
      </c>
      <c r="Y14" s="4">
        <f>IF(AND(AND((Y2&gt;1),(Y3&gt;0)),(Y10&gt;0)),POWER((('Assumptions (edit)'!B5*Y10)/Y3),2),"")</f>
      </c>
      <c r="Z14" s="4">
        <f>IF(AND(AND((Z2&gt;1),(Z3&gt;0)),(Z10&gt;0)),POWER((('Assumptions (edit)'!B5*Z10)/Z3),2),"")</f>
      </c>
      <c r="AA14" s="4">
        <f>IF(AND(AND((AA2&gt;1),(AA3&gt;0)),(AA10&gt;0)),POWER((('Assumptions (edit)'!B5*AA10)/AA3),2),"")</f>
      </c>
      <c r="AB14" s="4">
        <f>IF(AND(AND((AB2&gt;1),(AB3&gt;0)),(AB10&gt;0)),POWER((('Assumptions (edit)'!B5*AB10)/AB3),2),"")</f>
      </c>
      <c r="AC14" s="4">
        <f>IF(AND(AND((AC2&gt;1),(AC3&gt;0)),(AC10&gt;0)),POWER((('Assumptions (edit)'!B5*AC10)/AC3),2),"")</f>
      </c>
      <c r="AD14" s="4">
        <f>IF(AND(AND((AD2&gt;1),(AD3&gt;0)),(AD10&gt;0)),POWER((('Assumptions (edit)'!B5*AD10)/AD3),2),"")</f>
      </c>
      <c r="AE14" s="4">
        <f>IF(AND(AND((AE2&gt;1),(AE3&gt;0)),(AE10&gt;0)),POWER((('Assumptions (edit)'!B5*AE10)/AE3),2),"")</f>
      </c>
      <c r="AF14" s="4">
        <f>IF(AND(AND((AF2&gt;1),(AF3&gt;0)),(AF10&gt;0)),POWER((('Assumptions (edit)'!B5*AF10)/AF3),2),"")</f>
      </c>
      <c r="AG14" s="4">
        <f>IF(AND(AND((AG2&gt;1),(AG3&gt;0)),(AG10&gt;0)),POWER((('Assumptions (edit)'!B5*AG10)/AG3),2),"")</f>
      </c>
      <c r="AH14" s="4">
        <f>IF(AND(AND((AH2&gt;1),(AH3&gt;0)),(AH10&gt;0)),POWER((('Assumptions (edit)'!B5*AH10)/AH3),2),"")</f>
      </c>
      <c r="AI14" s="4">
        <f>IF(AND(AND((AI2&gt;1),(AI3&gt;0)),(AI10&gt;0)),POWER((('Assumptions (edit)'!B5*AI10)/AI3),2),"")</f>
      </c>
      <c r="AJ14" s="4">
        <f>IF(AND(AND((AJ2&gt;1),(AJ3&gt;0)),(AJ10&gt;0)),POWER((('Assumptions (edit)'!B5*AJ10)/AJ3),2),"")</f>
      </c>
    </row>
    <row r="15">
      <c r="A15" s="0" t="inlineStr">
        <is>
          <t xml:space="preserve">Projected cumulative excess at horizon, bps</t>
        </is>
      </c>
      <c r="B15" s="8">
        <f>IF((B2&gt;0),(B3*'Assumptions (edit)'!B6),"")</f>
        <v>1365.4</v>
      </c>
      <c r="C15" s="8">
        <f>IF((C2&gt;0),(C3*'Assumptions (edit)'!B6),"")</f>
        <v>1264.8</v>
      </c>
      <c r="D15" s="8">
        <f>IF((D2&gt;0),(D3*'Assumptions (edit)'!B6),"")</f>
        <v>475.1</v>
      </c>
      <c r="E15" s="8">
        <f>IF((E2&gt;0),(E3*'Assumptions (edit)'!B6),"")</f>
        <v>-2353.2</v>
      </c>
      <c r="F15" s="8">
        <f>IF((F2&gt;0),(F3*'Assumptions (edit)'!B6),"")</f>
        <v>-1446.3</v>
      </c>
      <c r="G15" s="8">
        <f>IF((G2&gt;0),(G3*'Assumptions (edit)'!B6),"")</f>
        <v>-1955.9999999999998</v>
      </c>
      <c r="H15" s="8">
        <f>IF((H2&gt;0),(H3*'Assumptions (edit)'!B6),"")</f>
        <v>1170.4</v>
      </c>
      <c r="I15" s="8">
        <f>IF((I2&gt;0),(I3*'Assumptions (edit)'!B6),"")</f>
        <v>409.8</v>
      </c>
      <c r="J15" s="8">
        <f>IF((J2&gt;0),(J3*'Assumptions (edit)'!B6),"")</f>
        <v>-296.5</v>
      </c>
      <c r="K15" s="8">
        <f>IF((K2&gt;0),(K3*'Assumptions (edit)'!B6),"")</f>
        <v>214.29999999999998</v>
      </c>
      <c r="L15" s="8">
        <f>IF((L2&gt;0),(L3*'Assumptions (edit)'!B6),"")</f>
        <v>-2157.4</v>
      </c>
      <c r="M15" s="8">
        <f>IF((M2&gt;0),(M3*'Assumptions (edit)'!B6),"")</f>
        <v>-8.6</v>
      </c>
      <c r="N15" s="8">
        <f>IF((N2&gt;0),(N3*'Assumptions (edit)'!B6),"")</f>
        <v>1393.6</v>
      </c>
      <c r="O15" s="8">
        <f>IF((O2&gt;0),(O3*'Assumptions (edit)'!B6),"")</f>
        <v>817.2</v>
      </c>
      <c r="P15" s="8">
        <f>IF((P2&gt;0),(P3*'Assumptions (edit)'!B6),"")</f>
        <v>1716.4</v>
      </c>
      <c r="Q15" s="8">
        <f>IF((Q2&gt;0),(Q3*'Assumptions (edit)'!B6),"")</f>
        <v>-409.70000000000005</v>
      </c>
      <c r="R15" s="8">
        <f>IF((R2&gt;0),(R3*'Assumptions (edit)'!B6),"")</f>
        <v>70.3</v>
      </c>
      <c r="S15" s="8">
        <f>IF((S2&gt;0),(S3*'Assumptions (edit)'!B6),"")</f>
        <v>462</v>
      </c>
      <c r="T15" s="8">
        <f>IF((T2&gt;0),(T3*'Assumptions (edit)'!B6),"")</f>
        <v>-175.5</v>
      </c>
      <c r="U15" s="8">
        <f>IF((U2&gt;0),(U3*'Assumptions (edit)'!B6),"")</f>
        <v>848.5</v>
      </c>
      <c r="V15" s="8">
        <f>IF((V2&gt;0),(V3*'Assumptions (edit)'!B6),"")</f>
        <v>-300.4</v>
      </c>
      <c r="W15" s="8">
        <f>IF((W2&gt;0),(W3*'Assumptions (edit)'!B6),"")</f>
        <v>-326.3</v>
      </c>
      <c r="X15" s="8">
        <f>IF((X2&gt;0),(X3*'Assumptions (edit)'!B6),"")</f>
        <v>313.3</v>
      </c>
      <c r="Y15" s="8">
        <f>IF((Y2&gt;0),(Y3*'Assumptions (edit)'!B6),"")</f>
        <v>-332.8</v>
      </c>
      <c r="Z15" s="8">
        <f>IF((Z2&gt;0),(Z3*'Assumptions (edit)'!B6),"")</f>
        <v>486.59999999999997</v>
      </c>
      <c r="AA15" s="8">
        <f>IF((AA2&gt;0),(AA3*'Assumptions (edit)'!B6),"")</f>
        <v>1388.8</v>
      </c>
      <c r="AB15" s="8">
        <f>IF((AB2&gt;0),(AB3*'Assumptions (edit)'!B6),"")</f>
        <v>-50.3</v>
      </c>
      <c r="AC15" s="8">
        <f>IF((AC2&gt;0),(AC3*'Assumptions (edit)'!B6),"")</f>
        <v>-831.6</v>
      </c>
      <c r="AD15" s="8">
        <f>IF((AD2&gt;0),(AD3*'Assumptions (edit)'!B6),"")</f>
        <v>169.2</v>
      </c>
      <c r="AE15" s="8">
        <f>IF((AE2&gt;0),(AE3*'Assumptions (edit)'!B6),"")</f>
        <v>-1379.5</v>
      </c>
      <c r="AF15" s="8">
        <f>IF((AF2&gt;0),(AF3*'Assumptions (edit)'!B6),"")</f>
        <v>-121.2</v>
      </c>
      <c r="AG15" s="8">
        <f>IF((AG2&gt;0),(AG3*'Assumptions (edit)'!B6),"")</f>
        <v>-298</v>
      </c>
      <c r="AH15" s="8">
        <f>IF((AH2&gt;0),(AH3*'Assumptions (edit)'!B6),"")</f>
        <v>1083</v>
      </c>
      <c r="AI15" s="8">
        <f>IF((AI2&gt;0),(AI3*'Assumptions (edit)'!B6),"")</f>
        <v>556</v>
      </c>
      <c r="AJ15" s="8">
        <f>IF((AJ2&gt;0),(AJ3*'Assumptions (edit)'!B6),"")</f>
        <v>501.3</v>
      </c>
    </row>
    <row r="16">
      <c r="A16" s="0" t="inlineStr">
        <is>
          <t xml:space="preserve">Meets the skill bar (1 = yes)</t>
        </is>
      </c>
      <c r="B16" s="4">
        <f>IF(AND(AND((B2&gt;1),(B11&gt;='Assumptions (edit)'!B5)),(B13&gt;=2.33)),1,0)</f>
        <v>0</v>
      </c>
      <c r="C16" s="4">
        <f>IF(AND(AND((C2&gt;1),(C11&gt;='Assumptions (edit)'!B5)),(C13&gt;=2.33)),1,0)</f>
        <v>0</v>
      </c>
      <c r="D16" s="4">
        <f>IF(AND(AND((D2&gt;1),(D11&gt;='Assumptions (edit)'!B5)),(D13&gt;=2.33)),1,0)</f>
        <v>0</v>
      </c>
      <c r="E16" s="4">
        <f>IF(AND(AND((E2&gt;1),(E11&gt;='Assumptions (edit)'!B5)),(E13&gt;=2.33)),1,0)</f>
        <v>0</v>
      </c>
      <c r="F16" s="4">
        <f>IF(AND(AND((F2&gt;1),(F11&gt;='Assumptions (edit)'!B5)),(F13&gt;=2.33)),1,0)</f>
        <v>0</v>
      </c>
      <c r="G16" s="4">
        <f>IF(AND(AND((G2&gt;1),(G11&gt;='Assumptions (edit)'!B5)),(G13&gt;=2.33)),1,0)</f>
        <v>0</v>
      </c>
      <c r="H16" s="4">
        <f>IF(AND(AND((H2&gt;1),(H11&gt;='Assumptions (edit)'!B5)),(H13&gt;=2.33)),1,0)</f>
        <v>0</v>
      </c>
      <c r="I16" s="4">
        <f>IF(AND(AND((I2&gt;1),(I11&gt;='Assumptions (edit)'!B5)),(I13&gt;=2.33)),1,0)</f>
        <v>0</v>
      </c>
      <c r="J16" s="4">
        <f>IF(AND(AND((J2&gt;1),(J11&gt;='Assumptions (edit)'!B5)),(J13&gt;=2.33)),1,0)</f>
        <v>0</v>
      </c>
      <c r="K16" s="4">
        <f>IF(AND(AND((K2&gt;1),(K11&gt;='Assumptions (edit)'!B5)),(K13&gt;=2.33)),1,0)</f>
        <v>0</v>
      </c>
      <c r="L16" s="4">
        <f>IF(AND(AND((L2&gt;1),(L11&gt;='Assumptions (edit)'!B5)),(L13&gt;=2.33)),1,0)</f>
        <v>0</v>
      </c>
      <c r="M16" s="4">
        <f>IF(AND(AND((M2&gt;1),(M11&gt;='Assumptions (edit)'!B5)),(M13&gt;=2.33)),1,0)</f>
        <v>0</v>
      </c>
      <c r="N16" s="4">
        <f>IF(AND(AND((N2&gt;1),(N11&gt;='Assumptions (edit)'!B5)),(N13&gt;=2.33)),1,0)</f>
        <v>0</v>
      </c>
      <c r="O16" s="4">
        <f>IF(AND(AND((O2&gt;1),(O11&gt;='Assumptions (edit)'!B5)),(O13&gt;=2.33)),1,0)</f>
        <v>0</v>
      </c>
      <c r="P16" s="4">
        <f>IF(AND(AND((P2&gt;1),(P11&gt;='Assumptions (edit)'!B5)),(P13&gt;=2.33)),1,0)</f>
        <v>0</v>
      </c>
      <c r="Q16" s="4">
        <f>IF(AND(AND((Q2&gt;1),(Q11&gt;='Assumptions (edit)'!B5)),(Q13&gt;=2.33)),1,0)</f>
        <v>0</v>
      </c>
      <c r="R16" s="4">
        <f>IF(AND(AND((R2&gt;1),(R11&gt;='Assumptions (edit)'!B5)),(R13&gt;=2.33)),1,0)</f>
        <v>0</v>
      </c>
      <c r="S16" s="4">
        <f>IF(AND(AND((S2&gt;1),(S11&gt;='Assumptions (edit)'!B5)),(S13&gt;=2.33)),1,0)</f>
        <v>0</v>
      </c>
      <c r="T16" s="4">
        <f>IF(AND(AND((T2&gt;1),(T11&gt;='Assumptions (edit)'!B5)),(T13&gt;=2.33)),1,0)</f>
        <v>0</v>
      </c>
      <c r="U16" s="4">
        <f>IF(AND(AND((U2&gt;1),(U11&gt;='Assumptions (edit)'!B5)),(U13&gt;=2.33)),1,0)</f>
        <v>0</v>
      </c>
      <c r="V16" s="4">
        <f>IF(AND(AND((V2&gt;1),(V11&gt;='Assumptions (edit)'!B5)),(V13&gt;=2.33)),1,0)</f>
        <v>0</v>
      </c>
      <c r="W16" s="4">
        <f>IF(AND(AND((W2&gt;1),(W11&gt;='Assumptions (edit)'!B5)),(W13&gt;=2.33)),1,0)</f>
        <v>0</v>
      </c>
      <c r="X16" s="4">
        <f>IF(AND(AND((X2&gt;1),(X11&gt;='Assumptions (edit)'!B5)),(X13&gt;=2.33)),1,0)</f>
        <v>0</v>
      </c>
      <c r="Y16" s="4">
        <f>IF(AND(AND((Y2&gt;1),(Y11&gt;='Assumptions (edit)'!B5)),(Y13&gt;=2.33)),1,0)</f>
        <v>0</v>
      </c>
      <c r="Z16" s="4">
        <f>IF(AND(AND((Z2&gt;1),(Z11&gt;='Assumptions (edit)'!B5)),(Z13&gt;=2.33)),1,0)</f>
        <v>0</v>
      </c>
      <c r="AA16" s="4">
        <f>IF(AND(AND((AA2&gt;1),(AA11&gt;='Assumptions (edit)'!B5)),(AA13&gt;=2.33)),1,0)</f>
        <v>0</v>
      </c>
      <c r="AB16" s="4">
        <f>IF(AND(AND((AB2&gt;1),(AB11&gt;='Assumptions (edit)'!B5)),(AB13&gt;=2.33)),1,0)</f>
        <v>0</v>
      </c>
      <c r="AC16" s="4">
        <f>IF(AND(AND((AC2&gt;1),(AC11&gt;='Assumptions (edit)'!B5)),(AC13&gt;=2.33)),1,0)</f>
        <v>0</v>
      </c>
      <c r="AD16" s="4">
        <f>IF(AND(AND((AD2&gt;1),(AD11&gt;='Assumptions (edit)'!B5)),(AD13&gt;=2.33)),1,0)</f>
        <v>0</v>
      </c>
      <c r="AE16" s="4">
        <f>IF(AND(AND((AE2&gt;1),(AE11&gt;='Assumptions (edit)'!B5)),(AE13&gt;=2.33)),1,0)</f>
        <v>0</v>
      </c>
      <c r="AF16" s="4">
        <f>IF(AND(AND((AF2&gt;1),(AF11&gt;='Assumptions (edit)'!B5)),(AF13&gt;=2.33)),1,0)</f>
        <v>0</v>
      </c>
      <c r="AG16" s="4">
        <f>IF(AND(AND((AG2&gt;1),(AG11&gt;='Assumptions (edit)'!B5)),(AG13&gt;=2.33)),1,0)</f>
        <v>0</v>
      </c>
      <c r="AH16" s="4">
        <f>IF(AND(AND((AH2&gt;1),(AH11&gt;='Assumptions (edit)'!B5)),(AH13&gt;=2.33)),1,0)</f>
        <v>0</v>
      </c>
      <c r="AI16" s="4">
        <f>IF(AND(AND((AI2&gt;1),(AI11&gt;='Assumptions (edit)'!B5)),(AI13&gt;=2.33)),1,0)</f>
        <v>0</v>
      </c>
      <c r="AJ16" s="4">
        <f>IF(AND(AND((AJ2&gt;1),(AJ11&gt;='Assumptions (edit)'!B5)),(AJ13&gt;=2.33)),1,0)</f>
        <v>0</v>
      </c>
    </row>
    <row r="17">
      <c r="A17" s="0" t="inlineStr">
        <is>
          <t xml:space="preserve">Input tokens</t>
        </is>
      </c>
      <c r="B17" s="4">
        <f>SUMIFS('LLM usage'!$D$2:$D$21,'LLM usage'!$B$2:$B$21,"=naive_loser1d")</f>
        <v>0</v>
      </c>
      <c r="C17" s="4">
        <f>SUMIFS('LLM usage'!$D$2:$D$21,'LLM usage'!$B$2:$B$21,"=naive_lowvol")</f>
        <v>0</v>
      </c>
      <c r="D17" s="4">
        <f>SUMIFS('LLM usage'!$D$2:$D$21,'LLM usage'!$B$2:$B$21,"=naive_mcap")</f>
        <v>0</v>
      </c>
      <c r="E17" s="4">
        <f>SUMIFS('LLM usage'!$D$2:$D$21,'LLM usage'!$B$2:$B$21,"=naive_mom")</f>
        <v>0</v>
      </c>
      <c r="F17" s="4">
        <f>SUMIFS('LLM usage'!$D$2:$D$21,'LLM usage'!$B$2:$B$21,"=naive_winner1d")</f>
        <v>0</v>
      </c>
      <c r="G17" s="4">
        <f>SUMIFS('LLM usage'!$D$2:$D$21,'LLM usage'!$B$2:$B$21,"=p01_attention")</f>
        <v>700587</v>
      </c>
      <c r="H17" s="4">
        <f>SUMIFS('LLM usage'!$D$2:$D$21,'LLM usage'!$B$2:$B$21,"=p02_earnings_drift")</f>
        <v>218657</v>
      </c>
      <c r="I17" s="4">
        <f>SUMIFS('LLM usage'!$D$2:$D$21,'LLM usage'!$B$2:$B$21,"=p03_intraday_reversal")</f>
        <v>40739</v>
      </c>
      <c r="J17" s="4">
        <f>SUMIFS('LLM usage'!$D$2:$D$21,'LLM usage'!$B$2:$B$21,"=p04_analyst_revisions")</f>
        <v>123403</v>
      </c>
      <c r="K17" s="4">
        <f>SUMIFS('LLM usage'!$D$2:$D$21,'LLM usage'!$B$2:$B$21,"=p05_insider_clusters")</f>
        <v>1625546</v>
      </c>
      <c r="L17" s="4">
        <f>SUMIFS('LLM usage'!$D$2:$D$21,'LLM usage'!$B$2:$B$21,"=p06_seasonality")</f>
        <v>87641</v>
      </c>
      <c r="M17" s="4">
        <f>SUMIFS('LLM usage'!$D$2:$D$21,'LLM usage'!$B$2:$B$21,"=p07_quality_value")</f>
        <v>195149</v>
      </c>
      <c r="N17" s="4">
        <f>SUMIFS('LLM usage'!$D$2:$D$21,'LLM usage'!$B$2:$B$21,"=p08_residual_momentum")</f>
        <v>70769</v>
      </c>
      <c r="O17" s="4">
        <f>SUMIFS('LLM usage'!$D$2:$D$21,'LLM usage'!$B$2:$B$21,"=p09_overnight_persistence")</f>
        <v>78647</v>
      </c>
      <c r="P17" s="4">
        <f>SUMIFS('LLM usage'!$D$2:$D$21,'LLM usage'!$B$2:$B$21,"=p10_52wk_high")</f>
        <v>113993</v>
      </c>
      <c r="Q17" s="4">
        <f>SUMIFS('LLM usage'!$D$2:$D$21,'LLM usage'!$B$2:$B$21,"=random_01")</f>
        <v>0</v>
      </c>
      <c r="R17" s="4">
        <f>SUMIFS('LLM usage'!$D$2:$D$21,'LLM usage'!$B$2:$B$21,"=random_02")</f>
        <v>0</v>
      </c>
      <c r="S17" s="4">
        <f>SUMIFS('LLM usage'!$D$2:$D$21,'LLM usage'!$B$2:$B$21,"=random_03")</f>
        <v>0</v>
      </c>
      <c r="T17" s="4">
        <f>SUMIFS('LLM usage'!$D$2:$D$21,'LLM usage'!$B$2:$B$21,"=random_04")</f>
        <v>0</v>
      </c>
      <c r="U17" s="4">
        <f>SUMIFS('LLM usage'!$D$2:$D$21,'LLM usage'!$B$2:$B$21,"=random_05")</f>
        <v>0</v>
      </c>
      <c r="V17" s="4">
        <f>SUMIFS('LLM usage'!$D$2:$D$21,'LLM usage'!$B$2:$B$21,"=random_06")</f>
        <v>0</v>
      </c>
      <c r="W17" s="4">
        <f>SUMIFS('LLM usage'!$D$2:$D$21,'LLM usage'!$B$2:$B$21,"=random_07")</f>
        <v>0</v>
      </c>
      <c r="X17" s="4">
        <f>SUMIFS('LLM usage'!$D$2:$D$21,'LLM usage'!$B$2:$B$21,"=random_08")</f>
        <v>0</v>
      </c>
      <c r="Y17" s="4">
        <f>SUMIFS('LLM usage'!$D$2:$D$21,'LLM usage'!$B$2:$B$21,"=random_09")</f>
        <v>0</v>
      </c>
      <c r="Z17" s="4">
        <f>SUMIFS('LLM usage'!$D$2:$D$21,'LLM usage'!$B$2:$B$21,"=random_10")</f>
        <v>0</v>
      </c>
      <c r="AA17" s="4">
        <f>SUMIFS('LLM usage'!$D$2:$D$21,'LLM usage'!$B$2:$B$21,"=random_11")</f>
        <v>0</v>
      </c>
      <c r="AB17" s="4">
        <f>SUMIFS('LLM usage'!$D$2:$D$21,'LLM usage'!$B$2:$B$21,"=random_12")</f>
        <v>0</v>
      </c>
      <c r="AC17" s="4">
        <f>SUMIFS('LLM usage'!$D$2:$D$21,'LLM usage'!$B$2:$B$21,"=random_13")</f>
        <v>0</v>
      </c>
      <c r="AD17" s="4">
        <f>SUMIFS('LLM usage'!$D$2:$D$21,'LLM usage'!$B$2:$B$21,"=random_14")</f>
        <v>0</v>
      </c>
      <c r="AE17" s="4">
        <f>SUMIFS('LLM usage'!$D$2:$D$21,'LLM usage'!$B$2:$B$21,"=random_15")</f>
        <v>0</v>
      </c>
      <c r="AF17" s="4">
        <f>SUMIFS('LLM usage'!$D$2:$D$21,'LLM usage'!$B$2:$B$21,"=random_16")</f>
        <v>0</v>
      </c>
      <c r="AG17" s="4">
        <f>SUMIFS('LLM usage'!$D$2:$D$21,'LLM usage'!$B$2:$B$21,"=random_17")</f>
        <v>0</v>
      </c>
      <c r="AH17" s="4">
        <f>SUMIFS('LLM usage'!$D$2:$D$21,'LLM usage'!$B$2:$B$21,"=random_18")</f>
        <v>0</v>
      </c>
      <c r="AI17" s="4">
        <f>SUMIFS('LLM usage'!$D$2:$D$21,'LLM usage'!$B$2:$B$21,"=random_19")</f>
        <v>0</v>
      </c>
      <c r="AJ17" s="4">
        <f>SUMIFS('LLM usage'!$D$2:$D$21,'LLM usage'!$B$2:$B$21,"=random_20")</f>
        <v>0</v>
      </c>
    </row>
    <row r="18">
      <c r="A18" s="0" t="inlineStr">
        <is>
          <t xml:space="preserve">Output tokens</t>
        </is>
      </c>
      <c r="B18" s="4">
        <f>SUMIFS('LLM usage'!$E$2:$E$21,'LLM usage'!$B$2:$B$21,"=naive_loser1d")</f>
        <v>0</v>
      </c>
      <c r="C18" s="4">
        <f>SUMIFS('LLM usage'!$E$2:$E$21,'LLM usage'!$B$2:$B$21,"=naive_lowvol")</f>
        <v>0</v>
      </c>
      <c r="D18" s="4">
        <f>SUMIFS('LLM usage'!$E$2:$E$21,'LLM usage'!$B$2:$B$21,"=naive_mcap")</f>
        <v>0</v>
      </c>
      <c r="E18" s="4">
        <f>SUMIFS('LLM usage'!$E$2:$E$21,'LLM usage'!$B$2:$B$21,"=naive_mom")</f>
        <v>0</v>
      </c>
      <c r="F18" s="4">
        <f>SUMIFS('LLM usage'!$E$2:$E$21,'LLM usage'!$B$2:$B$21,"=naive_winner1d")</f>
        <v>0</v>
      </c>
      <c r="G18" s="4">
        <f>SUMIFS('LLM usage'!$E$2:$E$21,'LLM usage'!$B$2:$B$21,"=p01_attention")</f>
        <v>44676</v>
      </c>
      <c r="H18" s="4">
        <f>SUMIFS('LLM usage'!$E$2:$E$21,'LLM usage'!$B$2:$B$21,"=p02_earnings_drift")</f>
        <v>21148</v>
      </c>
      <c r="I18" s="4">
        <f>SUMIFS('LLM usage'!$E$2:$E$21,'LLM usage'!$B$2:$B$21,"=p03_intraday_reversal")</f>
        <v>8581</v>
      </c>
      <c r="J18" s="4">
        <f>SUMIFS('LLM usage'!$E$2:$E$21,'LLM usage'!$B$2:$B$21,"=p04_analyst_revisions")</f>
        <v>12472</v>
      </c>
      <c r="K18" s="4">
        <f>SUMIFS('LLM usage'!$E$2:$E$21,'LLM usage'!$B$2:$B$21,"=p05_insider_clusters")</f>
        <v>84835</v>
      </c>
      <c r="L18" s="4">
        <f>SUMIFS('LLM usage'!$E$2:$E$21,'LLM usage'!$B$2:$B$21,"=p06_seasonality")</f>
        <v>13195</v>
      </c>
      <c r="M18" s="4">
        <f>SUMIFS('LLM usage'!$E$2:$E$21,'LLM usage'!$B$2:$B$21,"=p07_quality_value")</f>
        <v>10226</v>
      </c>
      <c r="N18" s="4">
        <f>SUMIFS('LLM usage'!$E$2:$E$21,'LLM usage'!$B$2:$B$21,"=p08_residual_momentum")</f>
        <v>11557</v>
      </c>
      <c r="O18" s="4">
        <f>SUMIFS('LLM usage'!$E$2:$E$21,'LLM usage'!$B$2:$B$21,"=p09_overnight_persistence")</f>
        <v>9689</v>
      </c>
      <c r="P18" s="4">
        <f>SUMIFS('LLM usage'!$E$2:$E$21,'LLM usage'!$B$2:$B$21,"=p10_52wk_high")</f>
        <v>12618</v>
      </c>
      <c r="Q18" s="4">
        <f>SUMIFS('LLM usage'!$E$2:$E$21,'LLM usage'!$B$2:$B$21,"=random_01")</f>
        <v>0</v>
      </c>
      <c r="R18" s="4">
        <f>SUMIFS('LLM usage'!$E$2:$E$21,'LLM usage'!$B$2:$B$21,"=random_02")</f>
        <v>0</v>
      </c>
      <c r="S18" s="4">
        <f>SUMIFS('LLM usage'!$E$2:$E$21,'LLM usage'!$B$2:$B$21,"=random_03")</f>
        <v>0</v>
      </c>
      <c r="T18" s="4">
        <f>SUMIFS('LLM usage'!$E$2:$E$21,'LLM usage'!$B$2:$B$21,"=random_04")</f>
        <v>0</v>
      </c>
      <c r="U18" s="4">
        <f>SUMIFS('LLM usage'!$E$2:$E$21,'LLM usage'!$B$2:$B$21,"=random_05")</f>
        <v>0</v>
      </c>
      <c r="V18" s="4">
        <f>SUMIFS('LLM usage'!$E$2:$E$21,'LLM usage'!$B$2:$B$21,"=random_06")</f>
        <v>0</v>
      </c>
      <c r="W18" s="4">
        <f>SUMIFS('LLM usage'!$E$2:$E$21,'LLM usage'!$B$2:$B$21,"=random_07")</f>
        <v>0</v>
      </c>
      <c r="X18" s="4">
        <f>SUMIFS('LLM usage'!$E$2:$E$21,'LLM usage'!$B$2:$B$21,"=random_08")</f>
        <v>0</v>
      </c>
      <c r="Y18" s="4">
        <f>SUMIFS('LLM usage'!$E$2:$E$21,'LLM usage'!$B$2:$B$21,"=random_09")</f>
        <v>0</v>
      </c>
      <c r="Z18" s="4">
        <f>SUMIFS('LLM usage'!$E$2:$E$21,'LLM usage'!$B$2:$B$21,"=random_10")</f>
        <v>0</v>
      </c>
      <c r="AA18" s="4">
        <f>SUMIFS('LLM usage'!$E$2:$E$21,'LLM usage'!$B$2:$B$21,"=random_11")</f>
        <v>0</v>
      </c>
      <c r="AB18" s="4">
        <f>SUMIFS('LLM usage'!$E$2:$E$21,'LLM usage'!$B$2:$B$21,"=random_12")</f>
        <v>0</v>
      </c>
      <c r="AC18" s="4">
        <f>SUMIFS('LLM usage'!$E$2:$E$21,'LLM usage'!$B$2:$B$21,"=random_13")</f>
        <v>0</v>
      </c>
      <c r="AD18" s="4">
        <f>SUMIFS('LLM usage'!$E$2:$E$21,'LLM usage'!$B$2:$B$21,"=random_14")</f>
        <v>0</v>
      </c>
      <c r="AE18" s="4">
        <f>SUMIFS('LLM usage'!$E$2:$E$21,'LLM usage'!$B$2:$B$21,"=random_15")</f>
        <v>0</v>
      </c>
      <c r="AF18" s="4">
        <f>SUMIFS('LLM usage'!$E$2:$E$21,'LLM usage'!$B$2:$B$21,"=random_16")</f>
        <v>0</v>
      </c>
      <c r="AG18" s="4">
        <f>SUMIFS('LLM usage'!$E$2:$E$21,'LLM usage'!$B$2:$B$21,"=random_17")</f>
        <v>0</v>
      </c>
      <c r="AH18" s="4">
        <f>SUMIFS('LLM usage'!$E$2:$E$21,'LLM usage'!$B$2:$B$21,"=random_18")</f>
        <v>0</v>
      </c>
      <c r="AI18" s="4">
        <f>SUMIFS('LLM usage'!$E$2:$E$21,'LLM usage'!$B$2:$B$21,"=random_19")</f>
        <v>0</v>
      </c>
      <c r="AJ18" s="4">
        <f>SUMIFS('LLM usage'!$E$2:$E$21,'LLM usage'!$B$2:$B$21,"=random_20")</f>
        <v>0</v>
      </c>
    </row>
    <row r="19">
      <c r="A19" s="0" t="inlineStr">
        <is>
          <t xml:space="preserve">LLM cost, $</t>
        </is>
      </c>
      <c r="B19" s="8">
        <f>(((B17/1000000)*'Assumptions (edit)'!B2)+((B18/1000000)*'Assumptions (edit)'!B3))</f>
        <v>0</v>
      </c>
      <c r="C19" s="8">
        <f>(((C17/1000000)*'Assumptions (edit)'!B2)+((C18/1000000)*'Assumptions (edit)'!B3))</f>
        <v>0</v>
      </c>
      <c r="D19" s="8">
        <f>(((D17/1000000)*'Assumptions (edit)'!B2)+((D18/1000000)*'Assumptions (edit)'!B3))</f>
        <v>0</v>
      </c>
      <c r="E19" s="8">
        <f>(((E17/1000000)*'Assumptions (edit)'!B2)+((E18/1000000)*'Assumptions (edit)'!B3))</f>
        <v>0</v>
      </c>
      <c r="F19" s="8">
        <f>(((F17/1000000)*'Assumptions (edit)'!B2)+((F18/1000000)*'Assumptions (edit)'!B3))</f>
        <v>0</v>
      </c>
      <c r="G19" s="8">
        <f>(((G17/1000000)*'Assumptions (edit)'!B2)+((G18/1000000)*'Assumptions (edit)'!B3))</f>
        <v>0.20597318999999997</v>
      </c>
      <c r="H19" s="8">
        <f>(((H17/1000000)*'Assumptions (edit)'!B2)+((H18/1000000)*'Assumptions (edit)'!B3))</f>
        <v>0.06925637</v>
      </c>
      <c r="I19" s="8">
        <f>(((I17/1000000)*'Assumptions (edit)'!B2)+((I18/1000000)*'Assumptions (edit)'!B3))</f>
        <v>0.016105639999999997</v>
      </c>
      <c r="J19" s="8">
        <f>(((J17/1000000)*'Assumptions (edit)'!B2)+((J18/1000000)*'Assumptions (edit)'!B3))</f>
        <v>0.03945643</v>
      </c>
      <c r="K19" s="8">
        <f>(((K17/1000000)*'Assumptions (edit)'!B2)+((K18/1000000)*'Assumptions (edit)'!B3))</f>
        <v>0.46492265</v>
      </c>
      <c r="L19" s="8">
        <f>(((L17/1000000)*'Assumptions (edit)'!B2)+((L18/1000000)*'Assumptions (edit)'!B3))</f>
        <v>0.0310148</v>
      </c>
      <c r="M19" s="8">
        <f>(((M17/1000000)*'Assumptions (edit)'!B2)+((M18/1000000)*'Assumptions (edit)'!B3))</f>
        <v>0.05584319</v>
      </c>
      <c r="N19" s="8">
        <f>(((N17/1000000)*'Assumptions (edit)'!B2)+((N18/1000000)*'Assumptions (edit)'!B3))</f>
        <v>0.025666579999999998</v>
      </c>
      <c r="O19" s="8">
        <f>(((O17/1000000)*'Assumptions (edit)'!B2)+((O18/1000000)*'Assumptions (edit)'!B3))</f>
        <v>0.026347159999999998</v>
      </c>
      <c r="P19" s="8">
        <f>(((P17/1000000)*'Assumptions (edit)'!B2)+((P18/1000000)*'Assumptions (edit)'!B3))</f>
        <v>0.037204669999999995</v>
      </c>
      <c r="Q19" s="8">
        <f>(((Q17/1000000)*'Assumptions (edit)'!B2)+((Q18/1000000)*'Assumptions (edit)'!B3))</f>
        <v>0</v>
      </c>
      <c r="R19" s="8">
        <f>(((R17/1000000)*'Assumptions (edit)'!B2)+((R18/1000000)*'Assumptions (edit)'!B3))</f>
        <v>0</v>
      </c>
      <c r="S19" s="8">
        <f>(((S17/1000000)*'Assumptions (edit)'!B2)+((S18/1000000)*'Assumptions (edit)'!B3))</f>
        <v>0</v>
      </c>
      <c r="T19" s="8">
        <f>(((T17/1000000)*'Assumptions (edit)'!B2)+((T18/1000000)*'Assumptions (edit)'!B3))</f>
        <v>0</v>
      </c>
      <c r="U19" s="8">
        <f>(((U17/1000000)*'Assumptions (edit)'!B2)+((U18/1000000)*'Assumptions (edit)'!B3))</f>
        <v>0</v>
      </c>
      <c r="V19" s="8">
        <f>(((V17/1000000)*'Assumptions (edit)'!B2)+((V18/1000000)*'Assumptions (edit)'!B3))</f>
        <v>0</v>
      </c>
      <c r="W19" s="8">
        <f>(((W17/1000000)*'Assumptions (edit)'!B2)+((W18/1000000)*'Assumptions (edit)'!B3))</f>
        <v>0</v>
      </c>
      <c r="X19" s="8">
        <f>(((X17/1000000)*'Assumptions (edit)'!B2)+((X18/1000000)*'Assumptions (edit)'!B3))</f>
        <v>0</v>
      </c>
      <c r="Y19" s="8">
        <f>(((Y17/1000000)*'Assumptions (edit)'!B2)+((Y18/1000000)*'Assumptions (edit)'!B3))</f>
        <v>0</v>
      </c>
      <c r="Z19" s="8">
        <f>(((Z17/1000000)*'Assumptions (edit)'!B2)+((Z18/1000000)*'Assumptions (edit)'!B3))</f>
        <v>0</v>
      </c>
      <c r="AA19" s="8">
        <f>(((AA17/1000000)*'Assumptions (edit)'!B2)+((AA18/1000000)*'Assumptions (edit)'!B3))</f>
        <v>0</v>
      </c>
      <c r="AB19" s="8">
        <f>(((AB17/1000000)*'Assumptions (edit)'!B2)+((AB18/1000000)*'Assumptions (edit)'!B3))</f>
        <v>0</v>
      </c>
      <c r="AC19" s="8">
        <f>(((AC17/1000000)*'Assumptions (edit)'!B2)+((AC18/1000000)*'Assumptions (edit)'!B3))</f>
        <v>0</v>
      </c>
      <c r="AD19" s="8">
        <f>(((AD17/1000000)*'Assumptions (edit)'!B2)+((AD18/1000000)*'Assumptions (edit)'!B3))</f>
        <v>0</v>
      </c>
      <c r="AE19" s="8">
        <f>(((AE17/1000000)*'Assumptions (edit)'!B2)+((AE18/1000000)*'Assumptions (edit)'!B3))</f>
        <v>0</v>
      </c>
      <c r="AF19" s="8">
        <f>(((AF17/1000000)*'Assumptions (edit)'!B2)+((AF18/1000000)*'Assumptions (edit)'!B3))</f>
        <v>0</v>
      </c>
      <c r="AG19" s="8">
        <f>(((AG17/1000000)*'Assumptions (edit)'!B2)+((AG18/1000000)*'Assumptions (edit)'!B3))</f>
        <v>0</v>
      </c>
      <c r="AH19" s="8">
        <f>(((AH17/1000000)*'Assumptions (edit)'!B2)+((AH18/1000000)*'Assumptions (edit)'!B3))</f>
        <v>0</v>
      </c>
      <c r="AI19" s="8">
        <f>(((AI17/1000000)*'Assumptions (edit)'!B2)+((AI18/1000000)*'Assumptions (edit)'!B3))</f>
        <v>0</v>
      </c>
      <c r="AJ19" s="8">
        <f>(((AJ17/1000000)*'Assumptions (edit)'!B2)+((AJ18/1000000)*'Assumptions (edit)'!B3))</f>
        <v>0</v>
      </c>
    </row>
    <row r="20">
      <c r="A20" s="0" t="inlineStr">
        <is>
          <t xml:space="preserve">Submissions</t>
        </is>
      </c>
      <c r="B20" s="4">
        <f>SUMIFS('Submissions'!$D$2:$D$71,'Submissions'!$B$2:$B$71,"=naive_loser1d")</f>
        <v>2</v>
      </c>
      <c r="C20" s="4">
        <f>SUMIFS('Submissions'!$D$2:$D$71,'Submissions'!$B$2:$B$71,"=naive_lowvol")</f>
        <v>2</v>
      </c>
      <c r="D20" s="4">
        <f>SUMIFS('Submissions'!$D$2:$D$71,'Submissions'!$B$2:$B$71,"=naive_mcap")</f>
        <v>2</v>
      </c>
      <c r="E20" s="4">
        <f>SUMIFS('Submissions'!$D$2:$D$71,'Submissions'!$B$2:$B$71,"=naive_mom")</f>
        <v>2</v>
      </c>
      <c r="F20" s="4">
        <f>SUMIFS('Submissions'!$D$2:$D$71,'Submissions'!$B$2:$B$71,"=naive_winner1d")</f>
        <v>2</v>
      </c>
      <c r="G20" s="4">
        <f>SUMIFS('Submissions'!$D$2:$D$71,'Submissions'!$B$2:$B$71,"=p01_attention")</f>
        <v>2</v>
      </c>
      <c r="H20" s="4">
        <f>SUMIFS('Submissions'!$D$2:$D$71,'Submissions'!$B$2:$B$71,"=p02_earnings_drift")</f>
        <v>2</v>
      </c>
      <c r="I20" s="4">
        <f>SUMIFS('Submissions'!$D$2:$D$71,'Submissions'!$B$2:$B$71,"=p03_intraday_reversal")</f>
        <v>2</v>
      </c>
      <c r="J20" s="4">
        <f>SUMIFS('Submissions'!$D$2:$D$71,'Submissions'!$B$2:$B$71,"=p04_analyst_revisions")</f>
        <v>2</v>
      </c>
      <c r="K20" s="4">
        <f>SUMIFS('Submissions'!$D$2:$D$71,'Submissions'!$B$2:$B$71,"=p05_insider_clusters")</f>
        <v>2</v>
      </c>
      <c r="L20" s="4">
        <f>SUMIFS('Submissions'!$D$2:$D$71,'Submissions'!$B$2:$B$71,"=p06_seasonality")</f>
        <v>2</v>
      </c>
      <c r="M20" s="4">
        <f>SUMIFS('Submissions'!$D$2:$D$71,'Submissions'!$B$2:$B$71,"=p07_quality_value")</f>
        <v>2</v>
      </c>
      <c r="N20" s="4">
        <f>SUMIFS('Submissions'!$D$2:$D$71,'Submissions'!$B$2:$B$71,"=p08_residual_momentum")</f>
        <v>2</v>
      </c>
      <c r="O20" s="4">
        <f>SUMIFS('Submissions'!$D$2:$D$71,'Submissions'!$B$2:$B$71,"=p09_overnight_persistence")</f>
        <v>2</v>
      </c>
      <c r="P20" s="4">
        <f>SUMIFS('Submissions'!$D$2:$D$71,'Submissions'!$B$2:$B$71,"=p10_52wk_high")</f>
        <v>2</v>
      </c>
      <c r="Q20" s="4">
        <f>SUMIFS('Submissions'!$D$2:$D$71,'Submissions'!$B$2:$B$71,"=random_01")</f>
        <v>2</v>
      </c>
      <c r="R20" s="4">
        <f>SUMIFS('Submissions'!$D$2:$D$71,'Submissions'!$B$2:$B$71,"=random_02")</f>
        <v>2</v>
      </c>
      <c r="S20" s="4">
        <f>SUMIFS('Submissions'!$D$2:$D$71,'Submissions'!$B$2:$B$71,"=random_03")</f>
        <v>2</v>
      </c>
      <c r="T20" s="4">
        <f>SUMIFS('Submissions'!$D$2:$D$71,'Submissions'!$B$2:$B$71,"=random_04")</f>
        <v>2</v>
      </c>
      <c r="U20" s="4">
        <f>SUMIFS('Submissions'!$D$2:$D$71,'Submissions'!$B$2:$B$71,"=random_05")</f>
        <v>2</v>
      </c>
      <c r="V20" s="4">
        <f>SUMIFS('Submissions'!$D$2:$D$71,'Submissions'!$B$2:$B$71,"=random_06")</f>
        <v>2</v>
      </c>
      <c r="W20" s="4">
        <f>SUMIFS('Submissions'!$D$2:$D$71,'Submissions'!$B$2:$B$71,"=random_07")</f>
        <v>2</v>
      </c>
      <c r="X20" s="4">
        <f>SUMIFS('Submissions'!$D$2:$D$71,'Submissions'!$B$2:$B$71,"=random_08")</f>
        <v>2</v>
      </c>
      <c r="Y20" s="4">
        <f>SUMIFS('Submissions'!$D$2:$D$71,'Submissions'!$B$2:$B$71,"=random_09")</f>
        <v>2</v>
      </c>
      <c r="Z20" s="4">
        <f>SUMIFS('Submissions'!$D$2:$D$71,'Submissions'!$B$2:$B$71,"=random_10")</f>
        <v>2</v>
      </c>
      <c r="AA20" s="4">
        <f>SUMIFS('Submissions'!$D$2:$D$71,'Submissions'!$B$2:$B$71,"=random_11")</f>
        <v>2</v>
      </c>
      <c r="AB20" s="4">
        <f>SUMIFS('Submissions'!$D$2:$D$71,'Submissions'!$B$2:$B$71,"=random_12")</f>
        <v>2</v>
      </c>
      <c r="AC20" s="4">
        <f>SUMIFS('Submissions'!$D$2:$D$71,'Submissions'!$B$2:$B$71,"=random_13")</f>
        <v>2</v>
      </c>
      <c r="AD20" s="4">
        <f>SUMIFS('Submissions'!$D$2:$D$71,'Submissions'!$B$2:$B$71,"=random_14")</f>
        <v>2</v>
      </c>
      <c r="AE20" s="4">
        <f>SUMIFS('Submissions'!$D$2:$D$71,'Submissions'!$B$2:$B$71,"=random_15")</f>
        <v>2</v>
      </c>
      <c r="AF20" s="4">
        <f>SUMIFS('Submissions'!$D$2:$D$71,'Submissions'!$B$2:$B$71,"=random_16")</f>
        <v>2</v>
      </c>
      <c r="AG20" s="4">
        <f>SUMIFS('Submissions'!$D$2:$D$71,'Submissions'!$B$2:$B$71,"=random_17")</f>
        <v>2</v>
      </c>
      <c r="AH20" s="4">
        <f>SUMIFS('Submissions'!$D$2:$D$71,'Submissions'!$B$2:$B$71,"=random_18")</f>
        <v>2</v>
      </c>
      <c r="AI20" s="4">
        <f>SUMIFS('Submissions'!$D$2:$D$71,'Submissions'!$B$2:$B$71,"=random_19")</f>
        <v>2</v>
      </c>
      <c r="AJ20" s="4">
        <f>SUMIFS('Submissions'!$D$2:$D$71,'Submissions'!$B$2:$B$71,"=random_20")</f>
        <v>2</v>
      </c>
    </row>
    <row r="21">
      <c r="A21" s="0" t="inlineStr">
        <is>
          <t xml:space="preserve">Thesis-compliant submissions</t>
        </is>
      </c>
      <c r="B21" s="12">
        <f>IF((B20&gt;0),(SUMIFS('Submissions'!$F$2:$F$71,'Submissions'!$B$2:$B$71,"=naive_loser1d")/B20),"")</f>
        <v>1</v>
      </c>
      <c r="C21" s="12">
        <f>IF((C20&gt;0),(SUMIFS('Submissions'!$F$2:$F$71,'Submissions'!$B$2:$B$71,"=naive_lowvol")/C20),"")</f>
        <v>1</v>
      </c>
      <c r="D21" s="12">
        <f>IF((D20&gt;0),(SUMIFS('Submissions'!$F$2:$F$71,'Submissions'!$B$2:$B$71,"=naive_mcap")/D20),"")</f>
        <v>1</v>
      </c>
      <c r="E21" s="12">
        <f>IF((E20&gt;0),(SUMIFS('Submissions'!$F$2:$F$71,'Submissions'!$B$2:$B$71,"=naive_mom")/E20),"")</f>
        <v>1</v>
      </c>
      <c r="F21" s="12">
        <f>IF((F20&gt;0),(SUMIFS('Submissions'!$F$2:$F$71,'Submissions'!$B$2:$B$71,"=naive_winner1d")/F20),"")</f>
        <v>1</v>
      </c>
      <c r="G21" s="12">
        <f>IF((G20&gt;0),(SUMIFS('Submissions'!$F$2:$F$71,'Submissions'!$B$2:$B$71,"=p01_attention")/G20),"")</f>
        <v>1</v>
      </c>
      <c r="H21" s="12">
        <f>IF((H20&gt;0),(SUMIFS('Submissions'!$F$2:$F$71,'Submissions'!$B$2:$B$71,"=p02_earnings_drift")/H20),"")</f>
        <v>1</v>
      </c>
      <c r="I21" s="12">
        <f>IF((I20&gt;0),(SUMIFS('Submissions'!$F$2:$F$71,'Submissions'!$B$2:$B$71,"=p03_intraday_reversal")/I20),"")</f>
        <v>1</v>
      </c>
      <c r="J21" s="12">
        <f>IF((J20&gt;0),(SUMIFS('Submissions'!$F$2:$F$71,'Submissions'!$B$2:$B$71,"=p04_analyst_revisions")/J20),"")</f>
        <v>1</v>
      </c>
      <c r="K21" s="12">
        <f>IF((K20&gt;0),(SUMIFS('Submissions'!$F$2:$F$71,'Submissions'!$B$2:$B$71,"=p05_insider_clusters")/K20),"")</f>
        <v>1</v>
      </c>
      <c r="L21" s="12">
        <f>IF((L20&gt;0),(SUMIFS('Submissions'!$F$2:$F$71,'Submissions'!$B$2:$B$71,"=p06_seasonality")/L20),"")</f>
        <v>1</v>
      </c>
      <c r="M21" s="12">
        <f>IF((M20&gt;0),(SUMIFS('Submissions'!$F$2:$F$71,'Submissions'!$B$2:$B$71,"=p07_quality_value")/M20),"")</f>
        <v>1</v>
      </c>
      <c r="N21" s="12">
        <f>IF((N20&gt;0),(SUMIFS('Submissions'!$F$2:$F$71,'Submissions'!$B$2:$B$71,"=p08_residual_momentum")/N20),"")</f>
        <v>1</v>
      </c>
      <c r="O21" s="12">
        <f>IF((O20&gt;0),(SUMIFS('Submissions'!$F$2:$F$71,'Submissions'!$B$2:$B$71,"=p09_overnight_persistence")/O20),"")</f>
        <v>1</v>
      </c>
      <c r="P21" s="12">
        <f>IF((P20&gt;0),(SUMIFS('Submissions'!$F$2:$F$71,'Submissions'!$B$2:$B$71,"=p10_52wk_high")/P20),"")</f>
        <v>1</v>
      </c>
      <c r="Q21" s="12">
        <f>IF((Q20&gt;0),(SUMIFS('Submissions'!$F$2:$F$71,'Submissions'!$B$2:$B$71,"=random_01")/Q20),"")</f>
        <v>1</v>
      </c>
      <c r="R21" s="12">
        <f>IF((R20&gt;0),(SUMIFS('Submissions'!$F$2:$F$71,'Submissions'!$B$2:$B$71,"=random_02")/R20),"")</f>
        <v>1</v>
      </c>
      <c r="S21" s="12">
        <f>IF((S20&gt;0),(SUMIFS('Submissions'!$F$2:$F$71,'Submissions'!$B$2:$B$71,"=random_03")/S20),"")</f>
        <v>1</v>
      </c>
      <c r="T21" s="12">
        <f>IF((T20&gt;0),(SUMIFS('Submissions'!$F$2:$F$71,'Submissions'!$B$2:$B$71,"=random_04")/T20),"")</f>
        <v>1</v>
      </c>
      <c r="U21" s="12">
        <f>IF((U20&gt;0),(SUMIFS('Submissions'!$F$2:$F$71,'Submissions'!$B$2:$B$71,"=random_05")/U20),"")</f>
        <v>1</v>
      </c>
      <c r="V21" s="12">
        <f>IF((V20&gt;0),(SUMIFS('Submissions'!$F$2:$F$71,'Submissions'!$B$2:$B$71,"=random_06")/V20),"")</f>
        <v>1</v>
      </c>
      <c r="W21" s="12">
        <f>IF((W20&gt;0),(SUMIFS('Submissions'!$F$2:$F$71,'Submissions'!$B$2:$B$71,"=random_07")/W20),"")</f>
        <v>1</v>
      </c>
      <c r="X21" s="12">
        <f>IF((X20&gt;0),(SUMIFS('Submissions'!$F$2:$F$71,'Submissions'!$B$2:$B$71,"=random_08")/X20),"")</f>
        <v>1</v>
      </c>
      <c r="Y21" s="12">
        <f>IF((Y20&gt;0),(SUMIFS('Submissions'!$F$2:$F$71,'Submissions'!$B$2:$B$71,"=random_09")/Y20),"")</f>
        <v>1</v>
      </c>
      <c r="Z21" s="12">
        <f>IF((Z20&gt;0),(SUMIFS('Submissions'!$F$2:$F$71,'Submissions'!$B$2:$B$71,"=random_10")/Z20),"")</f>
        <v>1</v>
      </c>
      <c r="AA21" s="12">
        <f>IF((AA20&gt;0),(SUMIFS('Submissions'!$F$2:$F$71,'Submissions'!$B$2:$B$71,"=random_11")/AA20),"")</f>
        <v>1</v>
      </c>
      <c r="AB21" s="12">
        <f>IF((AB20&gt;0),(SUMIFS('Submissions'!$F$2:$F$71,'Submissions'!$B$2:$B$71,"=random_12")/AB20),"")</f>
        <v>1</v>
      </c>
      <c r="AC21" s="12">
        <f>IF((AC20&gt;0),(SUMIFS('Submissions'!$F$2:$F$71,'Submissions'!$B$2:$B$71,"=random_13")/AC20),"")</f>
        <v>1</v>
      </c>
      <c r="AD21" s="12">
        <f>IF((AD20&gt;0),(SUMIFS('Submissions'!$F$2:$F$71,'Submissions'!$B$2:$B$71,"=random_14")/AD20),"")</f>
        <v>1</v>
      </c>
      <c r="AE21" s="12">
        <f>IF((AE20&gt;0),(SUMIFS('Submissions'!$F$2:$F$71,'Submissions'!$B$2:$B$71,"=random_15")/AE20),"")</f>
        <v>1</v>
      </c>
      <c r="AF21" s="12">
        <f>IF((AF20&gt;0),(SUMIFS('Submissions'!$F$2:$F$71,'Submissions'!$B$2:$B$71,"=random_16")/AF20),"")</f>
        <v>1</v>
      </c>
      <c r="AG21" s="12">
        <f>IF((AG20&gt;0),(SUMIFS('Submissions'!$F$2:$F$71,'Submissions'!$B$2:$B$71,"=random_17")/AG20),"")</f>
        <v>1</v>
      </c>
      <c r="AH21" s="12">
        <f>IF((AH20&gt;0),(SUMIFS('Submissions'!$F$2:$F$71,'Submissions'!$B$2:$B$71,"=random_18")/AH20),"")</f>
        <v>1</v>
      </c>
      <c r="AI21" s="12">
        <f>IF((AI20&gt;0),(SUMIFS('Submissions'!$F$2:$F$71,'Submissions'!$B$2:$B$71,"=random_19")/AI20),"")</f>
        <v>1</v>
      </c>
      <c r="AJ21" s="12">
        <f>IF((AJ20&gt;0),(SUMIFS('Submissions'!$F$2:$F$71,'Submissions'!$B$2:$B$71,"=random_20")/AJ20),"")</f>
        <v>1</v>
      </c>
    </row>
    <row r="22">
      <c r="A22" s="0" t="inlineStr">
        <is>
          <t xml:space="preserve">Names scored per day</t>
        </is>
      </c>
      <c r="B22" s="8">
        <f>IF((B20&gt;0),AVERAGEIFS('Submissions'!$E$2:$E$71,'Submissions'!$B$2:$B$71,"=naive_loser1d"),"")</f>
        <v>1489</v>
      </c>
      <c r="C22" s="8">
        <f>IF((C20&gt;0),AVERAGEIFS('Submissions'!$E$2:$E$71,'Submissions'!$B$2:$B$71,"=naive_lowvol"),"")</f>
        <v>1489</v>
      </c>
      <c r="D22" s="8">
        <f>IF((D20&gt;0),AVERAGEIFS('Submissions'!$E$2:$E$71,'Submissions'!$B$2:$B$71,"=naive_mcap"),"")</f>
        <v>1489</v>
      </c>
      <c r="E22" s="8">
        <f>IF((E20&gt;0),AVERAGEIFS('Submissions'!$E$2:$E$71,'Submissions'!$B$2:$B$71,"=naive_mom"),"")</f>
        <v>1443</v>
      </c>
      <c r="F22" s="8">
        <f>IF((F20&gt;0),AVERAGEIFS('Submissions'!$E$2:$E$71,'Submissions'!$B$2:$B$71,"=naive_winner1d"),"")</f>
        <v>1489</v>
      </c>
      <c r="G22" s="8">
        <f>IF((G20&gt;0),AVERAGEIFS('Submissions'!$E$2:$E$71,'Submissions'!$B$2:$B$71,"=p01_attention"),"")</f>
        <v>1489</v>
      </c>
      <c r="H22" s="8">
        <f>IF((H20&gt;0),AVERAGEIFS('Submissions'!$E$2:$E$71,'Submissions'!$B$2:$B$71,"=p02_earnings_drift"),"")</f>
        <v>1489</v>
      </c>
      <c r="I22" s="8">
        <f>IF((I20&gt;0),AVERAGEIFS('Submissions'!$E$2:$E$71,'Submissions'!$B$2:$B$71,"=p03_intraday_reversal"),"")</f>
        <v>1489</v>
      </c>
      <c r="J22" s="8">
        <f>IF((J20&gt;0),AVERAGEIFS('Submissions'!$E$2:$E$71,'Submissions'!$B$2:$B$71,"=p04_analyst_revisions"),"")</f>
        <v>1489</v>
      </c>
      <c r="K22" s="8">
        <f>IF((K20&gt;0),AVERAGEIFS('Submissions'!$E$2:$E$71,'Submissions'!$B$2:$B$71,"=p05_insider_clusters"),"")</f>
        <v>1489</v>
      </c>
      <c r="L22" s="8">
        <f>IF((L20&gt;0),AVERAGEIFS('Submissions'!$E$2:$E$71,'Submissions'!$B$2:$B$71,"=p06_seasonality"),"")</f>
        <v>1463</v>
      </c>
      <c r="M22" s="8">
        <f>IF((M20&gt;0),AVERAGEIFS('Submissions'!$E$2:$E$71,'Submissions'!$B$2:$B$71,"=p07_quality_value"),"")</f>
        <v>1485</v>
      </c>
      <c r="N22" s="8">
        <f>IF((N20&gt;0),AVERAGEIFS('Submissions'!$E$2:$E$71,'Submissions'!$B$2:$B$71,"=p08_residual_momentum"),"")</f>
        <v>1465.5</v>
      </c>
      <c r="O22" s="8">
        <f>IF((O20&gt;0),AVERAGEIFS('Submissions'!$E$2:$E$71,'Submissions'!$B$2:$B$71,"=p09_overnight_persistence"),"")</f>
        <v>1488.5</v>
      </c>
      <c r="P22" s="8">
        <f>IF((P20&gt;0),AVERAGEIFS('Submissions'!$E$2:$E$71,'Submissions'!$B$2:$B$71,"=p10_52wk_high"),"")</f>
        <v>1489</v>
      </c>
      <c r="Q22" s="8">
        <f>IF((Q20&gt;0),AVERAGEIFS('Submissions'!$E$2:$E$71,'Submissions'!$B$2:$B$71,"=random_01"),"")</f>
        <v>1489</v>
      </c>
      <c r="R22" s="8">
        <f>IF((R20&gt;0),AVERAGEIFS('Submissions'!$E$2:$E$71,'Submissions'!$B$2:$B$71,"=random_02"),"")</f>
        <v>1489</v>
      </c>
      <c r="S22" s="8">
        <f>IF((S20&gt;0),AVERAGEIFS('Submissions'!$E$2:$E$71,'Submissions'!$B$2:$B$71,"=random_03"),"")</f>
        <v>1489</v>
      </c>
      <c r="T22" s="8">
        <f>IF((T20&gt;0),AVERAGEIFS('Submissions'!$E$2:$E$71,'Submissions'!$B$2:$B$71,"=random_04"),"")</f>
        <v>1489</v>
      </c>
      <c r="U22" s="8">
        <f>IF((U20&gt;0),AVERAGEIFS('Submissions'!$E$2:$E$71,'Submissions'!$B$2:$B$71,"=random_05"),"")</f>
        <v>1489</v>
      </c>
      <c r="V22" s="8">
        <f>IF((V20&gt;0),AVERAGEIFS('Submissions'!$E$2:$E$71,'Submissions'!$B$2:$B$71,"=random_06"),"")</f>
        <v>1489</v>
      </c>
      <c r="W22" s="8">
        <f>IF((W20&gt;0),AVERAGEIFS('Submissions'!$E$2:$E$71,'Submissions'!$B$2:$B$71,"=random_07"),"")</f>
        <v>1489</v>
      </c>
      <c r="X22" s="8">
        <f>IF((X20&gt;0),AVERAGEIFS('Submissions'!$E$2:$E$71,'Submissions'!$B$2:$B$71,"=random_08"),"")</f>
        <v>1489</v>
      </c>
      <c r="Y22" s="8">
        <f>IF((Y20&gt;0),AVERAGEIFS('Submissions'!$E$2:$E$71,'Submissions'!$B$2:$B$71,"=random_09"),"")</f>
        <v>1489</v>
      </c>
      <c r="Z22" s="8">
        <f>IF((Z20&gt;0),AVERAGEIFS('Submissions'!$E$2:$E$71,'Submissions'!$B$2:$B$71,"=random_10"),"")</f>
        <v>1489</v>
      </c>
      <c r="AA22" s="8">
        <f>IF((AA20&gt;0),AVERAGEIFS('Submissions'!$E$2:$E$71,'Submissions'!$B$2:$B$71,"=random_11"),"")</f>
        <v>1489</v>
      </c>
      <c r="AB22" s="8">
        <f>IF((AB20&gt;0),AVERAGEIFS('Submissions'!$E$2:$E$71,'Submissions'!$B$2:$B$71,"=random_12"),"")</f>
        <v>1489</v>
      </c>
      <c r="AC22" s="8">
        <f>IF((AC20&gt;0),AVERAGEIFS('Submissions'!$E$2:$E$71,'Submissions'!$B$2:$B$71,"=random_13"),"")</f>
        <v>1489</v>
      </c>
      <c r="AD22" s="8">
        <f>IF((AD20&gt;0),AVERAGEIFS('Submissions'!$E$2:$E$71,'Submissions'!$B$2:$B$71,"=random_14"),"")</f>
        <v>1489</v>
      </c>
      <c r="AE22" s="8">
        <f>IF((AE20&gt;0),AVERAGEIFS('Submissions'!$E$2:$E$71,'Submissions'!$B$2:$B$71,"=random_15"),"")</f>
        <v>1489</v>
      </c>
      <c r="AF22" s="8">
        <f>IF((AF20&gt;0),AVERAGEIFS('Submissions'!$E$2:$E$71,'Submissions'!$B$2:$B$71,"=random_16"),"")</f>
        <v>1489</v>
      </c>
      <c r="AG22" s="8">
        <f>IF((AG20&gt;0),AVERAGEIFS('Submissions'!$E$2:$E$71,'Submissions'!$B$2:$B$71,"=random_17"),"")</f>
        <v>1489</v>
      </c>
      <c r="AH22" s="8">
        <f>IF((AH20&gt;0),AVERAGEIFS('Submissions'!$E$2:$E$71,'Submissions'!$B$2:$B$71,"=random_18"),"")</f>
        <v>1489</v>
      </c>
      <c r="AI22" s="8">
        <f>IF((AI20&gt;0),AVERAGEIFS('Submissions'!$E$2:$E$71,'Submissions'!$B$2:$B$71,"=random_19"),"")</f>
        <v>1489</v>
      </c>
      <c r="AJ22" s="8">
        <f>IF((AJ20&gt;0),AVERAGEIFS('Submissions'!$E$2:$E$71,'Submissions'!$B$2:$B$71,"=random_20"),"")</f>
        <v>1489</v>
      </c>
    </row>
    <row r="23">
      <c r="A23" s="0" t="inlineStr">
        <is>
          <t xml:space="preserve">Square of the mean</t>
        </is>
      </c>
      <c r="B23" s="8">
        <f>IF((B2&gt;0),(B3*B3),"")</f>
        <v>186.431716</v>
      </c>
      <c r="C23" s="8">
        <f>IF((C2&gt;0),(C3*C3),"")</f>
        <v>159.971904</v>
      </c>
      <c r="D23" s="8">
        <f>IF((D2&gt;0),(D3*D3),"")</f>
        <v>22.572001000000004</v>
      </c>
      <c r="E23" s="8">
        <f>IF((E2&gt;0),(E3*E3),"")</f>
        <v>553.755024</v>
      </c>
      <c r="F23" s="8">
        <f>IF((F2&gt;0),(F3*F3),"")</f>
        <v>209.17836899999998</v>
      </c>
      <c r="G23" s="8">
        <f>IF((G2&gt;0),(G3*G3),"")</f>
        <v>382.5935999999999</v>
      </c>
      <c r="H23" s="8">
        <f>IF((H2&gt;0),(H3*H3),"")</f>
        <v>136.983616</v>
      </c>
      <c r="I23" s="8">
        <f>IF((I2&gt;0),(I3*I3),"")</f>
        <v>16.793604</v>
      </c>
      <c r="J23" s="8">
        <f>IF((J2&gt;0),(J3*J3),"")</f>
        <v>8.791224999999999</v>
      </c>
      <c r="K23" s="8">
        <f>IF((K2&gt;0),(K3*K3),"")</f>
        <v>4.592448999999999</v>
      </c>
      <c r="L23" s="8">
        <f>IF((L2&gt;0),(L3*L3),"")</f>
        <v>465.43747600000006</v>
      </c>
      <c r="M23" s="8">
        <f>IF((M2&gt;0),(M3*M3),"")</f>
        <v>0.007395999999999999</v>
      </c>
      <c r="N23" s="8">
        <f>IF((N2&gt;0),(N3*N3),"")</f>
        <v>194.212096</v>
      </c>
      <c r="O23" s="8">
        <f>IF((O2&gt;0),(O3*O3),"")</f>
        <v>66.78158400000001</v>
      </c>
      <c r="P23" s="8">
        <f>IF((P2&gt;0),(P3*P3),"")</f>
        <v>294.60289600000004</v>
      </c>
      <c r="Q23" s="8">
        <f>IF((Q2&gt;0),(Q3*Q3),"")</f>
        <v>16.785409000000005</v>
      </c>
      <c r="R23" s="8">
        <f>IF((R2&gt;0),(R3*R3),"")</f>
        <v>0.49420899999999995</v>
      </c>
      <c r="S23" s="8">
        <f>IF((S2&gt;0),(S3*S3),"")</f>
        <v>21.3444</v>
      </c>
      <c r="T23" s="8">
        <f>IF((T2&gt;0),(T3*T3),"")</f>
        <v>3.0800249999999996</v>
      </c>
      <c r="U23" s="8">
        <f>IF((U2&gt;0),(U3*U3),"")</f>
        <v>71.99522499999999</v>
      </c>
      <c r="V23" s="8">
        <f>IF((V2&gt;0),(V3*V3),"")</f>
        <v>9.024016</v>
      </c>
      <c r="W23" s="8">
        <f>IF((W2&gt;0),(W3*W3),"")</f>
        <v>10.647169</v>
      </c>
      <c r="X23" s="8">
        <f>IF((X2&gt;0),(X3*X3),"")</f>
        <v>9.815689</v>
      </c>
      <c r="Y23" s="8">
        <f>IF((Y2&gt;0),(Y3*Y3),"")</f>
        <v>11.075584</v>
      </c>
      <c r="Z23" s="8">
        <f>IF((Z2&gt;0),(Z3*Z3),"")</f>
        <v>23.677956</v>
      </c>
      <c r="AA23" s="8">
        <f>IF((AA2&gt;0),(AA3*AA3),"")</f>
        <v>192.876544</v>
      </c>
      <c r="AB23" s="8">
        <f>IF((AB2&gt;0),(AB3*AB3),"")</f>
        <v>0.253009</v>
      </c>
      <c r="AC23" s="8">
        <f>IF((AC2&gt;0),(AC3*AC3),"")</f>
        <v>69.15585600000001</v>
      </c>
      <c r="AD23" s="8">
        <f>IF((AD2&gt;0),(AD3*AD3),"")</f>
        <v>2.8628639999999996</v>
      </c>
      <c r="AE23" s="8">
        <f>IF((AE2&gt;0),(AE3*AE3),"")</f>
        <v>190.302025</v>
      </c>
      <c r="AF23" s="8">
        <f>IF((AF2&gt;0),(AF3*AF3),"")</f>
        <v>1.468944</v>
      </c>
      <c r="AG23" s="8">
        <f>IF((AG2&gt;0),(AG3*AG3),"")</f>
        <v>8.8804</v>
      </c>
      <c r="AH23" s="8">
        <f>IF((AH2&gt;0),(AH3*AH3),"")</f>
        <v>117.2889</v>
      </c>
      <c r="AI23" s="8">
        <f>IF((AI2&gt;0),(AI3*AI3),"")</f>
        <v>30.913599999999995</v>
      </c>
      <c r="AJ23" s="8">
        <f>IF((AJ2&gt;0),(AJ3*AJ3),"")</f>
        <v>25.130169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Evaluated trading days</t>
        </is>
      </c>
      <c r="B2" s="4">
        <f>SUM('Trading days'!$E$2:$E$101)</f>
        <v>1</v>
      </c>
    </row>
    <row r="3">
      <c r="A3" s="0" t="inlineStr">
        <is>
          <t xml:space="preserve">LLM pods</t>
        </is>
      </c>
      <c r="B3" s="4">
        <f>COUNTIFS('Pods'!$C$2:$C$36,"=llm",'Pods'!$E$2:$E$36,"&lt;&gt;")</f>
        <v>10</v>
      </c>
    </row>
    <row r="4">
      <c r="A4" s="0" t="inlineStr">
        <is>
          <t xml:space="preserve">Random pods</t>
        </is>
      </c>
      <c r="B4" s="4">
        <f>COUNTIFS('Pods'!$C$2:$C$36,"=random",'Pods'!$E$2:$E$36,"&lt;&gt;")</f>
        <v>20</v>
      </c>
    </row>
    <row r="5">
      <c r="A5" s="0" t="inlineStr">
        <is>
          <t xml:space="preserve">LLM pods: mean excess, bps/day</t>
        </is>
      </c>
      <c r="B5" s="8">
        <f>AVERAGE('Pod summary (leaderboard)'!G3:P3)</f>
        <v>1.3032000000000004</v>
      </c>
    </row>
    <row r="6">
      <c r="A6" s="0" t="inlineStr">
        <is>
          <t xml:space="preserve">LLM pods: best mean, bps/day</t>
        </is>
      </c>
      <c r="B6" s="8">
        <f>MAX('Pod summary (leaderboard)'!G3:P3)</f>
        <v>17.164</v>
      </c>
    </row>
    <row r="7">
      <c r="A7" s="0" t="inlineStr">
        <is>
          <t xml:space="preserve">LLM pods: best t-stat</t>
        </is>
      </c>
      <c r="B7" s="4">
        <f>MAX('Pod summary (leaderboard)'!G11:P11)</f>
      </c>
    </row>
    <row r="8">
      <c r="A8" s="0" t="inlineStr">
        <is>
          <t xml:space="preserve">Random pods: mean, bps/day</t>
        </is>
      </c>
      <c r="B8" s="8">
        <f>AVERAGE('Pod summary (leaderboard)'!Q3:AJ3)</f>
        <v>0.82685</v>
      </c>
    </row>
    <row r="9">
      <c r="A9" s="0" t="inlineStr">
        <is>
          <t xml:space="preserve">Random pods: mean of squared means</t>
        </is>
      </c>
      <c r="B9" s="8">
        <f>AVERAGE('Pod summary (leaderboard)'!Q23:AJ23)</f>
        <v>40.85359965</v>
      </c>
    </row>
    <row r="10">
      <c r="A10" s="0" t="inlineStr">
        <is>
          <t xml:space="preserve">Random pods: sd of means, bps/day</t>
        </is>
      </c>
      <c r="B10" s="8">
        <v>6.3379743394478965</v>
      </c>
    </row>
    <row r="11">
      <c r="A11" s="0" t="inlineStr">
        <is>
          <t xml:space="preserve">Random pods: best mean, bps/day</t>
        </is>
      </c>
      <c r="B11" s="8">
        <f>MAX('Pod summary (leaderboard)'!Q3:AJ3)</f>
        <v>13.888</v>
      </c>
    </row>
    <row r="12">
      <c r="A12" s="0" t="inlineStr">
        <is>
          <t xml:space="preserve">Random pods: best t-stat</t>
        </is>
      </c>
      <c r="B12" s="4">
        <f>MAX('Pod summary (leaderboard)'!Q11:AJ11)</f>
      </c>
    </row>
    <row r="13">
      <c r="A13" s="0" t="inlineStr">
        <is>
          <t xml:space="preserve">Naive pods: best mean, bps/day</t>
        </is>
      </c>
      <c r="B13" s="8">
        <f>MAX('Pod summary (leaderboard)'!B3:F3)</f>
        <v>13.654</v>
      </c>
    </row>
    <row r="14">
      <c r="A14" s="0" t="inlineStr">
        <is>
          <t xml:space="preserve">Pods meeting the skill bar</t>
        </is>
      </c>
      <c r="B14" s="4">
        <f>SUM('Pod summary (leaderboard)'!B16:AJ16)</f>
        <v>0</v>
      </c>
    </row>
    <row r="15">
      <c r="A15" s="0" t="inlineStr">
        <is>
          <t xml:space="preserve">LLM cost to date, $</t>
        </is>
      </c>
      <c r="B15" s="8">
        <f>SUM('Pod summary (leaderboard)'!B19:AJ19)</f>
        <v>0.97179068</v>
      </c>
    </row>
    <row r="16">
      <c r="A16" s="0" t="inlineStr">
        <is>
          <t xml:space="preserve">LLM cost per trading day, $</t>
        </is>
      </c>
      <c r="B16" s="8">
        <f>IF((SUM('Submissions'!$D$2:$D$71)&gt;0),(B15/(SUM('Submissions'!D2,'Submissions'!D3,'Submissions'!D4,'Submissions'!D5,'Submissions'!D6,'Submissions'!D7,'Submissions'!D8,'Submissions'!D9,'Submissions'!D10,'Submissions'!D11,'Submissions'!D12,'Submissions'!D13,'Submissions'!D14,'Submissions'!D15,'Submissions'!D16,'Submissions'!D17,'Submissions'!D18,'Submissions'!D19,'Submissions'!D20,'Submissions'!D21)/B3)),"")</f>
        <v>0.48589534</v>
      </c>
    </row>
    <row r="17">
      <c r="A17" s="0" t="inlineStr">
        <is>
          <t xml:space="preserve">FMP calls to date</t>
        </is>
      </c>
      <c r="B17" s="4">
        <f>SUMIFS('External API calls'!$D$2:$D$3,'External API calls'!$C$2:$C$3,"=fmp")</f>
        <v>16847</v>
      </c>
    </row>
    <row r="18">
      <c r="A18" s="0" t="inlineStr">
        <is>
          <t xml:space="preserve">Isolated pods: mean, bps/day</t>
        </is>
      </c>
      <c r="B18" s="8">
        <f>AVERAGE('Pod summary (leaderboard)'!M3,'Pod summary (leaderboard)'!P3)</f>
        <v>8.539000000000001</v>
      </c>
    </row>
    <row r="19">
      <c r="A19" s="0" t="inlineStr">
        <is>
          <t xml:space="preserve">Sharing pods: mean, bps/day</t>
        </is>
      </c>
      <c r="B19" s="8">
        <f>AVERAGE('Pod summary (leaderboard)'!G3,'Pod summary (leaderboard)'!H3,'Pod summary (leaderboard)'!I3,'Pod summary (leaderboard)'!J3,'Pod summary (leaderboard)'!K3,'Pod summary (leaderboard)'!L3,'Pod summary (leaderboard)'!N3,'Pod summary (leaderboard)'!O3)</f>
        <v>-0.5057499999999999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line</t>
        </is>
      </c>
      <c r="B1" s="1" t="inlineStr">
        <is>
          <t xml:space="preserve">09-22</t>
        </is>
      </c>
      <c r="C1" s="1" t="inlineStr">
        <is>
          <t xml:space="preserve">09-23</t>
        </is>
      </c>
      <c r="D1" s="1" t="inlineStr">
        <is>
          <t xml:space="preserve">09-24</t>
        </is>
      </c>
      <c r="E1" s="1" t="inlineStr">
        <is>
          <t xml:space="preserve">09-25</t>
        </is>
      </c>
      <c r="F1" s="1" t="inlineStr">
        <is>
          <t xml:space="preserve">09-28</t>
        </is>
      </c>
      <c r="G1" s="1" t="inlineStr">
        <is>
          <t xml:space="preserve">09-29</t>
        </is>
      </c>
      <c r="H1" s="1" t="inlineStr">
        <is>
          <t xml:space="preserve">09-30</t>
        </is>
      </c>
      <c r="I1" s="1" t="inlineStr">
        <is>
          <t xml:space="preserve">10-01</t>
        </is>
      </c>
      <c r="J1" s="1" t="inlineStr">
        <is>
          <t xml:space="preserve">10-02</t>
        </is>
      </c>
      <c r="K1" s="1" t="inlineStr">
        <is>
          <t xml:space="preserve">10-05</t>
        </is>
      </c>
      <c r="L1" s="1" t="inlineStr">
        <is>
          <t xml:space="preserve">10-06</t>
        </is>
      </c>
      <c r="M1" s="1" t="inlineStr">
        <is>
          <t xml:space="preserve">10-07</t>
        </is>
      </c>
      <c r="N1" s="1" t="inlineStr">
        <is>
          <t xml:space="preserve">10-08</t>
        </is>
      </c>
      <c r="O1" s="1" t="inlineStr">
        <is>
          <t xml:space="preserve">10-09</t>
        </is>
      </c>
      <c r="P1" s="1" t="inlineStr">
        <is>
          <t xml:space="preserve">10-12</t>
        </is>
      </c>
      <c r="Q1" s="1" t="inlineStr">
        <is>
          <t xml:space="preserve">10-13</t>
        </is>
      </c>
      <c r="R1" s="1" t="inlineStr">
        <is>
          <t xml:space="preserve">10-14</t>
        </is>
      </c>
      <c r="S1" s="1" t="inlineStr">
        <is>
          <t xml:space="preserve">10-15</t>
        </is>
      </c>
      <c r="T1" s="1" t="inlineStr">
        <is>
          <t xml:space="preserve">10-16</t>
        </is>
      </c>
      <c r="U1" s="1" t="inlineStr">
        <is>
          <t xml:space="preserve">10-19</t>
        </is>
      </c>
      <c r="V1" s="1" t="inlineStr">
        <is>
          <t xml:space="preserve">10-20</t>
        </is>
      </c>
      <c r="W1" s="1" t="inlineStr">
        <is>
          <t xml:space="preserve">10-21</t>
        </is>
      </c>
      <c r="X1" s="1" t="inlineStr">
        <is>
          <t xml:space="preserve">10-22</t>
        </is>
      </c>
      <c r="Y1" s="1" t="inlineStr">
        <is>
          <t xml:space="preserve">10-23</t>
        </is>
      </c>
      <c r="Z1" s="1" t="inlineStr">
        <is>
          <t xml:space="preserve">10-26</t>
        </is>
      </c>
      <c r="AA1" s="1" t="inlineStr">
        <is>
          <t xml:space="preserve">10-27</t>
        </is>
      </c>
      <c r="AB1" s="1" t="inlineStr">
        <is>
          <t xml:space="preserve">10-28</t>
        </is>
      </c>
      <c r="AC1" s="1" t="inlineStr">
        <is>
          <t xml:space="preserve">10-29</t>
        </is>
      </c>
      <c r="AD1" s="1" t="inlineStr">
        <is>
          <t xml:space="preserve">10-30</t>
        </is>
      </c>
      <c r="AE1" s="1" t="inlineStr">
        <is>
          <t xml:space="preserve">11-02</t>
        </is>
      </c>
      <c r="AF1" s="1" t="inlineStr">
        <is>
          <t xml:space="preserve">11-03</t>
        </is>
      </c>
      <c r="AG1" s="1" t="inlineStr">
        <is>
          <t xml:space="preserve">11-04</t>
        </is>
      </c>
      <c r="AH1" s="1" t="inlineStr">
        <is>
          <t xml:space="preserve">11-05</t>
        </is>
      </c>
      <c r="AI1" s="1" t="inlineStr">
        <is>
          <t xml:space="preserve">11-06</t>
        </is>
      </c>
      <c r="AJ1" s="1" t="inlineStr">
        <is>
          <t xml:space="preserve">11-09</t>
        </is>
      </c>
      <c r="AK1" s="1" t="inlineStr">
        <is>
          <t xml:space="preserve">11-10</t>
        </is>
      </c>
      <c r="AL1" s="1" t="inlineStr">
        <is>
          <t xml:space="preserve">11-11</t>
        </is>
      </c>
      <c r="AM1" s="1" t="inlineStr">
        <is>
          <t xml:space="preserve">11-12</t>
        </is>
      </c>
      <c r="AN1" s="1" t="inlineStr">
        <is>
          <t xml:space="preserve">11-13</t>
        </is>
      </c>
      <c r="AO1" s="1" t="inlineStr">
        <is>
          <t xml:space="preserve">11-16</t>
        </is>
      </c>
      <c r="AP1" s="1" t="inlineStr">
        <is>
          <t xml:space="preserve">11-17</t>
        </is>
      </c>
      <c r="AQ1" s="1" t="inlineStr">
        <is>
          <t xml:space="preserve">11-18</t>
        </is>
      </c>
      <c r="AR1" s="1" t="inlineStr">
        <is>
          <t xml:space="preserve">11-19</t>
        </is>
      </c>
      <c r="AS1" s="1" t="inlineStr">
        <is>
          <t xml:space="preserve">11-20</t>
        </is>
      </c>
      <c r="AT1" s="1" t="inlineStr">
        <is>
          <t xml:space="preserve">11-23</t>
        </is>
      </c>
      <c r="AU1" s="1" t="inlineStr">
        <is>
          <t xml:space="preserve">11-24</t>
        </is>
      </c>
      <c r="AV1" s="1" t="inlineStr">
        <is>
          <t xml:space="preserve">11-25</t>
        </is>
      </c>
      <c r="AW1" s="1" t="inlineStr">
        <is>
          <t xml:space="preserve">11-27</t>
        </is>
      </c>
      <c r="AX1" s="1" t="inlineStr">
        <is>
          <t xml:space="preserve">11-30</t>
        </is>
      </c>
      <c r="AY1" s="1" t="inlineStr">
        <is>
          <t xml:space="preserve">12-01</t>
        </is>
      </c>
      <c r="AZ1" s="1" t="inlineStr">
        <is>
          <t xml:space="preserve">12-02</t>
        </is>
      </c>
      <c r="BA1" s="1" t="inlineStr">
        <is>
          <t xml:space="preserve">12-03</t>
        </is>
      </c>
      <c r="BB1" s="1" t="inlineStr">
        <is>
          <t xml:space="preserve">12-04</t>
        </is>
      </c>
      <c r="BC1" s="1" t="inlineStr">
        <is>
          <t xml:space="preserve">12-07</t>
        </is>
      </c>
      <c r="BD1" s="1" t="inlineStr">
        <is>
          <t xml:space="preserve">12-08</t>
        </is>
      </c>
      <c r="BE1" s="1" t="inlineStr">
        <is>
          <t xml:space="preserve">12-09</t>
        </is>
      </c>
      <c r="BF1" s="1" t="inlineStr">
        <is>
          <t xml:space="preserve">12-10</t>
        </is>
      </c>
      <c r="BG1" s="1" t="inlineStr">
        <is>
          <t xml:space="preserve">12-11</t>
        </is>
      </c>
      <c r="BH1" s="1" t="inlineStr">
        <is>
          <t xml:space="preserve">12-14</t>
        </is>
      </c>
      <c r="BI1" s="1" t="inlineStr">
        <is>
          <t xml:space="preserve">12-15</t>
        </is>
      </c>
      <c r="BJ1" s="1" t="inlineStr">
        <is>
          <t xml:space="preserve">12-16</t>
        </is>
      </c>
      <c r="BK1" s="1" t="inlineStr">
        <is>
          <t xml:space="preserve">12-17</t>
        </is>
      </c>
      <c r="BL1" s="1" t="inlineStr">
        <is>
          <t xml:space="preserve">12-18</t>
        </is>
      </c>
      <c r="BM1" s="1" t="inlineStr">
        <is>
          <t xml:space="preserve">12-21</t>
        </is>
      </c>
      <c r="BN1" s="1" t="inlineStr">
        <is>
          <t xml:space="preserve">12-22</t>
        </is>
      </c>
      <c r="BO1" s="1" t="inlineStr">
        <is>
          <t xml:space="preserve">12-23</t>
        </is>
      </c>
      <c r="BP1" s="1" t="inlineStr">
        <is>
          <t xml:space="preserve">12-24</t>
        </is>
      </c>
      <c r="BQ1" s="1" t="inlineStr">
        <is>
          <t xml:space="preserve">12-28</t>
        </is>
      </c>
      <c r="BR1" s="1" t="inlineStr">
        <is>
          <t xml:space="preserve">12-29</t>
        </is>
      </c>
      <c r="BS1" s="1" t="inlineStr">
        <is>
          <t xml:space="preserve">12-30</t>
        </is>
      </c>
      <c r="BT1" s="1" t="inlineStr">
        <is>
          <t xml:space="preserve">12-31</t>
        </is>
      </c>
      <c r="BU1" s="1" t="inlineStr">
        <is>
          <t xml:space="preserve">01-04</t>
        </is>
      </c>
      <c r="BV1" s="1" t="inlineStr">
        <is>
          <t xml:space="preserve">01-05</t>
        </is>
      </c>
      <c r="BW1" s="1" t="inlineStr">
        <is>
          <t xml:space="preserve">01-06</t>
        </is>
      </c>
      <c r="BX1" s="1" t="inlineStr">
        <is>
          <t xml:space="preserve">01-07</t>
        </is>
      </c>
      <c r="BY1" s="1" t="inlineStr">
        <is>
          <t xml:space="preserve">01-08</t>
        </is>
      </c>
      <c r="BZ1" s="1" t="inlineStr">
        <is>
          <t xml:space="preserve">01-11</t>
        </is>
      </c>
      <c r="CA1" s="1" t="inlineStr">
        <is>
          <t xml:space="preserve">01-12</t>
        </is>
      </c>
      <c r="CB1" s="1" t="inlineStr">
        <is>
          <t xml:space="preserve">01-13</t>
        </is>
      </c>
      <c r="CC1" s="1" t="inlineStr">
        <is>
          <t xml:space="preserve">01-14</t>
        </is>
      </c>
      <c r="CD1" s="1" t="inlineStr">
        <is>
          <t xml:space="preserve">01-15</t>
        </is>
      </c>
      <c r="CE1" s="1" t="inlineStr">
        <is>
          <t xml:space="preserve">01-19</t>
        </is>
      </c>
      <c r="CF1" s="1" t="inlineStr">
        <is>
          <t xml:space="preserve">01-20</t>
        </is>
      </c>
      <c r="CG1" s="1" t="inlineStr">
        <is>
          <t xml:space="preserve">01-21</t>
        </is>
      </c>
      <c r="CH1" s="1" t="inlineStr">
        <is>
          <t xml:space="preserve">01-22</t>
        </is>
      </c>
      <c r="CI1" s="1" t="inlineStr">
        <is>
          <t xml:space="preserve">01-25</t>
        </is>
      </c>
      <c r="CJ1" s="1" t="inlineStr">
        <is>
          <t xml:space="preserve">01-26</t>
        </is>
      </c>
      <c r="CK1" s="1" t="inlineStr">
        <is>
          <t xml:space="preserve">01-27</t>
        </is>
      </c>
      <c r="CL1" s="1" t="inlineStr">
        <is>
          <t xml:space="preserve">01-28</t>
        </is>
      </c>
      <c r="CM1" s="1" t="inlineStr">
        <is>
          <t xml:space="preserve">01-29</t>
        </is>
      </c>
      <c r="CN1" s="1" t="inlineStr">
        <is>
          <t xml:space="preserve">02-01</t>
        </is>
      </c>
      <c r="CO1" s="1" t="inlineStr">
        <is>
          <t xml:space="preserve">02-02</t>
        </is>
      </c>
      <c r="CP1" s="1" t="inlineStr">
        <is>
          <t xml:space="preserve">02-03</t>
        </is>
      </c>
      <c r="CQ1" s="1" t="inlineStr">
        <is>
          <t xml:space="preserve">02-04</t>
        </is>
      </c>
      <c r="CR1" s="1" t="inlineStr">
        <is>
          <t xml:space="preserve">02-05</t>
        </is>
      </c>
      <c r="CS1" s="1" t="inlineStr">
        <is>
          <t xml:space="preserve">02-08</t>
        </is>
      </c>
      <c r="CT1" s="1" t="inlineStr">
        <is>
          <t xml:space="preserve">02-09</t>
        </is>
      </c>
      <c r="CU1" s="1" t="inlineStr">
        <is>
          <t xml:space="preserve">02-10</t>
        </is>
      </c>
      <c r="CV1" s="1" t="inlineStr">
        <is>
          <t xml:space="preserve">02-11</t>
        </is>
      </c>
      <c r="CW1" s="1" t="inlineStr">
        <is>
          <t xml:space="preserve">02-12</t>
        </is>
      </c>
    </row>
    <row r="2">
      <c r="A2" s="0" t="inlineStr">
        <is>
          <t xml:space="preserve">LLM pods: average excess, bps</t>
        </is>
      </c>
      <c r="B2" s="8">
        <f>IF((1=1),AVERAGE('Pod by trading day'!C7:C16),"")</f>
        <v>1.3032000000000004</v>
      </c>
      <c r="C2" s="8">
        <f>IF((0=1),AVERAGE('Pod by trading day'!D7:D16),"")</f>
      </c>
      <c r="D2" s="8">
        <f>IF((0=1),AVERAGE('Pod by trading day'!E7:E16),"")</f>
      </c>
      <c r="E2" s="8">
        <f>IF((0=1),AVERAGE('Pod by trading day'!F7:F16),"")</f>
      </c>
      <c r="F2" s="8">
        <f>IF((0=1),AVERAGE('Pod by trading day'!G7:G16),"")</f>
      </c>
      <c r="G2" s="8">
        <f>IF((0=1),AVERAGE('Pod by trading day'!H7:H16),"")</f>
      </c>
      <c r="H2" s="8">
        <f>IF((0=1),AVERAGE('Pod by trading day'!I7:I16),"")</f>
      </c>
      <c r="I2" s="8">
        <f>IF((0=1),AVERAGE('Pod by trading day'!J7:J16),"")</f>
      </c>
      <c r="J2" s="8">
        <f>IF((0=1),AVERAGE('Pod by trading day'!K7:K16),"")</f>
      </c>
      <c r="K2" s="8">
        <f>IF((0=1),AVERAGE('Pod by trading day'!L7:L16),"")</f>
      </c>
      <c r="L2" s="8">
        <f>IF((0=1),AVERAGE('Pod by trading day'!M7:M16),"")</f>
      </c>
      <c r="M2" s="8">
        <f>IF((0=1),AVERAGE('Pod by trading day'!N7:N16),"")</f>
      </c>
      <c r="N2" s="8">
        <f>IF((0=1),AVERAGE('Pod by trading day'!O7:O16),"")</f>
      </c>
      <c r="O2" s="8">
        <f>IF((0=1),AVERAGE('Pod by trading day'!P7:P16),"")</f>
      </c>
      <c r="P2" s="8">
        <f>IF((0=1),AVERAGE('Pod by trading day'!Q7:Q16),"")</f>
      </c>
      <c r="Q2" s="8">
        <f>IF((0=1),AVERAGE('Pod by trading day'!R7:R16),"")</f>
      </c>
      <c r="R2" s="8">
        <f>IF((0=1),AVERAGE('Pod by trading day'!S7:S16),"")</f>
      </c>
      <c r="S2" s="8">
        <f>IF((0=1),AVERAGE('Pod by trading day'!T7:T16),"")</f>
      </c>
      <c r="T2" s="8">
        <f>IF((0=1),AVERAGE('Pod by trading day'!U7:U16),"")</f>
      </c>
      <c r="U2" s="8">
        <f>IF((0=1),AVERAGE('Pod by trading day'!V7:V16),"")</f>
      </c>
      <c r="V2" s="8">
        <f>IF((0=1),AVERAGE('Pod by trading day'!W7:W16),"")</f>
      </c>
      <c r="W2" s="8">
        <f>IF((0=1),AVERAGE('Pod by trading day'!X7:X16),"")</f>
      </c>
      <c r="X2" s="8">
        <f>IF((0=1),AVERAGE('Pod by trading day'!Y7:Y16),"")</f>
      </c>
      <c r="Y2" s="8">
        <f>IF((0=1),AVERAGE('Pod by trading day'!Z7:Z16),"")</f>
      </c>
      <c r="Z2" s="8">
        <f>IF((0=1),AVERAGE('Pod by trading day'!AA7:AA16),"")</f>
      </c>
      <c r="AA2" s="8">
        <f>IF((0=1),AVERAGE('Pod by trading day'!AB7:AB16),"")</f>
      </c>
      <c r="AB2" s="8">
        <f>IF((0=1),AVERAGE('Pod by trading day'!AC7:AC16),"")</f>
      </c>
      <c r="AC2" s="8">
        <f>IF((0=1),AVERAGE('Pod by trading day'!AD7:AD16),"")</f>
      </c>
      <c r="AD2" s="8">
        <f>IF((0=1),AVERAGE('Pod by trading day'!AE7:AE16),"")</f>
      </c>
      <c r="AE2" s="8">
        <f>IF((0=1),AVERAGE('Pod by trading day'!AF7:AF16),"")</f>
      </c>
      <c r="AF2" s="8">
        <f>IF((0=1),AVERAGE('Pod by trading day'!AG7:AG16),"")</f>
      </c>
      <c r="AG2" s="8">
        <f>IF((0=1),AVERAGE('Pod by trading day'!AH7:AH16),"")</f>
      </c>
      <c r="AH2" s="8">
        <f>IF((0=1),AVERAGE('Pod by trading day'!AI7:AI16),"")</f>
      </c>
      <c r="AI2" s="8">
        <f>IF((0=1),AVERAGE('Pod by trading day'!AJ7:AJ16),"")</f>
      </c>
      <c r="AJ2" s="8">
        <f>IF((0=1),AVERAGE('Pod by trading day'!AK7:AK16),"")</f>
      </c>
      <c r="AK2" s="8">
        <f>IF((0=1),AVERAGE('Pod by trading day'!AL7:AL16),"")</f>
      </c>
      <c r="AL2" s="8">
        <f>IF((0=1),AVERAGE('Pod by trading day'!AM7:AM16),"")</f>
      </c>
      <c r="AM2" s="8">
        <f>IF((0=1),AVERAGE('Pod by trading day'!AN7:AN16),"")</f>
      </c>
      <c r="AN2" s="8">
        <f>IF((0=1),AVERAGE('Pod by trading day'!AO7:AO16),"")</f>
      </c>
      <c r="AO2" s="8">
        <f>IF((0=1),AVERAGE('Pod by trading day'!AP7:AP16),"")</f>
      </c>
      <c r="AP2" s="8">
        <f>IF((0=1),AVERAGE('Pod by trading day'!AQ7:AQ16),"")</f>
      </c>
      <c r="AQ2" s="8">
        <f>IF((0=1),AVERAGE('Pod by trading day'!AR7:AR16),"")</f>
      </c>
      <c r="AR2" s="8">
        <f>IF((0=1),AVERAGE('Pod by trading day'!AS7:AS16),"")</f>
      </c>
      <c r="AS2" s="8">
        <f>IF((0=1),AVERAGE('Pod by trading day'!AT7:AT16),"")</f>
      </c>
      <c r="AT2" s="8">
        <f>IF((0=1),AVERAGE('Pod by trading day'!AU7:AU16),"")</f>
      </c>
      <c r="AU2" s="8">
        <f>IF((0=1),AVERAGE('Pod by trading day'!AV7:AV16),"")</f>
      </c>
      <c r="AV2" s="8">
        <f>IF((0=1),AVERAGE('Pod by trading day'!AW7:AW16),"")</f>
      </c>
      <c r="AW2" s="8">
        <f>IF((0=1),AVERAGE('Pod by trading day'!AX7:AX16),"")</f>
      </c>
      <c r="AX2" s="8">
        <f>IF((0=1),AVERAGE('Pod by trading day'!AY7:AY16),"")</f>
      </c>
      <c r="AY2" s="8">
        <f>IF((0=1),AVERAGE('Pod by trading day'!AZ7:AZ16),"")</f>
      </c>
      <c r="AZ2" s="8">
        <f>IF((0=1),AVERAGE('Pod by trading day'!BA7:BA16),"")</f>
      </c>
      <c r="BA2" s="8">
        <f>IF((0=1),AVERAGE('Pod by trading day'!BB7:BB16),"")</f>
      </c>
      <c r="BB2" s="8">
        <f>IF((0=1),AVERAGE('Pod by trading day'!BC7:BC16),"")</f>
      </c>
      <c r="BC2" s="8">
        <f>IF((0=1),AVERAGE('Pod by trading day'!BD7:BD16),"")</f>
      </c>
      <c r="BD2" s="8">
        <f>IF((0=1),AVERAGE('Pod by trading day'!BE7:BE16),"")</f>
      </c>
      <c r="BE2" s="8">
        <f>IF((0=1),AVERAGE('Pod by trading day'!BF7:BF16),"")</f>
      </c>
      <c r="BF2" s="8">
        <f>IF((0=1),AVERAGE('Pod by trading day'!BG7:BG16),"")</f>
      </c>
      <c r="BG2" s="8">
        <f>IF((0=1),AVERAGE('Pod by trading day'!BH7:BH16),"")</f>
      </c>
      <c r="BH2" s="8">
        <f>IF((0=1),AVERAGE('Pod by trading day'!BI7:BI16),"")</f>
      </c>
      <c r="BI2" s="8">
        <f>IF((0=1),AVERAGE('Pod by trading day'!BJ7:BJ16),"")</f>
      </c>
      <c r="BJ2" s="8">
        <f>IF((0=1),AVERAGE('Pod by trading day'!BK7:BK16),"")</f>
      </c>
      <c r="BK2" s="8">
        <f>IF((0=1),AVERAGE('Pod by trading day'!BL7:BL16),"")</f>
      </c>
      <c r="BL2" s="8">
        <f>IF((0=1),AVERAGE('Pod by trading day'!BM7:BM16),"")</f>
      </c>
      <c r="BM2" s="8">
        <f>IF((0=1),AVERAGE('Pod by trading day'!BN7:BN16),"")</f>
      </c>
      <c r="BN2" s="8">
        <f>IF((0=1),AVERAGE('Pod by trading day'!BO7:BO16),"")</f>
      </c>
      <c r="BO2" s="8">
        <f>IF((0=1),AVERAGE('Pod by trading day'!BP7:BP16),"")</f>
      </c>
      <c r="BP2" s="8">
        <f>IF((0=1),AVERAGE('Pod by trading day'!BQ7:BQ16),"")</f>
      </c>
      <c r="BQ2" s="8">
        <f>IF((0=1),AVERAGE('Pod by trading day'!BR7:BR16),"")</f>
      </c>
      <c r="BR2" s="8">
        <f>IF((0=1),AVERAGE('Pod by trading day'!BS7:BS16),"")</f>
      </c>
      <c r="BS2" s="8">
        <f>IF((0=1),AVERAGE('Pod by trading day'!BT7:BT16),"")</f>
      </c>
      <c r="BT2" s="8">
        <f>IF((0=1),AVERAGE('Pod by trading day'!BU7:BU16),"")</f>
      </c>
      <c r="BU2" s="8">
        <f>IF((0=1),AVERAGE('Pod by trading day'!BV7:BV16),"")</f>
      </c>
      <c r="BV2" s="8">
        <f>IF((0=1),AVERAGE('Pod by trading day'!BW7:BW16),"")</f>
      </c>
      <c r="BW2" s="8">
        <f>IF((0=1),AVERAGE('Pod by trading day'!BX7:BX16),"")</f>
      </c>
      <c r="BX2" s="8">
        <f>IF((0=1),AVERAGE('Pod by trading day'!BY7:BY16),"")</f>
      </c>
      <c r="BY2" s="8">
        <f>IF((0=1),AVERAGE('Pod by trading day'!BZ7:BZ16),"")</f>
      </c>
      <c r="BZ2" s="8">
        <f>IF((0=1),AVERAGE('Pod by trading day'!CA7:CA16),"")</f>
      </c>
      <c r="CA2" s="8">
        <f>IF((0=1),AVERAGE('Pod by trading day'!CB7:CB16),"")</f>
      </c>
      <c r="CB2" s="8">
        <f>IF((0=1),AVERAGE('Pod by trading day'!CC7:CC16),"")</f>
      </c>
      <c r="CC2" s="8">
        <f>IF((0=1),AVERAGE('Pod by trading day'!CD7:CD16),"")</f>
      </c>
      <c r="CD2" s="8">
        <f>IF((0=1),AVERAGE('Pod by trading day'!CE7:CE16),"")</f>
      </c>
      <c r="CE2" s="8">
        <f>IF((0=1),AVERAGE('Pod by trading day'!CF7:CF16),"")</f>
      </c>
      <c r="CF2" s="8">
        <f>IF((0=1),AVERAGE('Pod by trading day'!CG7:CG16),"")</f>
      </c>
      <c r="CG2" s="8">
        <f>IF((0=1),AVERAGE('Pod by trading day'!CH7:CH16),"")</f>
      </c>
      <c r="CH2" s="8">
        <f>IF((0=1),AVERAGE('Pod by trading day'!CI7:CI16),"")</f>
      </c>
      <c r="CI2" s="8">
        <f>IF((0=1),AVERAGE('Pod by trading day'!CJ7:CJ16),"")</f>
      </c>
      <c r="CJ2" s="8">
        <f>IF((0=1),AVERAGE('Pod by trading day'!CK7:CK16),"")</f>
      </c>
      <c r="CK2" s="8">
        <f>IF((0=1),AVERAGE('Pod by trading day'!CL7:CL16),"")</f>
      </c>
      <c r="CL2" s="8">
        <f>IF((0=1),AVERAGE('Pod by trading day'!CM7:CM16),"")</f>
      </c>
      <c r="CM2" s="8">
        <f>IF((0=1),AVERAGE('Pod by trading day'!CN7:CN16),"")</f>
      </c>
      <c r="CN2" s="8">
        <f>IF((0=1),AVERAGE('Pod by trading day'!CO7:CO16),"")</f>
      </c>
      <c r="CO2" s="8">
        <f>IF((0=1),AVERAGE('Pod by trading day'!CP7:CP16),"")</f>
      </c>
      <c r="CP2" s="8">
        <f>IF((0=1),AVERAGE('Pod by trading day'!CQ7:CQ16),"")</f>
      </c>
      <c r="CQ2" s="8">
        <f>IF((0=1),AVERAGE('Pod by trading day'!CR7:CR16),"")</f>
      </c>
      <c r="CR2" s="8">
        <f>IF((0=1),AVERAGE('Pod by trading day'!CS7:CS16),"")</f>
      </c>
      <c r="CS2" s="8">
        <f>IF((0=1),AVERAGE('Pod by trading day'!CT7:CT16),"")</f>
      </c>
      <c r="CT2" s="8">
        <f>IF((0=1),AVERAGE('Pod by trading day'!CU7:CU16),"")</f>
      </c>
      <c r="CU2" s="8">
        <f>IF((0=1),AVERAGE('Pod by trading day'!CV7:CV16),"")</f>
      </c>
      <c r="CV2" s="8">
        <f>IF((0=1),AVERAGE('Pod by trading day'!CW7:CW16),"")</f>
      </c>
      <c r="CW2" s="8">
        <f>IF((0=1),AVERAGE('Pod by trading day'!CX7:CX16),"")</f>
      </c>
    </row>
    <row r="3">
      <c r="A3" s="0" t="inlineStr">
        <is>
          <t xml:space="preserve">LLM pods: best pod, bps</t>
        </is>
      </c>
      <c r="B3" s="8">
        <f>IF((1=1),MAX('Pod by trading day'!C7:C16),"")</f>
        <v>17.164</v>
      </c>
      <c r="C3" s="8">
        <f>IF((0=1),MAX('Pod by trading day'!D7:D16),"")</f>
      </c>
      <c r="D3" s="8">
        <f>IF((0=1),MAX('Pod by trading day'!E7:E16),"")</f>
      </c>
      <c r="E3" s="8">
        <f>IF((0=1),MAX('Pod by trading day'!F7:F16),"")</f>
      </c>
      <c r="F3" s="8">
        <f>IF((0=1),MAX('Pod by trading day'!G7:G16),"")</f>
      </c>
      <c r="G3" s="8">
        <f>IF((0=1),MAX('Pod by trading day'!H7:H16),"")</f>
      </c>
      <c r="H3" s="8">
        <f>IF((0=1),MAX('Pod by trading day'!I7:I16),"")</f>
      </c>
      <c r="I3" s="8">
        <f>IF((0=1),MAX('Pod by trading day'!J7:J16),"")</f>
      </c>
      <c r="J3" s="8">
        <f>IF((0=1),MAX('Pod by trading day'!K7:K16),"")</f>
      </c>
      <c r="K3" s="8">
        <f>IF((0=1),MAX('Pod by trading day'!L7:L16),"")</f>
      </c>
      <c r="L3" s="8">
        <f>IF((0=1),MAX('Pod by trading day'!M7:M16),"")</f>
      </c>
      <c r="M3" s="8">
        <f>IF((0=1),MAX('Pod by trading day'!N7:N16),"")</f>
      </c>
      <c r="N3" s="8">
        <f>IF((0=1),MAX('Pod by trading day'!O7:O16),"")</f>
      </c>
      <c r="O3" s="8">
        <f>IF((0=1),MAX('Pod by trading day'!P7:P16),"")</f>
      </c>
      <c r="P3" s="8">
        <f>IF((0=1),MAX('Pod by trading day'!Q7:Q16),"")</f>
      </c>
      <c r="Q3" s="8">
        <f>IF((0=1),MAX('Pod by trading day'!R7:R16),"")</f>
      </c>
      <c r="R3" s="8">
        <f>IF((0=1),MAX('Pod by trading day'!S7:S16),"")</f>
      </c>
      <c r="S3" s="8">
        <f>IF((0=1),MAX('Pod by trading day'!T7:T16),"")</f>
      </c>
      <c r="T3" s="8">
        <f>IF((0=1),MAX('Pod by trading day'!U7:U16),"")</f>
      </c>
      <c r="U3" s="8">
        <f>IF((0=1),MAX('Pod by trading day'!V7:V16),"")</f>
      </c>
      <c r="V3" s="8">
        <f>IF((0=1),MAX('Pod by trading day'!W7:W16),"")</f>
      </c>
      <c r="W3" s="8">
        <f>IF((0=1),MAX('Pod by trading day'!X7:X16),"")</f>
      </c>
      <c r="X3" s="8">
        <f>IF((0=1),MAX('Pod by trading day'!Y7:Y16),"")</f>
      </c>
      <c r="Y3" s="8">
        <f>IF((0=1),MAX('Pod by trading day'!Z7:Z16),"")</f>
      </c>
      <c r="Z3" s="8">
        <f>IF((0=1),MAX('Pod by trading day'!AA7:AA16),"")</f>
      </c>
      <c r="AA3" s="8">
        <f>IF((0=1),MAX('Pod by trading day'!AB7:AB16),"")</f>
      </c>
      <c r="AB3" s="8">
        <f>IF((0=1),MAX('Pod by trading day'!AC7:AC16),"")</f>
      </c>
      <c r="AC3" s="8">
        <f>IF((0=1),MAX('Pod by trading day'!AD7:AD16),"")</f>
      </c>
      <c r="AD3" s="8">
        <f>IF((0=1),MAX('Pod by trading day'!AE7:AE16),"")</f>
      </c>
      <c r="AE3" s="8">
        <f>IF((0=1),MAX('Pod by trading day'!AF7:AF16),"")</f>
      </c>
      <c r="AF3" s="8">
        <f>IF((0=1),MAX('Pod by trading day'!AG7:AG16),"")</f>
      </c>
      <c r="AG3" s="8">
        <f>IF((0=1),MAX('Pod by trading day'!AH7:AH16),"")</f>
      </c>
      <c r="AH3" s="8">
        <f>IF((0=1),MAX('Pod by trading day'!AI7:AI16),"")</f>
      </c>
      <c r="AI3" s="8">
        <f>IF((0=1),MAX('Pod by trading day'!AJ7:AJ16),"")</f>
      </c>
      <c r="AJ3" s="8">
        <f>IF((0=1),MAX('Pod by trading day'!AK7:AK16),"")</f>
      </c>
      <c r="AK3" s="8">
        <f>IF((0=1),MAX('Pod by trading day'!AL7:AL16),"")</f>
      </c>
      <c r="AL3" s="8">
        <f>IF((0=1),MAX('Pod by trading day'!AM7:AM16),"")</f>
      </c>
      <c r="AM3" s="8">
        <f>IF((0=1),MAX('Pod by trading day'!AN7:AN16),"")</f>
      </c>
      <c r="AN3" s="8">
        <f>IF((0=1),MAX('Pod by trading day'!AO7:AO16),"")</f>
      </c>
      <c r="AO3" s="8">
        <f>IF((0=1),MAX('Pod by trading day'!AP7:AP16),"")</f>
      </c>
      <c r="AP3" s="8">
        <f>IF((0=1),MAX('Pod by trading day'!AQ7:AQ16),"")</f>
      </c>
      <c r="AQ3" s="8">
        <f>IF((0=1),MAX('Pod by trading day'!AR7:AR16),"")</f>
      </c>
      <c r="AR3" s="8">
        <f>IF((0=1),MAX('Pod by trading day'!AS7:AS16),"")</f>
      </c>
      <c r="AS3" s="8">
        <f>IF((0=1),MAX('Pod by trading day'!AT7:AT16),"")</f>
      </c>
      <c r="AT3" s="8">
        <f>IF((0=1),MAX('Pod by trading day'!AU7:AU16),"")</f>
      </c>
      <c r="AU3" s="8">
        <f>IF((0=1),MAX('Pod by trading day'!AV7:AV16),"")</f>
      </c>
      <c r="AV3" s="8">
        <f>IF((0=1),MAX('Pod by trading day'!AW7:AW16),"")</f>
      </c>
      <c r="AW3" s="8">
        <f>IF((0=1),MAX('Pod by trading day'!AX7:AX16),"")</f>
      </c>
      <c r="AX3" s="8">
        <f>IF((0=1),MAX('Pod by trading day'!AY7:AY16),"")</f>
      </c>
      <c r="AY3" s="8">
        <f>IF((0=1),MAX('Pod by trading day'!AZ7:AZ16),"")</f>
      </c>
      <c r="AZ3" s="8">
        <f>IF((0=1),MAX('Pod by trading day'!BA7:BA16),"")</f>
      </c>
      <c r="BA3" s="8">
        <f>IF((0=1),MAX('Pod by trading day'!BB7:BB16),"")</f>
      </c>
      <c r="BB3" s="8">
        <f>IF((0=1),MAX('Pod by trading day'!BC7:BC16),"")</f>
      </c>
      <c r="BC3" s="8">
        <f>IF((0=1),MAX('Pod by trading day'!BD7:BD16),"")</f>
      </c>
      <c r="BD3" s="8">
        <f>IF((0=1),MAX('Pod by trading day'!BE7:BE16),"")</f>
      </c>
      <c r="BE3" s="8">
        <f>IF((0=1),MAX('Pod by trading day'!BF7:BF16),"")</f>
      </c>
      <c r="BF3" s="8">
        <f>IF((0=1),MAX('Pod by trading day'!BG7:BG16),"")</f>
      </c>
      <c r="BG3" s="8">
        <f>IF((0=1),MAX('Pod by trading day'!BH7:BH16),"")</f>
      </c>
      <c r="BH3" s="8">
        <f>IF((0=1),MAX('Pod by trading day'!BI7:BI16),"")</f>
      </c>
      <c r="BI3" s="8">
        <f>IF((0=1),MAX('Pod by trading day'!BJ7:BJ16),"")</f>
      </c>
      <c r="BJ3" s="8">
        <f>IF((0=1),MAX('Pod by trading day'!BK7:BK16),"")</f>
      </c>
      <c r="BK3" s="8">
        <f>IF((0=1),MAX('Pod by trading day'!BL7:BL16),"")</f>
      </c>
      <c r="BL3" s="8">
        <f>IF((0=1),MAX('Pod by trading day'!BM7:BM16),"")</f>
      </c>
      <c r="BM3" s="8">
        <f>IF((0=1),MAX('Pod by trading day'!BN7:BN16),"")</f>
      </c>
      <c r="BN3" s="8">
        <f>IF((0=1),MAX('Pod by trading day'!BO7:BO16),"")</f>
      </c>
      <c r="BO3" s="8">
        <f>IF((0=1),MAX('Pod by trading day'!BP7:BP16),"")</f>
      </c>
      <c r="BP3" s="8">
        <f>IF((0=1),MAX('Pod by trading day'!BQ7:BQ16),"")</f>
      </c>
      <c r="BQ3" s="8">
        <f>IF((0=1),MAX('Pod by trading day'!BR7:BR16),"")</f>
      </c>
      <c r="BR3" s="8">
        <f>IF((0=1),MAX('Pod by trading day'!BS7:BS16),"")</f>
      </c>
      <c r="BS3" s="8">
        <f>IF((0=1),MAX('Pod by trading day'!BT7:BT16),"")</f>
      </c>
      <c r="BT3" s="8">
        <f>IF((0=1),MAX('Pod by trading day'!BU7:BU16),"")</f>
      </c>
      <c r="BU3" s="8">
        <f>IF((0=1),MAX('Pod by trading day'!BV7:BV16),"")</f>
      </c>
      <c r="BV3" s="8">
        <f>IF((0=1),MAX('Pod by trading day'!BW7:BW16),"")</f>
      </c>
      <c r="BW3" s="8">
        <f>IF((0=1),MAX('Pod by trading day'!BX7:BX16),"")</f>
      </c>
      <c r="BX3" s="8">
        <f>IF((0=1),MAX('Pod by trading day'!BY7:BY16),"")</f>
      </c>
      <c r="BY3" s="8">
        <f>IF((0=1),MAX('Pod by trading day'!BZ7:BZ16),"")</f>
      </c>
      <c r="BZ3" s="8">
        <f>IF((0=1),MAX('Pod by trading day'!CA7:CA16),"")</f>
      </c>
      <c r="CA3" s="8">
        <f>IF((0=1),MAX('Pod by trading day'!CB7:CB16),"")</f>
      </c>
      <c r="CB3" s="8">
        <f>IF((0=1),MAX('Pod by trading day'!CC7:CC16),"")</f>
      </c>
      <c r="CC3" s="8">
        <f>IF((0=1),MAX('Pod by trading day'!CD7:CD16),"")</f>
      </c>
      <c r="CD3" s="8">
        <f>IF((0=1),MAX('Pod by trading day'!CE7:CE16),"")</f>
      </c>
      <c r="CE3" s="8">
        <f>IF((0=1),MAX('Pod by trading day'!CF7:CF16),"")</f>
      </c>
      <c r="CF3" s="8">
        <f>IF((0=1),MAX('Pod by trading day'!CG7:CG16),"")</f>
      </c>
      <c r="CG3" s="8">
        <f>IF((0=1),MAX('Pod by trading day'!CH7:CH16),"")</f>
      </c>
      <c r="CH3" s="8">
        <f>IF((0=1),MAX('Pod by trading day'!CI7:CI16),"")</f>
      </c>
      <c r="CI3" s="8">
        <f>IF((0=1),MAX('Pod by trading day'!CJ7:CJ16),"")</f>
      </c>
      <c r="CJ3" s="8">
        <f>IF((0=1),MAX('Pod by trading day'!CK7:CK16),"")</f>
      </c>
      <c r="CK3" s="8">
        <f>IF((0=1),MAX('Pod by trading day'!CL7:CL16),"")</f>
      </c>
      <c r="CL3" s="8">
        <f>IF((0=1),MAX('Pod by trading day'!CM7:CM16),"")</f>
      </c>
      <c r="CM3" s="8">
        <f>IF((0=1),MAX('Pod by trading day'!CN7:CN16),"")</f>
      </c>
      <c r="CN3" s="8">
        <f>IF((0=1),MAX('Pod by trading day'!CO7:CO16),"")</f>
      </c>
      <c r="CO3" s="8">
        <f>IF((0=1),MAX('Pod by trading day'!CP7:CP16),"")</f>
      </c>
      <c r="CP3" s="8">
        <f>IF((0=1),MAX('Pod by trading day'!CQ7:CQ16),"")</f>
      </c>
      <c r="CQ3" s="8">
        <f>IF((0=1),MAX('Pod by trading day'!CR7:CR16),"")</f>
      </c>
      <c r="CR3" s="8">
        <f>IF((0=1),MAX('Pod by trading day'!CS7:CS16),"")</f>
      </c>
      <c r="CS3" s="8">
        <f>IF((0=1),MAX('Pod by trading day'!CT7:CT16),"")</f>
      </c>
      <c r="CT3" s="8">
        <f>IF((0=1),MAX('Pod by trading day'!CU7:CU16),"")</f>
      </c>
      <c r="CU3" s="8">
        <f>IF((0=1),MAX('Pod by trading day'!CV7:CV16),"")</f>
      </c>
      <c r="CV3" s="8">
        <f>IF((0=1),MAX('Pod by trading day'!CW7:CW16),"")</f>
      </c>
      <c r="CW3" s="8">
        <f>IF((0=1),MAX('Pod by trading day'!CX7:CX16),"")</f>
      </c>
    </row>
    <row r="4">
      <c r="A4" s="0" t="inlineStr">
        <is>
          <t xml:space="preserve">LLM pods: worst pod, bps</t>
        </is>
      </c>
      <c r="B4" s="8">
        <f>IF((1=1),MIN('Pod by trading day'!C7:C16),"")</f>
        <v>-21.574</v>
      </c>
      <c r="C4" s="8">
        <f>IF((0=1),MIN('Pod by trading day'!D7:D16),"")</f>
      </c>
      <c r="D4" s="8">
        <f>IF((0=1),MIN('Pod by trading day'!E7:E16),"")</f>
      </c>
      <c r="E4" s="8">
        <f>IF((0=1),MIN('Pod by trading day'!F7:F16),"")</f>
      </c>
      <c r="F4" s="8">
        <f>IF((0=1),MIN('Pod by trading day'!G7:G16),"")</f>
      </c>
      <c r="G4" s="8">
        <f>IF((0=1),MIN('Pod by trading day'!H7:H16),"")</f>
      </c>
      <c r="H4" s="8">
        <f>IF((0=1),MIN('Pod by trading day'!I7:I16),"")</f>
      </c>
      <c r="I4" s="8">
        <f>IF((0=1),MIN('Pod by trading day'!J7:J16),"")</f>
      </c>
      <c r="J4" s="8">
        <f>IF((0=1),MIN('Pod by trading day'!K7:K16),"")</f>
      </c>
      <c r="K4" s="8">
        <f>IF((0=1),MIN('Pod by trading day'!L7:L16),"")</f>
      </c>
      <c r="L4" s="8">
        <f>IF((0=1),MIN('Pod by trading day'!M7:M16),"")</f>
      </c>
      <c r="M4" s="8">
        <f>IF((0=1),MIN('Pod by trading day'!N7:N16),"")</f>
      </c>
      <c r="N4" s="8">
        <f>IF((0=1),MIN('Pod by trading day'!O7:O16),"")</f>
      </c>
      <c r="O4" s="8">
        <f>IF((0=1),MIN('Pod by trading day'!P7:P16),"")</f>
      </c>
      <c r="P4" s="8">
        <f>IF((0=1),MIN('Pod by trading day'!Q7:Q16),"")</f>
      </c>
      <c r="Q4" s="8">
        <f>IF((0=1),MIN('Pod by trading day'!R7:R16),"")</f>
      </c>
      <c r="R4" s="8">
        <f>IF((0=1),MIN('Pod by trading day'!S7:S16),"")</f>
      </c>
      <c r="S4" s="8">
        <f>IF((0=1),MIN('Pod by trading day'!T7:T16),"")</f>
      </c>
      <c r="T4" s="8">
        <f>IF((0=1),MIN('Pod by trading day'!U7:U16),"")</f>
      </c>
      <c r="U4" s="8">
        <f>IF((0=1),MIN('Pod by trading day'!V7:V16),"")</f>
      </c>
      <c r="V4" s="8">
        <f>IF((0=1),MIN('Pod by trading day'!W7:W16),"")</f>
      </c>
      <c r="W4" s="8">
        <f>IF((0=1),MIN('Pod by trading day'!X7:X16),"")</f>
      </c>
      <c r="X4" s="8">
        <f>IF((0=1),MIN('Pod by trading day'!Y7:Y16),"")</f>
      </c>
      <c r="Y4" s="8">
        <f>IF((0=1),MIN('Pod by trading day'!Z7:Z16),"")</f>
      </c>
      <c r="Z4" s="8">
        <f>IF((0=1),MIN('Pod by trading day'!AA7:AA16),"")</f>
      </c>
      <c r="AA4" s="8">
        <f>IF((0=1),MIN('Pod by trading day'!AB7:AB16),"")</f>
      </c>
      <c r="AB4" s="8">
        <f>IF((0=1),MIN('Pod by trading day'!AC7:AC16),"")</f>
      </c>
      <c r="AC4" s="8">
        <f>IF((0=1),MIN('Pod by trading day'!AD7:AD16),"")</f>
      </c>
      <c r="AD4" s="8">
        <f>IF((0=1),MIN('Pod by trading day'!AE7:AE16),"")</f>
      </c>
      <c r="AE4" s="8">
        <f>IF((0=1),MIN('Pod by trading day'!AF7:AF16),"")</f>
      </c>
      <c r="AF4" s="8">
        <f>IF((0=1),MIN('Pod by trading day'!AG7:AG16),"")</f>
      </c>
      <c r="AG4" s="8">
        <f>IF((0=1),MIN('Pod by trading day'!AH7:AH16),"")</f>
      </c>
      <c r="AH4" s="8">
        <f>IF((0=1),MIN('Pod by trading day'!AI7:AI16),"")</f>
      </c>
      <c r="AI4" s="8">
        <f>IF((0=1),MIN('Pod by trading day'!AJ7:AJ16),"")</f>
      </c>
      <c r="AJ4" s="8">
        <f>IF((0=1),MIN('Pod by trading day'!AK7:AK16),"")</f>
      </c>
      <c r="AK4" s="8">
        <f>IF((0=1),MIN('Pod by trading day'!AL7:AL16),"")</f>
      </c>
      <c r="AL4" s="8">
        <f>IF((0=1),MIN('Pod by trading day'!AM7:AM16),"")</f>
      </c>
      <c r="AM4" s="8">
        <f>IF((0=1),MIN('Pod by trading day'!AN7:AN16),"")</f>
      </c>
      <c r="AN4" s="8">
        <f>IF((0=1),MIN('Pod by trading day'!AO7:AO16),"")</f>
      </c>
      <c r="AO4" s="8">
        <f>IF((0=1),MIN('Pod by trading day'!AP7:AP16),"")</f>
      </c>
      <c r="AP4" s="8">
        <f>IF((0=1),MIN('Pod by trading day'!AQ7:AQ16),"")</f>
      </c>
      <c r="AQ4" s="8">
        <f>IF((0=1),MIN('Pod by trading day'!AR7:AR16),"")</f>
      </c>
      <c r="AR4" s="8">
        <f>IF((0=1),MIN('Pod by trading day'!AS7:AS16),"")</f>
      </c>
      <c r="AS4" s="8">
        <f>IF((0=1),MIN('Pod by trading day'!AT7:AT16),"")</f>
      </c>
      <c r="AT4" s="8">
        <f>IF((0=1),MIN('Pod by trading day'!AU7:AU16),"")</f>
      </c>
      <c r="AU4" s="8">
        <f>IF((0=1),MIN('Pod by trading day'!AV7:AV16),"")</f>
      </c>
      <c r="AV4" s="8">
        <f>IF((0=1),MIN('Pod by trading day'!AW7:AW16),"")</f>
      </c>
      <c r="AW4" s="8">
        <f>IF((0=1),MIN('Pod by trading day'!AX7:AX16),"")</f>
      </c>
      <c r="AX4" s="8">
        <f>IF((0=1),MIN('Pod by trading day'!AY7:AY16),"")</f>
      </c>
      <c r="AY4" s="8">
        <f>IF((0=1),MIN('Pod by trading day'!AZ7:AZ16),"")</f>
      </c>
      <c r="AZ4" s="8">
        <f>IF((0=1),MIN('Pod by trading day'!BA7:BA16),"")</f>
      </c>
      <c r="BA4" s="8">
        <f>IF((0=1),MIN('Pod by trading day'!BB7:BB16),"")</f>
      </c>
      <c r="BB4" s="8">
        <f>IF((0=1),MIN('Pod by trading day'!BC7:BC16),"")</f>
      </c>
      <c r="BC4" s="8">
        <f>IF((0=1),MIN('Pod by trading day'!BD7:BD16),"")</f>
      </c>
      <c r="BD4" s="8">
        <f>IF((0=1),MIN('Pod by trading day'!BE7:BE16),"")</f>
      </c>
      <c r="BE4" s="8">
        <f>IF((0=1),MIN('Pod by trading day'!BF7:BF16),"")</f>
      </c>
      <c r="BF4" s="8">
        <f>IF((0=1),MIN('Pod by trading day'!BG7:BG16),"")</f>
      </c>
      <c r="BG4" s="8">
        <f>IF((0=1),MIN('Pod by trading day'!BH7:BH16),"")</f>
      </c>
      <c r="BH4" s="8">
        <f>IF((0=1),MIN('Pod by trading day'!BI7:BI16),"")</f>
      </c>
      <c r="BI4" s="8">
        <f>IF((0=1),MIN('Pod by trading day'!BJ7:BJ16),"")</f>
      </c>
      <c r="BJ4" s="8">
        <f>IF((0=1),MIN('Pod by trading day'!BK7:BK16),"")</f>
      </c>
      <c r="BK4" s="8">
        <f>IF((0=1),MIN('Pod by trading day'!BL7:BL16),"")</f>
      </c>
      <c r="BL4" s="8">
        <f>IF((0=1),MIN('Pod by trading day'!BM7:BM16),"")</f>
      </c>
      <c r="BM4" s="8">
        <f>IF((0=1),MIN('Pod by trading day'!BN7:BN16),"")</f>
      </c>
      <c r="BN4" s="8">
        <f>IF((0=1),MIN('Pod by trading day'!BO7:BO16),"")</f>
      </c>
      <c r="BO4" s="8">
        <f>IF((0=1),MIN('Pod by trading day'!BP7:BP16),"")</f>
      </c>
      <c r="BP4" s="8">
        <f>IF((0=1),MIN('Pod by trading day'!BQ7:BQ16),"")</f>
      </c>
      <c r="BQ4" s="8">
        <f>IF((0=1),MIN('Pod by trading day'!BR7:BR16),"")</f>
      </c>
      <c r="BR4" s="8">
        <f>IF((0=1),MIN('Pod by trading day'!BS7:BS16),"")</f>
      </c>
      <c r="BS4" s="8">
        <f>IF((0=1),MIN('Pod by trading day'!BT7:BT16),"")</f>
      </c>
      <c r="BT4" s="8">
        <f>IF((0=1),MIN('Pod by trading day'!BU7:BU16),"")</f>
      </c>
      <c r="BU4" s="8">
        <f>IF((0=1),MIN('Pod by trading day'!BV7:BV16),"")</f>
      </c>
      <c r="BV4" s="8">
        <f>IF((0=1),MIN('Pod by trading day'!BW7:BW16),"")</f>
      </c>
      <c r="BW4" s="8">
        <f>IF((0=1),MIN('Pod by trading day'!BX7:BX16),"")</f>
      </c>
      <c r="BX4" s="8">
        <f>IF((0=1),MIN('Pod by trading day'!BY7:BY16),"")</f>
      </c>
      <c r="BY4" s="8">
        <f>IF((0=1),MIN('Pod by trading day'!BZ7:BZ16),"")</f>
      </c>
      <c r="BZ4" s="8">
        <f>IF((0=1),MIN('Pod by trading day'!CA7:CA16),"")</f>
      </c>
      <c r="CA4" s="8">
        <f>IF((0=1),MIN('Pod by trading day'!CB7:CB16),"")</f>
      </c>
      <c r="CB4" s="8">
        <f>IF((0=1),MIN('Pod by trading day'!CC7:CC16),"")</f>
      </c>
      <c r="CC4" s="8">
        <f>IF((0=1),MIN('Pod by trading day'!CD7:CD16),"")</f>
      </c>
      <c r="CD4" s="8">
        <f>IF((0=1),MIN('Pod by trading day'!CE7:CE16),"")</f>
      </c>
      <c r="CE4" s="8">
        <f>IF((0=1),MIN('Pod by trading day'!CF7:CF16),"")</f>
      </c>
      <c r="CF4" s="8">
        <f>IF((0=1),MIN('Pod by trading day'!CG7:CG16),"")</f>
      </c>
      <c r="CG4" s="8">
        <f>IF((0=1),MIN('Pod by trading day'!CH7:CH16),"")</f>
      </c>
      <c r="CH4" s="8">
        <f>IF((0=1),MIN('Pod by trading day'!CI7:CI16),"")</f>
      </c>
      <c r="CI4" s="8">
        <f>IF((0=1),MIN('Pod by trading day'!CJ7:CJ16),"")</f>
      </c>
      <c r="CJ4" s="8">
        <f>IF((0=1),MIN('Pod by trading day'!CK7:CK16),"")</f>
      </c>
      <c r="CK4" s="8">
        <f>IF((0=1),MIN('Pod by trading day'!CL7:CL16),"")</f>
      </c>
      <c r="CL4" s="8">
        <f>IF((0=1),MIN('Pod by trading day'!CM7:CM16),"")</f>
      </c>
      <c r="CM4" s="8">
        <f>IF((0=1),MIN('Pod by trading day'!CN7:CN16),"")</f>
      </c>
      <c r="CN4" s="8">
        <f>IF((0=1),MIN('Pod by trading day'!CO7:CO16),"")</f>
      </c>
      <c r="CO4" s="8">
        <f>IF((0=1),MIN('Pod by trading day'!CP7:CP16),"")</f>
      </c>
      <c r="CP4" s="8">
        <f>IF((0=1),MIN('Pod by trading day'!CQ7:CQ16),"")</f>
      </c>
      <c r="CQ4" s="8">
        <f>IF((0=1),MIN('Pod by trading day'!CR7:CR16),"")</f>
      </c>
      <c r="CR4" s="8">
        <f>IF((0=1),MIN('Pod by trading day'!CS7:CS16),"")</f>
      </c>
      <c r="CS4" s="8">
        <f>IF((0=1),MIN('Pod by trading day'!CT7:CT16),"")</f>
      </c>
      <c r="CT4" s="8">
        <f>IF((0=1),MIN('Pod by trading day'!CU7:CU16),"")</f>
      </c>
      <c r="CU4" s="8">
        <f>IF((0=1),MIN('Pod by trading day'!CV7:CV16),"")</f>
      </c>
      <c r="CV4" s="8">
        <f>IF((0=1),MIN('Pod by trading day'!CW7:CW16),"")</f>
      </c>
      <c r="CW4" s="8">
        <f>IF((0=1),MIN('Pod by trading day'!CX7:CX16),"")</f>
      </c>
    </row>
    <row r="5">
      <c r="A5" s="0" t="inlineStr">
        <is>
          <t xml:space="preserve">Random pods: average, bps</t>
        </is>
      </c>
      <c r="B5" s="8">
        <f>IF((1=1),AVERAGE('Pod by trading day'!C17:C36),"")</f>
        <v>0.82685</v>
      </c>
      <c r="C5" s="8">
        <f>IF((0=1),AVERAGE('Pod by trading day'!D17:D36),"")</f>
      </c>
      <c r="D5" s="8">
        <f>IF((0=1),AVERAGE('Pod by trading day'!E17:E36),"")</f>
      </c>
      <c r="E5" s="8">
        <f>IF((0=1),AVERAGE('Pod by trading day'!F17:F36),"")</f>
      </c>
      <c r="F5" s="8">
        <f>IF((0=1),AVERAGE('Pod by trading day'!G17:G36),"")</f>
      </c>
      <c r="G5" s="8">
        <f>IF((0=1),AVERAGE('Pod by trading day'!H17:H36),"")</f>
      </c>
      <c r="H5" s="8">
        <f>IF((0=1),AVERAGE('Pod by trading day'!I17:I36),"")</f>
      </c>
      <c r="I5" s="8">
        <f>IF((0=1),AVERAGE('Pod by trading day'!J17:J36),"")</f>
      </c>
      <c r="J5" s="8">
        <f>IF((0=1),AVERAGE('Pod by trading day'!K17:K36),"")</f>
      </c>
      <c r="K5" s="8">
        <f>IF((0=1),AVERAGE('Pod by trading day'!L17:L36),"")</f>
      </c>
      <c r="L5" s="8">
        <f>IF((0=1),AVERAGE('Pod by trading day'!M17:M36),"")</f>
      </c>
      <c r="M5" s="8">
        <f>IF((0=1),AVERAGE('Pod by trading day'!N17:N36),"")</f>
      </c>
      <c r="N5" s="8">
        <f>IF((0=1),AVERAGE('Pod by trading day'!O17:O36),"")</f>
      </c>
      <c r="O5" s="8">
        <f>IF((0=1),AVERAGE('Pod by trading day'!P17:P36),"")</f>
      </c>
      <c r="P5" s="8">
        <f>IF((0=1),AVERAGE('Pod by trading day'!Q17:Q36),"")</f>
      </c>
      <c r="Q5" s="8">
        <f>IF((0=1),AVERAGE('Pod by trading day'!R17:R36),"")</f>
      </c>
      <c r="R5" s="8">
        <f>IF((0=1),AVERAGE('Pod by trading day'!S17:S36),"")</f>
      </c>
      <c r="S5" s="8">
        <f>IF((0=1),AVERAGE('Pod by trading day'!T17:T36),"")</f>
      </c>
      <c r="T5" s="8">
        <f>IF((0=1),AVERAGE('Pod by trading day'!U17:U36),"")</f>
      </c>
      <c r="U5" s="8">
        <f>IF((0=1),AVERAGE('Pod by trading day'!V17:V36),"")</f>
      </c>
      <c r="V5" s="8">
        <f>IF((0=1),AVERAGE('Pod by trading day'!W17:W36),"")</f>
      </c>
      <c r="W5" s="8">
        <f>IF((0=1),AVERAGE('Pod by trading day'!X17:X36),"")</f>
      </c>
      <c r="X5" s="8">
        <f>IF((0=1),AVERAGE('Pod by trading day'!Y17:Y36),"")</f>
      </c>
      <c r="Y5" s="8">
        <f>IF((0=1),AVERAGE('Pod by trading day'!Z17:Z36),"")</f>
      </c>
      <c r="Z5" s="8">
        <f>IF((0=1),AVERAGE('Pod by trading day'!AA17:AA36),"")</f>
      </c>
      <c r="AA5" s="8">
        <f>IF((0=1),AVERAGE('Pod by trading day'!AB17:AB36),"")</f>
      </c>
      <c r="AB5" s="8">
        <f>IF((0=1),AVERAGE('Pod by trading day'!AC17:AC36),"")</f>
      </c>
      <c r="AC5" s="8">
        <f>IF((0=1),AVERAGE('Pod by trading day'!AD17:AD36),"")</f>
      </c>
      <c r="AD5" s="8">
        <f>IF((0=1),AVERAGE('Pod by trading day'!AE17:AE36),"")</f>
      </c>
      <c r="AE5" s="8">
        <f>IF((0=1),AVERAGE('Pod by trading day'!AF17:AF36),"")</f>
      </c>
      <c r="AF5" s="8">
        <f>IF((0=1),AVERAGE('Pod by trading day'!AG17:AG36),"")</f>
      </c>
      <c r="AG5" s="8">
        <f>IF((0=1),AVERAGE('Pod by trading day'!AH17:AH36),"")</f>
      </c>
      <c r="AH5" s="8">
        <f>IF((0=1),AVERAGE('Pod by trading day'!AI17:AI36),"")</f>
      </c>
      <c r="AI5" s="8">
        <f>IF((0=1),AVERAGE('Pod by trading day'!AJ17:AJ36),"")</f>
      </c>
      <c r="AJ5" s="8">
        <f>IF((0=1),AVERAGE('Pod by trading day'!AK17:AK36),"")</f>
      </c>
      <c r="AK5" s="8">
        <f>IF((0=1),AVERAGE('Pod by trading day'!AL17:AL36),"")</f>
      </c>
      <c r="AL5" s="8">
        <f>IF((0=1),AVERAGE('Pod by trading day'!AM17:AM36),"")</f>
      </c>
      <c r="AM5" s="8">
        <f>IF((0=1),AVERAGE('Pod by trading day'!AN17:AN36),"")</f>
      </c>
      <c r="AN5" s="8">
        <f>IF((0=1),AVERAGE('Pod by trading day'!AO17:AO36),"")</f>
      </c>
      <c r="AO5" s="8">
        <f>IF((0=1),AVERAGE('Pod by trading day'!AP17:AP36),"")</f>
      </c>
      <c r="AP5" s="8">
        <f>IF((0=1),AVERAGE('Pod by trading day'!AQ17:AQ36),"")</f>
      </c>
      <c r="AQ5" s="8">
        <f>IF((0=1),AVERAGE('Pod by trading day'!AR17:AR36),"")</f>
      </c>
      <c r="AR5" s="8">
        <f>IF((0=1),AVERAGE('Pod by trading day'!AS17:AS36),"")</f>
      </c>
      <c r="AS5" s="8">
        <f>IF((0=1),AVERAGE('Pod by trading day'!AT17:AT36),"")</f>
      </c>
      <c r="AT5" s="8">
        <f>IF((0=1),AVERAGE('Pod by trading day'!AU17:AU36),"")</f>
      </c>
      <c r="AU5" s="8">
        <f>IF((0=1),AVERAGE('Pod by trading day'!AV17:AV36),"")</f>
      </c>
      <c r="AV5" s="8">
        <f>IF((0=1),AVERAGE('Pod by trading day'!AW17:AW36),"")</f>
      </c>
      <c r="AW5" s="8">
        <f>IF((0=1),AVERAGE('Pod by trading day'!AX17:AX36),"")</f>
      </c>
      <c r="AX5" s="8">
        <f>IF((0=1),AVERAGE('Pod by trading day'!AY17:AY36),"")</f>
      </c>
      <c r="AY5" s="8">
        <f>IF((0=1),AVERAGE('Pod by trading day'!AZ17:AZ36),"")</f>
      </c>
      <c r="AZ5" s="8">
        <f>IF((0=1),AVERAGE('Pod by trading day'!BA17:BA36),"")</f>
      </c>
      <c r="BA5" s="8">
        <f>IF((0=1),AVERAGE('Pod by trading day'!BB17:BB36),"")</f>
      </c>
      <c r="BB5" s="8">
        <f>IF((0=1),AVERAGE('Pod by trading day'!BC17:BC36),"")</f>
      </c>
      <c r="BC5" s="8">
        <f>IF((0=1),AVERAGE('Pod by trading day'!BD17:BD36),"")</f>
      </c>
      <c r="BD5" s="8">
        <f>IF((0=1),AVERAGE('Pod by trading day'!BE17:BE36),"")</f>
      </c>
      <c r="BE5" s="8">
        <f>IF((0=1),AVERAGE('Pod by trading day'!BF17:BF36),"")</f>
      </c>
      <c r="BF5" s="8">
        <f>IF((0=1),AVERAGE('Pod by trading day'!BG17:BG36),"")</f>
      </c>
      <c r="BG5" s="8">
        <f>IF((0=1),AVERAGE('Pod by trading day'!BH17:BH36),"")</f>
      </c>
      <c r="BH5" s="8">
        <f>IF((0=1),AVERAGE('Pod by trading day'!BI17:BI36),"")</f>
      </c>
      <c r="BI5" s="8">
        <f>IF((0=1),AVERAGE('Pod by trading day'!BJ17:BJ36),"")</f>
      </c>
      <c r="BJ5" s="8">
        <f>IF((0=1),AVERAGE('Pod by trading day'!BK17:BK36),"")</f>
      </c>
      <c r="BK5" s="8">
        <f>IF((0=1),AVERAGE('Pod by trading day'!BL17:BL36),"")</f>
      </c>
      <c r="BL5" s="8">
        <f>IF((0=1),AVERAGE('Pod by trading day'!BM17:BM36),"")</f>
      </c>
      <c r="BM5" s="8">
        <f>IF((0=1),AVERAGE('Pod by trading day'!BN17:BN36),"")</f>
      </c>
      <c r="BN5" s="8">
        <f>IF((0=1),AVERAGE('Pod by trading day'!BO17:BO36),"")</f>
      </c>
      <c r="BO5" s="8">
        <f>IF((0=1),AVERAGE('Pod by trading day'!BP17:BP36),"")</f>
      </c>
      <c r="BP5" s="8">
        <f>IF((0=1),AVERAGE('Pod by trading day'!BQ17:BQ36),"")</f>
      </c>
      <c r="BQ5" s="8">
        <f>IF((0=1),AVERAGE('Pod by trading day'!BR17:BR36),"")</f>
      </c>
      <c r="BR5" s="8">
        <f>IF((0=1),AVERAGE('Pod by trading day'!BS17:BS36),"")</f>
      </c>
      <c r="BS5" s="8">
        <f>IF((0=1),AVERAGE('Pod by trading day'!BT17:BT36),"")</f>
      </c>
      <c r="BT5" s="8">
        <f>IF((0=1),AVERAGE('Pod by trading day'!BU17:BU36),"")</f>
      </c>
      <c r="BU5" s="8">
        <f>IF((0=1),AVERAGE('Pod by trading day'!BV17:BV36),"")</f>
      </c>
      <c r="BV5" s="8">
        <f>IF((0=1),AVERAGE('Pod by trading day'!BW17:BW36),"")</f>
      </c>
      <c r="BW5" s="8">
        <f>IF((0=1),AVERAGE('Pod by trading day'!BX17:BX36),"")</f>
      </c>
      <c r="BX5" s="8">
        <f>IF((0=1),AVERAGE('Pod by trading day'!BY17:BY36),"")</f>
      </c>
      <c r="BY5" s="8">
        <f>IF((0=1),AVERAGE('Pod by trading day'!BZ17:BZ36),"")</f>
      </c>
      <c r="BZ5" s="8">
        <f>IF((0=1),AVERAGE('Pod by trading day'!CA17:CA36),"")</f>
      </c>
      <c r="CA5" s="8">
        <f>IF((0=1),AVERAGE('Pod by trading day'!CB17:CB36),"")</f>
      </c>
      <c r="CB5" s="8">
        <f>IF((0=1),AVERAGE('Pod by trading day'!CC17:CC36),"")</f>
      </c>
      <c r="CC5" s="8">
        <f>IF((0=1),AVERAGE('Pod by trading day'!CD17:CD36),"")</f>
      </c>
      <c r="CD5" s="8">
        <f>IF((0=1),AVERAGE('Pod by trading day'!CE17:CE36),"")</f>
      </c>
      <c r="CE5" s="8">
        <f>IF((0=1),AVERAGE('Pod by trading day'!CF17:CF36),"")</f>
      </c>
      <c r="CF5" s="8">
        <f>IF((0=1),AVERAGE('Pod by trading day'!CG17:CG36),"")</f>
      </c>
      <c r="CG5" s="8">
        <f>IF((0=1),AVERAGE('Pod by trading day'!CH17:CH36),"")</f>
      </c>
      <c r="CH5" s="8">
        <f>IF((0=1),AVERAGE('Pod by trading day'!CI17:CI36),"")</f>
      </c>
      <c r="CI5" s="8">
        <f>IF((0=1),AVERAGE('Pod by trading day'!CJ17:CJ36),"")</f>
      </c>
      <c r="CJ5" s="8">
        <f>IF((0=1),AVERAGE('Pod by trading day'!CK17:CK36),"")</f>
      </c>
      <c r="CK5" s="8">
        <f>IF((0=1),AVERAGE('Pod by trading day'!CL17:CL36),"")</f>
      </c>
      <c r="CL5" s="8">
        <f>IF((0=1),AVERAGE('Pod by trading day'!CM17:CM36),"")</f>
      </c>
      <c r="CM5" s="8">
        <f>IF((0=1),AVERAGE('Pod by trading day'!CN17:CN36),"")</f>
      </c>
      <c r="CN5" s="8">
        <f>IF((0=1),AVERAGE('Pod by trading day'!CO17:CO36),"")</f>
      </c>
      <c r="CO5" s="8">
        <f>IF((0=1),AVERAGE('Pod by trading day'!CP17:CP36),"")</f>
      </c>
      <c r="CP5" s="8">
        <f>IF((0=1),AVERAGE('Pod by trading day'!CQ17:CQ36),"")</f>
      </c>
      <c r="CQ5" s="8">
        <f>IF((0=1),AVERAGE('Pod by trading day'!CR17:CR36),"")</f>
      </c>
      <c r="CR5" s="8">
        <f>IF((0=1),AVERAGE('Pod by trading day'!CS17:CS36),"")</f>
      </c>
      <c r="CS5" s="8">
        <f>IF((0=1),AVERAGE('Pod by trading day'!CT17:CT36),"")</f>
      </c>
      <c r="CT5" s="8">
        <f>IF((0=1),AVERAGE('Pod by trading day'!CU17:CU36),"")</f>
      </c>
      <c r="CU5" s="8">
        <f>IF((0=1),AVERAGE('Pod by trading day'!CV17:CV36),"")</f>
      </c>
      <c r="CV5" s="8">
        <f>IF((0=1),AVERAGE('Pod by trading day'!CW17:CW36),"")</f>
      </c>
      <c r="CW5" s="8">
        <f>IF((0=1),AVERAGE('Pod by trading day'!CX17:CX36),"")</f>
      </c>
    </row>
    <row r="6">
      <c r="A6" s="0" t="inlineStr">
        <is>
          <t xml:space="preserve">Random pods: best, bps</t>
        </is>
      </c>
      <c r="B6" s="8">
        <f>IF((1=1),MAX('Pod by trading day'!C17:C36),"")</f>
        <v>13.888</v>
      </c>
      <c r="C6" s="8">
        <f>IF((0=1),MAX('Pod by trading day'!D17:D36),"")</f>
      </c>
      <c r="D6" s="8">
        <f>IF((0=1),MAX('Pod by trading day'!E17:E36),"")</f>
      </c>
      <c r="E6" s="8">
        <f>IF((0=1),MAX('Pod by trading day'!F17:F36),"")</f>
      </c>
      <c r="F6" s="8">
        <f>IF((0=1),MAX('Pod by trading day'!G17:G36),"")</f>
      </c>
      <c r="G6" s="8">
        <f>IF((0=1),MAX('Pod by trading day'!H17:H36),"")</f>
      </c>
      <c r="H6" s="8">
        <f>IF((0=1),MAX('Pod by trading day'!I17:I36),"")</f>
      </c>
      <c r="I6" s="8">
        <f>IF((0=1),MAX('Pod by trading day'!J17:J36),"")</f>
      </c>
      <c r="J6" s="8">
        <f>IF((0=1),MAX('Pod by trading day'!K17:K36),"")</f>
      </c>
      <c r="K6" s="8">
        <f>IF((0=1),MAX('Pod by trading day'!L17:L36),"")</f>
      </c>
      <c r="L6" s="8">
        <f>IF((0=1),MAX('Pod by trading day'!M17:M36),"")</f>
      </c>
      <c r="M6" s="8">
        <f>IF((0=1),MAX('Pod by trading day'!N17:N36),"")</f>
      </c>
      <c r="N6" s="8">
        <f>IF((0=1),MAX('Pod by trading day'!O17:O36),"")</f>
      </c>
      <c r="O6" s="8">
        <f>IF((0=1),MAX('Pod by trading day'!P17:P36),"")</f>
      </c>
      <c r="P6" s="8">
        <f>IF((0=1),MAX('Pod by trading day'!Q17:Q36),"")</f>
      </c>
      <c r="Q6" s="8">
        <f>IF((0=1),MAX('Pod by trading day'!R17:R36),"")</f>
      </c>
      <c r="R6" s="8">
        <f>IF((0=1),MAX('Pod by trading day'!S17:S36),"")</f>
      </c>
      <c r="S6" s="8">
        <f>IF((0=1),MAX('Pod by trading day'!T17:T36),"")</f>
      </c>
      <c r="T6" s="8">
        <f>IF((0=1),MAX('Pod by trading day'!U17:U36),"")</f>
      </c>
      <c r="U6" s="8">
        <f>IF((0=1),MAX('Pod by trading day'!V17:V36),"")</f>
      </c>
      <c r="V6" s="8">
        <f>IF((0=1),MAX('Pod by trading day'!W17:W36),"")</f>
      </c>
      <c r="W6" s="8">
        <f>IF((0=1),MAX('Pod by trading day'!X17:X36),"")</f>
      </c>
      <c r="X6" s="8">
        <f>IF((0=1),MAX('Pod by trading day'!Y17:Y36),"")</f>
      </c>
      <c r="Y6" s="8">
        <f>IF((0=1),MAX('Pod by trading day'!Z17:Z36),"")</f>
      </c>
      <c r="Z6" s="8">
        <f>IF((0=1),MAX('Pod by trading day'!AA17:AA36),"")</f>
      </c>
      <c r="AA6" s="8">
        <f>IF((0=1),MAX('Pod by trading day'!AB17:AB36),"")</f>
      </c>
      <c r="AB6" s="8">
        <f>IF((0=1),MAX('Pod by trading day'!AC17:AC36),"")</f>
      </c>
      <c r="AC6" s="8">
        <f>IF((0=1),MAX('Pod by trading day'!AD17:AD36),"")</f>
      </c>
      <c r="AD6" s="8">
        <f>IF((0=1),MAX('Pod by trading day'!AE17:AE36),"")</f>
      </c>
      <c r="AE6" s="8">
        <f>IF((0=1),MAX('Pod by trading day'!AF17:AF36),"")</f>
      </c>
      <c r="AF6" s="8">
        <f>IF((0=1),MAX('Pod by trading day'!AG17:AG36),"")</f>
      </c>
      <c r="AG6" s="8">
        <f>IF((0=1),MAX('Pod by trading day'!AH17:AH36),"")</f>
      </c>
      <c r="AH6" s="8">
        <f>IF((0=1),MAX('Pod by trading day'!AI17:AI36),"")</f>
      </c>
      <c r="AI6" s="8">
        <f>IF((0=1),MAX('Pod by trading day'!AJ17:AJ36),"")</f>
      </c>
      <c r="AJ6" s="8">
        <f>IF((0=1),MAX('Pod by trading day'!AK17:AK36),"")</f>
      </c>
      <c r="AK6" s="8">
        <f>IF((0=1),MAX('Pod by trading day'!AL17:AL36),"")</f>
      </c>
      <c r="AL6" s="8">
        <f>IF((0=1),MAX('Pod by trading day'!AM17:AM36),"")</f>
      </c>
      <c r="AM6" s="8">
        <f>IF((0=1),MAX('Pod by trading day'!AN17:AN36),"")</f>
      </c>
      <c r="AN6" s="8">
        <f>IF((0=1),MAX('Pod by trading day'!AO17:AO36),"")</f>
      </c>
      <c r="AO6" s="8">
        <f>IF((0=1),MAX('Pod by trading day'!AP17:AP36),"")</f>
      </c>
      <c r="AP6" s="8">
        <f>IF((0=1),MAX('Pod by trading day'!AQ17:AQ36),"")</f>
      </c>
      <c r="AQ6" s="8">
        <f>IF((0=1),MAX('Pod by trading day'!AR17:AR36),"")</f>
      </c>
      <c r="AR6" s="8">
        <f>IF((0=1),MAX('Pod by trading day'!AS17:AS36),"")</f>
      </c>
      <c r="AS6" s="8">
        <f>IF((0=1),MAX('Pod by trading day'!AT17:AT36),"")</f>
      </c>
      <c r="AT6" s="8">
        <f>IF((0=1),MAX('Pod by trading day'!AU17:AU36),"")</f>
      </c>
      <c r="AU6" s="8">
        <f>IF((0=1),MAX('Pod by trading day'!AV17:AV36),"")</f>
      </c>
      <c r="AV6" s="8">
        <f>IF((0=1),MAX('Pod by trading day'!AW17:AW36),"")</f>
      </c>
      <c r="AW6" s="8">
        <f>IF((0=1),MAX('Pod by trading day'!AX17:AX36),"")</f>
      </c>
      <c r="AX6" s="8">
        <f>IF((0=1),MAX('Pod by trading day'!AY17:AY36),"")</f>
      </c>
      <c r="AY6" s="8">
        <f>IF((0=1),MAX('Pod by trading day'!AZ17:AZ36),"")</f>
      </c>
      <c r="AZ6" s="8">
        <f>IF((0=1),MAX('Pod by trading day'!BA17:BA36),"")</f>
      </c>
      <c r="BA6" s="8">
        <f>IF((0=1),MAX('Pod by trading day'!BB17:BB36),"")</f>
      </c>
      <c r="BB6" s="8">
        <f>IF((0=1),MAX('Pod by trading day'!BC17:BC36),"")</f>
      </c>
      <c r="BC6" s="8">
        <f>IF((0=1),MAX('Pod by trading day'!BD17:BD36),"")</f>
      </c>
      <c r="BD6" s="8">
        <f>IF((0=1),MAX('Pod by trading day'!BE17:BE36),"")</f>
      </c>
      <c r="BE6" s="8">
        <f>IF((0=1),MAX('Pod by trading day'!BF17:BF36),"")</f>
      </c>
      <c r="BF6" s="8">
        <f>IF((0=1),MAX('Pod by trading day'!BG17:BG36),"")</f>
      </c>
      <c r="BG6" s="8">
        <f>IF((0=1),MAX('Pod by trading day'!BH17:BH36),"")</f>
      </c>
      <c r="BH6" s="8">
        <f>IF((0=1),MAX('Pod by trading day'!BI17:BI36),"")</f>
      </c>
      <c r="BI6" s="8">
        <f>IF((0=1),MAX('Pod by trading day'!BJ17:BJ36),"")</f>
      </c>
      <c r="BJ6" s="8">
        <f>IF((0=1),MAX('Pod by trading day'!BK17:BK36),"")</f>
      </c>
      <c r="BK6" s="8">
        <f>IF((0=1),MAX('Pod by trading day'!BL17:BL36),"")</f>
      </c>
      <c r="BL6" s="8">
        <f>IF((0=1),MAX('Pod by trading day'!BM17:BM36),"")</f>
      </c>
      <c r="BM6" s="8">
        <f>IF((0=1),MAX('Pod by trading day'!BN17:BN36),"")</f>
      </c>
      <c r="BN6" s="8">
        <f>IF((0=1),MAX('Pod by trading day'!BO17:BO36),"")</f>
      </c>
      <c r="BO6" s="8">
        <f>IF((0=1),MAX('Pod by trading day'!BP17:BP36),"")</f>
      </c>
      <c r="BP6" s="8">
        <f>IF((0=1),MAX('Pod by trading day'!BQ17:BQ36),"")</f>
      </c>
      <c r="BQ6" s="8">
        <f>IF((0=1),MAX('Pod by trading day'!BR17:BR36),"")</f>
      </c>
      <c r="BR6" s="8">
        <f>IF((0=1),MAX('Pod by trading day'!BS17:BS36),"")</f>
      </c>
      <c r="BS6" s="8">
        <f>IF((0=1),MAX('Pod by trading day'!BT17:BT36),"")</f>
      </c>
      <c r="BT6" s="8">
        <f>IF((0=1),MAX('Pod by trading day'!BU17:BU36),"")</f>
      </c>
      <c r="BU6" s="8">
        <f>IF((0=1),MAX('Pod by trading day'!BV17:BV36),"")</f>
      </c>
      <c r="BV6" s="8">
        <f>IF((0=1),MAX('Pod by trading day'!BW17:BW36),"")</f>
      </c>
      <c r="BW6" s="8">
        <f>IF((0=1),MAX('Pod by trading day'!BX17:BX36),"")</f>
      </c>
      <c r="BX6" s="8">
        <f>IF((0=1),MAX('Pod by trading day'!BY17:BY36),"")</f>
      </c>
      <c r="BY6" s="8">
        <f>IF((0=1),MAX('Pod by trading day'!BZ17:BZ36),"")</f>
      </c>
      <c r="BZ6" s="8">
        <f>IF((0=1),MAX('Pod by trading day'!CA17:CA36),"")</f>
      </c>
      <c r="CA6" s="8">
        <f>IF((0=1),MAX('Pod by trading day'!CB17:CB36),"")</f>
      </c>
      <c r="CB6" s="8">
        <f>IF((0=1),MAX('Pod by trading day'!CC17:CC36),"")</f>
      </c>
      <c r="CC6" s="8">
        <f>IF((0=1),MAX('Pod by trading day'!CD17:CD36),"")</f>
      </c>
      <c r="CD6" s="8">
        <f>IF((0=1),MAX('Pod by trading day'!CE17:CE36),"")</f>
      </c>
      <c r="CE6" s="8">
        <f>IF((0=1),MAX('Pod by trading day'!CF17:CF36),"")</f>
      </c>
      <c r="CF6" s="8">
        <f>IF((0=1),MAX('Pod by trading day'!CG17:CG36),"")</f>
      </c>
      <c r="CG6" s="8">
        <f>IF((0=1),MAX('Pod by trading day'!CH17:CH36),"")</f>
      </c>
      <c r="CH6" s="8">
        <f>IF((0=1),MAX('Pod by trading day'!CI17:CI36),"")</f>
      </c>
      <c r="CI6" s="8">
        <f>IF((0=1),MAX('Pod by trading day'!CJ17:CJ36),"")</f>
      </c>
      <c r="CJ6" s="8">
        <f>IF((0=1),MAX('Pod by trading day'!CK17:CK36),"")</f>
      </c>
      <c r="CK6" s="8">
        <f>IF((0=1),MAX('Pod by trading day'!CL17:CL36),"")</f>
      </c>
      <c r="CL6" s="8">
        <f>IF((0=1),MAX('Pod by trading day'!CM17:CM36),"")</f>
      </c>
      <c r="CM6" s="8">
        <f>IF((0=1),MAX('Pod by trading day'!CN17:CN36),"")</f>
      </c>
      <c r="CN6" s="8">
        <f>IF((0=1),MAX('Pod by trading day'!CO17:CO36),"")</f>
      </c>
      <c r="CO6" s="8">
        <f>IF((0=1),MAX('Pod by trading day'!CP17:CP36),"")</f>
      </c>
      <c r="CP6" s="8">
        <f>IF((0=1),MAX('Pod by trading day'!CQ17:CQ36),"")</f>
      </c>
      <c r="CQ6" s="8">
        <f>IF((0=1),MAX('Pod by trading day'!CR17:CR36),"")</f>
      </c>
      <c r="CR6" s="8">
        <f>IF((0=1),MAX('Pod by trading day'!CS17:CS36),"")</f>
      </c>
      <c r="CS6" s="8">
        <f>IF((0=1),MAX('Pod by trading day'!CT17:CT36),"")</f>
      </c>
      <c r="CT6" s="8">
        <f>IF((0=1),MAX('Pod by trading day'!CU17:CU36),"")</f>
      </c>
      <c r="CU6" s="8">
        <f>IF((0=1),MAX('Pod by trading day'!CV17:CV36),"")</f>
      </c>
      <c r="CV6" s="8">
        <f>IF((0=1),MAX('Pod by trading day'!CW17:CW36),"")</f>
      </c>
      <c r="CW6" s="8">
        <f>IF((0=1),MAX('Pod by trading day'!CX17:CX36),"")</f>
      </c>
    </row>
    <row r="7">
      <c r="A7" s="0" t="inlineStr">
        <is>
          <t xml:space="preserve">LLM pods: cumulative average excess, bps</t>
        </is>
      </c>
      <c r="B7" s="8">
        <f>IF((1=1),SUM(B2),"")</f>
        <v>1.3032000000000004</v>
      </c>
      <c r="C7" s="8">
        <f>IF((0=1),SUM(B2:C2),"")</f>
      </c>
      <c r="D7" s="8">
        <f>IF((0=1),SUM(B2:D2),"")</f>
      </c>
      <c r="E7" s="8">
        <f>IF((0=1),SUM(B2:E2),"")</f>
      </c>
      <c r="F7" s="8">
        <f>IF((0=1),SUM(B2:F2),"")</f>
      </c>
      <c r="G7" s="8">
        <f>IF((0=1),SUM(B2:G2),"")</f>
      </c>
      <c r="H7" s="8">
        <f>IF((0=1),SUM(B2:H2),"")</f>
      </c>
      <c r="I7" s="8">
        <f>IF((0=1),SUM(B2:I2),"")</f>
      </c>
      <c r="J7" s="8">
        <f>IF((0=1),SUM(B2:J2),"")</f>
      </c>
      <c r="K7" s="8">
        <f>IF((0=1),SUM(B2:K2),"")</f>
      </c>
      <c r="L7" s="8">
        <f>IF((0=1),SUM(B2:L2),"")</f>
      </c>
      <c r="M7" s="8">
        <f>IF((0=1),SUM(B2:M2),"")</f>
      </c>
      <c r="N7" s="8">
        <f>IF((0=1),SUM(B2:N2),"")</f>
      </c>
      <c r="O7" s="8">
        <f>IF((0=1),SUM(B2:O2),"")</f>
      </c>
      <c r="P7" s="8">
        <f>IF((0=1),SUM(B2:P2),"")</f>
      </c>
      <c r="Q7" s="8">
        <f>IF((0=1),SUM(B2:Q2),"")</f>
      </c>
      <c r="R7" s="8">
        <f>IF((0=1),SUM(B2:R2),"")</f>
      </c>
      <c r="S7" s="8">
        <f>IF((0=1),SUM(B2:S2),"")</f>
      </c>
      <c r="T7" s="8">
        <f>IF((0=1),SUM(B2:T2),"")</f>
      </c>
      <c r="U7" s="8">
        <f>IF((0=1),SUM(B2:U2),"")</f>
      </c>
      <c r="V7" s="8">
        <f>IF((0=1),SUM(B2:V2),"")</f>
      </c>
      <c r="W7" s="8">
        <f>IF((0=1),SUM(B2:W2),"")</f>
      </c>
      <c r="X7" s="8">
        <f>IF((0=1),SUM(B2:X2),"")</f>
      </c>
      <c r="Y7" s="8">
        <f>IF((0=1),SUM(B2:Y2),"")</f>
      </c>
      <c r="Z7" s="8">
        <f>IF((0=1),SUM(B2:Z2),"")</f>
      </c>
      <c r="AA7" s="8">
        <f>IF((0=1),SUM(B2:AA2),"")</f>
      </c>
      <c r="AB7" s="8">
        <f>IF((0=1),SUM(B2:AB2),"")</f>
      </c>
      <c r="AC7" s="8">
        <f>IF((0=1),SUM(B2:AC2),"")</f>
      </c>
      <c r="AD7" s="8">
        <f>IF((0=1),SUM(B2:AD2),"")</f>
      </c>
      <c r="AE7" s="8">
        <f>IF((0=1),SUM(B2:AE2),"")</f>
      </c>
      <c r="AF7" s="8">
        <f>IF((0=1),SUM(B2:AF2),"")</f>
      </c>
      <c r="AG7" s="8">
        <f>IF((0=1),SUM(B2:AG2),"")</f>
      </c>
      <c r="AH7" s="8">
        <f>IF((0=1),SUM(B2:AH2),"")</f>
      </c>
      <c r="AI7" s="8">
        <f>IF((0=1),SUM(B2:AI2),"")</f>
      </c>
      <c r="AJ7" s="8">
        <f>IF((0=1),SUM(B2:AJ2),"")</f>
      </c>
      <c r="AK7" s="8">
        <f>IF((0=1),SUM(B2:AK2),"")</f>
      </c>
      <c r="AL7" s="8">
        <f>IF((0=1),SUM(B2:AL2),"")</f>
      </c>
      <c r="AM7" s="8">
        <f>IF((0=1),SUM(B2:AM2),"")</f>
      </c>
      <c r="AN7" s="8">
        <f>IF((0=1),SUM(B2:AN2),"")</f>
      </c>
      <c r="AO7" s="8">
        <f>IF((0=1),SUM(B2:AO2),"")</f>
      </c>
      <c r="AP7" s="8">
        <f>IF((0=1),SUM(B2:AP2),"")</f>
      </c>
      <c r="AQ7" s="8">
        <f>IF((0=1),SUM(B2:AQ2),"")</f>
      </c>
      <c r="AR7" s="8">
        <f>IF((0=1),SUM(B2:AR2),"")</f>
      </c>
      <c r="AS7" s="8">
        <f>IF((0=1),SUM(B2:AS2),"")</f>
      </c>
      <c r="AT7" s="8">
        <f>IF((0=1),SUM(B2:AT2),"")</f>
      </c>
      <c r="AU7" s="8">
        <f>IF((0=1),SUM(B2:AU2),"")</f>
      </c>
      <c r="AV7" s="8">
        <f>IF((0=1),SUM(B2:AV2),"")</f>
      </c>
      <c r="AW7" s="8">
        <f>IF((0=1),SUM(B2:AW2),"")</f>
      </c>
      <c r="AX7" s="8">
        <f>IF((0=1),SUM(B2:AX2),"")</f>
      </c>
      <c r="AY7" s="8">
        <f>IF((0=1),SUM(B2:AY2),"")</f>
      </c>
      <c r="AZ7" s="8">
        <f>IF((0=1),SUM(B2:AZ2),"")</f>
      </c>
      <c r="BA7" s="8">
        <f>IF((0=1),SUM(B2:BA2),"")</f>
      </c>
      <c r="BB7" s="8">
        <f>IF((0=1),SUM(B2:BB2),"")</f>
      </c>
      <c r="BC7" s="8">
        <f>IF((0=1),SUM(B2:BC2),"")</f>
      </c>
      <c r="BD7" s="8">
        <f>IF((0=1),SUM(B2:BD2),"")</f>
      </c>
      <c r="BE7" s="8">
        <f>IF((0=1),SUM(B2:BE2),"")</f>
      </c>
      <c r="BF7" s="8">
        <f>IF((0=1),SUM(B2:BF2),"")</f>
      </c>
      <c r="BG7" s="8">
        <f>IF((0=1),SUM(B2:BG2),"")</f>
      </c>
      <c r="BH7" s="8">
        <f>IF((0=1),SUM(B2:BH2),"")</f>
      </c>
      <c r="BI7" s="8">
        <f>IF((0=1),SUM(B2:BI2),"")</f>
      </c>
      <c r="BJ7" s="8">
        <f>IF((0=1),SUM(B2:BJ2),"")</f>
      </c>
      <c r="BK7" s="8">
        <f>IF((0=1),SUM(B2:BK2),"")</f>
      </c>
      <c r="BL7" s="8">
        <f>IF((0=1),SUM(B2:BL2),"")</f>
      </c>
      <c r="BM7" s="8">
        <f>IF((0=1),SUM(B2:BM2),"")</f>
      </c>
      <c r="BN7" s="8">
        <f>IF((0=1),SUM(B2:BN2),"")</f>
      </c>
      <c r="BO7" s="8">
        <f>IF((0=1),SUM(B2:BO2),"")</f>
      </c>
      <c r="BP7" s="8">
        <f>IF((0=1),SUM(B2:BP2),"")</f>
      </c>
      <c r="BQ7" s="8">
        <f>IF((0=1),SUM(B2:BQ2),"")</f>
      </c>
      <c r="BR7" s="8">
        <f>IF((0=1),SUM(B2:BR2),"")</f>
      </c>
      <c r="BS7" s="8">
        <f>IF((0=1),SUM(B2:BS2),"")</f>
      </c>
      <c r="BT7" s="8">
        <f>IF((0=1),SUM(B2:BT2),"")</f>
      </c>
      <c r="BU7" s="8">
        <f>IF((0=1),SUM(B2:BU2),"")</f>
      </c>
      <c r="BV7" s="8">
        <f>IF((0=1),SUM(B2:BV2),"")</f>
      </c>
      <c r="BW7" s="8">
        <f>IF((0=1),SUM(B2:BW2),"")</f>
      </c>
      <c r="BX7" s="8">
        <f>IF((0=1),SUM(B2:BX2),"")</f>
      </c>
      <c r="BY7" s="8">
        <f>IF((0=1),SUM(B2:BY2),"")</f>
      </c>
      <c r="BZ7" s="8">
        <f>IF((0=1),SUM(B2:BZ2),"")</f>
      </c>
      <c r="CA7" s="8">
        <f>IF((0=1),SUM(B2:CA2),"")</f>
      </c>
      <c r="CB7" s="8">
        <f>IF((0=1),SUM(B2:CB2),"")</f>
      </c>
      <c r="CC7" s="8">
        <f>IF((0=1),SUM(B2:CC2),"")</f>
      </c>
      <c r="CD7" s="8">
        <f>IF((0=1),SUM(B2:CD2),"")</f>
      </c>
      <c r="CE7" s="8">
        <f>IF((0=1),SUM(B2:CE2),"")</f>
      </c>
      <c r="CF7" s="8">
        <f>IF((0=1),SUM(B2:CF2),"")</f>
      </c>
      <c r="CG7" s="8">
        <f>IF((0=1),SUM(B2:CG2),"")</f>
      </c>
      <c r="CH7" s="8">
        <f>IF((0=1),SUM(B2:CH2),"")</f>
      </c>
      <c r="CI7" s="8">
        <f>IF((0=1),SUM(B2:CI2),"")</f>
      </c>
      <c r="CJ7" s="8">
        <f>IF((0=1),SUM(B2:CJ2),"")</f>
      </c>
      <c r="CK7" s="8">
        <f>IF((0=1),SUM(B2:CK2),"")</f>
      </c>
      <c r="CL7" s="8">
        <f>IF((0=1),SUM(B2:CL2),"")</f>
      </c>
      <c r="CM7" s="8">
        <f>IF((0=1),SUM(B2:CM2),"")</f>
      </c>
      <c r="CN7" s="8">
        <f>IF((0=1),SUM(B2:CN2),"")</f>
      </c>
      <c r="CO7" s="8">
        <f>IF((0=1),SUM(B2:CO2),"")</f>
      </c>
      <c r="CP7" s="8">
        <f>IF((0=1),SUM(B2:CP2),"")</f>
      </c>
      <c r="CQ7" s="8">
        <f>IF((0=1),SUM(B2:CQ2),"")</f>
      </c>
      <c r="CR7" s="8">
        <f>IF((0=1),SUM(B2:CR2),"")</f>
      </c>
      <c r="CS7" s="8">
        <f>IF((0=1),SUM(B2:CS2),"")</f>
      </c>
      <c r="CT7" s="8">
        <f>IF((0=1),SUM(B2:CT2),"")</f>
      </c>
      <c r="CU7" s="8">
        <f>IF((0=1),SUM(B2:CU2),"")</f>
      </c>
      <c r="CV7" s="8">
        <f>IF((0=1),SUM(B2:CV2),"")</f>
      </c>
      <c r="CW7" s="8">
        <f>IF((0=1),SUM(B2:CW2),"")</f>
      </c>
    </row>
    <row r="8">
      <c r="A8" s="0" t="inlineStr">
        <is>
          <t xml:space="preserve">Random pods: cumulative average, bps</t>
        </is>
      </c>
      <c r="B8" s="8">
        <f>IF((1=1),SUM(B5),"")</f>
        <v>0.82685</v>
      </c>
      <c r="C8" s="8">
        <f>IF((0=1),SUM(B5:C5),"")</f>
      </c>
      <c r="D8" s="8">
        <f>IF((0=1),SUM(B5:D5),"")</f>
      </c>
      <c r="E8" s="8">
        <f>IF((0=1),SUM(B5:E5),"")</f>
      </c>
      <c r="F8" s="8">
        <f>IF((0=1),SUM(B5:F5),"")</f>
      </c>
      <c r="G8" s="8">
        <f>IF((0=1),SUM(B5:G5),"")</f>
      </c>
      <c r="H8" s="8">
        <f>IF((0=1),SUM(B5:H5),"")</f>
      </c>
      <c r="I8" s="8">
        <f>IF((0=1),SUM(B5:I5),"")</f>
      </c>
      <c r="J8" s="8">
        <f>IF((0=1),SUM(B5:J5),"")</f>
      </c>
      <c r="K8" s="8">
        <f>IF((0=1),SUM(B5:K5),"")</f>
      </c>
      <c r="L8" s="8">
        <f>IF((0=1),SUM(B5:L5),"")</f>
      </c>
      <c r="M8" s="8">
        <f>IF((0=1),SUM(B5:M5),"")</f>
      </c>
      <c r="N8" s="8">
        <f>IF((0=1),SUM(B5:N5),"")</f>
      </c>
      <c r="O8" s="8">
        <f>IF((0=1),SUM(B5:O5),"")</f>
      </c>
      <c r="P8" s="8">
        <f>IF((0=1),SUM(B5:P5),"")</f>
      </c>
      <c r="Q8" s="8">
        <f>IF((0=1),SUM(B5:Q5),"")</f>
      </c>
      <c r="R8" s="8">
        <f>IF((0=1),SUM(B5:R5),"")</f>
      </c>
      <c r="S8" s="8">
        <f>IF((0=1),SUM(B5:S5),"")</f>
      </c>
      <c r="T8" s="8">
        <f>IF((0=1),SUM(B5:T5),"")</f>
      </c>
      <c r="U8" s="8">
        <f>IF((0=1),SUM(B5:U5),"")</f>
      </c>
      <c r="V8" s="8">
        <f>IF((0=1),SUM(B5:V5),"")</f>
      </c>
      <c r="W8" s="8">
        <f>IF((0=1),SUM(B5:W5),"")</f>
      </c>
      <c r="X8" s="8">
        <f>IF((0=1),SUM(B5:X5),"")</f>
      </c>
      <c r="Y8" s="8">
        <f>IF((0=1),SUM(B5:Y5),"")</f>
      </c>
      <c r="Z8" s="8">
        <f>IF((0=1),SUM(B5:Z5),"")</f>
      </c>
      <c r="AA8" s="8">
        <f>IF((0=1),SUM(B5:AA5),"")</f>
      </c>
      <c r="AB8" s="8">
        <f>IF((0=1),SUM(B5:AB5),"")</f>
      </c>
      <c r="AC8" s="8">
        <f>IF((0=1),SUM(B5:AC5),"")</f>
      </c>
      <c r="AD8" s="8">
        <f>IF((0=1),SUM(B5:AD5),"")</f>
      </c>
      <c r="AE8" s="8">
        <f>IF((0=1),SUM(B5:AE5),"")</f>
      </c>
      <c r="AF8" s="8">
        <f>IF((0=1),SUM(B5:AF5),"")</f>
      </c>
      <c r="AG8" s="8">
        <f>IF((0=1),SUM(B5:AG5),"")</f>
      </c>
      <c r="AH8" s="8">
        <f>IF((0=1),SUM(B5:AH5),"")</f>
      </c>
      <c r="AI8" s="8">
        <f>IF((0=1),SUM(B5:AI5),"")</f>
      </c>
      <c r="AJ8" s="8">
        <f>IF((0=1),SUM(B5:AJ5),"")</f>
      </c>
      <c r="AK8" s="8">
        <f>IF((0=1),SUM(B5:AK5),"")</f>
      </c>
      <c r="AL8" s="8">
        <f>IF((0=1),SUM(B5:AL5),"")</f>
      </c>
      <c r="AM8" s="8">
        <f>IF((0=1),SUM(B5:AM5),"")</f>
      </c>
      <c r="AN8" s="8">
        <f>IF((0=1),SUM(B5:AN5),"")</f>
      </c>
      <c r="AO8" s="8">
        <f>IF((0=1),SUM(B5:AO5),"")</f>
      </c>
      <c r="AP8" s="8">
        <f>IF((0=1),SUM(B5:AP5),"")</f>
      </c>
      <c r="AQ8" s="8">
        <f>IF((0=1),SUM(B5:AQ5),"")</f>
      </c>
      <c r="AR8" s="8">
        <f>IF((0=1),SUM(B5:AR5),"")</f>
      </c>
      <c r="AS8" s="8">
        <f>IF((0=1),SUM(B5:AS5),"")</f>
      </c>
      <c r="AT8" s="8">
        <f>IF((0=1),SUM(B5:AT5),"")</f>
      </c>
      <c r="AU8" s="8">
        <f>IF((0=1),SUM(B5:AU5),"")</f>
      </c>
      <c r="AV8" s="8">
        <f>IF((0=1),SUM(B5:AV5),"")</f>
      </c>
      <c r="AW8" s="8">
        <f>IF((0=1),SUM(B5:AW5),"")</f>
      </c>
      <c r="AX8" s="8">
        <f>IF((0=1),SUM(B5:AX5),"")</f>
      </c>
      <c r="AY8" s="8">
        <f>IF((0=1),SUM(B5:AY5),"")</f>
      </c>
      <c r="AZ8" s="8">
        <f>IF((0=1),SUM(B5:AZ5),"")</f>
      </c>
      <c r="BA8" s="8">
        <f>IF((0=1),SUM(B5:BA5),"")</f>
      </c>
      <c r="BB8" s="8">
        <f>IF((0=1),SUM(B5:BB5),"")</f>
      </c>
      <c r="BC8" s="8">
        <f>IF((0=1),SUM(B5:BC5),"")</f>
      </c>
      <c r="BD8" s="8">
        <f>IF((0=1),SUM(B5:BD5),"")</f>
      </c>
      <c r="BE8" s="8">
        <f>IF((0=1),SUM(B5:BE5),"")</f>
      </c>
      <c r="BF8" s="8">
        <f>IF((0=1),SUM(B5:BF5),"")</f>
      </c>
      <c r="BG8" s="8">
        <f>IF((0=1),SUM(B5:BG5),"")</f>
      </c>
      <c r="BH8" s="8">
        <f>IF((0=1),SUM(B5:BH5),"")</f>
      </c>
      <c r="BI8" s="8">
        <f>IF((0=1),SUM(B5:BI5),"")</f>
      </c>
      <c r="BJ8" s="8">
        <f>IF((0=1),SUM(B5:BJ5),"")</f>
      </c>
      <c r="BK8" s="8">
        <f>IF((0=1),SUM(B5:BK5),"")</f>
      </c>
      <c r="BL8" s="8">
        <f>IF((0=1),SUM(B5:BL5),"")</f>
      </c>
      <c r="BM8" s="8">
        <f>IF((0=1),SUM(B5:BM5),"")</f>
      </c>
      <c r="BN8" s="8">
        <f>IF((0=1),SUM(B5:BN5),"")</f>
      </c>
      <c r="BO8" s="8">
        <f>IF((0=1),SUM(B5:BO5),"")</f>
      </c>
      <c r="BP8" s="8">
        <f>IF((0=1),SUM(B5:BP5),"")</f>
      </c>
      <c r="BQ8" s="8">
        <f>IF((0=1),SUM(B5:BQ5),"")</f>
      </c>
      <c r="BR8" s="8">
        <f>IF((0=1),SUM(B5:BR5),"")</f>
      </c>
      <c r="BS8" s="8">
        <f>IF((0=1),SUM(B5:BS5),"")</f>
      </c>
      <c r="BT8" s="8">
        <f>IF((0=1),SUM(B5:BT5),"")</f>
      </c>
      <c r="BU8" s="8">
        <f>IF((0=1),SUM(B5:BU5),"")</f>
      </c>
      <c r="BV8" s="8">
        <f>IF((0=1),SUM(B5:BV5),"")</f>
      </c>
      <c r="BW8" s="8">
        <f>IF((0=1),SUM(B5:BW5),"")</f>
      </c>
      <c r="BX8" s="8">
        <f>IF((0=1),SUM(B5:BX5),"")</f>
      </c>
      <c r="BY8" s="8">
        <f>IF((0=1),SUM(B5:BY5),"")</f>
      </c>
      <c r="BZ8" s="8">
        <f>IF((0=1),SUM(B5:BZ5),"")</f>
      </c>
      <c r="CA8" s="8">
        <f>IF((0=1),SUM(B5:CA5),"")</f>
      </c>
      <c r="CB8" s="8">
        <f>IF((0=1),SUM(B5:CB5),"")</f>
      </c>
      <c r="CC8" s="8">
        <f>IF((0=1),SUM(B5:CC5),"")</f>
      </c>
      <c r="CD8" s="8">
        <f>IF((0=1),SUM(B5:CD5),"")</f>
      </c>
      <c r="CE8" s="8">
        <f>IF((0=1),SUM(B5:CE5),"")</f>
      </c>
      <c r="CF8" s="8">
        <f>IF((0=1),SUM(B5:CF5),"")</f>
      </c>
      <c r="CG8" s="8">
        <f>IF((0=1),SUM(B5:CG5),"")</f>
      </c>
      <c r="CH8" s="8">
        <f>IF((0=1),SUM(B5:CH5),"")</f>
      </c>
      <c r="CI8" s="8">
        <f>IF((0=1),SUM(B5:CI5),"")</f>
      </c>
      <c r="CJ8" s="8">
        <f>IF((0=1),SUM(B5:CJ5),"")</f>
      </c>
      <c r="CK8" s="8">
        <f>IF((0=1),SUM(B5:CK5),"")</f>
      </c>
      <c r="CL8" s="8">
        <f>IF((0=1),SUM(B5:CL5),"")</f>
      </c>
      <c r="CM8" s="8">
        <f>IF((0=1),SUM(B5:CM5),"")</f>
      </c>
      <c r="CN8" s="8">
        <f>IF((0=1),SUM(B5:CN5),"")</f>
      </c>
      <c r="CO8" s="8">
        <f>IF((0=1),SUM(B5:CO5),"")</f>
      </c>
      <c r="CP8" s="8">
        <f>IF((0=1),SUM(B5:CP5),"")</f>
      </c>
      <c r="CQ8" s="8">
        <f>IF((0=1),SUM(B5:CQ5),"")</f>
      </c>
      <c r="CR8" s="8">
        <f>IF((0=1),SUM(B5:CR5),"")</f>
      </c>
      <c r="CS8" s="8">
        <f>IF((0=1),SUM(B5:CS5),"")</f>
      </c>
      <c r="CT8" s="8">
        <f>IF((0=1),SUM(B5:CT5),"")</f>
      </c>
      <c r="CU8" s="8">
        <f>IF((0=1),SUM(B5:CU5),"")</f>
      </c>
      <c r="CV8" s="8">
        <f>IF((0=1),SUM(B5:CV5),"")</f>
      </c>
      <c r="CW8" s="8">
        <f>IF((0=1),SUM(B5:CW5),"")</f>
      </c>
    </row>
    <row r="9">
      <c r="A9" s="0" t="inlineStr">
        <is>
          <t xml:space="preserve">LLM pods that submitted</t>
        </is>
      </c>
      <c r="B9" s="4">
        <f>SUM('Submissions'!D2,'Submissions'!D4,'Submissions'!D6,'Submissions'!D8,'Submissions'!D10,'Submissions'!D12,'Submissions'!D14,'Submissions'!D16,'Submissions'!D18,'Submissions'!D20)</f>
        <v>10</v>
      </c>
      <c r="C9" s="4">
        <f>SUM('Submissions'!D3,'Submissions'!D5,'Submissions'!D7,'Submissions'!D9,'Submissions'!D11,'Submissions'!D13,'Submissions'!D15,'Submissions'!D17,'Submissions'!D19,'Submissions'!D21)</f>
        <v>10</v>
      </c>
      <c r="D9" s="4">
        <f>0</f>
        <v>0</v>
      </c>
      <c r="E9" s="4">
        <f>0</f>
        <v>0</v>
      </c>
      <c r="F9" s="4">
        <f>0</f>
        <v>0</v>
      </c>
      <c r="G9" s="4">
        <f>0</f>
        <v>0</v>
      </c>
      <c r="H9" s="4">
        <f>0</f>
        <v>0</v>
      </c>
      <c r="I9" s="4">
        <f>0</f>
        <v>0</v>
      </c>
      <c r="J9" s="4">
        <f>0</f>
        <v>0</v>
      </c>
      <c r="K9" s="4">
        <f>0</f>
        <v>0</v>
      </c>
      <c r="L9" s="4">
        <f>0</f>
        <v>0</v>
      </c>
      <c r="M9" s="4">
        <f>0</f>
        <v>0</v>
      </c>
      <c r="N9" s="4">
        <f>0</f>
        <v>0</v>
      </c>
      <c r="O9" s="4">
        <f>0</f>
        <v>0</v>
      </c>
      <c r="P9" s="4">
        <f>0</f>
        <v>0</v>
      </c>
      <c r="Q9" s="4">
        <f>0</f>
        <v>0</v>
      </c>
      <c r="R9" s="4">
        <f>0</f>
        <v>0</v>
      </c>
      <c r="S9" s="4">
        <f>0</f>
        <v>0</v>
      </c>
      <c r="T9" s="4">
        <f>0</f>
        <v>0</v>
      </c>
      <c r="U9" s="4">
        <f>0</f>
        <v>0</v>
      </c>
      <c r="V9" s="4">
        <f>0</f>
        <v>0</v>
      </c>
      <c r="W9" s="4">
        <f>0</f>
        <v>0</v>
      </c>
      <c r="X9" s="4">
        <f>0</f>
        <v>0</v>
      </c>
      <c r="Y9" s="4">
        <f>0</f>
        <v>0</v>
      </c>
      <c r="Z9" s="4">
        <f>0</f>
        <v>0</v>
      </c>
      <c r="AA9" s="4">
        <f>0</f>
        <v>0</v>
      </c>
      <c r="AB9" s="4">
        <f>0</f>
        <v>0</v>
      </c>
      <c r="AC9" s="4">
        <f>0</f>
        <v>0</v>
      </c>
      <c r="AD9" s="4">
        <f>0</f>
        <v>0</v>
      </c>
      <c r="AE9" s="4">
        <f>0</f>
        <v>0</v>
      </c>
      <c r="AF9" s="4">
        <f>0</f>
        <v>0</v>
      </c>
      <c r="AG9" s="4">
        <f>0</f>
        <v>0</v>
      </c>
      <c r="AH9" s="4">
        <f>0</f>
        <v>0</v>
      </c>
      <c r="AI9" s="4">
        <f>0</f>
        <v>0</v>
      </c>
      <c r="AJ9" s="4">
        <f>0</f>
        <v>0</v>
      </c>
      <c r="AK9" s="4">
        <f>0</f>
        <v>0</v>
      </c>
      <c r="AL9" s="4">
        <f>0</f>
        <v>0</v>
      </c>
      <c r="AM9" s="4">
        <f>0</f>
        <v>0</v>
      </c>
      <c r="AN9" s="4">
        <f>0</f>
        <v>0</v>
      </c>
      <c r="AO9" s="4">
        <f>0</f>
        <v>0</v>
      </c>
      <c r="AP9" s="4">
        <f>0</f>
        <v>0</v>
      </c>
      <c r="AQ9" s="4">
        <f>0</f>
        <v>0</v>
      </c>
      <c r="AR9" s="4">
        <f>0</f>
        <v>0</v>
      </c>
      <c r="AS9" s="4">
        <f>0</f>
        <v>0</v>
      </c>
      <c r="AT9" s="4">
        <f>0</f>
        <v>0</v>
      </c>
      <c r="AU9" s="4">
        <f>0</f>
        <v>0</v>
      </c>
      <c r="AV9" s="4">
        <f>0</f>
        <v>0</v>
      </c>
      <c r="AW9" s="4">
        <f>0</f>
        <v>0</v>
      </c>
      <c r="AX9" s="4">
        <f>0</f>
        <v>0</v>
      </c>
      <c r="AY9" s="4">
        <f>0</f>
        <v>0</v>
      </c>
      <c r="AZ9" s="4">
        <f>0</f>
        <v>0</v>
      </c>
      <c r="BA9" s="4">
        <f>0</f>
        <v>0</v>
      </c>
      <c r="BB9" s="4">
        <f>0</f>
        <v>0</v>
      </c>
      <c r="BC9" s="4">
        <f>0</f>
        <v>0</v>
      </c>
      <c r="BD9" s="4">
        <f>0</f>
        <v>0</v>
      </c>
      <c r="BE9" s="4">
        <f>0</f>
        <v>0</v>
      </c>
      <c r="BF9" s="4">
        <f>0</f>
        <v>0</v>
      </c>
      <c r="BG9" s="4">
        <f>0</f>
        <v>0</v>
      </c>
      <c r="BH9" s="4">
        <f>0</f>
        <v>0</v>
      </c>
      <c r="BI9" s="4">
        <f>0</f>
        <v>0</v>
      </c>
      <c r="BJ9" s="4">
        <f>0</f>
        <v>0</v>
      </c>
      <c r="BK9" s="4">
        <f>0</f>
        <v>0</v>
      </c>
      <c r="BL9" s="4">
        <f>0</f>
        <v>0</v>
      </c>
      <c r="BM9" s="4">
        <f>0</f>
        <v>0</v>
      </c>
      <c r="BN9" s="4">
        <f>0</f>
        <v>0</v>
      </c>
      <c r="BO9" s="4">
        <f>0</f>
        <v>0</v>
      </c>
      <c r="BP9" s="4">
        <f>0</f>
        <v>0</v>
      </c>
      <c r="BQ9" s="4">
        <f>0</f>
        <v>0</v>
      </c>
      <c r="BR9" s="4">
        <f>0</f>
        <v>0</v>
      </c>
      <c r="BS9" s="4">
        <f>0</f>
        <v>0</v>
      </c>
      <c r="BT9" s="4">
        <f>0</f>
        <v>0</v>
      </c>
      <c r="BU9" s="4">
        <f>0</f>
        <v>0</v>
      </c>
      <c r="BV9" s="4">
        <f>0</f>
        <v>0</v>
      </c>
      <c r="BW9" s="4">
        <f>0</f>
        <v>0</v>
      </c>
      <c r="BX9" s="4">
        <f>0</f>
        <v>0</v>
      </c>
      <c r="BY9" s="4">
        <f>0</f>
        <v>0</v>
      </c>
      <c r="BZ9" s="4">
        <f>0</f>
        <v>0</v>
      </c>
      <c r="CA9" s="4">
        <f>0</f>
        <v>0</v>
      </c>
      <c r="CB9" s="4">
        <f>0</f>
        <v>0</v>
      </c>
      <c r="CC9" s="4">
        <f>0</f>
        <v>0</v>
      </c>
      <c r="CD9" s="4">
        <f>0</f>
        <v>0</v>
      </c>
      <c r="CE9" s="4">
        <f>0</f>
        <v>0</v>
      </c>
      <c r="CF9" s="4">
        <f>0</f>
        <v>0</v>
      </c>
      <c r="CG9" s="4">
        <f>0</f>
        <v>0</v>
      </c>
      <c r="CH9" s="4">
        <f>0</f>
        <v>0</v>
      </c>
      <c r="CI9" s="4">
        <f>0</f>
        <v>0</v>
      </c>
      <c r="CJ9" s="4">
        <f>0</f>
        <v>0</v>
      </c>
      <c r="CK9" s="4">
        <f>0</f>
        <v>0</v>
      </c>
      <c r="CL9" s="4">
        <f>0</f>
        <v>0</v>
      </c>
      <c r="CM9" s="4">
        <f>0</f>
        <v>0</v>
      </c>
      <c r="CN9" s="4">
        <f>0</f>
        <v>0</v>
      </c>
      <c r="CO9" s="4">
        <f>0</f>
        <v>0</v>
      </c>
      <c r="CP9" s="4">
        <f>0</f>
        <v>0</v>
      </c>
      <c r="CQ9" s="4">
        <f>0</f>
        <v>0</v>
      </c>
      <c r="CR9" s="4">
        <f>0</f>
        <v>0</v>
      </c>
      <c r="CS9" s="4">
        <f>0</f>
        <v>0</v>
      </c>
      <c r="CT9" s="4">
        <f>0</f>
        <v>0</v>
      </c>
      <c r="CU9" s="4">
        <f>0</f>
        <v>0</v>
      </c>
      <c r="CV9" s="4">
        <f>0</f>
        <v>0</v>
      </c>
      <c r="CW9" s="4">
        <f>0</f>
        <v>0</v>
      </c>
    </row>
    <row r="10">
      <c r="A10" s="0" t="inlineStr">
        <is>
          <t xml:space="preserve">Average agent tool calls</t>
        </is>
      </c>
      <c r="B10" s="8">
        <f>IF((B9&gt;0),AVERAGE('Submissions'!G2,'Submissions'!G4,'Submissions'!G6,'Submissions'!G8,'Submissions'!G10,'Submissions'!G12,'Submissions'!G14,'Submissions'!G16,'Submissions'!G18,'Submissions'!G20),"")</f>
        <v>13.8</v>
      </c>
      <c r="C10" s="8">
        <f>IF((C9&gt;0),AVERAGE('Submissions'!G3,'Submissions'!G5,'Submissions'!G7,'Submissions'!G9,'Submissions'!G11,'Submissions'!G13,'Submissions'!G15,'Submissions'!G17,'Submissions'!G19,'Submissions'!G21),"")</f>
        <v>8.2</v>
      </c>
      <c r="D10" s="8">
        <f>IF((D9&gt;0),"","")</f>
      </c>
      <c r="E10" s="8">
        <f>IF((E9&gt;0),"","")</f>
      </c>
      <c r="F10" s="8">
        <f>IF((F9&gt;0),"","")</f>
      </c>
      <c r="G10" s="8">
        <f>IF((G9&gt;0),"","")</f>
      </c>
      <c r="H10" s="8">
        <f>IF((H9&gt;0),"","")</f>
      </c>
      <c r="I10" s="8">
        <f>IF((I9&gt;0),"","")</f>
      </c>
      <c r="J10" s="8">
        <f>IF((J9&gt;0),"","")</f>
      </c>
      <c r="K10" s="8">
        <f>IF((K9&gt;0),"","")</f>
      </c>
      <c r="L10" s="8">
        <f>IF((L9&gt;0),"","")</f>
      </c>
      <c r="M10" s="8">
        <f>IF((M9&gt;0),"","")</f>
      </c>
      <c r="N10" s="8">
        <f>IF((N9&gt;0),"","")</f>
      </c>
      <c r="O10" s="8">
        <f>IF((O9&gt;0),"","")</f>
      </c>
      <c r="P10" s="8">
        <f>IF((P9&gt;0),"","")</f>
      </c>
      <c r="Q10" s="8">
        <f>IF((Q9&gt;0),"","")</f>
      </c>
      <c r="R10" s="8">
        <f>IF((R9&gt;0),"","")</f>
      </c>
      <c r="S10" s="8">
        <f>IF((S9&gt;0),"","")</f>
      </c>
      <c r="T10" s="8">
        <f>IF((T9&gt;0),"","")</f>
      </c>
      <c r="U10" s="8">
        <f>IF((U9&gt;0),"","")</f>
      </c>
      <c r="V10" s="8">
        <f>IF((V9&gt;0),"","")</f>
      </c>
      <c r="W10" s="8">
        <f>IF((W9&gt;0),"","")</f>
      </c>
      <c r="X10" s="8">
        <f>IF((X9&gt;0),"","")</f>
      </c>
      <c r="Y10" s="8">
        <f>IF((Y9&gt;0),"","")</f>
      </c>
      <c r="Z10" s="8">
        <f>IF((Z9&gt;0),"","")</f>
      </c>
      <c r="AA10" s="8">
        <f>IF((AA9&gt;0),"","")</f>
      </c>
      <c r="AB10" s="8">
        <f>IF((AB9&gt;0),"","")</f>
      </c>
      <c r="AC10" s="8">
        <f>IF((AC9&gt;0),"","")</f>
      </c>
      <c r="AD10" s="8">
        <f>IF((AD9&gt;0),"","")</f>
      </c>
      <c r="AE10" s="8">
        <f>IF((AE9&gt;0),"","")</f>
      </c>
      <c r="AF10" s="8">
        <f>IF((AF9&gt;0),"","")</f>
      </c>
      <c r="AG10" s="8">
        <f>IF((AG9&gt;0),"","")</f>
      </c>
      <c r="AH10" s="8">
        <f>IF((AH9&gt;0),"","")</f>
      </c>
      <c r="AI10" s="8">
        <f>IF((AI9&gt;0),"","")</f>
      </c>
      <c r="AJ10" s="8">
        <f>IF((AJ9&gt;0),"","")</f>
      </c>
      <c r="AK10" s="8">
        <f>IF((AK9&gt;0),"","")</f>
      </c>
      <c r="AL10" s="8">
        <f>IF((AL9&gt;0),"","")</f>
      </c>
      <c r="AM10" s="8">
        <f>IF((AM9&gt;0),"","")</f>
      </c>
      <c r="AN10" s="8">
        <f>IF((AN9&gt;0),"","")</f>
      </c>
      <c r="AO10" s="8">
        <f>IF((AO9&gt;0),"","")</f>
      </c>
      <c r="AP10" s="8">
        <f>IF((AP9&gt;0),"","")</f>
      </c>
      <c r="AQ10" s="8">
        <f>IF((AQ9&gt;0),"","")</f>
      </c>
      <c r="AR10" s="8">
        <f>IF((AR9&gt;0),"","")</f>
      </c>
      <c r="AS10" s="8">
        <f>IF((AS9&gt;0),"","")</f>
      </c>
      <c r="AT10" s="8">
        <f>IF((AT9&gt;0),"","")</f>
      </c>
      <c r="AU10" s="8">
        <f>IF((AU9&gt;0),"","")</f>
      </c>
      <c r="AV10" s="8">
        <f>IF((AV9&gt;0),"","")</f>
      </c>
      <c r="AW10" s="8">
        <f>IF((AW9&gt;0),"","")</f>
      </c>
      <c r="AX10" s="8">
        <f>IF((AX9&gt;0),"","")</f>
      </c>
      <c r="AY10" s="8">
        <f>IF((AY9&gt;0),"","")</f>
      </c>
      <c r="AZ10" s="8">
        <f>IF((AZ9&gt;0),"","")</f>
      </c>
      <c r="BA10" s="8">
        <f>IF((BA9&gt;0),"","")</f>
      </c>
      <c r="BB10" s="8">
        <f>IF((BB9&gt;0),"","")</f>
      </c>
      <c r="BC10" s="8">
        <f>IF((BC9&gt;0),"","")</f>
      </c>
      <c r="BD10" s="8">
        <f>IF((BD9&gt;0),"","")</f>
      </c>
      <c r="BE10" s="8">
        <f>IF((BE9&gt;0),"","")</f>
      </c>
      <c r="BF10" s="8">
        <f>IF((BF9&gt;0),"","")</f>
      </c>
      <c r="BG10" s="8">
        <f>IF((BG9&gt;0),"","")</f>
      </c>
      <c r="BH10" s="8">
        <f>IF((BH9&gt;0),"","")</f>
      </c>
      <c r="BI10" s="8">
        <f>IF((BI9&gt;0),"","")</f>
      </c>
      <c r="BJ10" s="8">
        <f>IF((BJ9&gt;0),"","")</f>
      </c>
      <c r="BK10" s="8">
        <f>IF((BK9&gt;0),"","")</f>
      </c>
      <c r="BL10" s="8">
        <f>IF((BL9&gt;0),"","")</f>
      </c>
      <c r="BM10" s="8">
        <f>IF((BM9&gt;0),"","")</f>
      </c>
      <c r="BN10" s="8">
        <f>IF((BN9&gt;0),"","")</f>
      </c>
      <c r="BO10" s="8">
        <f>IF((BO9&gt;0),"","")</f>
      </c>
      <c r="BP10" s="8">
        <f>IF((BP9&gt;0),"","")</f>
      </c>
      <c r="BQ10" s="8">
        <f>IF((BQ9&gt;0),"","")</f>
      </c>
      <c r="BR10" s="8">
        <f>IF((BR9&gt;0),"","")</f>
      </c>
      <c r="BS10" s="8">
        <f>IF((BS9&gt;0),"","")</f>
      </c>
      <c r="BT10" s="8">
        <f>IF((BT9&gt;0),"","")</f>
      </c>
      <c r="BU10" s="8">
        <f>IF((BU9&gt;0),"","")</f>
      </c>
      <c r="BV10" s="8">
        <f>IF((BV9&gt;0),"","")</f>
      </c>
      <c r="BW10" s="8">
        <f>IF((BW9&gt;0),"","")</f>
      </c>
      <c r="BX10" s="8">
        <f>IF((BX9&gt;0),"","")</f>
      </c>
      <c r="BY10" s="8">
        <f>IF((BY9&gt;0),"","")</f>
      </c>
      <c r="BZ10" s="8">
        <f>IF((BZ9&gt;0),"","")</f>
      </c>
      <c r="CA10" s="8">
        <f>IF((CA9&gt;0),"","")</f>
      </c>
      <c r="CB10" s="8">
        <f>IF((CB9&gt;0),"","")</f>
      </c>
      <c r="CC10" s="8">
        <f>IF((CC9&gt;0),"","")</f>
      </c>
      <c r="CD10" s="8">
        <f>IF((CD9&gt;0),"","")</f>
      </c>
      <c r="CE10" s="8">
        <f>IF((CE9&gt;0),"","")</f>
      </c>
      <c r="CF10" s="8">
        <f>IF((CF9&gt;0),"","")</f>
      </c>
      <c r="CG10" s="8">
        <f>IF((CG9&gt;0),"","")</f>
      </c>
      <c r="CH10" s="8">
        <f>IF((CH9&gt;0),"","")</f>
      </c>
      <c r="CI10" s="8">
        <f>IF((CI9&gt;0),"","")</f>
      </c>
      <c r="CJ10" s="8">
        <f>IF((CJ9&gt;0),"","")</f>
      </c>
      <c r="CK10" s="8">
        <f>IF((CK9&gt;0),"","")</f>
      </c>
      <c r="CL10" s="8">
        <f>IF((CL9&gt;0),"","")</f>
      </c>
      <c r="CM10" s="8">
        <f>IF((CM9&gt;0),"","")</f>
      </c>
      <c r="CN10" s="8">
        <f>IF((CN9&gt;0),"","")</f>
      </c>
      <c r="CO10" s="8">
        <f>IF((CO9&gt;0),"","")</f>
      </c>
      <c r="CP10" s="8">
        <f>IF((CP9&gt;0),"","")</f>
      </c>
      <c r="CQ10" s="8">
        <f>IF((CQ9&gt;0),"","")</f>
      </c>
      <c r="CR10" s="8">
        <f>IF((CR9&gt;0),"","")</f>
      </c>
      <c r="CS10" s="8">
        <f>IF((CS9&gt;0),"","")</f>
      </c>
      <c r="CT10" s="8">
        <f>IF((CT9&gt;0),"","")</f>
      </c>
      <c r="CU10" s="8">
        <f>IF((CU9&gt;0),"","")</f>
      </c>
      <c r="CV10" s="8">
        <f>IF((CV9&gt;0),"","")</f>
      </c>
      <c r="CW10" s="8">
        <f>IF((CW9&gt;0),"","")</f>
      </c>
    </row>
    <row r="11">
      <c r="A11" s="0" t="inlineStr">
        <is>
          <t xml:space="preserve">Input tokens</t>
        </is>
      </c>
      <c r="B11" s="4">
        <f>SUMIFS('LLM usage'!$D$2:$D$21,'LLM usage'!$C$2:$C$21,"=d20260922")</f>
        <v>1876757</v>
      </c>
      <c r="C11" s="4">
        <f>SUMIFS('LLM usage'!$D$2:$D$21,'LLM usage'!$C$2:$C$21,"=d20260923")</f>
        <v>1378374</v>
      </c>
      <c r="D11" s="4">
        <f>SUMIFS('LLM usage'!$D$2:$D$21,'LLM usage'!$C$2:$C$21,"=d20260924")</f>
        <v>0</v>
      </c>
      <c r="E11" s="4">
        <f>SUMIFS('LLM usage'!$D$2:$D$21,'LLM usage'!$C$2:$C$21,"=d20260925")</f>
        <v>0</v>
      </c>
      <c r="F11" s="4">
        <f>SUMIFS('LLM usage'!$D$2:$D$21,'LLM usage'!$C$2:$C$21,"=d20260928")</f>
        <v>0</v>
      </c>
      <c r="G11" s="4">
        <f>SUMIFS('LLM usage'!$D$2:$D$21,'LLM usage'!$C$2:$C$21,"=d20260929")</f>
        <v>0</v>
      </c>
      <c r="H11" s="4">
        <f>SUMIFS('LLM usage'!$D$2:$D$21,'LLM usage'!$C$2:$C$21,"=d20260930")</f>
        <v>0</v>
      </c>
      <c r="I11" s="4">
        <f>SUMIFS('LLM usage'!$D$2:$D$21,'LLM usage'!$C$2:$C$21,"=d20261001")</f>
        <v>0</v>
      </c>
      <c r="J11" s="4">
        <f>SUMIFS('LLM usage'!$D$2:$D$21,'LLM usage'!$C$2:$C$21,"=d20261002")</f>
        <v>0</v>
      </c>
      <c r="K11" s="4">
        <f>SUMIFS('LLM usage'!$D$2:$D$21,'LLM usage'!$C$2:$C$21,"=d20261005")</f>
        <v>0</v>
      </c>
      <c r="L11" s="4">
        <f>SUMIFS('LLM usage'!$D$2:$D$21,'LLM usage'!$C$2:$C$21,"=d20261006")</f>
        <v>0</v>
      </c>
      <c r="M11" s="4">
        <f>SUMIFS('LLM usage'!$D$2:$D$21,'LLM usage'!$C$2:$C$21,"=d20261007")</f>
        <v>0</v>
      </c>
      <c r="N11" s="4">
        <f>SUMIFS('LLM usage'!$D$2:$D$21,'LLM usage'!$C$2:$C$21,"=d20261008")</f>
        <v>0</v>
      </c>
      <c r="O11" s="4">
        <f>SUMIFS('LLM usage'!$D$2:$D$21,'LLM usage'!$C$2:$C$21,"=d20261009")</f>
        <v>0</v>
      </c>
      <c r="P11" s="4">
        <f>SUMIFS('LLM usage'!$D$2:$D$21,'LLM usage'!$C$2:$C$21,"=d20261012")</f>
        <v>0</v>
      </c>
      <c r="Q11" s="4">
        <f>SUMIFS('LLM usage'!$D$2:$D$21,'LLM usage'!$C$2:$C$21,"=d20261013")</f>
        <v>0</v>
      </c>
      <c r="R11" s="4">
        <f>SUMIFS('LLM usage'!$D$2:$D$21,'LLM usage'!$C$2:$C$21,"=d20261014")</f>
        <v>0</v>
      </c>
      <c r="S11" s="4">
        <f>SUMIFS('LLM usage'!$D$2:$D$21,'LLM usage'!$C$2:$C$21,"=d20261015")</f>
        <v>0</v>
      </c>
      <c r="T11" s="4">
        <f>SUMIFS('LLM usage'!$D$2:$D$21,'LLM usage'!$C$2:$C$21,"=d20261016")</f>
        <v>0</v>
      </c>
      <c r="U11" s="4">
        <f>SUMIFS('LLM usage'!$D$2:$D$21,'LLM usage'!$C$2:$C$21,"=d20261019")</f>
        <v>0</v>
      </c>
      <c r="V11" s="4">
        <f>SUMIFS('LLM usage'!$D$2:$D$21,'LLM usage'!$C$2:$C$21,"=d20261020")</f>
        <v>0</v>
      </c>
      <c r="W11" s="4">
        <f>SUMIFS('LLM usage'!$D$2:$D$21,'LLM usage'!$C$2:$C$21,"=d20261021")</f>
        <v>0</v>
      </c>
      <c r="X11" s="4">
        <f>SUMIFS('LLM usage'!$D$2:$D$21,'LLM usage'!$C$2:$C$21,"=d20261022")</f>
        <v>0</v>
      </c>
      <c r="Y11" s="4">
        <f>SUMIFS('LLM usage'!$D$2:$D$21,'LLM usage'!$C$2:$C$21,"=d20261023")</f>
        <v>0</v>
      </c>
      <c r="Z11" s="4">
        <f>SUMIFS('LLM usage'!$D$2:$D$21,'LLM usage'!$C$2:$C$21,"=d20261026")</f>
        <v>0</v>
      </c>
      <c r="AA11" s="4">
        <f>SUMIFS('LLM usage'!$D$2:$D$21,'LLM usage'!$C$2:$C$21,"=d20261027")</f>
        <v>0</v>
      </c>
      <c r="AB11" s="4">
        <f>SUMIFS('LLM usage'!$D$2:$D$21,'LLM usage'!$C$2:$C$21,"=d20261028")</f>
        <v>0</v>
      </c>
      <c r="AC11" s="4">
        <f>SUMIFS('LLM usage'!$D$2:$D$21,'LLM usage'!$C$2:$C$21,"=d20261029")</f>
        <v>0</v>
      </c>
      <c r="AD11" s="4">
        <f>SUMIFS('LLM usage'!$D$2:$D$21,'LLM usage'!$C$2:$C$21,"=d20261030")</f>
        <v>0</v>
      </c>
      <c r="AE11" s="4">
        <f>SUMIFS('LLM usage'!$D$2:$D$21,'LLM usage'!$C$2:$C$21,"=d20261102")</f>
        <v>0</v>
      </c>
      <c r="AF11" s="4">
        <f>SUMIFS('LLM usage'!$D$2:$D$21,'LLM usage'!$C$2:$C$21,"=d20261103")</f>
        <v>0</v>
      </c>
      <c r="AG11" s="4">
        <f>SUMIFS('LLM usage'!$D$2:$D$21,'LLM usage'!$C$2:$C$21,"=d20261104")</f>
        <v>0</v>
      </c>
      <c r="AH11" s="4">
        <f>SUMIFS('LLM usage'!$D$2:$D$21,'LLM usage'!$C$2:$C$21,"=d20261105")</f>
        <v>0</v>
      </c>
      <c r="AI11" s="4">
        <f>SUMIFS('LLM usage'!$D$2:$D$21,'LLM usage'!$C$2:$C$21,"=d20261106")</f>
        <v>0</v>
      </c>
      <c r="AJ11" s="4">
        <f>SUMIFS('LLM usage'!$D$2:$D$21,'LLM usage'!$C$2:$C$21,"=d20261109")</f>
        <v>0</v>
      </c>
      <c r="AK11" s="4">
        <f>SUMIFS('LLM usage'!$D$2:$D$21,'LLM usage'!$C$2:$C$21,"=d20261110")</f>
        <v>0</v>
      </c>
      <c r="AL11" s="4">
        <f>SUMIFS('LLM usage'!$D$2:$D$21,'LLM usage'!$C$2:$C$21,"=d20261111")</f>
        <v>0</v>
      </c>
      <c r="AM11" s="4">
        <f>SUMIFS('LLM usage'!$D$2:$D$21,'LLM usage'!$C$2:$C$21,"=d20261112")</f>
        <v>0</v>
      </c>
      <c r="AN11" s="4">
        <f>SUMIFS('LLM usage'!$D$2:$D$21,'LLM usage'!$C$2:$C$21,"=d20261113")</f>
        <v>0</v>
      </c>
      <c r="AO11" s="4">
        <f>SUMIFS('LLM usage'!$D$2:$D$21,'LLM usage'!$C$2:$C$21,"=d20261116")</f>
        <v>0</v>
      </c>
      <c r="AP11" s="4">
        <f>SUMIFS('LLM usage'!$D$2:$D$21,'LLM usage'!$C$2:$C$21,"=d20261117")</f>
        <v>0</v>
      </c>
      <c r="AQ11" s="4">
        <f>SUMIFS('LLM usage'!$D$2:$D$21,'LLM usage'!$C$2:$C$21,"=d20261118")</f>
        <v>0</v>
      </c>
      <c r="AR11" s="4">
        <f>SUMIFS('LLM usage'!$D$2:$D$21,'LLM usage'!$C$2:$C$21,"=d20261119")</f>
        <v>0</v>
      </c>
      <c r="AS11" s="4">
        <f>SUMIFS('LLM usage'!$D$2:$D$21,'LLM usage'!$C$2:$C$21,"=d20261120")</f>
        <v>0</v>
      </c>
      <c r="AT11" s="4">
        <f>SUMIFS('LLM usage'!$D$2:$D$21,'LLM usage'!$C$2:$C$21,"=d20261123")</f>
        <v>0</v>
      </c>
      <c r="AU11" s="4">
        <f>SUMIFS('LLM usage'!$D$2:$D$21,'LLM usage'!$C$2:$C$21,"=d20261124")</f>
        <v>0</v>
      </c>
      <c r="AV11" s="4">
        <f>SUMIFS('LLM usage'!$D$2:$D$21,'LLM usage'!$C$2:$C$21,"=d20261125")</f>
        <v>0</v>
      </c>
      <c r="AW11" s="4">
        <f>SUMIFS('LLM usage'!$D$2:$D$21,'LLM usage'!$C$2:$C$21,"=d20261127")</f>
        <v>0</v>
      </c>
      <c r="AX11" s="4">
        <f>SUMIFS('LLM usage'!$D$2:$D$21,'LLM usage'!$C$2:$C$21,"=d20261130")</f>
        <v>0</v>
      </c>
      <c r="AY11" s="4">
        <f>SUMIFS('LLM usage'!$D$2:$D$21,'LLM usage'!$C$2:$C$21,"=d20261201")</f>
        <v>0</v>
      </c>
      <c r="AZ11" s="4">
        <f>SUMIFS('LLM usage'!$D$2:$D$21,'LLM usage'!$C$2:$C$21,"=d20261202")</f>
        <v>0</v>
      </c>
      <c r="BA11" s="4">
        <f>SUMIFS('LLM usage'!$D$2:$D$21,'LLM usage'!$C$2:$C$21,"=d20261203")</f>
        <v>0</v>
      </c>
      <c r="BB11" s="4">
        <f>SUMIFS('LLM usage'!$D$2:$D$21,'LLM usage'!$C$2:$C$21,"=d20261204")</f>
        <v>0</v>
      </c>
      <c r="BC11" s="4">
        <f>SUMIFS('LLM usage'!$D$2:$D$21,'LLM usage'!$C$2:$C$21,"=d20261207")</f>
        <v>0</v>
      </c>
      <c r="BD11" s="4">
        <f>SUMIFS('LLM usage'!$D$2:$D$21,'LLM usage'!$C$2:$C$21,"=d20261208")</f>
        <v>0</v>
      </c>
      <c r="BE11" s="4">
        <f>SUMIFS('LLM usage'!$D$2:$D$21,'LLM usage'!$C$2:$C$21,"=d20261209")</f>
        <v>0</v>
      </c>
      <c r="BF11" s="4">
        <f>SUMIFS('LLM usage'!$D$2:$D$21,'LLM usage'!$C$2:$C$21,"=d20261210")</f>
        <v>0</v>
      </c>
      <c r="BG11" s="4">
        <f>SUMIFS('LLM usage'!$D$2:$D$21,'LLM usage'!$C$2:$C$21,"=d20261211")</f>
        <v>0</v>
      </c>
      <c r="BH11" s="4">
        <f>SUMIFS('LLM usage'!$D$2:$D$21,'LLM usage'!$C$2:$C$21,"=d20261214")</f>
        <v>0</v>
      </c>
      <c r="BI11" s="4">
        <f>SUMIFS('LLM usage'!$D$2:$D$21,'LLM usage'!$C$2:$C$21,"=d20261215")</f>
        <v>0</v>
      </c>
      <c r="BJ11" s="4">
        <f>SUMIFS('LLM usage'!$D$2:$D$21,'LLM usage'!$C$2:$C$21,"=d20261216")</f>
        <v>0</v>
      </c>
      <c r="BK11" s="4">
        <f>SUMIFS('LLM usage'!$D$2:$D$21,'LLM usage'!$C$2:$C$21,"=d20261217")</f>
        <v>0</v>
      </c>
      <c r="BL11" s="4">
        <f>SUMIFS('LLM usage'!$D$2:$D$21,'LLM usage'!$C$2:$C$21,"=d20261218")</f>
        <v>0</v>
      </c>
      <c r="BM11" s="4">
        <f>SUMIFS('LLM usage'!$D$2:$D$21,'LLM usage'!$C$2:$C$21,"=d20261221")</f>
        <v>0</v>
      </c>
      <c r="BN11" s="4">
        <f>SUMIFS('LLM usage'!$D$2:$D$21,'LLM usage'!$C$2:$C$21,"=d20261222")</f>
        <v>0</v>
      </c>
      <c r="BO11" s="4">
        <f>SUMIFS('LLM usage'!$D$2:$D$21,'LLM usage'!$C$2:$C$21,"=d20261223")</f>
        <v>0</v>
      </c>
      <c r="BP11" s="4">
        <f>SUMIFS('LLM usage'!$D$2:$D$21,'LLM usage'!$C$2:$C$21,"=d20261224")</f>
        <v>0</v>
      </c>
      <c r="BQ11" s="4">
        <f>SUMIFS('LLM usage'!$D$2:$D$21,'LLM usage'!$C$2:$C$21,"=d20261228")</f>
        <v>0</v>
      </c>
      <c r="BR11" s="4">
        <f>SUMIFS('LLM usage'!$D$2:$D$21,'LLM usage'!$C$2:$C$21,"=d20261229")</f>
        <v>0</v>
      </c>
      <c r="BS11" s="4">
        <f>SUMIFS('LLM usage'!$D$2:$D$21,'LLM usage'!$C$2:$C$21,"=d20261230")</f>
        <v>0</v>
      </c>
      <c r="BT11" s="4">
        <f>SUMIFS('LLM usage'!$D$2:$D$21,'LLM usage'!$C$2:$C$21,"=d20261231")</f>
        <v>0</v>
      </c>
      <c r="BU11" s="4">
        <f>SUMIFS('LLM usage'!$D$2:$D$21,'LLM usage'!$C$2:$C$21,"=d20270104")</f>
        <v>0</v>
      </c>
      <c r="BV11" s="4">
        <f>SUMIFS('LLM usage'!$D$2:$D$21,'LLM usage'!$C$2:$C$21,"=d20270105")</f>
        <v>0</v>
      </c>
      <c r="BW11" s="4">
        <f>SUMIFS('LLM usage'!$D$2:$D$21,'LLM usage'!$C$2:$C$21,"=d20270106")</f>
        <v>0</v>
      </c>
      <c r="BX11" s="4">
        <f>SUMIFS('LLM usage'!$D$2:$D$21,'LLM usage'!$C$2:$C$21,"=d20270107")</f>
        <v>0</v>
      </c>
      <c r="BY11" s="4">
        <f>SUMIFS('LLM usage'!$D$2:$D$21,'LLM usage'!$C$2:$C$21,"=d20270108")</f>
        <v>0</v>
      </c>
      <c r="BZ11" s="4">
        <f>SUMIFS('LLM usage'!$D$2:$D$21,'LLM usage'!$C$2:$C$21,"=d20270111")</f>
        <v>0</v>
      </c>
      <c r="CA11" s="4">
        <f>SUMIFS('LLM usage'!$D$2:$D$21,'LLM usage'!$C$2:$C$21,"=d20270112")</f>
        <v>0</v>
      </c>
      <c r="CB11" s="4">
        <f>SUMIFS('LLM usage'!$D$2:$D$21,'LLM usage'!$C$2:$C$21,"=d20270113")</f>
        <v>0</v>
      </c>
      <c r="CC11" s="4">
        <f>SUMIFS('LLM usage'!$D$2:$D$21,'LLM usage'!$C$2:$C$21,"=d20270114")</f>
        <v>0</v>
      </c>
      <c r="CD11" s="4">
        <f>SUMIFS('LLM usage'!$D$2:$D$21,'LLM usage'!$C$2:$C$21,"=d20270115")</f>
        <v>0</v>
      </c>
      <c r="CE11" s="4">
        <f>SUMIFS('LLM usage'!$D$2:$D$21,'LLM usage'!$C$2:$C$21,"=d20270119")</f>
        <v>0</v>
      </c>
      <c r="CF11" s="4">
        <f>SUMIFS('LLM usage'!$D$2:$D$21,'LLM usage'!$C$2:$C$21,"=d20270120")</f>
        <v>0</v>
      </c>
      <c r="CG11" s="4">
        <f>SUMIFS('LLM usage'!$D$2:$D$21,'LLM usage'!$C$2:$C$21,"=d20270121")</f>
        <v>0</v>
      </c>
      <c r="CH11" s="4">
        <f>SUMIFS('LLM usage'!$D$2:$D$21,'LLM usage'!$C$2:$C$21,"=d20270122")</f>
        <v>0</v>
      </c>
      <c r="CI11" s="4">
        <f>SUMIFS('LLM usage'!$D$2:$D$21,'LLM usage'!$C$2:$C$21,"=d20270125")</f>
        <v>0</v>
      </c>
      <c r="CJ11" s="4">
        <f>SUMIFS('LLM usage'!$D$2:$D$21,'LLM usage'!$C$2:$C$21,"=d20270126")</f>
        <v>0</v>
      </c>
      <c r="CK11" s="4">
        <f>SUMIFS('LLM usage'!$D$2:$D$21,'LLM usage'!$C$2:$C$21,"=d20270127")</f>
        <v>0</v>
      </c>
      <c r="CL11" s="4">
        <f>SUMIFS('LLM usage'!$D$2:$D$21,'LLM usage'!$C$2:$C$21,"=d20270128")</f>
        <v>0</v>
      </c>
      <c r="CM11" s="4">
        <f>SUMIFS('LLM usage'!$D$2:$D$21,'LLM usage'!$C$2:$C$21,"=d20270129")</f>
        <v>0</v>
      </c>
      <c r="CN11" s="4">
        <f>SUMIFS('LLM usage'!$D$2:$D$21,'LLM usage'!$C$2:$C$21,"=d20270201")</f>
        <v>0</v>
      </c>
      <c r="CO11" s="4">
        <f>SUMIFS('LLM usage'!$D$2:$D$21,'LLM usage'!$C$2:$C$21,"=d20270202")</f>
        <v>0</v>
      </c>
      <c r="CP11" s="4">
        <f>SUMIFS('LLM usage'!$D$2:$D$21,'LLM usage'!$C$2:$C$21,"=d20270203")</f>
        <v>0</v>
      </c>
      <c r="CQ11" s="4">
        <f>SUMIFS('LLM usage'!$D$2:$D$21,'LLM usage'!$C$2:$C$21,"=d20270204")</f>
        <v>0</v>
      </c>
      <c r="CR11" s="4">
        <f>SUMIFS('LLM usage'!$D$2:$D$21,'LLM usage'!$C$2:$C$21,"=d20270205")</f>
        <v>0</v>
      </c>
      <c r="CS11" s="4">
        <f>SUMIFS('LLM usage'!$D$2:$D$21,'LLM usage'!$C$2:$C$21,"=d20270208")</f>
        <v>0</v>
      </c>
      <c r="CT11" s="4">
        <f>SUMIFS('LLM usage'!$D$2:$D$21,'LLM usage'!$C$2:$C$21,"=d20270209")</f>
        <v>0</v>
      </c>
      <c r="CU11" s="4">
        <f>SUMIFS('LLM usage'!$D$2:$D$21,'LLM usage'!$C$2:$C$21,"=d20270210")</f>
        <v>0</v>
      </c>
      <c r="CV11" s="4">
        <f>SUMIFS('LLM usage'!$D$2:$D$21,'LLM usage'!$C$2:$C$21,"=d20270211")</f>
        <v>0</v>
      </c>
      <c r="CW11" s="4">
        <f>SUMIFS('LLM usage'!$D$2:$D$21,'LLM usage'!$C$2:$C$21,"=d20270212")</f>
        <v>0</v>
      </c>
    </row>
    <row r="12">
      <c r="A12" s="0" t="inlineStr">
        <is>
          <t xml:space="preserve">Output tokens</t>
        </is>
      </c>
      <c r="B12" s="4">
        <f>SUMIFS('LLM usage'!$E$2:$E$21,'LLM usage'!$C$2:$C$21,"=d20260922")</f>
        <v>96850</v>
      </c>
      <c r="C12" s="4">
        <f>SUMIFS('LLM usage'!$E$2:$E$21,'LLM usage'!$C$2:$C$21,"=d20260923")</f>
        <v>132147</v>
      </c>
      <c r="D12" s="4">
        <f>SUMIFS('LLM usage'!$E$2:$E$21,'LLM usage'!$C$2:$C$21,"=d20260924")</f>
        <v>0</v>
      </c>
      <c r="E12" s="4">
        <f>SUMIFS('LLM usage'!$E$2:$E$21,'LLM usage'!$C$2:$C$21,"=d20260925")</f>
        <v>0</v>
      </c>
      <c r="F12" s="4">
        <f>SUMIFS('LLM usage'!$E$2:$E$21,'LLM usage'!$C$2:$C$21,"=d20260928")</f>
        <v>0</v>
      </c>
      <c r="G12" s="4">
        <f>SUMIFS('LLM usage'!$E$2:$E$21,'LLM usage'!$C$2:$C$21,"=d20260929")</f>
        <v>0</v>
      </c>
      <c r="H12" s="4">
        <f>SUMIFS('LLM usage'!$E$2:$E$21,'LLM usage'!$C$2:$C$21,"=d20260930")</f>
        <v>0</v>
      </c>
      <c r="I12" s="4">
        <f>SUMIFS('LLM usage'!$E$2:$E$21,'LLM usage'!$C$2:$C$21,"=d20261001")</f>
        <v>0</v>
      </c>
      <c r="J12" s="4">
        <f>SUMIFS('LLM usage'!$E$2:$E$21,'LLM usage'!$C$2:$C$21,"=d20261002")</f>
        <v>0</v>
      </c>
      <c r="K12" s="4">
        <f>SUMIFS('LLM usage'!$E$2:$E$21,'LLM usage'!$C$2:$C$21,"=d20261005")</f>
        <v>0</v>
      </c>
      <c r="L12" s="4">
        <f>SUMIFS('LLM usage'!$E$2:$E$21,'LLM usage'!$C$2:$C$21,"=d20261006")</f>
        <v>0</v>
      </c>
      <c r="M12" s="4">
        <f>SUMIFS('LLM usage'!$E$2:$E$21,'LLM usage'!$C$2:$C$21,"=d20261007")</f>
        <v>0</v>
      </c>
      <c r="N12" s="4">
        <f>SUMIFS('LLM usage'!$E$2:$E$21,'LLM usage'!$C$2:$C$21,"=d20261008")</f>
        <v>0</v>
      </c>
      <c r="O12" s="4">
        <f>SUMIFS('LLM usage'!$E$2:$E$21,'LLM usage'!$C$2:$C$21,"=d20261009")</f>
        <v>0</v>
      </c>
      <c r="P12" s="4">
        <f>SUMIFS('LLM usage'!$E$2:$E$21,'LLM usage'!$C$2:$C$21,"=d20261012")</f>
        <v>0</v>
      </c>
      <c r="Q12" s="4">
        <f>SUMIFS('LLM usage'!$E$2:$E$21,'LLM usage'!$C$2:$C$21,"=d20261013")</f>
        <v>0</v>
      </c>
      <c r="R12" s="4">
        <f>SUMIFS('LLM usage'!$E$2:$E$21,'LLM usage'!$C$2:$C$21,"=d20261014")</f>
        <v>0</v>
      </c>
      <c r="S12" s="4">
        <f>SUMIFS('LLM usage'!$E$2:$E$21,'LLM usage'!$C$2:$C$21,"=d20261015")</f>
        <v>0</v>
      </c>
      <c r="T12" s="4">
        <f>SUMIFS('LLM usage'!$E$2:$E$21,'LLM usage'!$C$2:$C$21,"=d20261016")</f>
        <v>0</v>
      </c>
      <c r="U12" s="4">
        <f>SUMIFS('LLM usage'!$E$2:$E$21,'LLM usage'!$C$2:$C$21,"=d20261019")</f>
        <v>0</v>
      </c>
      <c r="V12" s="4">
        <f>SUMIFS('LLM usage'!$E$2:$E$21,'LLM usage'!$C$2:$C$21,"=d20261020")</f>
        <v>0</v>
      </c>
      <c r="W12" s="4">
        <f>SUMIFS('LLM usage'!$E$2:$E$21,'LLM usage'!$C$2:$C$21,"=d20261021")</f>
        <v>0</v>
      </c>
      <c r="X12" s="4">
        <f>SUMIFS('LLM usage'!$E$2:$E$21,'LLM usage'!$C$2:$C$21,"=d20261022")</f>
        <v>0</v>
      </c>
      <c r="Y12" s="4">
        <f>SUMIFS('LLM usage'!$E$2:$E$21,'LLM usage'!$C$2:$C$21,"=d20261023")</f>
        <v>0</v>
      </c>
      <c r="Z12" s="4">
        <f>SUMIFS('LLM usage'!$E$2:$E$21,'LLM usage'!$C$2:$C$21,"=d20261026")</f>
        <v>0</v>
      </c>
      <c r="AA12" s="4">
        <f>SUMIFS('LLM usage'!$E$2:$E$21,'LLM usage'!$C$2:$C$21,"=d20261027")</f>
        <v>0</v>
      </c>
      <c r="AB12" s="4">
        <f>SUMIFS('LLM usage'!$E$2:$E$21,'LLM usage'!$C$2:$C$21,"=d20261028")</f>
        <v>0</v>
      </c>
      <c r="AC12" s="4">
        <f>SUMIFS('LLM usage'!$E$2:$E$21,'LLM usage'!$C$2:$C$21,"=d20261029")</f>
        <v>0</v>
      </c>
      <c r="AD12" s="4">
        <f>SUMIFS('LLM usage'!$E$2:$E$21,'LLM usage'!$C$2:$C$21,"=d20261030")</f>
        <v>0</v>
      </c>
      <c r="AE12" s="4">
        <f>SUMIFS('LLM usage'!$E$2:$E$21,'LLM usage'!$C$2:$C$21,"=d20261102")</f>
        <v>0</v>
      </c>
      <c r="AF12" s="4">
        <f>SUMIFS('LLM usage'!$E$2:$E$21,'LLM usage'!$C$2:$C$21,"=d20261103")</f>
        <v>0</v>
      </c>
      <c r="AG12" s="4">
        <f>SUMIFS('LLM usage'!$E$2:$E$21,'LLM usage'!$C$2:$C$21,"=d20261104")</f>
        <v>0</v>
      </c>
      <c r="AH12" s="4">
        <f>SUMIFS('LLM usage'!$E$2:$E$21,'LLM usage'!$C$2:$C$21,"=d20261105")</f>
        <v>0</v>
      </c>
      <c r="AI12" s="4">
        <f>SUMIFS('LLM usage'!$E$2:$E$21,'LLM usage'!$C$2:$C$21,"=d20261106")</f>
        <v>0</v>
      </c>
      <c r="AJ12" s="4">
        <f>SUMIFS('LLM usage'!$E$2:$E$21,'LLM usage'!$C$2:$C$21,"=d20261109")</f>
        <v>0</v>
      </c>
      <c r="AK12" s="4">
        <f>SUMIFS('LLM usage'!$E$2:$E$21,'LLM usage'!$C$2:$C$21,"=d20261110")</f>
        <v>0</v>
      </c>
      <c r="AL12" s="4">
        <f>SUMIFS('LLM usage'!$E$2:$E$21,'LLM usage'!$C$2:$C$21,"=d20261111")</f>
        <v>0</v>
      </c>
      <c r="AM12" s="4">
        <f>SUMIFS('LLM usage'!$E$2:$E$21,'LLM usage'!$C$2:$C$21,"=d20261112")</f>
        <v>0</v>
      </c>
      <c r="AN12" s="4">
        <f>SUMIFS('LLM usage'!$E$2:$E$21,'LLM usage'!$C$2:$C$21,"=d20261113")</f>
        <v>0</v>
      </c>
      <c r="AO12" s="4">
        <f>SUMIFS('LLM usage'!$E$2:$E$21,'LLM usage'!$C$2:$C$21,"=d20261116")</f>
        <v>0</v>
      </c>
      <c r="AP12" s="4">
        <f>SUMIFS('LLM usage'!$E$2:$E$21,'LLM usage'!$C$2:$C$21,"=d20261117")</f>
        <v>0</v>
      </c>
      <c r="AQ12" s="4">
        <f>SUMIFS('LLM usage'!$E$2:$E$21,'LLM usage'!$C$2:$C$21,"=d20261118")</f>
        <v>0</v>
      </c>
      <c r="AR12" s="4">
        <f>SUMIFS('LLM usage'!$E$2:$E$21,'LLM usage'!$C$2:$C$21,"=d20261119")</f>
        <v>0</v>
      </c>
      <c r="AS12" s="4">
        <f>SUMIFS('LLM usage'!$E$2:$E$21,'LLM usage'!$C$2:$C$21,"=d20261120")</f>
        <v>0</v>
      </c>
      <c r="AT12" s="4">
        <f>SUMIFS('LLM usage'!$E$2:$E$21,'LLM usage'!$C$2:$C$21,"=d20261123")</f>
        <v>0</v>
      </c>
      <c r="AU12" s="4">
        <f>SUMIFS('LLM usage'!$E$2:$E$21,'LLM usage'!$C$2:$C$21,"=d20261124")</f>
        <v>0</v>
      </c>
      <c r="AV12" s="4">
        <f>SUMIFS('LLM usage'!$E$2:$E$21,'LLM usage'!$C$2:$C$21,"=d20261125")</f>
        <v>0</v>
      </c>
      <c r="AW12" s="4">
        <f>SUMIFS('LLM usage'!$E$2:$E$21,'LLM usage'!$C$2:$C$21,"=d20261127")</f>
        <v>0</v>
      </c>
      <c r="AX12" s="4">
        <f>SUMIFS('LLM usage'!$E$2:$E$21,'LLM usage'!$C$2:$C$21,"=d20261130")</f>
        <v>0</v>
      </c>
      <c r="AY12" s="4">
        <f>SUMIFS('LLM usage'!$E$2:$E$21,'LLM usage'!$C$2:$C$21,"=d20261201")</f>
        <v>0</v>
      </c>
      <c r="AZ12" s="4">
        <f>SUMIFS('LLM usage'!$E$2:$E$21,'LLM usage'!$C$2:$C$21,"=d20261202")</f>
        <v>0</v>
      </c>
      <c r="BA12" s="4">
        <f>SUMIFS('LLM usage'!$E$2:$E$21,'LLM usage'!$C$2:$C$21,"=d20261203")</f>
        <v>0</v>
      </c>
      <c r="BB12" s="4">
        <f>SUMIFS('LLM usage'!$E$2:$E$21,'LLM usage'!$C$2:$C$21,"=d20261204")</f>
        <v>0</v>
      </c>
      <c r="BC12" s="4">
        <f>SUMIFS('LLM usage'!$E$2:$E$21,'LLM usage'!$C$2:$C$21,"=d20261207")</f>
        <v>0</v>
      </c>
      <c r="BD12" s="4">
        <f>SUMIFS('LLM usage'!$E$2:$E$21,'LLM usage'!$C$2:$C$21,"=d20261208")</f>
        <v>0</v>
      </c>
      <c r="BE12" s="4">
        <f>SUMIFS('LLM usage'!$E$2:$E$21,'LLM usage'!$C$2:$C$21,"=d20261209")</f>
        <v>0</v>
      </c>
      <c r="BF12" s="4">
        <f>SUMIFS('LLM usage'!$E$2:$E$21,'LLM usage'!$C$2:$C$21,"=d20261210")</f>
        <v>0</v>
      </c>
      <c r="BG12" s="4">
        <f>SUMIFS('LLM usage'!$E$2:$E$21,'LLM usage'!$C$2:$C$21,"=d20261211")</f>
        <v>0</v>
      </c>
      <c r="BH12" s="4">
        <f>SUMIFS('LLM usage'!$E$2:$E$21,'LLM usage'!$C$2:$C$21,"=d20261214")</f>
        <v>0</v>
      </c>
      <c r="BI12" s="4">
        <f>SUMIFS('LLM usage'!$E$2:$E$21,'LLM usage'!$C$2:$C$21,"=d20261215")</f>
        <v>0</v>
      </c>
      <c r="BJ12" s="4">
        <f>SUMIFS('LLM usage'!$E$2:$E$21,'LLM usage'!$C$2:$C$21,"=d20261216")</f>
        <v>0</v>
      </c>
      <c r="BK12" s="4">
        <f>SUMIFS('LLM usage'!$E$2:$E$21,'LLM usage'!$C$2:$C$21,"=d20261217")</f>
        <v>0</v>
      </c>
      <c r="BL12" s="4">
        <f>SUMIFS('LLM usage'!$E$2:$E$21,'LLM usage'!$C$2:$C$21,"=d20261218")</f>
        <v>0</v>
      </c>
      <c r="BM12" s="4">
        <f>SUMIFS('LLM usage'!$E$2:$E$21,'LLM usage'!$C$2:$C$21,"=d20261221")</f>
        <v>0</v>
      </c>
      <c r="BN12" s="4">
        <f>SUMIFS('LLM usage'!$E$2:$E$21,'LLM usage'!$C$2:$C$21,"=d20261222")</f>
        <v>0</v>
      </c>
      <c r="BO12" s="4">
        <f>SUMIFS('LLM usage'!$E$2:$E$21,'LLM usage'!$C$2:$C$21,"=d20261223")</f>
        <v>0</v>
      </c>
      <c r="BP12" s="4">
        <f>SUMIFS('LLM usage'!$E$2:$E$21,'LLM usage'!$C$2:$C$21,"=d20261224")</f>
        <v>0</v>
      </c>
      <c r="BQ12" s="4">
        <f>SUMIFS('LLM usage'!$E$2:$E$21,'LLM usage'!$C$2:$C$21,"=d20261228")</f>
        <v>0</v>
      </c>
      <c r="BR12" s="4">
        <f>SUMIFS('LLM usage'!$E$2:$E$21,'LLM usage'!$C$2:$C$21,"=d20261229")</f>
        <v>0</v>
      </c>
      <c r="BS12" s="4">
        <f>SUMIFS('LLM usage'!$E$2:$E$21,'LLM usage'!$C$2:$C$21,"=d20261230")</f>
        <v>0</v>
      </c>
      <c r="BT12" s="4">
        <f>SUMIFS('LLM usage'!$E$2:$E$21,'LLM usage'!$C$2:$C$21,"=d20261231")</f>
        <v>0</v>
      </c>
      <c r="BU12" s="4">
        <f>SUMIFS('LLM usage'!$E$2:$E$21,'LLM usage'!$C$2:$C$21,"=d20270104")</f>
        <v>0</v>
      </c>
      <c r="BV12" s="4">
        <f>SUMIFS('LLM usage'!$E$2:$E$21,'LLM usage'!$C$2:$C$21,"=d20270105")</f>
        <v>0</v>
      </c>
      <c r="BW12" s="4">
        <f>SUMIFS('LLM usage'!$E$2:$E$21,'LLM usage'!$C$2:$C$21,"=d20270106")</f>
        <v>0</v>
      </c>
      <c r="BX12" s="4">
        <f>SUMIFS('LLM usage'!$E$2:$E$21,'LLM usage'!$C$2:$C$21,"=d20270107")</f>
        <v>0</v>
      </c>
      <c r="BY12" s="4">
        <f>SUMIFS('LLM usage'!$E$2:$E$21,'LLM usage'!$C$2:$C$21,"=d20270108")</f>
        <v>0</v>
      </c>
      <c r="BZ12" s="4">
        <f>SUMIFS('LLM usage'!$E$2:$E$21,'LLM usage'!$C$2:$C$21,"=d20270111")</f>
        <v>0</v>
      </c>
      <c r="CA12" s="4">
        <f>SUMIFS('LLM usage'!$E$2:$E$21,'LLM usage'!$C$2:$C$21,"=d20270112")</f>
        <v>0</v>
      </c>
      <c r="CB12" s="4">
        <f>SUMIFS('LLM usage'!$E$2:$E$21,'LLM usage'!$C$2:$C$21,"=d20270113")</f>
        <v>0</v>
      </c>
      <c r="CC12" s="4">
        <f>SUMIFS('LLM usage'!$E$2:$E$21,'LLM usage'!$C$2:$C$21,"=d20270114")</f>
        <v>0</v>
      </c>
      <c r="CD12" s="4">
        <f>SUMIFS('LLM usage'!$E$2:$E$21,'LLM usage'!$C$2:$C$21,"=d20270115")</f>
        <v>0</v>
      </c>
      <c r="CE12" s="4">
        <f>SUMIFS('LLM usage'!$E$2:$E$21,'LLM usage'!$C$2:$C$21,"=d20270119")</f>
        <v>0</v>
      </c>
      <c r="CF12" s="4">
        <f>SUMIFS('LLM usage'!$E$2:$E$21,'LLM usage'!$C$2:$C$21,"=d20270120")</f>
        <v>0</v>
      </c>
      <c r="CG12" s="4">
        <f>SUMIFS('LLM usage'!$E$2:$E$21,'LLM usage'!$C$2:$C$21,"=d20270121")</f>
        <v>0</v>
      </c>
      <c r="CH12" s="4">
        <f>SUMIFS('LLM usage'!$E$2:$E$21,'LLM usage'!$C$2:$C$21,"=d20270122")</f>
        <v>0</v>
      </c>
      <c r="CI12" s="4">
        <f>SUMIFS('LLM usage'!$E$2:$E$21,'LLM usage'!$C$2:$C$21,"=d20270125")</f>
        <v>0</v>
      </c>
      <c r="CJ12" s="4">
        <f>SUMIFS('LLM usage'!$E$2:$E$21,'LLM usage'!$C$2:$C$21,"=d20270126")</f>
        <v>0</v>
      </c>
      <c r="CK12" s="4">
        <f>SUMIFS('LLM usage'!$E$2:$E$21,'LLM usage'!$C$2:$C$21,"=d20270127")</f>
        <v>0</v>
      </c>
      <c r="CL12" s="4">
        <f>SUMIFS('LLM usage'!$E$2:$E$21,'LLM usage'!$C$2:$C$21,"=d20270128")</f>
        <v>0</v>
      </c>
      <c r="CM12" s="4">
        <f>SUMIFS('LLM usage'!$E$2:$E$21,'LLM usage'!$C$2:$C$21,"=d20270129")</f>
        <v>0</v>
      </c>
      <c r="CN12" s="4">
        <f>SUMIFS('LLM usage'!$E$2:$E$21,'LLM usage'!$C$2:$C$21,"=d20270201")</f>
        <v>0</v>
      </c>
      <c r="CO12" s="4">
        <f>SUMIFS('LLM usage'!$E$2:$E$21,'LLM usage'!$C$2:$C$21,"=d20270202")</f>
        <v>0</v>
      </c>
      <c r="CP12" s="4">
        <f>SUMIFS('LLM usage'!$E$2:$E$21,'LLM usage'!$C$2:$C$21,"=d20270203")</f>
        <v>0</v>
      </c>
      <c r="CQ12" s="4">
        <f>SUMIFS('LLM usage'!$E$2:$E$21,'LLM usage'!$C$2:$C$21,"=d20270204")</f>
        <v>0</v>
      </c>
      <c r="CR12" s="4">
        <f>SUMIFS('LLM usage'!$E$2:$E$21,'LLM usage'!$C$2:$C$21,"=d20270205")</f>
        <v>0</v>
      </c>
      <c r="CS12" s="4">
        <f>SUMIFS('LLM usage'!$E$2:$E$21,'LLM usage'!$C$2:$C$21,"=d20270208")</f>
        <v>0</v>
      </c>
      <c r="CT12" s="4">
        <f>SUMIFS('LLM usage'!$E$2:$E$21,'LLM usage'!$C$2:$C$21,"=d20270209")</f>
        <v>0</v>
      </c>
      <c r="CU12" s="4">
        <f>SUMIFS('LLM usage'!$E$2:$E$21,'LLM usage'!$C$2:$C$21,"=d20270210")</f>
        <v>0</v>
      </c>
      <c r="CV12" s="4">
        <f>SUMIFS('LLM usage'!$E$2:$E$21,'LLM usage'!$C$2:$C$21,"=d20270211")</f>
        <v>0</v>
      </c>
      <c r="CW12" s="4">
        <f>SUMIFS('LLM usage'!$E$2:$E$21,'LLM usage'!$C$2:$C$21,"=d20270212")</f>
        <v>0</v>
      </c>
    </row>
    <row r="13">
      <c r="A13" s="0" t="inlineStr">
        <is>
          <t xml:space="preserve">LLM cost, $</t>
        </is>
      </c>
      <c r="B13" s="8">
        <f>(((B11/1000000)*'Assumptions (edit)'!B2)+((B12/1000000)*'Assumptions (edit)'!B3))</f>
        <v>0.53601575</v>
      </c>
      <c r="C13" s="8">
        <f>(((C11/1000000)*'Assumptions (edit)'!B2)+((C12/1000000)*'Assumptions (edit)'!B3))</f>
        <v>0.43577493</v>
      </c>
      <c r="D13" s="8">
        <f>(((D11/1000000)*'Assumptions (edit)'!B2)+((D12/1000000)*'Assumptions (edit)'!B3))</f>
        <v>0</v>
      </c>
      <c r="E13" s="8">
        <f>(((E11/1000000)*'Assumptions (edit)'!B2)+((E12/1000000)*'Assumptions (edit)'!B3))</f>
        <v>0</v>
      </c>
      <c r="F13" s="8">
        <f>(((F11/1000000)*'Assumptions (edit)'!B2)+((F12/1000000)*'Assumptions (edit)'!B3))</f>
        <v>0</v>
      </c>
      <c r="G13" s="8">
        <f>(((G11/1000000)*'Assumptions (edit)'!B2)+((G12/1000000)*'Assumptions (edit)'!B3))</f>
        <v>0</v>
      </c>
      <c r="H13" s="8">
        <f>(((H11/1000000)*'Assumptions (edit)'!B2)+((H12/1000000)*'Assumptions (edit)'!B3))</f>
        <v>0</v>
      </c>
      <c r="I13" s="8">
        <f>(((I11/1000000)*'Assumptions (edit)'!B2)+((I12/1000000)*'Assumptions (edit)'!B3))</f>
        <v>0</v>
      </c>
      <c r="J13" s="8">
        <f>(((J11/1000000)*'Assumptions (edit)'!B2)+((J12/1000000)*'Assumptions (edit)'!B3))</f>
        <v>0</v>
      </c>
      <c r="K13" s="8">
        <f>(((K11/1000000)*'Assumptions (edit)'!B2)+((K12/1000000)*'Assumptions (edit)'!B3))</f>
        <v>0</v>
      </c>
      <c r="L13" s="8">
        <f>(((L11/1000000)*'Assumptions (edit)'!B2)+((L12/1000000)*'Assumptions (edit)'!B3))</f>
        <v>0</v>
      </c>
      <c r="M13" s="8">
        <f>(((M11/1000000)*'Assumptions (edit)'!B2)+((M12/1000000)*'Assumptions (edit)'!B3))</f>
        <v>0</v>
      </c>
      <c r="N13" s="8">
        <f>(((N11/1000000)*'Assumptions (edit)'!B2)+((N12/1000000)*'Assumptions (edit)'!B3))</f>
        <v>0</v>
      </c>
      <c r="O13" s="8">
        <f>(((O11/1000000)*'Assumptions (edit)'!B2)+((O12/1000000)*'Assumptions (edit)'!B3))</f>
        <v>0</v>
      </c>
      <c r="P13" s="8">
        <f>(((P11/1000000)*'Assumptions (edit)'!B2)+((P12/1000000)*'Assumptions (edit)'!B3))</f>
        <v>0</v>
      </c>
      <c r="Q13" s="8">
        <f>(((Q11/1000000)*'Assumptions (edit)'!B2)+((Q12/1000000)*'Assumptions (edit)'!B3))</f>
        <v>0</v>
      </c>
      <c r="R13" s="8">
        <f>(((R11/1000000)*'Assumptions (edit)'!B2)+((R12/1000000)*'Assumptions (edit)'!B3))</f>
        <v>0</v>
      </c>
      <c r="S13" s="8">
        <f>(((S11/1000000)*'Assumptions (edit)'!B2)+((S12/1000000)*'Assumptions (edit)'!B3))</f>
        <v>0</v>
      </c>
      <c r="T13" s="8">
        <f>(((T11/1000000)*'Assumptions (edit)'!B2)+((T12/1000000)*'Assumptions (edit)'!B3))</f>
        <v>0</v>
      </c>
      <c r="U13" s="8">
        <f>(((U11/1000000)*'Assumptions (edit)'!B2)+((U12/1000000)*'Assumptions (edit)'!B3))</f>
        <v>0</v>
      </c>
      <c r="V13" s="8">
        <f>(((V11/1000000)*'Assumptions (edit)'!B2)+((V12/1000000)*'Assumptions (edit)'!B3))</f>
        <v>0</v>
      </c>
      <c r="W13" s="8">
        <f>(((W11/1000000)*'Assumptions (edit)'!B2)+((W12/1000000)*'Assumptions (edit)'!B3))</f>
        <v>0</v>
      </c>
      <c r="X13" s="8">
        <f>(((X11/1000000)*'Assumptions (edit)'!B2)+((X12/1000000)*'Assumptions (edit)'!B3))</f>
        <v>0</v>
      </c>
      <c r="Y13" s="8">
        <f>(((Y11/1000000)*'Assumptions (edit)'!B2)+((Y12/1000000)*'Assumptions (edit)'!B3))</f>
        <v>0</v>
      </c>
      <c r="Z13" s="8">
        <f>(((Z11/1000000)*'Assumptions (edit)'!B2)+((Z12/1000000)*'Assumptions (edit)'!B3))</f>
        <v>0</v>
      </c>
      <c r="AA13" s="8">
        <f>(((AA11/1000000)*'Assumptions (edit)'!B2)+((AA12/1000000)*'Assumptions (edit)'!B3))</f>
        <v>0</v>
      </c>
      <c r="AB13" s="8">
        <f>(((AB11/1000000)*'Assumptions (edit)'!B2)+((AB12/1000000)*'Assumptions (edit)'!B3))</f>
        <v>0</v>
      </c>
      <c r="AC13" s="8">
        <f>(((AC11/1000000)*'Assumptions (edit)'!B2)+((AC12/1000000)*'Assumptions (edit)'!B3))</f>
        <v>0</v>
      </c>
      <c r="AD13" s="8">
        <f>(((AD11/1000000)*'Assumptions (edit)'!B2)+((AD12/1000000)*'Assumptions (edit)'!B3))</f>
        <v>0</v>
      </c>
      <c r="AE13" s="8">
        <f>(((AE11/1000000)*'Assumptions (edit)'!B2)+((AE12/1000000)*'Assumptions (edit)'!B3))</f>
        <v>0</v>
      </c>
      <c r="AF13" s="8">
        <f>(((AF11/1000000)*'Assumptions (edit)'!B2)+((AF12/1000000)*'Assumptions (edit)'!B3))</f>
        <v>0</v>
      </c>
      <c r="AG13" s="8">
        <f>(((AG11/1000000)*'Assumptions (edit)'!B2)+((AG12/1000000)*'Assumptions (edit)'!B3))</f>
        <v>0</v>
      </c>
      <c r="AH13" s="8">
        <f>(((AH11/1000000)*'Assumptions (edit)'!B2)+((AH12/1000000)*'Assumptions (edit)'!B3))</f>
        <v>0</v>
      </c>
      <c r="AI13" s="8">
        <f>(((AI11/1000000)*'Assumptions (edit)'!B2)+((AI12/1000000)*'Assumptions (edit)'!B3))</f>
        <v>0</v>
      </c>
      <c r="AJ13" s="8">
        <f>(((AJ11/1000000)*'Assumptions (edit)'!B2)+((AJ12/1000000)*'Assumptions (edit)'!B3))</f>
        <v>0</v>
      </c>
      <c r="AK13" s="8">
        <f>(((AK11/1000000)*'Assumptions (edit)'!B2)+((AK12/1000000)*'Assumptions (edit)'!B3))</f>
        <v>0</v>
      </c>
      <c r="AL13" s="8">
        <f>(((AL11/1000000)*'Assumptions (edit)'!B2)+((AL12/1000000)*'Assumptions (edit)'!B3))</f>
        <v>0</v>
      </c>
      <c r="AM13" s="8">
        <f>(((AM11/1000000)*'Assumptions (edit)'!B2)+((AM12/1000000)*'Assumptions (edit)'!B3))</f>
        <v>0</v>
      </c>
      <c r="AN13" s="8">
        <f>(((AN11/1000000)*'Assumptions (edit)'!B2)+((AN12/1000000)*'Assumptions (edit)'!B3))</f>
        <v>0</v>
      </c>
      <c r="AO13" s="8">
        <f>(((AO11/1000000)*'Assumptions (edit)'!B2)+((AO12/1000000)*'Assumptions (edit)'!B3))</f>
        <v>0</v>
      </c>
      <c r="AP13" s="8">
        <f>(((AP11/1000000)*'Assumptions (edit)'!B2)+((AP12/1000000)*'Assumptions (edit)'!B3))</f>
        <v>0</v>
      </c>
      <c r="AQ13" s="8">
        <f>(((AQ11/1000000)*'Assumptions (edit)'!B2)+((AQ12/1000000)*'Assumptions (edit)'!B3))</f>
        <v>0</v>
      </c>
      <c r="AR13" s="8">
        <f>(((AR11/1000000)*'Assumptions (edit)'!B2)+((AR12/1000000)*'Assumptions (edit)'!B3))</f>
        <v>0</v>
      </c>
      <c r="AS13" s="8">
        <f>(((AS11/1000000)*'Assumptions (edit)'!B2)+((AS12/1000000)*'Assumptions (edit)'!B3))</f>
        <v>0</v>
      </c>
      <c r="AT13" s="8">
        <f>(((AT11/1000000)*'Assumptions (edit)'!B2)+((AT12/1000000)*'Assumptions (edit)'!B3))</f>
        <v>0</v>
      </c>
      <c r="AU13" s="8">
        <f>(((AU11/1000000)*'Assumptions (edit)'!B2)+((AU12/1000000)*'Assumptions (edit)'!B3))</f>
        <v>0</v>
      </c>
      <c r="AV13" s="8">
        <f>(((AV11/1000000)*'Assumptions (edit)'!B2)+((AV12/1000000)*'Assumptions (edit)'!B3))</f>
        <v>0</v>
      </c>
      <c r="AW13" s="8">
        <f>(((AW11/1000000)*'Assumptions (edit)'!B2)+((AW12/1000000)*'Assumptions (edit)'!B3))</f>
        <v>0</v>
      </c>
      <c r="AX13" s="8">
        <f>(((AX11/1000000)*'Assumptions (edit)'!B2)+((AX12/1000000)*'Assumptions (edit)'!B3))</f>
        <v>0</v>
      </c>
      <c r="AY13" s="8">
        <f>(((AY11/1000000)*'Assumptions (edit)'!B2)+((AY12/1000000)*'Assumptions (edit)'!B3))</f>
        <v>0</v>
      </c>
      <c r="AZ13" s="8">
        <f>(((AZ11/1000000)*'Assumptions (edit)'!B2)+((AZ12/1000000)*'Assumptions (edit)'!B3))</f>
        <v>0</v>
      </c>
      <c r="BA13" s="8">
        <f>(((BA11/1000000)*'Assumptions (edit)'!B2)+((BA12/1000000)*'Assumptions (edit)'!B3))</f>
        <v>0</v>
      </c>
      <c r="BB13" s="8">
        <f>(((BB11/1000000)*'Assumptions (edit)'!B2)+((BB12/1000000)*'Assumptions (edit)'!B3))</f>
        <v>0</v>
      </c>
      <c r="BC13" s="8">
        <f>(((BC11/1000000)*'Assumptions (edit)'!B2)+((BC12/1000000)*'Assumptions (edit)'!B3))</f>
        <v>0</v>
      </c>
      <c r="BD13" s="8">
        <f>(((BD11/1000000)*'Assumptions (edit)'!B2)+((BD12/1000000)*'Assumptions (edit)'!B3))</f>
        <v>0</v>
      </c>
      <c r="BE13" s="8">
        <f>(((BE11/1000000)*'Assumptions (edit)'!B2)+((BE12/1000000)*'Assumptions (edit)'!B3))</f>
        <v>0</v>
      </c>
      <c r="BF13" s="8">
        <f>(((BF11/1000000)*'Assumptions (edit)'!B2)+((BF12/1000000)*'Assumptions (edit)'!B3))</f>
        <v>0</v>
      </c>
      <c r="BG13" s="8">
        <f>(((BG11/1000000)*'Assumptions (edit)'!B2)+((BG12/1000000)*'Assumptions (edit)'!B3))</f>
        <v>0</v>
      </c>
      <c r="BH13" s="8">
        <f>(((BH11/1000000)*'Assumptions (edit)'!B2)+((BH12/1000000)*'Assumptions (edit)'!B3))</f>
        <v>0</v>
      </c>
      <c r="BI13" s="8">
        <f>(((BI11/1000000)*'Assumptions (edit)'!B2)+((BI12/1000000)*'Assumptions (edit)'!B3))</f>
        <v>0</v>
      </c>
      <c r="BJ13" s="8">
        <f>(((BJ11/1000000)*'Assumptions (edit)'!B2)+((BJ12/1000000)*'Assumptions (edit)'!B3))</f>
        <v>0</v>
      </c>
      <c r="BK13" s="8">
        <f>(((BK11/1000000)*'Assumptions (edit)'!B2)+((BK12/1000000)*'Assumptions (edit)'!B3))</f>
        <v>0</v>
      </c>
      <c r="BL13" s="8">
        <f>(((BL11/1000000)*'Assumptions (edit)'!B2)+((BL12/1000000)*'Assumptions (edit)'!B3))</f>
        <v>0</v>
      </c>
      <c r="BM13" s="8">
        <f>(((BM11/1000000)*'Assumptions (edit)'!B2)+((BM12/1000000)*'Assumptions (edit)'!B3))</f>
        <v>0</v>
      </c>
      <c r="BN13" s="8">
        <f>(((BN11/1000000)*'Assumptions (edit)'!B2)+((BN12/1000000)*'Assumptions (edit)'!B3))</f>
        <v>0</v>
      </c>
      <c r="BO13" s="8">
        <f>(((BO11/1000000)*'Assumptions (edit)'!B2)+((BO12/1000000)*'Assumptions (edit)'!B3))</f>
        <v>0</v>
      </c>
      <c r="BP13" s="8">
        <f>(((BP11/1000000)*'Assumptions (edit)'!B2)+((BP12/1000000)*'Assumptions (edit)'!B3))</f>
        <v>0</v>
      </c>
      <c r="BQ13" s="8">
        <f>(((BQ11/1000000)*'Assumptions (edit)'!B2)+((BQ12/1000000)*'Assumptions (edit)'!B3))</f>
        <v>0</v>
      </c>
      <c r="BR13" s="8">
        <f>(((BR11/1000000)*'Assumptions (edit)'!B2)+((BR12/1000000)*'Assumptions (edit)'!B3))</f>
        <v>0</v>
      </c>
      <c r="BS13" s="8">
        <f>(((BS11/1000000)*'Assumptions (edit)'!B2)+((BS12/1000000)*'Assumptions (edit)'!B3))</f>
        <v>0</v>
      </c>
      <c r="BT13" s="8">
        <f>(((BT11/1000000)*'Assumptions (edit)'!B2)+((BT12/1000000)*'Assumptions (edit)'!B3))</f>
        <v>0</v>
      </c>
      <c r="BU13" s="8">
        <f>(((BU11/1000000)*'Assumptions (edit)'!B2)+((BU12/1000000)*'Assumptions (edit)'!B3))</f>
        <v>0</v>
      </c>
      <c r="BV13" s="8">
        <f>(((BV11/1000000)*'Assumptions (edit)'!B2)+((BV12/1000000)*'Assumptions (edit)'!B3))</f>
        <v>0</v>
      </c>
      <c r="BW13" s="8">
        <f>(((BW11/1000000)*'Assumptions (edit)'!B2)+((BW12/1000000)*'Assumptions (edit)'!B3))</f>
        <v>0</v>
      </c>
      <c r="BX13" s="8">
        <f>(((BX11/1000000)*'Assumptions (edit)'!B2)+((BX12/1000000)*'Assumptions (edit)'!B3))</f>
        <v>0</v>
      </c>
      <c r="BY13" s="8">
        <f>(((BY11/1000000)*'Assumptions (edit)'!B2)+((BY12/1000000)*'Assumptions (edit)'!B3))</f>
        <v>0</v>
      </c>
      <c r="BZ13" s="8">
        <f>(((BZ11/1000000)*'Assumptions (edit)'!B2)+((BZ12/1000000)*'Assumptions (edit)'!B3))</f>
        <v>0</v>
      </c>
      <c r="CA13" s="8">
        <f>(((CA11/1000000)*'Assumptions (edit)'!B2)+((CA12/1000000)*'Assumptions (edit)'!B3))</f>
        <v>0</v>
      </c>
      <c r="CB13" s="8">
        <f>(((CB11/1000000)*'Assumptions (edit)'!B2)+((CB12/1000000)*'Assumptions (edit)'!B3))</f>
        <v>0</v>
      </c>
      <c r="CC13" s="8">
        <f>(((CC11/1000000)*'Assumptions (edit)'!B2)+((CC12/1000000)*'Assumptions (edit)'!B3))</f>
        <v>0</v>
      </c>
      <c r="CD13" s="8">
        <f>(((CD11/1000000)*'Assumptions (edit)'!B2)+((CD12/1000000)*'Assumptions (edit)'!B3))</f>
        <v>0</v>
      </c>
      <c r="CE13" s="8">
        <f>(((CE11/1000000)*'Assumptions (edit)'!B2)+((CE12/1000000)*'Assumptions (edit)'!B3))</f>
        <v>0</v>
      </c>
      <c r="CF13" s="8">
        <f>(((CF11/1000000)*'Assumptions (edit)'!B2)+((CF12/1000000)*'Assumptions (edit)'!B3))</f>
        <v>0</v>
      </c>
      <c r="CG13" s="8">
        <f>(((CG11/1000000)*'Assumptions (edit)'!B2)+((CG12/1000000)*'Assumptions (edit)'!B3))</f>
        <v>0</v>
      </c>
      <c r="CH13" s="8">
        <f>(((CH11/1000000)*'Assumptions (edit)'!B2)+((CH12/1000000)*'Assumptions (edit)'!B3))</f>
        <v>0</v>
      </c>
      <c r="CI13" s="8">
        <f>(((CI11/1000000)*'Assumptions (edit)'!B2)+((CI12/1000000)*'Assumptions (edit)'!B3))</f>
        <v>0</v>
      </c>
      <c r="CJ13" s="8">
        <f>(((CJ11/1000000)*'Assumptions (edit)'!B2)+((CJ12/1000000)*'Assumptions (edit)'!B3))</f>
        <v>0</v>
      </c>
      <c r="CK13" s="8">
        <f>(((CK11/1000000)*'Assumptions (edit)'!B2)+((CK12/1000000)*'Assumptions (edit)'!B3))</f>
        <v>0</v>
      </c>
      <c r="CL13" s="8">
        <f>(((CL11/1000000)*'Assumptions (edit)'!B2)+((CL12/1000000)*'Assumptions (edit)'!B3))</f>
        <v>0</v>
      </c>
      <c r="CM13" s="8">
        <f>(((CM11/1000000)*'Assumptions (edit)'!B2)+((CM12/1000000)*'Assumptions (edit)'!B3))</f>
        <v>0</v>
      </c>
      <c r="CN13" s="8">
        <f>(((CN11/1000000)*'Assumptions (edit)'!B2)+((CN12/1000000)*'Assumptions (edit)'!B3))</f>
        <v>0</v>
      </c>
      <c r="CO13" s="8">
        <f>(((CO11/1000000)*'Assumptions (edit)'!B2)+((CO12/1000000)*'Assumptions (edit)'!B3))</f>
        <v>0</v>
      </c>
      <c r="CP13" s="8">
        <f>(((CP11/1000000)*'Assumptions (edit)'!B2)+((CP12/1000000)*'Assumptions (edit)'!B3))</f>
        <v>0</v>
      </c>
      <c r="CQ13" s="8">
        <f>(((CQ11/1000000)*'Assumptions (edit)'!B2)+((CQ12/1000000)*'Assumptions (edit)'!B3))</f>
        <v>0</v>
      </c>
      <c r="CR13" s="8">
        <f>(((CR11/1000000)*'Assumptions (edit)'!B2)+((CR12/1000000)*'Assumptions (edit)'!B3))</f>
        <v>0</v>
      </c>
      <c r="CS13" s="8">
        <f>(((CS11/1000000)*'Assumptions (edit)'!B2)+((CS12/1000000)*'Assumptions (edit)'!B3))</f>
        <v>0</v>
      </c>
      <c r="CT13" s="8">
        <f>(((CT11/1000000)*'Assumptions (edit)'!B2)+((CT12/1000000)*'Assumptions (edit)'!B3))</f>
        <v>0</v>
      </c>
      <c r="CU13" s="8">
        <f>(((CU11/1000000)*'Assumptions (edit)'!B2)+((CU12/1000000)*'Assumptions (edit)'!B3))</f>
        <v>0</v>
      </c>
      <c r="CV13" s="8">
        <f>(((CV11/1000000)*'Assumptions (edit)'!B2)+((CV12/1000000)*'Assumptions (edit)'!B3))</f>
        <v>0</v>
      </c>
      <c r="CW13" s="8">
        <f>(((CW11/1000000)*'Assumptions (edit)'!B2)+((CW12/1000000)*'Assumptions (edit)'!B3))</f>
        <v>0</v>
      </c>
    </row>
    <row r="14">
      <c r="A14" s="0" t="inlineStr">
        <is>
          <t xml:space="preserve">Cumulative LLM cost, $</t>
        </is>
      </c>
      <c r="B14" s="8">
        <f>SUM(B13)</f>
        <v>0.53601575</v>
      </c>
      <c r="C14" s="8">
        <f>SUM(B13:C13)</f>
        <v>0.97179068</v>
      </c>
      <c r="D14" s="8">
        <f>SUM(B13:D13)</f>
        <v>0.97179068</v>
      </c>
      <c r="E14" s="8">
        <f>SUM(B13:E13)</f>
        <v>0.97179068</v>
      </c>
      <c r="F14" s="8">
        <f>SUM(B13:F13)</f>
        <v>0.97179068</v>
      </c>
      <c r="G14" s="8">
        <f>SUM(B13:G13)</f>
        <v>0.97179068</v>
      </c>
      <c r="H14" s="8">
        <f>SUM(B13:H13)</f>
        <v>0.97179068</v>
      </c>
      <c r="I14" s="8">
        <f>SUM(B13:I13)</f>
        <v>0.97179068</v>
      </c>
      <c r="J14" s="8">
        <f>SUM(B13:J13)</f>
        <v>0.97179068</v>
      </c>
      <c r="K14" s="8">
        <f>SUM(B13:K13)</f>
        <v>0.97179068</v>
      </c>
      <c r="L14" s="8">
        <f>SUM(B13:L13)</f>
        <v>0.97179068</v>
      </c>
      <c r="M14" s="8">
        <f>SUM(B13:M13)</f>
        <v>0.97179068</v>
      </c>
      <c r="N14" s="8">
        <f>SUM(B13:N13)</f>
        <v>0.97179068</v>
      </c>
      <c r="O14" s="8">
        <f>SUM(B13:O13)</f>
        <v>0.97179068</v>
      </c>
      <c r="P14" s="8">
        <f>SUM(B13:P13)</f>
        <v>0.97179068</v>
      </c>
      <c r="Q14" s="8">
        <f>SUM(B13:Q13)</f>
        <v>0.97179068</v>
      </c>
      <c r="R14" s="8">
        <f>SUM(B13:R13)</f>
        <v>0.97179068</v>
      </c>
      <c r="S14" s="8">
        <f>SUM(B13:S13)</f>
        <v>0.97179068</v>
      </c>
      <c r="T14" s="8">
        <f>SUM(B13:T13)</f>
        <v>0.97179068</v>
      </c>
      <c r="U14" s="8">
        <f>SUM(B13:U13)</f>
        <v>0.97179068</v>
      </c>
      <c r="V14" s="8">
        <f>SUM(B13:V13)</f>
        <v>0.97179068</v>
      </c>
      <c r="W14" s="8">
        <f>SUM(B13:W13)</f>
        <v>0.97179068</v>
      </c>
      <c r="X14" s="8">
        <f>SUM(B13:X13)</f>
        <v>0.97179068</v>
      </c>
      <c r="Y14" s="8">
        <f>SUM(B13:Y13)</f>
        <v>0.97179068</v>
      </c>
      <c r="Z14" s="8">
        <f>SUM(B13:Z13)</f>
        <v>0.97179068</v>
      </c>
      <c r="AA14" s="8">
        <f>SUM(B13:AA13)</f>
        <v>0.97179068</v>
      </c>
      <c r="AB14" s="8">
        <f>SUM(B13:AB13)</f>
        <v>0.97179068</v>
      </c>
      <c r="AC14" s="8">
        <f>SUM(B13:AC13)</f>
        <v>0.97179068</v>
      </c>
      <c r="AD14" s="8">
        <f>SUM(B13:AD13)</f>
        <v>0.97179068</v>
      </c>
      <c r="AE14" s="8">
        <f>SUM(B13:AE13)</f>
        <v>0.97179068</v>
      </c>
      <c r="AF14" s="8">
        <f>SUM(B13:AF13)</f>
        <v>0.97179068</v>
      </c>
      <c r="AG14" s="8">
        <f>SUM(B13:AG13)</f>
        <v>0.97179068</v>
      </c>
      <c r="AH14" s="8">
        <f>SUM(B13:AH13)</f>
        <v>0.97179068</v>
      </c>
      <c r="AI14" s="8">
        <f>SUM(B13:AI13)</f>
        <v>0.97179068</v>
      </c>
      <c r="AJ14" s="8">
        <f>SUM(B13:AJ13)</f>
        <v>0.97179068</v>
      </c>
      <c r="AK14" s="8">
        <f>SUM(B13:AK13)</f>
        <v>0.97179068</v>
      </c>
      <c r="AL14" s="8">
        <f>SUM(B13:AL13)</f>
        <v>0.97179068</v>
      </c>
      <c r="AM14" s="8">
        <f>SUM(B13:AM13)</f>
        <v>0.97179068</v>
      </c>
      <c r="AN14" s="8">
        <f>SUM(B13:AN13)</f>
        <v>0.97179068</v>
      </c>
      <c r="AO14" s="8">
        <f>SUM(B13:AO13)</f>
        <v>0.97179068</v>
      </c>
      <c r="AP14" s="8">
        <f>SUM(B13:AP13)</f>
        <v>0.97179068</v>
      </c>
      <c r="AQ14" s="8">
        <f>SUM(B13:AQ13)</f>
        <v>0.97179068</v>
      </c>
      <c r="AR14" s="8">
        <f>SUM(B13:AR13)</f>
        <v>0.97179068</v>
      </c>
      <c r="AS14" s="8">
        <f>SUM(B13:AS13)</f>
        <v>0.97179068</v>
      </c>
      <c r="AT14" s="8">
        <f>SUM(B13:AT13)</f>
        <v>0.97179068</v>
      </c>
      <c r="AU14" s="8">
        <f>SUM(B13:AU13)</f>
        <v>0.97179068</v>
      </c>
      <c r="AV14" s="8">
        <f>SUM(B13:AV13)</f>
        <v>0.97179068</v>
      </c>
      <c r="AW14" s="8">
        <f>SUM(B13:AW13)</f>
        <v>0.97179068</v>
      </c>
      <c r="AX14" s="8">
        <f>SUM(B13:AX13)</f>
        <v>0.97179068</v>
      </c>
      <c r="AY14" s="8">
        <f>SUM(B13:AY13)</f>
        <v>0.97179068</v>
      </c>
      <c r="AZ14" s="8">
        <f>SUM(B13:AZ13)</f>
        <v>0.97179068</v>
      </c>
      <c r="BA14" s="8">
        <f>SUM(B13:BA13)</f>
        <v>0.97179068</v>
      </c>
      <c r="BB14" s="8">
        <f>SUM(B13:BB13)</f>
        <v>0.97179068</v>
      </c>
      <c r="BC14" s="8">
        <f>SUM(B13:BC13)</f>
        <v>0.97179068</v>
      </c>
      <c r="BD14" s="8">
        <f>SUM(B13:BD13)</f>
        <v>0.97179068</v>
      </c>
      <c r="BE14" s="8">
        <f>SUM(B13:BE13)</f>
        <v>0.97179068</v>
      </c>
      <c r="BF14" s="8">
        <f>SUM(B13:BF13)</f>
        <v>0.97179068</v>
      </c>
      <c r="BG14" s="8">
        <f>SUM(B13:BG13)</f>
        <v>0.97179068</v>
      </c>
      <c r="BH14" s="8">
        <f>SUM(B13:BH13)</f>
        <v>0.97179068</v>
      </c>
      <c r="BI14" s="8">
        <f>SUM(B13:BI13)</f>
        <v>0.97179068</v>
      </c>
      <c r="BJ14" s="8">
        <f>SUM(B13:BJ13)</f>
        <v>0.97179068</v>
      </c>
      <c r="BK14" s="8">
        <f>SUM(B13:BK13)</f>
        <v>0.97179068</v>
      </c>
      <c r="BL14" s="8">
        <f>SUM(B13:BL13)</f>
        <v>0.97179068</v>
      </c>
      <c r="BM14" s="8">
        <f>SUM(B13:BM13)</f>
        <v>0.97179068</v>
      </c>
      <c r="BN14" s="8">
        <f>SUM(B13:BN13)</f>
        <v>0.97179068</v>
      </c>
      <c r="BO14" s="8">
        <f>SUM(B13:BO13)</f>
        <v>0.97179068</v>
      </c>
      <c r="BP14" s="8">
        <f>SUM(B13:BP13)</f>
        <v>0.97179068</v>
      </c>
      <c r="BQ14" s="8">
        <f>SUM(B13:BQ13)</f>
        <v>0.97179068</v>
      </c>
      <c r="BR14" s="8">
        <f>SUM(B13:BR13)</f>
        <v>0.97179068</v>
      </c>
      <c r="BS14" s="8">
        <f>SUM(B13:BS13)</f>
        <v>0.97179068</v>
      </c>
      <c r="BT14" s="8">
        <f>SUM(B13:BT13)</f>
        <v>0.97179068</v>
      </c>
      <c r="BU14" s="8">
        <f>SUM(B13:BU13)</f>
        <v>0.97179068</v>
      </c>
      <c r="BV14" s="8">
        <f>SUM(B13:BV13)</f>
        <v>0.97179068</v>
      </c>
      <c r="BW14" s="8">
        <f>SUM(B13:BW13)</f>
        <v>0.97179068</v>
      </c>
      <c r="BX14" s="8">
        <f>SUM(B13:BX13)</f>
        <v>0.97179068</v>
      </c>
      <c r="BY14" s="8">
        <f>SUM(B13:BY13)</f>
        <v>0.97179068</v>
      </c>
      <c r="BZ14" s="8">
        <f>SUM(B13:BZ13)</f>
        <v>0.97179068</v>
      </c>
      <c r="CA14" s="8">
        <f>SUM(B13:CA13)</f>
        <v>0.97179068</v>
      </c>
      <c r="CB14" s="8">
        <f>SUM(B13:CB13)</f>
        <v>0.97179068</v>
      </c>
      <c r="CC14" s="8">
        <f>SUM(B13:CC13)</f>
        <v>0.97179068</v>
      </c>
      <c r="CD14" s="8">
        <f>SUM(B13:CD13)</f>
        <v>0.97179068</v>
      </c>
      <c r="CE14" s="8">
        <f>SUM(B13:CE13)</f>
        <v>0.97179068</v>
      </c>
      <c r="CF14" s="8">
        <f>SUM(B13:CF13)</f>
        <v>0.97179068</v>
      </c>
      <c r="CG14" s="8">
        <f>SUM(B13:CG13)</f>
        <v>0.97179068</v>
      </c>
      <c r="CH14" s="8">
        <f>SUM(B13:CH13)</f>
        <v>0.97179068</v>
      </c>
      <c r="CI14" s="8">
        <f>SUM(B13:CI13)</f>
        <v>0.97179068</v>
      </c>
      <c r="CJ14" s="8">
        <f>SUM(B13:CJ13)</f>
        <v>0.97179068</v>
      </c>
      <c r="CK14" s="8">
        <f>SUM(B13:CK13)</f>
        <v>0.97179068</v>
      </c>
      <c r="CL14" s="8">
        <f>SUM(B13:CL13)</f>
        <v>0.97179068</v>
      </c>
      <c r="CM14" s="8">
        <f>SUM(B13:CM13)</f>
        <v>0.97179068</v>
      </c>
      <c r="CN14" s="8">
        <f>SUM(B13:CN13)</f>
        <v>0.97179068</v>
      </c>
      <c r="CO14" s="8">
        <f>SUM(B13:CO13)</f>
        <v>0.97179068</v>
      </c>
      <c r="CP14" s="8">
        <f>SUM(B13:CP13)</f>
        <v>0.97179068</v>
      </c>
      <c r="CQ14" s="8">
        <f>SUM(B13:CQ13)</f>
        <v>0.97179068</v>
      </c>
      <c r="CR14" s="8">
        <f>SUM(B13:CR13)</f>
        <v>0.97179068</v>
      </c>
      <c r="CS14" s="8">
        <f>SUM(B13:CS13)</f>
        <v>0.97179068</v>
      </c>
      <c r="CT14" s="8">
        <f>SUM(B13:CT13)</f>
        <v>0.97179068</v>
      </c>
      <c r="CU14" s="8">
        <f>SUM(B13:CU13)</f>
        <v>0.97179068</v>
      </c>
      <c r="CV14" s="8">
        <f>SUM(B13:CV13)</f>
        <v>0.97179068</v>
      </c>
      <c r="CW14" s="8">
        <f>SUM(B13:CW13)</f>
        <v>0.97179068</v>
      </c>
    </row>
    <row r="15">
      <c r="A15" s="0" t="inlineStr">
        <is>
          <t xml:space="preserve">FMP calls</t>
        </is>
      </c>
      <c r="B15" s="4">
        <f>SUMIFS('External API calls'!$D$2:$D$3,'External API calls'!$B$2:$B$3,"=d20260922",'External API calls'!$C$2:$C$3,"=fmp")</f>
        <v>15355</v>
      </c>
      <c r="C15" s="4">
        <f>SUMIFS('External API calls'!$D$2:$D$3,'External API calls'!$B$2:$B$3,"=d20260923",'External API calls'!$C$2:$C$3,"=fmp")</f>
        <v>1492</v>
      </c>
      <c r="D15" s="4">
        <f>SUMIFS('External API calls'!$D$2:$D$3,'External API calls'!$B$2:$B$3,"=d20260924",'External API calls'!$C$2:$C$3,"=fmp")</f>
        <v>0</v>
      </c>
      <c r="E15" s="4">
        <f>SUMIFS('External API calls'!$D$2:$D$3,'External API calls'!$B$2:$B$3,"=d20260925",'External API calls'!$C$2:$C$3,"=fmp")</f>
        <v>0</v>
      </c>
      <c r="F15" s="4">
        <f>SUMIFS('External API calls'!$D$2:$D$3,'External API calls'!$B$2:$B$3,"=d20260928",'External API calls'!$C$2:$C$3,"=fmp")</f>
        <v>0</v>
      </c>
      <c r="G15" s="4">
        <f>SUMIFS('External API calls'!$D$2:$D$3,'External API calls'!$B$2:$B$3,"=d20260929",'External API calls'!$C$2:$C$3,"=fmp")</f>
        <v>0</v>
      </c>
      <c r="H15" s="4">
        <f>SUMIFS('External API calls'!$D$2:$D$3,'External API calls'!$B$2:$B$3,"=d20260930",'External API calls'!$C$2:$C$3,"=fmp")</f>
        <v>0</v>
      </c>
      <c r="I15" s="4">
        <f>SUMIFS('External API calls'!$D$2:$D$3,'External API calls'!$B$2:$B$3,"=d20261001",'External API calls'!$C$2:$C$3,"=fmp")</f>
        <v>0</v>
      </c>
      <c r="J15" s="4">
        <f>SUMIFS('External API calls'!$D$2:$D$3,'External API calls'!$B$2:$B$3,"=d20261002",'External API calls'!$C$2:$C$3,"=fmp")</f>
        <v>0</v>
      </c>
      <c r="K15" s="4">
        <f>SUMIFS('External API calls'!$D$2:$D$3,'External API calls'!$B$2:$B$3,"=d20261005",'External API calls'!$C$2:$C$3,"=fmp")</f>
        <v>0</v>
      </c>
      <c r="L15" s="4">
        <f>SUMIFS('External API calls'!$D$2:$D$3,'External API calls'!$B$2:$B$3,"=d20261006",'External API calls'!$C$2:$C$3,"=fmp")</f>
        <v>0</v>
      </c>
      <c r="M15" s="4">
        <f>SUMIFS('External API calls'!$D$2:$D$3,'External API calls'!$B$2:$B$3,"=d20261007",'External API calls'!$C$2:$C$3,"=fmp")</f>
        <v>0</v>
      </c>
      <c r="N15" s="4">
        <f>SUMIFS('External API calls'!$D$2:$D$3,'External API calls'!$B$2:$B$3,"=d20261008",'External API calls'!$C$2:$C$3,"=fmp")</f>
        <v>0</v>
      </c>
      <c r="O15" s="4">
        <f>SUMIFS('External API calls'!$D$2:$D$3,'External API calls'!$B$2:$B$3,"=d20261009",'External API calls'!$C$2:$C$3,"=fmp")</f>
        <v>0</v>
      </c>
      <c r="P15" s="4">
        <f>SUMIFS('External API calls'!$D$2:$D$3,'External API calls'!$B$2:$B$3,"=d20261012",'External API calls'!$C$2:$C$3,"=fmp")</f>
        <v>0</v>
      </c>
      <c r="Q15" s="4">
        <f>SUMIFS('External API calls'!$D$2:$D$3,'External API calls'!$B$2:$B$3,"=d20261013",'External API calls'!$C$2:$C$3,"=fmp")</f>
        <v>0</v>
      </c>
      <c r="R15" s="4">
        <f>SUMIFS('External API calls'!$D$2:$D$3,'External API calls'!$B$2:$B$3,"=d20261014",'External API calls'!$C$2:$C$3,"=fmp")</f>
        <v>0</v>
      </c>
      <c r="S15" s="4">
        <f>SUMIFS('External API calls'!$D$2:$D$3,'External API calls'!$B$2:$B$3,"=d20261015",'External API calls'!$C$2:$C$3,"=fmp")</f>
        <v>0</v>
      </c>
      <c r="T15" s="4">
        <f>SUMIFS('External API calls'!$D$2:$D$3,'External API calls'!$B$2:$B$3,"=d20261016",'External API calls'!$C$2:$C$3,"=fmp")</f>
        <v>0</v>
      </c>
      <c r="U15" s="4">
        <f>SUMIFS('External API calls'!$D$2:$D$3,'External API calls'!$B$2:$B$3,"=d20261019",'External API calls'!$C$2:$C$3,"=fmp")</f>
        <v>0</v>
      </c>
      <c r="V15" s="4">
        <f>SUMIFS('External API calls'!$D$2:$D$3,'External API calls'!$B$2:$B$3,"=d20261020",'External API calls'!$C$2:$C$3,"=fmp")</f>
        <v>0</v>
      </c>
      <c r="W15" s="4">
        <f>SUMIFS('External API calls'!$D$2:$D$3,'External API calls'!$B$2:$B$3,"=d20261021",'External API calls'!$C$2:$C$3,"=fmp")</f>
        <v>0</v>
      </c>
      <c r="X15" s="4">
        <f>SUMIFS('External API calls'!$D$2:$D$3,'External API calls'!$B$2:$B$3,"=d20261022",'External API calls'!$C$2:$C$3,"=fmp")</f>
        <v>0</v>
      </c>
      <c r="Y15" s="4">
        <f>SUMIFS('External API calls'!$D$2:$D$3,'External API calls'!$B$2:$B$3,"=d20261023",'External API calls'!$C$2:$C$3,"=fmp")</f>
        <v>0</v>
      </c>
      <c r="Z15" s="4">
        <f>SUMIFS('External API calls'!$D$2:$D$3,'External API calls'!$B$2:$B$3,"=d20261026",'External API calls'!$C$2:$C$3,"=fmp")</f>
        <v>0</v>
      </c>
      <c r="AA15" s="4">
        <f>SUMIFS('External API calls'!$D$2:$D$3,'External API calls'!$B$2:$B$3,"=d20261027",'External API calls'!$C$2:$C$3,"=fmp")</f>
        <v>0</v>
      </c>
      <c r="AB15" s="4">
        <f>SUMIFS('External API calls'!$D$2:$D$3,'External API calls'!$B$2:$B$3,"=d20261028",'External API calls'!$C$2:$C$3,"=fmp")</f>
        <v>0</v>
      </c>
      <c r="AC15" s="4">
        <f>SUMIFS('External API calls'!$D$2:$D$3,'External API calls'!$B$2:$B$3,"=d20261029",'External API calls'!$C$2:$C$3,"=fmp")</f>
        <v>0</v>
      </c>
      <c r="AD15" s="4">
        <f>SUMIFS('External API calls'!$D$2:$D$3,'External API calls'!$B$2:$B$3,"=d20261030",'External API calls'!$C$2:$C$3,"=fmp")</f>
        <v>0</v>
      </c>
      <c r="AE15" s="4">
        <f>SUMIFS('External API calls'!$D$2:$D$3,'External API calls'!$B$2:$B$3,"=d20261102",'External API calls'!$C$2:$C$3,"=fmp")</f>
        <v>0</v>
      </c>
      <c r="AF15" s="4">
        <f>SUMIFS('External API calls'!$D$2:$D$3,'External API calls'!$B$2:$B$3,"=d20261103",'External API calls'!$C$2:$C$3,"=fmp")</f>
        <v>0</v>
      </c>
      <c r="AG15" s="4">
        <f>SUMIFS('External API calls'!$D$2:$D$3,'External API calls'!$B$2:$B$3,"=d20261104",'External API calls'!$C$2:$C$3,"=fmp")</f>
        <v>0</v>
      </c>
      <c r="AH15" s="4">
        <f>SUMIFS('External API calls'!$D$2:$D$3,'External API calls'!$B$2:$B$3,"=d20261105",'External API calls'!$C$2:$C$3,"=fmp")</f>
        <v>0</v>
      </c>
      <c r="AI15" s="4">
        <f>SUMIFS('External API calls'!$D$2:$D$3,'External API calls'!$B$2:$B$3,"=d20261106",'External API calls'!$C$2:$C$3,"=fmp")</f>
        <v>0</v>
      </c>
      <c r="AJ15" s="4">
        <f>SUMIFS('External API calls'!$D$2:$D$3,'External API calls'!$B$2:$B$3,"=d20261109",'External API calls'!$C$2:$C$3,"=fmp")</f>
        <v>0</v>
      </c>
      <c r="AK15" s="4">
        <f>SUMIFS('External API calls'!$D$2:$D$3,'External API calls'!$B$2:$B$3,"=d20261110",'External API calls'!$C$2:$C$3,"=fmp")</f>
        <v>0</v>
      </c>
      <c r="AL15" s="4">
        <f>SUMIFS('External API calls'!$D$2:$D$3,'External API calls'!$B$2:$B$3,"=d20261111",'External API calls'!$C$2:$C$3,"=fmp")</f>
        <v>0</v>
      </c>
      <c r="AM15" s="4">
        <f>SUMIFS('External API calls'!$D$2:$D$3,'External API calls'!$B$2:$B$3,"=d20261112",'External API calls'!$C$2:$C$3,"=fmp")</f>
        <v>0</v>
      </c>
      <c r="AN15" s="4">
        <f>SUMIFS('External API calls'!$D$2:$D$3,'External API calls'!$B$2:$B$3,"=d20261113",'External API calls'!$C$2:$C$3,"=fmp")</f>
        <v>0</v>
      </c>
      <c r="AO15" s="4">
        <f>SUMIFS('External API calls'!$D$2:$D$3,'External API calls'!$B$2:$B$3,"=d20261116",'External API calls'!$C$2:$C$3,"=fmp")</f>
        <v>0</v>
      </c>
      <c r="AP15" s="4">
        <f>SUMIFS('External API calls'!$D$2:$D$3,'External API calls'!$B$2:$B$3,"=d20261117",'External API calls'!$C$2:$C$3,"=fmp")</f>
        <v>0</v>
      </c>
      <c r="AQ15" s="4">
        <f>SUMIFS('External API calls'!$D$2:$D$3,'External API calls'!$B$2:$B$3,"=d20261118",'External API calls'!$C$2:$C$3,"=fmp")</f>
        <v>0</v>
      </c>
      <c r="AR15" s="4">
        <f>SUMIFS('External API calls'!$D$2:$D$3,'External API calls'!$B$2:$B$3,"=d20261119",'External API calls'!$C$2:$C$3,"=fmp")</f>
        <v>0</v>
      </c>
      <c r="AS15" s="4">
        <f>SUMIFS('External API calls'!$D$2:$D$3,'External API calls'!$B$2:$B$3,"=d20261120",'External API calls'!$C$2:$C$3,"=fmp")</f>
        <v>0</v>
      </c>
      <c r="AT15" s="4">
        <f>SUMIFS('External API calls'!$D$2:$D$3,'External API calls'!$B$2:$B$3,"=d20261123",'External API calls'!$C$2:$C$3,"=fmp")</f>
        <v>0</v>
      </c>
      <c r="AU15" s="4">
        <f>SUMIFS('External API calls'!$D$2:$D$3,'External API calls'!$B$2:$B$3,"=d20261124",'External API calls'!$C$2:$C$3,"=fmp")</f>
        <v>0</v>
      </c>
      <c r="AV15" s="4">
        <f>SUMIFS('External API calls'!$D$2:$D$3,'External API calls'!$B$2:$B$3,"=d20261125",'External API calls'!$C$2:$C$3,"=fmp")</f>
        <v>0</v>
      </c>
      <c r="AW15" s="4">
        <f>SUMIFS('External API calls'!$D$2:$D$3,'External API calls'!$B$2:$B$3,"=d20261127",'External API calls'!$C$2:$C$3,"=fmp")</f>
        <v>0</v>
      </c>
      <c r="AX15" s="4">
        <f>SUMIFS('External API calls'!$D$2:$D$3,'External API calls'!$B$2:$B$3,"=d20261130",'External API calls'!$C$2:$C$3,"=fmp")</f>
        <v>0</v>
      </c>
      <c r="AY15" s="4">
        <f>SUMIFS('External API calls'!$D$2:$D$3,'External API calls'!$B$2:$B$3,"=d20261201",'External API calls'!$C$2:$C$3,"=fmp")</f>
        <v>0</v>
      </c>
      <c r="AZ15" s="4">
        <f>SUMIFS('External API calls'!$D$2:$D$3,'External API calls'!$B$2:$B$3,"=d20261202",'External API calls'!$C$2:$C$3,"=fmp")</f>
        <v>0</v>
      </c>
      <c r="BA15" s="4">
        <f>SUMIFS('External API calls'!$D$2:$D$3,'External API calls'!$B$2:$B$3,"=d20261203",'External API calls'!$C$2:$C$3,"=fmp")</f>
        <v>0</v>
      </c>
      <c r="BB15" s="4">
        <f>SUMIFS('External API calls'!$D$2:$D$3,'External API calls'!$B$2:$B$3,"=d20261204",'External API calls'!$C$2:$C$3,"=fmp")</f>
        <v>0</v>
      </c>
      <c r="BC15" s="4">
        <f>SUMIFS('External API calls'!$D$2:$D$3,'External API calls'!$B$2:$B$3,"=d20261207",'External API calls'!$C$2:$C$3,"=fmp")</f>
        <v>0</v>
      </c>
      <c r="BD15" s="4">
        <f>SUMIFS('External API calls'!$D$2:$D$3,'External API calls'!$B$2:$B$3,"=d20261208",'External API calls'!$C$2:$C$3,"=fmp")</f>
        <v>0</v>
      </c>
      <c r="BE15" s="4">
        <f>SUMIFS('External API calls'!$D$2:$D$3,'External API calls'!$B$2:$B$3,"=d20261209",'External API calls'!$C$2:$C$3,"=fmp")</f>
        <v>0</v>
      </c>
      <c r="BF15" s="4">
        <f>SUMIFS('External API calls'!$D$2:$D$3,'External API calls'!$B$2:$B$3,"=d20261210",'External API calls'!$C$2:$C$3,"=fmp")</f>
        <v>0</v>
      </c>
      <c r="BG15" s="4">
        <f>SUMIFS('External API calls'!$D$2:$D$3,'External API calls'!$B$2:$B$3,"=d20261211",'External API calls'!$C$2:$C$3,"=fmp")</f>
        <v>0</v>
      </c>
      <c r="BH15" s="4">
        <f>SUMIFS('External API calls'!$D$2:$D$3,'External API calls'!$B$2:$B$3,"=d20261214",'External API calls'!$C$2:$C$3,"=fmp")</f>
        <v>0</v>
      </c>
      <c r="BI15" s="4">
        <f>SUMIFS('External API calls'!$D$2:$D$3,'External API calls'!$B$2:$B$3,"=d20261215",'External API calls'!$C$2:$C$3,"=fmp")</f>
        <v>0</v>
      </c>
      <c r="BJ15" s="4">
        <f>SUMIFS('External API calls'!$D$2:$D$3,'External API calls'!$B$2:$B$3,"=d20261216",'External API calls'!$C$2:$C$3,"=fmp")</f>
        <v>0</v>
      </c>
      <c r="BK15" s="4">
        <f>SUMIFS('External API calls'!$D$2:$D$3,'External API calls'!$B$2:$B$3,"=d20261217",'External API calls'!$C$2:$C$3,"=fmp")</f>
        <v>0</v>
      </c>
      <c r="BL15" s="4">
        <f>SUMIFS('External API calls'!$D$2:$D$3,'External API calls'!$B$2:$B$3,"=d20261218",'External API calls'!$C$2:$C$3,"=fmp")</f>
        <v>0</v>
      </c>
      <c r="BM15" s="4">
        <f>SUMIFS('External API calls'!$D$2:$D$3,'External API calls'!$B$2:$B$3,"=d20261221",'External API calls'!$C$2:$C$3,"=fmp")</f>
        <v>0</v>
      </c>
      <c r="BN15" s="4">
        <f>SUMIFS('External API calls'!$D$2:$D$3,'External API calls'!$B$2:$B$3,"=d20261222",'External API calls'!$C$2:$C$3,"=fmp")</f>
        <v>0</v>
      </c>
      <c r="BO15" s="4">
        <f>SUMIFS('External API calls'!$D$2:$D$3,'External API calls'!$B$2:$B$3,"=d20261223",'External API calls'!$C$2:$C$3,"=fmp")</f>
        <v>0</v>
      </c>
      <c r="BP15" s="4">
        <f>SUMIFS('External API calls'!$D$2:$D$3,'External API calls'!$B$2:$B$3,"=d20261224",'External API calls'!$C$2:$C$3,"=fmp")</f>
        <v>0</v>
      </c>
      <c r="BQ15" s="4">
        <f>SUMIFS('External API calls'!$D$2:$D$3,'External API calls'!$B$2:$B$3,"=d20261228",'External API calls'!$C$2:$C$3,"=fmp")</f>
        <v>0</v>
      </c>
      <c r="BR15" s="4">
        <f>SUMIFS('External API calls'!$D$2:$D$3,'External API calls'!$B$2:$B$3,"=d20261229",'External API calls'!$C$2:$C$3,"=fmp")</f>
        <v>0</v>
      </c>
      <c r="BS15" s="4">
        <f>SUMIFS('External API calls'!$D$2:$D$3,'External API calls'!$B$2:$B$3,"=d20261230",'External API calls'!$C$2:$C$3,"=fmp")</f>
        <v>0</v>
      </c>
      <c r="BT15" s="4">
        <f>SUMIFS('External API calls'!$D$2:$D$3,'External API calls'!$B$2:$B$3,"=d20261231",'External API calls'!$C$2:$C$3,"=fmp")</f>
        <v>0</v>
      </c>
      <c r="BU15" s="4">
        <f>SUMIFS('External API calls'!$D$2:$D$3,'External API calls'!$B$2:$B$3,"=d20270104",'External API calls'!$C$2:$C$3,"=fmp")</f>
        <v>0</v>
      </c>
      <c r="BV15" s="4">
        <f>SUMIFS('External API calls'!$D$2:$D$3,'External API calls'!$B$2:$B$3,"=d20270105",'External API calls'!$C$2:$C$3,"=fmp")</f>
        <v>0</v>
      </c>
      <c r="BW15" s="4">
        <f>SUMIFS('External API calls'!$D$2:$D$3,'External API calls'!$B$2:$B$3,"=d20270106",'External API calls'!$C$2:$C$3,"=fmp")</f>
        <v>0</v>
      </c>
      <c r="BX15" s="4">
        <f>SUMIFS('External API calls'!$D$2:$D$3,'External API calls'!$B$2:$B$3,"=d20270107",'External API calls'!$C$2:$C$3,"=fmp")</f>
        <v>0</v>
      </c>
      <c r="BY15" s="4">
        <f>SUMIFS('External API calls'!$D$2:$D$3,'External API calls'!$B$2:$B$3,"=d20270108",'External API calls'!$C$2:$C$3,"=fmp")</f>
        <v>0</v>
      </c>
      <c r="BZ15" s="4">
        <f>SUMIFS('External API calls'!$D$2:$D$3,'External API calls'!$B$2:$B$3,"=d20270111",'External API calls'!$C$2:$C$3,"=fmp")</f>
        <v>0</v>
      </c>
      <c r="CA15" s="4">
        <f>SUMIFS('External API calls'!$D$2:$D$3,'External API calls'!$B$2:$B$3,"=d20270112",'External API calls'!$C$2:$C$3,"=fmp")</f>
        <v>0</v>
      </c>
      <c r="CB15" s="4">
        <f>SUMIFS('External API calls'!$D$2:$D$3,'External API calls'!$B$2:$B$3,"=d20270113",'External API calls'!$C$2:$C$3,"=fmp")</f>
        <v>0</v>
      </c>
      <c r="CC15" s="4">
        <f>SUMIFS('External API calls'!$D$2:$D$3,'External API calls'!$B$2:$B$3,"=d20270114",'External API calls'!$C$2:$C$3,"=fmp")</f>
        <v>0</v>
      </c>
      <c r="CD15" s="4">
        <f>SUMIFS('External API calls'!$D$2:$D$3,'External API calls'!$B$2:$B$3,"=d20270115",'External API calls'!$C$2:$C$3,"=fmp")</f>
        <v>0</v>
      </c>
      <c r="CE15" s="4">
        <f>SUMIFS('External API calls'!$D$2:$D$3,'External API calls'!$B$2:$B$3,"=d20270119",'External API calls'!$C$2:$C$3,"=fmp")</f>
        <v>0</v>
      </c>
      <c r="CF15" s="4">
        <f>SUMIFS('External API calls'!$D$2:$D$3,'External API calls'!$B$2:$B$3,"=d20270120",'External API calls'!$C$2:$C$3,"=fmp")</f>
        <v>0</v>
      </c>
      <c r="CG15" s="4">
        <f>SUMIFS('External API calls'!$D$2:$D$3,'External API calls'!$B$2:$B$3,"=d20270121",'External API calls'!$C$2:$C$3,"=fmp")</f>
        <v>0</v>
      </c>
      <c r="CH15" s="4">
        <f>SUMIFS('External API calls'!$D$2:$D$3,'External API calls'!$B$2:$B$3,"=d20270122",'External API calls'!$C$2:$C$3,"=fmp")</f>
        <v>0</v>
      </c>
      <c r="CI15" s="4">
        <f>SUMIFS('External API calls'!$D$2:$D$3,'External API calls'!$B$2:$B$3,"=d20270125",'External API calls'!$C$2:$C$3,"=fmp")</f>
        <v>0</v>
      </c>
      <c r="CJ15" s="4">
        <f>SUMIFS('External API calls'!$D$2:$D$3,'External API calls'!$B$2:$B$3,"=d20270126",'External API calls'!$C$2:$C$3,"=fmp")</f>
        <v>0</v>
      </c>
      <c r="CK15" s="4">
        <f>SUMIFS('External API calls'!$D$2:$D$3,'External API calls'!$B$2:$B$3,"=d20270127",'External API calls'!$C$2:$C$3,"=fmp")</f>
        <v>0</v>
      </c>
      <c r="CL15" s="4">
        <f>SUMIFS('External API calls'!$D$2:$D$3,'External API calls'!$B$2:$B$3,"=d20270128",'External API calls'!$C$2:$C$3,"=fmp")</f>
        <v>0</v>
      </c>
      <c r="CM15" s="4">
        <f>SUMIFS('External API calls'!$D$2:$D$3,'External API calls'!$B$2:$B$3,"=d20270129",'External API calls'!$C$2:$C$3,"=fmp")</f>
        <v>0</v>
      </c>
      <c r="CN15" s="4">
        <f>SUMIFS('External API calls'!$D$2:$D$3,'External API calls'!$B$2:$B$3,"=d20270201",'External API calls'!$C$2:$C$3,"=fmp")</f>
        <v>0</v>
      </c>
      <c r="CO15" s="4">
        <f>SUMIFS('External API calls'!$D$2:$D$3,'External API calls'!$B$2:$B$3,"=d20270202",'External API calls'!$C$2:$C$3,"=fmp")</f>
        <v>0</v>
      </c>
      <c r="CP15" s="4">
        <f>SUMIFS('External API calls'!$D$2:$D$3,'External API calls'!$B$2:$B$3,"=d20270203",'External API calls'!$C$2:$C$3,"=fmp")</f>
        <v>0</v>
      </c>
      <c r="CQ15" s="4">
        <f>SUMIFS('External API calls'!$D$2:$D$3,'External API calls'!$B$2:$B$3,"=d20270204",'External API calls'!$C$2:$C$3,"=fmp")</f>
        <v>0</v>
      </c>
      <c r="CR15" s="4">
        <f>SUMIFS('External API calls'!$D$2:$D$3,'External API calls'!$B$2:$B$3,"=d20270205",'External API calls'!$C$2:$C$3,"=fmp")</f>
        <v>0</v>
      </c>
      <c r="CS15" s="4">
        <f>SUMIFS('External API calls'!$D$2:$D$3,'External API calls'!$B$2:$B$3,"=d20270208",'External API calls'!$C$2:$C$3,"=fmp")</f>
        <v>0</v>
      </c>
      <c r="CT15" s="4">
        <f>SUMIFS('External API calls'!$D$2:$D$3,'External API calls'!$B$2:$B$3,"=d20270209",'External API calls'!$C$2:$C$3,"=fmp")</f>
        <v>0</v>
      </c>
      <c r="CU15" s="4">
        <f>SUMIFS('External API calls'!$D$2:$D$3,'External API calls'!$B$2:$B$3,"=d20270210",'External API calls'!$C$2:$C$3,"=fmp")</f>
        <v>0</v>
      </c>
      <c r="CV15" s="4">
        <f>SUMIFS('External API calls'!$D$2:$D$3,'External API calls'!$B$2:$B$3,"=d20270211",'External API calls'!$C$2:$C$3,"=fmp")</f>
        <v>0</v>
      </c>
      <c r="CW15" s="4">
        <f>SUMIFS('External API calls'!$D$2:$D$3,'External API calls'!$B$2:$B$3,"=d20270212",'External API calls'!$C$2:$C$3,"=fmp")</f>
        <v>0</v>
      </c>
    </row>
    <row r="16">
      <c r="A16" s="0" t="inlineStr">
        <is>
          <t xml:space="preserve">SerpAPI calls</t>
        </is>
      </c>
      <c r="B16" s="4">
        <f>SUMIFS('External API calls'!$D$2:$D$3,'External API calls'!$B$2:$B$3,"=d20260922",'External API calls'!$C$2:$C$3,"=serp")</f>
        <v>0</v>
      </c>
      <c r="C16" s="4">
        <f>SUMIFS('External API calls'!$D$2:$D$3,'External API calls'!$B$2:$B$3,"=d20260923",'External API calls'!$C$2:$C$3,"=serp")</f>
        <v>0</v>
      </c>
      <c r="D16" s="4">
        <f>SUMIFS('External API calls'!$D$2:$D$3,'External API calls'!$B$2:$B$3,"=d20260924",'External API calls'!$C$2:$C$3,"=serp")</f>
        <v>0</v>
      </c>
      <c r="E16" s="4">
        <f>SUMIFS('External API calls'!$D$2:$D$3,'External API calls'!$B$2:$B$3,"=d20260925",'External API calls'!$C$2:$C$3,"=serp")</f>
        <v>0</v>
      </c>
      <c r="F16" s="4">
        <f>SUMIFS('External API calls'!$D$2:$D$3,'External API calls'!$B$2:$B$3,"=d20260928",'External API calls'!$C$2:$C$3,"=serp")</f>
        <v>0</v>
      </c>
      <c r="G16" s="4">
        <f>SUMIFS('External API calls'!$D$2:$D$3,'External API calls'!$B$2:$B$3,"=d20260929",'External API calls'!$C$2:$C$3,"=serp")</f>
        <v>0</v>
      </c>
      <c r="H16" s="4">
        <f>SUMIFS('External API calls'!$D$2:$D$3,'External API calls'!$B$2:$B$3,"=d20260930",'External API calls'!$C$2:$C$3,"=serp")</f>
        <v>0</v>
      </c>
      <c r="I16" s="4">
        <f>SUMIFS('External API calls'!$D$2:$D$3,'External API calls'!$B$2:$B$3,"=d20261001",'External API calls'!$C$2:$C$3,"=serp")</f>
        <v>0</v>
      </c>
      <c r="J16" s="4">
        <f>SUMIFS('External API calls'!$D$2:$D$3,'External API calls'!$B$2:$B$3,"=d20261002",'External API calls'!$C$2:$C$3,"=serp")</f>
        <v>0</v>
      </c>
      <c r="K16" s="4">
        <f>SUMIFS('External API calls'!$D$2:$D$3,'External API calls'!$B$2:$B$3,"=d20261005",'External API calls'!$C$2:$C$3,"=serp")</f>
        <v>0</v>
      </c>
      <c r="L16" s="4">
        <f>SUMIFS('External API calls'!$D$2:$D$3,'External API calls'!$B$2:$B$3,"=d20261006",'External API calls'!$C$2:$C$3,"=serp")</f>
        <v>0</v>
      </c>
      <c r="M16" s="4">
        <f>SUMIFS('External API calls'!$D$2:$D$3,'External API calls'!$B$2:$B$3,"=d20261007",'External API calls'!$C$2:$C$3,"=serp")</f>
        <v>0</v>
      </c>
      <c r="N16" s="4">
        <f>SUMIFS('External API calls'!$D$2:$D$3,'External API calls'!$B$2:$B$3,"=d20261008",'External API calls'!$C$2:$C$3,"=serp")</f>
        <v>0</v>
      </c>
      <c r="O16" s="4">
        <f>SUMIFS('External API calls'!$D$2:$D$3,'External API calls'!$B$2:$B$3,"=d20261009",'External API calls'!$C$2:$C$3,"=serp")</f>
        <v>0</v>
      </c>
      <c r="P16" s="4">
        <f>SUMIFS('External API calls'!$D$2:$D$3,'External API calls'!$B$2:$B$3,"=d20261012",'External API calls'!$C$2:$C$3,"=serp")</f>
        <v>0</v>
      </c>
      <c r="Q16" s="4">
        <f>SUMIFS('External API calls'!$D$2:$D$3,'External API calls'!$B$2:$B$3,"=d20261013",'External API calls'!$C$2:$C$3,"=serp")</f>
        <v>0</v>
      </c>
      <c r="R16" s="4">
        <f>SUMIFS('External API calls'!$D$2:$D$3,'External API calls'!$B$2:$B$3,"=d20261014",'External API calls'!$C$2:$C$3,"=serp")</f>
        <v>0</v>
      </c>
      <c r="S16" s="4">
        <f>SUMIFS('External API calls'!$D$2:$D$3,'External API calls'!$B$2:$B$3,"=d20261015",'External API calls'!$C$2:$C$3,"=serp")</f>
        <v>0</v>
      </c>
      <c r="T16" s="4">
        <f>SUMIFS('External API calls'!$D$2:$D$3,'External API calls'!$B$2:$B$3,"=d20261016",'External API calls'!$C$2:$C$3,"=serp")</f>
        <v>0</v>
      </c>
      <c r="U16" s="4">
        <f>SUMIFS('External API calls'!$D$2:$D$3,'External API calls'!$B$2:$B$3,"=d20261019",'External API calls'!$C$2:$C$3,"=serp")</f>
        <v>0</v>
      </c>
      <c r="V16" s="4">
        <f>SUMIFS('External API calls'!$D$2:$D$3,'External API calls'!$B$2:$B$3,"=d20261020",'External API calls'!$C$2:$C$3,"=serp")</f>
        <v>0</v>
      </c>
      <c r="W16" s="4">
        <f>SUMIFS('External API calls'!$D$2:$D$3,'External API calls'!$B$2:$B$3,"=d20261021",'External API calls'!$C$2:$C$3,"=serp")</f>
        <v>0</v>
      </c>
      <c r="X16" s="4">
        <f>SUMIFS('External API calls'!$D$2:$D$3,'External API calls'!$B$2:$B$3,"=d20261022",'External API calls'!$C$2:$C$3,"=serp")</f>
        <v>0</v>
      </c>
      <c r="Y16" s="4">
        <f>SUMIFS('External API calls'!$D$2:$D$3,'External API calls'!$B$2:$B$3,"=d20261023",'External API calls'!$C$2:$C$3,"=serp")</f>
        <v>0</v>
      </c>
      <c r="Z16" s="4">
        <f>SUMIFS('External API calls'!$D$2:$D$3,'External API calls'!$B$2:$B$3,"=d20261026",'External API calls'!$C$2:$C$3,"=serp")</f>
        <v>0</v>
      </c>
      <c r="AA16" s="4">
        <f>SUMIFS('External API calls'!$D$2:$D$3,'External API calls'!$B$2:$B$3,"=d20261027",'External API calls'!$C$2:$C$3,"=serp")</f>
        <v>0</v>
      </c>
      <c r="AB16" s="4">
        <f>SUMIFS('External API calls'!$D$2:$D$3,'External API calls'!$B$2:$B$3,"=d20261028",'External API calls'!$C$2:$C$3,"=serp")</f>
        <v>0</v>
      </c>
      <c r="AC16" s="4">
        <f>SUMIFS('External API calls'!$D$2:$D$3,'External API calls'!$B$2:$B$3,"=d20261029",'External API calls'!$C$2:$C$3,"=serp")</f>
        <v>0</v>
      </c>
      <c r="AD16" s="4">
        <f>SUMIFS('External API calls'!$D$2:$D$3,'External API calls'!$B$2:$B$3,"=d20261030",'External API calls'!$C$2:$C$3,"=serp")</f>
        <v>0</v>
      </c>
      <c r="AE16" s="4">
        <f>SUMIFS('External API calls'!$D$2:$D$3,'External API calls'!$B$2:$B$3,"=d20261102",'External API calls'!$C$2:$C$3,"=serp")</f>
        <v>0</v>
      </c>
      <c r="AF16" s="4">
        <f>SUMIFS('External API calls'!$D$2:$D$3,'External API calls'!$B$2:$B$3,"=d20261103",'External API calls'!$C$2:$C$3,"=serp")</f>
        <v>0</v>
      </c>
      <c r="AG16" s="4">
        <f>SUMIFS('External API calls'!$D$2:$D$3,'External API calls'!$B$2:$B$3,"=d20261104",'External API calls'!$C$2:$C$3,"=serp")</f>
        <v>0</v>
      </c>
      <c r="AH16" s="4">
        <f>SUMIFS('External API calls'!$D$2:$D$3,'External API calls'!$B$2:$B$3,"=d20261105",'External API calls'!$C$2:$C$3,"=serp")</f>
        <v>0</v>
      </c>
      <c r="AI16" s="4">
        <f>SUMIFS('External API calls'!$D$2:$D$3,'External API calls'!$B$2:$B$3,"=d20261106",'External API calls'!$C$2:$C$3,"=serp")</f>
        <v>0</v>
      </c>
      <c r="AJ16" s="4">
        <f>SUMIFS('External API calls'!$D$2:$D$3,'External API calls'!$B$2:$B$3,"=d20261109",'External API calls'!$C$2:$C$3,"=serp")</f>
        <v>0</v>
      </c>
      <c r="AK16" s="4">
        <f>SUMIFS('External API calls'!$D$2:$D$3,'External API calls'!$B$2:$B$3,"=d20261110",'External API calls'!$C$2:$C$3,"=serp")</f>
        <v>0</v>
      </c>
      <c r="AL16" s="4">
        <f>SUMIFS('External API calls'!$D$2:$D$3,'External API calls'!$B$2:$B$3,"=d20261111",'External API calls'!$C$2:$C$3,"=serp")</f>
        <v>0</v>
      </c>
      <c r="AM16" s="4">
        <f>SUMIFS('External API calls'!$D$2:$D$3,'External API calls'!$B$2:$B$3,"=d20261112",'External API calls'!$C$2:$C$3,"=serp")</f>
        <v>0</v>
      </c>
      <c r="AN16" s="4">
        <f>SUMIFS('External API calls'!$D$2:$D$3,'External API calls'!$B$2:$B$3,"=d20261113",'External API calls'!$C$2:$C$3,"=serp")</f>
        <v>0</v>
      </c>
      <c r="AO16" s="4">
        <f>SUMIFS('External API calls'!$D$2:$D$3,'External API calls'!$B$2:$B$3,"=d20261116",'External API calls'!$C$2:$C$3,"=serp")</f>
        <v>0</v>
      </c>
      <c r="AP16" s="4">
        <f>SUMIFS('External API calls'!$D$2:$D$3,'External API calls'!$B$2:$B$3,"=d20261117",'External API calls'!$C$2:$C$3,"=serp")</f>
        <v>0</v>
      </c>
      <c r="AQ16" s="4">
        <f>SUMIFS('External API calls'!$D$2:$D$3,'External API calls'!$B$2:$B$3,"=d20261118",'External API calls'!$C$2:$C$3,"=serp")</f>
        <v>0</v>
      </c>
      <c r="AR16" s="4">
        <f>SUMIFS('External API calls'!$D$2:$D$3,'External API calls'!$B$2:$B$3,"=d20261119",'External API calls'!$C$2:$C$3,"=serp")</f>
        <v>0</v>
      </c>
      <c r="AS16" s="4">
        <f>SUMIFS('External API calls'!$D$2:$D$3,'External API calls'!$B$2:$B$3,"=d20261120",'External API calls'!$C$2:$C$3,"=serp")</f>
        <v>0</v>
      </c>
      <c r="AT16" s="4">
        <f>SUMIFS('External API calls'!$D$2:$D$3,'External API calls'!$B$2:$B$3,"=d20261123",'External API calls'!$C$2:$C$3,"=serp")</f>
        <v>0</v>
      </c>
      <c r="AU16" s="4">
        <f>SUMIFS('External API calls'!$D$2:$D$3,'External API calls'!$B$2:$B$3,"=d20261124",'External API calls'!$C$2:$C$3,"=serp")</f>
        <v>0</v>
      </c>
      <c r="AV16" s="4">
        <f>SUMIFS('External API calls'!$D$2:$D$3,'External API calls'!$B$2:$B$3,"=d20261125",'External API calls'!$C$2:$C$3,"=serp")</f>
        <v>0</v>
      </c>
      <c r="AW16" s="4">
        <f>SUMIFS('External API calls'!$D$2:$D$3,'External API calls'!$B$2:$B$3,"=d20261127",'External API calls'!$C$2:$C$3,"=serp")</f>
        <v>0</v>
      </c>
      <c r="AX16" s="4">
        <f>SUMIFS('External API calls'!$D$2:$D$3,'External API calls'!$B$2:$B$3,"=d20261130",'External API calls'!$C$2:$C$3,"=serp")</f>
        <v>0</v>
      </c>
      <c r="AY16" s="4">
        <f>SUMIFS('External API calls'!$D$2:$D$3,'External API calls'!$B$2:$B$3,"=d20261201",'External API calls'!$C$2:$C$3,"=serp")</f>
        <v>0</v>
      </c>
      <c r="AZ16" s="4">
        <f>SUMIFS('External API calls'!$D$2:$D$3,'External API calls'!$B$2:$B$3,"=d20261202",'External API calls'!$C$2:$C$3,"=serp")</f>
        <v>0</v>
      </c>
      <c r="BA16" s="4">
        <f>SUMIFS('External API calls'!$D$2:$D$3,'External API calls'!$B$2:$B$3,"=d20261203",'External API calls'!$C$2:$C$3,"=serp")</f>
        <v>0</v>
      </c>
      <c r="BB16" s="4">
        <f>SUMIFS('External API calls'!$D$2:$D$3,'External API calls'!$B$2:$B$3,"=d20261204",'External API calls'!$C$2:$C$3,"=serp")</f>
        <v>0</v>
      </c>
      <c r="BC16" s="4">
        <f>SUMIFS('External API calls'!$D$2:$D$3,'External API calls'!$B$2:$B$3,"=d20261207",'External API calls'!$C$2:$C$3,"=serp")</f>
        <v>0</v>
      </c>
      <c r="BD16" s="4">
        <f>SUMIFS('External API calls'!$D$2:$D$3,'External API calls'!$B$2:$B$3,"=d20261208",'External API calls'!$C$2:$C$3,"=serp")</f>
        <v>0</v>
      </c>
      <c r="BE16" s="4">
        <f>SUMIFS('External API calls'!$D$2:$D$3,'External API calls'!$B$2:$B$3,"=d20261209",'External API calls'!$C$2:$C$3,"=serp")</f>
        <v>0</v>
      </c>
      <c r="BF16" s="4">
        <f>SUMIFS('External API calls'!$D$2:$D$3,'External API calls'!$B$2:$B$3,"=d20261210",'External API calls'!$C$2:$C$3,"=serp")</f>
        <v>0</v>
      </c>
      <c r="BG16" s="4">
        <f>SUMIFS('External API calls'!$D$2:$D$3,'External API calls'!$B$2:$B$3,"=d20261211",'External API calls'!$C$2:$C$3,"=serp")</f>
        <v>0</v>
      </c>
      <c r="BH16" s="4">
        <f>SUMIFS('External API calls'!$D$2:$D$3,'External API calls'!$B$2:$B$3,"=d20261214",'External API calls'!$C$2:$C$3,"=serp")</f>
        <v>0</v>
      </c>
      <c r="BI16" s="4">
        <f>SUMIFS('External API calls'!$D$2:$D$3,'External API calls'!$B$2:$B$3,"=d20261215",'External API calls'!$C$2:$C$3,"=serp")</f>
        <v>0</v>
      </c>
      <c r="BJ16" s="4">
        <f>SUMIFS('External API calls'!$D$2:$D$3,'External API calls'!$B$2:$B$3,"=d20261216",'External API calls'!$C$2:$C$3,"=serp")</f>
        <v>0</v>
      </c>
      <c r="BK16" s="4">
        <f>SUMIFS('External API calls'!$D$2:$D$3,'External API calls'!$B$2:$B$3,"=d20261217",'External API calls'!$C$2:$C$3,"=serp")</f>
        <v>0</v>
      </c>
      <c r="BL16" s="4">
        <f>SUMIFS('External API calls'!$D$2:$D$3,'External API calls'!$B$2:$B$3,"=d20261218",'External API calls'!$C$2:$C$3,"=serp")</f>
        <v>0</v>
      </c>
      <c r="BM16" s="4">
        <f>SUMIFS('External API calls'!$D$2:$D$3,'External API calls'!$B$2:$B$3,"=d20261221",'External API calls'!$C$2:$C$3,"=serp")</f>
        <v>0</v>
      </c>
      <c r="BN16" s="4">
        <f>SUMIFS('External API calls'!$D$2:$D$3,'External API calls'!$B$2:$B$3,"=d20261222",'External API calls'!$C$2:$C$3,"=serp")</f>
        <v>0</v>
      </c>
      <c r="BO16" s="4">
        <f>SUMIFS('External API calls'!$D$2:$D$3,'External API calls'!$B$2:$B$3,"=d20261223",'External API calls'!$C$2:$C$3,"=serp")</f>
        <v>0</v>
      </c>
      <c r="BP16" s="4">
        <f>SUMIFS('External API calls'!$D$2:$D$3,'External API calls'!$B$2:$B$3,"=d20261224",'External API calls'!$C$2:$C$3,"=serp")</f>
        <v>0</v>
      </c>
      <c r="BQ16" s="4">
        <f>SUMIFS('External API calls'!$D$2:$D$3,'External API calls'!$B$2:$B$3,"=d20261228",'External API calls'!$C$2:$C$3,"=serp")</f>
        <v>0</v>
      </c>
      <c r="BR16" s="4">
        <f>SUMIFS('External API calls'!$D$2:$D$3,'External API calls'!$B$2:$B$3,"=d20261229",'External API calls'!$C$2:$C$3,"=serp")</f>
        <v>0</v>
      </c>
      <c r="BS16" s="4">
        <f>SUMIFS('External API calls'!$D$2:$D$3,'External API calls'!$B$2:$B$3,"=d20261230",'External API calls'!$C$2:$C$3,"=serp")</f>
        <v>0</v>
      </c>
      <c r="BT16" s="4">
        <f>SUMIFS('External API calls'!$D$2:$D$3,'External API calls'!$B$2:$B$3,"=d20261231",'External API calls'!$C$2:$C$3,"=serp")</f>
        <v>0</v>
      </c>
      <c r="BU16" s="4">
        <f>SUMIFS('External API calls'!$D$2:$D$3,'External API calls'!$B$2:$B$3,"=d20270104",'External API calls'!$C$2:$C$3,"=serp")</f>
        <v>0</v>
      </c>
      <c r="BV16" s="4">
        <f>SUMIFS('External API calls'!$D$2:$D$3,'External API calls'!$B$2:$B$3,"=d20270105",'External API calls'!$C$2:$C$3,"=serp")</f>
        <v>0</v>
      </c>
      <c r="BW16" s="4">
        <f>SUMIFS('External API calls'!$D$2:$D$3,'External API calls'!$B$2:$B$3,"=d20270106",'External API calls'!$C$2:$C$3,"=serp")</f>
        <v>0</v>
      </c>
      <c r="BX16" s="4">
        <f>SUMIFS('External API calls'!$D$2:$D$3,'External API calls'!$B$2:$B$3,"=d20270107",'External API calls'!$C$2:$C$3,"=serp")</f>
        <v>0</v>
      </c>
      <c r="BY16" s="4">
        <f>SUMIFS('External API calls'!$D$2:$D$3,'External API calls'!$B$2:$B$3,"=d20270108",'External API calls'!$C$2:$C$3,"=serp")</f>
        <v>0</v>
      </c>
      <c r="BZ16" s="4">
        <f>SUMIFS('External API calls'!$D$2:$D$3,'External API calls'!$B$2:$B$3,"=d20270111",'External API calls'!$C$2:$C$3,"=serp")</f>
        <v>0</v>
      </c>
      <c r="CA16" s="4">
        <f>SUMIFS('External API calls'!$D$2:$D$3,'External API calls'!$B$2:$B$3,"=d20270112",'External API calls'!$C$2:$C$3,"=serp")</f>
        <v>0</v>
      </c>
      <c r="CB16" s="4">
        <f>SUMIFS('External API calls'!$D$2:$D$3,'External API calls'!$B$2:$B$3,"=d20270113",'External API calls'!$C$2:$C$3,"=serp")</f>
        <v>0</v>
      </c>
      <c r="CC16" s="4">
        <f>SUMIFS('External API calls'!$D$2:$D$3,'External API calls'!$B$2:$B$3,"=d20270114",'External API calls'!$C$2:$C$3,"=serp")</f>
        <v>0</v>
      </c>
      <c r="CD16" s="4">
        <f>SUMIFS('External API calls'!$D$2:$D$3,'External API calls'!$B$2:$B$3,"=d20270115",'External API calls'!$C$2:$C$3,"=serp")</f>
        <v>0</v>
      </c>
      <c r="CE16" s="4">
        <f>SUMIFS('External API calls'!$D$2:$D$3,'External API calls'!$B$2:$B$3,"=d20270119",'External API calls'!$C$2:$C$3,"=serp")</f>
        <v>0</v>
      </c>
      <c r="CF16" s="4">
        <f>SUMIFS('External API calls'!$D$2:$D$3,'External API calls'!$B$2:$B$3,"=d20270120",'External API calls'!$C$2:$C$3,"=serp")</f>
        <v>0</v>
      </c>
      <c r="CG16" s="4">
        <f>SUMIFS('External API calls'!$D$2:$D$3,'External API calls'!$B$2:$B$3,"=d20270121",'External API calls'!$C$2:$C$3,"=serp")</f>
        <v>0</v>
      </c>
      <c r="CH16" s="4">
        <f>SUMIFS('External API calls'!$D$2:$D$3,'External API calls'!$B$2:$B$3,"=d20270122",'External API calls'!$C$2:$C$3,"=serp")</f>
        <v>0</v>
      </c>
      <c r="CI16" s="4">
        <f>SUMIFS('External API calls'!$D$2:$D$3,'External API calls'!$B$2:$B$3,"=d20270125",'External API calls'!$C$2:$C$3,"=serp")</f>
        <v>0</v>
      </c>
      <c r="CJ16" s="4">
        <f>SUMIFS('External API calls'!$D$2:$D$3,'External API calls'!$B$2:$B$3,"=d20270126",'External API calls'!$C$2:$C$3,"=serp")</f>
        <v>0</v>
      </c>
      <c r="CK16" s="4">
        <f>SUMIFS('External API calls'!$D$2:$D$3,'External API calls'!$B$2:$B$3,"=d20270127",'External API calls'!$C$2:$C$3,"=serp")</f>
        <v>0</v>
      </c>
      <c r="CL16" s="4">
        <f>SUMIFS('External API calls'!$D$2:$D$3,'External API calls'!$B$2:$B$3,"=d20270128",'External API calls'!$C$2:$C$3,"=serp")</f>
        <v>0</v>
      </c>
      <c r="CM16" s="4">
        <f>SUMIFS('External API calls'!$D$2:$D$3,'External API calls'!$B$2:$B$3,"=d20270129",'External API calls'!$C$2:$C$3,"=serp")</f>
        <v>0</v>
      </c>
      <c r="CN16" s="4">
        <f>SUMIFS('External API calls'!$D$2:$D$3,'External API calls'!$B$2:$B$3,"=d20270201",'External API calls'!$C$2:$C$3,"=serp")</f>
        <v>0</v>
      </c>
      <c r="CO16" s="4">
        <f>SUMIFS('External API calls'!$D$2:$D$3,'External API calls'!$B$2:$B$3,"=d20270202",'External API calls'!$C$2:$C$3,"=serp")</f>
        <v>0</v>
      </c>
      <c r="CP16" s="4">
        <f>SUMIFS('External API calls'!$D$2:$D$3,'External API calls'!$B$2:$B$3,"=d20270203",'External API calls'!$C$2:$C$3,"=serp")</f>
        <v>0</v>
      </c>
      <c r="CQ16" s="4">
        <f>SUMIFS('External API calls'!$D$2:$D$3,'External API calls'!$B$2:$B$3,"=d20270204",'External API calls'!$C$2:$C$3,"=serp")</f>
        <v>0</v>
      </c>
      <c r="CR16" s="4">
        <f>SUMIFS('External API calls'!$D$2:$D$3,'External API calls'!$B$2:$B$3,"=d20270205",'External API calls'!$C$2:$C$3,"=serp")</f>
        <v>0</v>
      </c>
      <c r="CS16" s="4">
        <f>SUMIFS('External API calls'!$D$2:$D$3,'External API calls'!$B$2:$B$3,"=d20270208",'External API calls'!$C$2:$C$3,"=serp")</f>
        <v>0</v>
      </c>
      <c r="CT16" s="4">
        <f>SUMIFS('External API calls'!$D$2:$D$3,'External API calls'!$B$2:$B$3,"=d20270209",'External API calls'!$C$2:$C$3,"=serp")</f>
        <v>0</v>
      </c>
      <c r="CU16" s="4">
        <f>SUMIFS('External API calls'!$D$2:$D$3,'External API calls'!$B$2:$B$3,"=d20270210",'External API calls'!$C$2:$C$3,"=serp")</f>
        <v>0</v>
      </c>
      <c r="CV16" s="4">
        <f>SUMIFS('External API calls'!$D$2:$D$3,'External API calls'!$B$2:$B$3,"=d20270211",'External API calls'!$C$2:$C$3,"=serp")</f>
        <v>0</v>
      </c>
      <c r="CW16" s="4">
        <f>SUMIFS('External API calls'!$D$2:$D$3,'External API calls'!$B$2:$B$3,"=d20270212",'External API calls'!$C$2:$C$3,"=serp")</f>
        <v>0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s="1" t="inlineStr">
        <is>
          <t xml:space="preserve">line</t>
        </is>
      </c>
      <c r="B1" s="1" t="inlineStr">
        <is>
          <t xml:space="preserve">Sep-26</t>
        </is>
      </c>
      <c r="C1" s="1" t="inlineStr">
        <is>
          <t xml:space="preserve">Oct-26</t>
        </is>
      </c>
      <c r="D1" s="1" t="inlineStr">
        <is>
          <t xml:space="preserve">Nov-26</t>
        </is>
      </c>
      <c r="E1" s="1" t="inlineStr">
        <is>
          <t xml:space="preserve">Dec-26</t>
        </is>
      </c>
      <c r="F1" s="1" t="inlineStr">
        <is>
          <t xml:space="preserve">Jan-27</t>
        </is>
      </c>
      <c r="G1" s="1" t="inlineStr">
        <is>
          <t xml:space="preserve">Feb-27</t>
        </is>
      </c>
    </row>
    <row r="2">
      <c r="A2" s="0" t="inlineStr">
        <is>
          <t xml:space="preserve">Trading days in horizon</t>
        </is>
      </c>
      <c r="B2" s="4">
        <f>COUNTIFS('Trading days'!$F$2:$F$101,"=sep26",'Trading days'!$D$2:$D$101,"&lt;&gt;")</f>
        <v>7</v>
      </c>
      <c r="C2" s="4">
        <f>COUNTIFS('Trading days'!$F$2:$F$101,"=oct26",'Trading days'!$D$2:$D$101,"&lt;&gt;")</f>
        <v>22</v>
      </c>
      <c r="D2" s="4">
        <f>COUNTIFS('Trading days'!$F$2:$F$101,"=nov26",'Trading days'!$D$2:$D$101,"&lt;&gt;")</f>
        <v>20</v>
      </c>
      <c r="E2" s="4">
        <f>COUNTIFS('Trading days'!$F$2:$F$101,"=dec26",'Trading days'!$D$2:$D$101,"&lt;&gt;")</f>
        <v>22</v>
      </c>
      <c r="F2" s="4">
        <f>COUNTIFS('Trading days'!$F$2:$F$101,"=jan27",'Trading days'!$D$2:$D$101,"&lt;&gt;")</f>
        <v>19</v>
      </c>
      <c r="G2" s="4">
        <f>COUNTIFS('Trading days'!$F$2:$F$101,"=feb27",'Trading days'!$D$2:$D$101,"&lt;&gt;")</f>
        <v>10</v>
      </c>
    </row>
    <row r="3">
      <c r="A3" s="0" t="inlineStr">
        <is>
          <t xml:space="preserve">Evaluated days</t>
        </is>
      </c>
      <c r="B3" s="4">
        <f>SUMIFS('Trading days'!$E$2:$E$101,'Trading days'!$F$2:$F$101,"=sep26")</f>
        <v>1</v>
      </c>
      <c r="C3" s="4">
        <f>SUMIFS('Trading days'!$E$2:$E$101,'Trading days'!$F$2:$F$101,"=oct26")</f>
        <v>0</v>
      </c>
      <c r="D3" s="4">
        <f>SUMIFS('Trading days'!$E$2:$E$101,'Trading days'!$F$2:$F$101,"=nov26")</f>
        <v>0</v>
      </c>
      <c r="E3" s="4">
        <f>SUMIFS('Trading days'!$E$2:$E$101,'Trading days'!$F$2:$F$101,"=dec26")</f>
        <v>0</v>
      </c>
      <c r="F3" s="4">
        <f>SUMIFS('Trading days'!$E$2:$E$101,'Trading days'!$F$2:$F$101,"=jan27")</f>
        <v>0</v>
      </c>
      <c r="G3" s="4">
        <f>SUMIFS('Trading days'!$E$2:$E$101,'Trading days'!$F$2:$F$101,"=feb27")</f>
        <v>0</v>
      </c>
    </row>
    <row r="4">
      <c r="A4" s="0" t="inlineStr">
        <is>
          <t xml:space="preserve">LLM pods: average excess, bps/day</t>
        </is>
      </c>
      <c r="B4" s="8">
        <f>IF((B3&gt;0),AVERAGE('Fund by trading day'!B2:H2),"")</f>
        <v>1.3032000000000004</v>
      </c>
      <c r="C4" s="8">
        <f>IF((C3&gt;0),AVERAGE('Fund by trading day'!I2:AD2),"")</f>
      </c>
      <c r="D4" s="8">
        <f>IF((D3&gt;0),AVERAGE('Fund by trading day'!AE2:AX2),"")</f>
      </c>
      <c r="E4" s="8">
        <f>IF((E3&gt;0),AVERAGE('Fund by trading day'!AY2:BT2),"")</f>
      </c>
      <c r="F4" s="8">
        <f>IF((F3&gt;0),AVERAGE('Fund by trading day'!BU2:CM2),"")</f>
      </c>
      <c r="G4" s="8">
        <f>IF((G3&gt;0),AVERAGE('Fund by trading day'!CN2:CW2),"")</f>
      </c>
    </row>
    <row r="5">
      <c r="A5" s="0" t="inlineStr">
        <is>
          <t xml:space="preserve">Random pods: average, bps/day</t>
        </is>
      </c>
      <c r="B5" s="8">
        <f>IF((B3&gt;0),AVERAGE('Fund by trading day'!B5:H5),"")</f>
        <v>0.82685</v>
      </c>
      <c r="C5" s="8">
        <f>IF((C3&gt;0),AVERAGE('Fund by trading day'!I5:AD5),"")</f>
      </c>
      <c r="D5" s="8">
        <f>IF((D3&gt;0),AVERAGE('Fund by trading day'!AE5:AX5),"")</f>
      </c>
      <c r="E5" s="8">
        <f>IF((E3&gt;0),AVERAGE('Fund by trading day'!AY5:BT5),"")</f>
      </c>
      <c r="F5" s="8">
        <f>IF((F3&gt;0),AVERAGE('Fund by trading day'!BU5:CM5),"")</f>
      </c>
      <c r="G5" s="8">
        <f>IF((G3&gt;0),AVERAGE('Fund by trading day'!CN5:CW5),"")</f>
      </c>
    </row>
    <row r="6">
      <c r="A6" s="0" t="inlineStr">
        <is>
          <t xml:space="preserve">LLM cost, $</t>
        </is>
      </c>
      <c r="B6" s="8">
        <f>SUM('Fund by trading day'!B13:H13)</f>
        <v>0.97179068</v>
      </c>
      <c r="C6" s="8">
        <f>SUM('Fund by trading day'!I13:AD13)</f>
        <v>0</v>
      </c>
      <c r="D6" s="8">
        <f>SUM('Fund by trading day'!AE13:AX13)</f>
        <v>0</v>
      </c>
      <c r="E6" s="8">
        <f>SUM('Fund by trading day'!AY13:BT13)</f>
        <v>0</v>
      </c>
      <c r="F6" s="8">
        <f>SUM('Fund by trading day'!BU13:CM13)</f>
        <v>0</v>
      </c>
      <c r="G6" s="8">
        <f>SUM('Fund by trading day'!CN13:CW13)</f>
        <v>0</v>
      </c>
    </row>
    <row r="7">
      <c r="A7" s="0" t="inlineStr">
        <is>
          <t xml:space="preserve">FMP calls</t>
        </is>
      </c>
      <c r="B7" s="4">
        <f>SUM('Fund by trading day'!B15:H15)</f>
        <v>16847</v>
      </c>
      <c r="C7" s="4">
        <f>SUM('Fund by trading day'!I15:AD15)</f>
        <v>0</v>
      </c>
      <c r="D7" s="4">
        <f>SUM('Fund by trading day'!AE15:AX15)</f>
        <v>0</v>
      </c>
      <c r="E7" s="4">
        <f>SUM('Fund by trading day'!AY15:BT15)</f>
        <v>0</v>
      </c>
      <c r="F7" s="4">
        <f>SUM('Fund by trading day'!BU15:CM15)</f>
        <v>0</v>
      </c>
      <c r="G7" s="4">
        <f>SUM('Fund by trading day'!CN15:CW15)</f>
        <v>0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cols>
    <col min="1" max="1" width="18" customWidth="1"/>
    <col min="2" max="2" width="3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</cols>
  <sheetData>
    <row r="1">
      <c r="A1" s="1" t="inlineStr">
        <is>
          <t xml:space="preserve">line</t>
        </is>
      </c>
      <c r="B1" s="1" t="inlineStr">
        <is>
          <t xml:space="preserve">pod</t>
        </is>
      </c>
      <c r="C1" s="1" t="inlineStr">
        <is>
          <t xml:space="preserve">Basic Materials</t>
        </is>
      </c>
      <c r="D1" s="1" t="inlineStr">
        <is>
          <t xml:space="preserve">Communication Services</t>
        </is>
      </c>
      <c r="E1" s="1" t="inlineStr">
        <is>
          <t xml:space="preserve">Consumer Cyclical</t>
        </is>
      </c>
      <c r="F1" s="1" t="inlineStr">
        <is>
          <t xml:space="preserve">Consumer Defensive</t>
        </is>
      </c>
      <c r="G1" s="1" t="inlineStr">
        <is>
          <t xml:space="preserve">Energy</t>
        </is>
      </c>
      <c r="H1" s="1" t="inlineStr">
        <is>
          <t xml:space="preserve">Financial Services</t>
        </is>
      </c>
      <c r="I1" s="1" t="inlineStr">
        <is>
          <t xml:space="preserve">Healthcare</t>
        </is>
      </c>
      <c r="J1" s="1" t="inlineStr">
        <is>
          <t xml:space="preserve">Industrials</t>
        </is>
      </c>
      <c r="K1" s="1" t="inlineStr">
        <is>
          <t xml:space="preserve">Real Estate</t>
        </is>
      </c>
      <c r="L1" s="1" t="inlineStr">
        <is>
          <t xml:space="preserve">Technology</t>
        </is>
      </c>
      <c r="M1" s="1" t="inlineStr">
        <is>
          <t xml:space="preserve">Utilities</t>
        </is>
      </c>
    </row>
    <row r="2">
      <c r="A2" s="0" t="inlineStr">
        <is>
          <t xml:space="preserve">Picks</t>
        </is>
      </c>
      <c r="B2" s="0" t="inlineStr">
        <is>
          <t xml:space="preserve">worst 100 by yesterday's close-to-close return</t>
        </is>
      </c>
      <c r="C2" s="0" t="inlineStr">
        <is>
          <t>#N/A</t>
        </is>
      </c>
      <c r="D2" s="0" t="inlineStr">
        <is>
          <t>#N/A</t>
        </is>
      </c>
      <c r="E2" s="0" t="inlineStr">
        <is>
          <t>#N/A</t>
        </is>
      </c>
      <c r="F2" s="0" t="inlineStr">
        <is>
          <t>#N/A</t>
        </is>
      </c>
      <c r="G2" s="0" t="inlineStr">
        <is>
          <t>#N/A</t>
        </is>
      </c>
      <c r="H2" s="0" t="inlineStr">
        <is>
          <t>#N/A</t>
        </is>
      </c>
      <c r="I2" s="0" t="inlineStr">
        <is>
          <t>#N/A</t>
        </is>
      </c>
      <c r="J2" s="0" t="inlineStr">
        <is>
          <t>#N/A</t>
        </is>
      </c>
      <c r="K2" s="0" t="inlineStr">
        <is>
          <t>#N/A</t>
        </is>
      </c>
      <c r="L2" s="0" t="inlineStr">
        <is>
          <t>#N/A</t>
        </is>
      </c>
      <c r="M2" s="0" t="inlineStr">
        <is>
          <t>#N/A</t>
        </is>
      </c>
    </row>
    <row r="3">
      <c r="A3" s="0" t="inlineStr">
        <is>
          <t xml:space="preserve">Picks</t>
        </is>
      </c>
      <c r="B3" s="0" t="inlineStr">
        <is>
          <t xml:space="preserve">lowest 100 by 60-day volatility</t>
        </is>
      </c>
      <c r="C3" s="0" t="inlineStr">
        <is>
          <t>#N/A</t>
        </is>
      </c>
      <c r="D3" s="0" t="inlineStr">
        <is>
          <t>#N/A</t>
        </is>
      </c>
      <c r="E3" s="0" t="inlineStr">
        <is>
          <t>#N/A</t>
        </is>
      </c>
      <c r="F3" s="0" t="inlineStr">
        <is>
          <t>#N/A</t>
        </is>
      </c>
      <c r="G3" s="0" t="inlineStr">
        <is>
          <t>#N/A</t>
        </is>
      </c>
      <c r="H3" s="0" t="inlineStr">
        <is>
          <t>#N/A</t>
        </is>
      </c>
      <c r="I3" s="0" t="inlineStr">
        <is>
          <t>#N/A</t>
        </is>
      </c>
      <c r="J3" s="0" t="inlineStr">
        <is>
          <t>#N/A</t>
        </is>
      </c>
      <c r="K3" s="0" t="inlineStr">
        <is>
          <t>#N/A</t>
        </is>
      </c>
      <c r="L3" s="0" t="inlineStr">
        <is>
          <t>#N/A</t>
        </is>
      </c>
      <c r="M3" s="0" t="inlineStr">
        <is>
          <t>#N/A</t>
        </is>
      </c>
    </row>
    <row r="4">
      <c r="A4" s="0" t="inlineStr">
        <is>
          <t xml:space="preserve">Picks</t>
        </is>
      </c>
      <c r="B4" s="0" t="inlineStr">
        <is>
          <t xml:space="preserve">largest 100 by market cap</t>
        </is>
      </c>
      <c r="C4" s="0" t="inlineStr">
        <is>
          <t>#N/A</t>
        </is>
      </c>
      <c r="D4" s="0" t="inlineStr">
        <is>
          <t>#N/A</t>
        </is>
      </c>
      <c r="E4" s="0" t="inlineStr">
        <is>
          <t>#N/A</t>
        </is>
      </c>
      <c r="F4" s="0" t="inlineStr">
        <is>
          <t>#N/A</t>
        </is>
      </c>
      <c r="G4" s="0" t="inlineStr">
        <is>
          <t>#N/A</t>
        </is>
      </c>
      <c r="H4" s="0" t="inlineStr">
        <is>
          <t>#N/A</t>
        </is>
      </c>
      <c r="I4" s="0" t="inlineStr">
        <is>
          <t>#N/A</t>
        </is>
      </c>
      <c r="J4" s="0" t="inlineStr">
        <is>
          <t>#N/A</t>
        </is>
      </c>
      <c r="K4" s="0" t="inlineStr">
        <is>
          <t>#N/A</t>
        </is>
      </c>
      <c r="L4" s="0" t="inlineStr">
        <is>
          <t>#N/A</t>
        </is>
      </c>
      <c r="M4" s="0" t="inlineStr">
        <is>
          <t>#N/A</t>
        </is>
      </c>
    </row>
    <row r="5">
      <c r="A5" s="0" t="inlineStr">
        <is>
          <t xml:space="preserve">Picks</t>
        </is>
      </c>
      <c r="B5" s="0" t="inlineStr">
        <is>
          <t xml:space="preserve">top 100 by 12-1 month return</t>
        </is>
      </c>
      <c r="C5" s="0" t="inlineStr">
        <is>
          <t>#N/A</t>
        </is>
      </c>
      <c r="D5" s="0" t="inlineStr">
        <is>
          <t>#N/A</t>
        </is>
      </c>
      <c r="E5" s="0" t="inlineStr">
        <is>
          <t>#N/A</t>
        </is>
      </c>
      <c r="F5" s="0" t="inlineStr">
        <is>
          <t>#N/A</t>
        </is>
      </c>
      <c r="G5" s="0" t="inlineStr">
        <is>
          <t>#N/A</t>
        </is>
      </c>
      <c r="H5" s="0" t="inlineStr">
        <is>
          <t>#N/A</t>
        </is>
      </c>
      <c r="I5" s="0" t="inlineStr">
        <is>
          <t>#N/A</t>
        </is>
      </c>
      <c r="J5" s="0" t="inlineStr">
        <is>
          <t>#N/A</t>
        </is>
      </c>
      <c r="K5" s="0" t="inlineStr">
        <is>
          <t>#N/A</t>
        </is>
      </c>
      <c r="L5" s="0" t="inlineStr">
        <is>
          <t>#N/A</t>
        </is>
      </c>
      <c r="M5" s="0" t="inlineStr">
        <is>
          <t>#N/A</t>
        </is>
      </c>
    </row>
    <row r="6">
      <c r="A6" s="0" t="inlineStr">
        <is>
          <t xml:space="preserve">Picks</t>
        </is>
      </c>
      <c r="B6" s="0" t="inlineStr">
        <is>
          <t xml:space="preserve">best 100 by yesterday's close-to-close return</t>
        </is>
      </c>
      <c r="C6" s="0" t="inlineStr">
        <is>
          <t>#N/A</t>
        </is>
      </c>
      <c r="D6" s="0" t="inlineStr">
        <is>
          <t>#N/A</t>
        </is>
      </c>
      <c r="E6" s="0" t="inlineStr">
        <is>
          <t>#N/A</t>
        </is>
      </c>
      <c r="F6" s="0" t="inlineStr">
        <is>
          <t>#N/A</t>
        </is>
      </c>
      <c r="G6" s="0" t="inlineStr">
        <is>
          <t>#N/A</t>
        </is>
      </c>
      <c r="H6" s="0" t="inlineStr">
        <is>
          <t>#N/A</t>
        </is>
      </c>
      <c r="I6" s="0" t="inlineStr">
        <is>
          <t>#N/A</t>
        </is>
      </c>
      <c r="J6" s="0" t="inlineStr">
        <is>
          <t>#N/A</t>
        </is>
      </c>
      <c r="K6" s="0" t="inlineStr">
        <is>
          <t>#N/A</t>
        </is>
      </c>
      <c r="L6" s="0" t="inlineStr">
        <is>
          <t>#N/A</t>
        </is>
      </c>
      <c r="M6" s="0" t="inlineStr">
        <is>
          <t>#N/A</t>
        </is>
      </c>
    </row>
    <row r="7">
      <c r="A7" s="0" t="inlineStr">
        <is>
          <t xml:space="preserve">Picks</t>
        </is>
      </c>
      <c r="B7" s="0" t="inlineStr">
        <is>
          <t xml:space="preserve">Retail Attention Overnight</t>
        </is>
      </c>
      <c r="C7" s="0" t="inlineStr">
        <is>
          <t>#N/A</t>
        </is>
      </c>
      <c r="D7" s="0" t="inlineStr">
        <is>
          <t>#N/A</t>
        </is>
      </c>
      <c r="E7" s="0" t="inlineStr">
        <is>
          <t>#N/A</t>
        </is>
      </c>
      <c r="F7" s="0" t="inlineStr">
        <is>
          <t>#N/A</t>
        </is>
      </c>
      <c r="G7" s="0" t="inlineStr">
        <is>
          <t>#N/A</t>
        </is>
      </c>
      <c r="H7" s="0" t="inlineStr">
        <is>
          <t>#N/A</t>
        </is>
      </c>
      <c r="I7" s="0" t="inlineStr">
        <is>
          <t>#N/A</t>
        </is>
      </c>
      <c r="J7" s="0" t="inlineStr">
        <is>
          <t>#N/A</t>
        </is>
      </c>
      <c r="K7" s="0" t="inlineStr">
        <is>
          <t>#N/A</t>
        </is>
      </c>
      <c r="L7" s="0" t="inlineStr">
        <is>
          <t>#N/A</t>
        </is>
      </c>
      <c r="M7" s="0" t="inlineStr">
        <is>
          <t>#N/A</t>
        </is>
      </c>
    </row>
    <row r="8">
      <c r="A8" s="0" t="inlineStr">
        <is>
          <t xml:space="preserve">Picks</t>
        </is>
      </c>
      <c r="B8" s="0" t="inlineStr">
        <is>
          <t xml:space="preserve">Post-Earnings Drift, Overnight Leg</t>
        </is>
      </c>
      <c r="C8" s="0" t="inlineStr">
        <is>
          <t>#N/A</t>
        </is>
      </c>
      <c r="D8" s="0" t="inlineStr">
        <is>
          <t>#N/A</t>
        </is>
      </c>
      <c r="E8" s="0" t="inlineStr">
        <is>
          <t>#N/A</t>
        </is>
      </c>
      <c r="F8" s="0" t="inlineStr">
        <is>
          <t>#N/A</t>
        </is>
      </c>
      <c r="G8" s="0" t="inlineStr">
        <is>
          <t>#N/A</t>
        </is>
      </c>
      <c r="H8" s="0" t="inlineStr">
        <is>
          <t>#N/A</t>
        </is>
      </c>
      <c r="I8" s="0" t="inlineStr">
        <is>
          <t>#N/A</t>
        </is>
      </c>
      <c r="J8" s="0" t="inlineStr">
        <is>
          <t>#N/A</t>
        </is>
      </c>
      <c r="K8" s="0" t="inlineStr">
        <is>
          <t>#N/A</t>
        </is>
      </c>
      <c r="L8" s="0" t="inlineStr">
        <is>
          <t>#N/A</t>
        </is>
      </c>
      <c r="M8" s="0" t="inlineStr">
        <is>
          <t>#N/A</t>
        </is>
      </c>
    </row>
    <row r="9">
      <c r="A9" s="0" t="inlineStr">
        <is>
          <t xml:space="preserve">Picks</t>
        </is>
      </c>
      <c r="B9" s="0" t="inlineStr">
        <is>
          <t xml:space="preserve">Intraday-to-Overnight Reversal</t>
        </is>
      </c>
      <c r="C9" s="0" t="inlineStr">
        <is>
          <t>#N/A</t>
        </is>
      </c>
      <c r="D9" s="0" t="inlineStr">
        <is>
          <t>#N/A</t>
        </is>
      </c>
      <c r="E9" s="0" t="inlineStr">
        <is>
          <t>#N/A</t>
        </is>
      </c>
      <c r="F9" s="0" t="inlineStr">
        <is>
          <t>#N/A</t>
        </is>
      </c>
      <c r="G9" s="0" t="inlineStr">
        <is>
          <t>#N/A</t>
        </is>
      </c>
      <c r="H9" s="0" t="inlineStr">
        <is>
          <t>#N/A</t>
        </is>
      </c>
      <c r="I9" s="0" t="inlineStr">
        <is>
          <t>#N/A</t>
        </is>
      </c>
      <c r="J9" s="0" t="inlineStr">
        <is>
          <t>#N/A</t>
        </is>
      </c>
      <c r="K9" s="0" t="inlineStr">
        <is>
          <t>#N/A</t>
        </is>
      </c>
      <c r="L9" s="0" t="inlineStr">
        <is>
          <t>#N/A</t>
        </is>
      </c>
      <c r="M9" s="0" t="inlineStr">
        <is>
          <t>#N/A</t>
        </is>
      </c>
    </row>
    <row r="10">
      <c r="A10" s="0" t="inlineStr">
        <is>
          <t xml:space="preserve">Picks</t>
        </is>
      </c>
      <c r="B10" s="0" t="inlineStr">
        <is>
          <t xml:space="preserve">Analyst Revision Momentum</t>
        </is>
      </c>
      <c r="C10" s="0" t="inlineStr">
        <is>
          <t>#N/A</t>
        </is>
      </c>
      <c r="D10" s="0" t="inlineStr">
        <is>
          <t>#N/A</t>
        </is>
      </c>
      <c r="E10" s="0" t="inlineStr">
        <is>
          <t>#N/A</t>
        </is>
      </c>
      <c r="F10" s="0" t="inlineStr">
        <is>
          <t>#N/A</t>
        </is>
      </c>
      <c r="G10" s="0" t="inlineStr">
        <is>
          <t>#N/A</t>
        </is>
      </c>
      <c r="H10" s="0" t="inlineStr">
        <is>
          <t>#N/A</t>
        </is>
      </c>
      <c r="I10" s="0" t="inlineStr">
        <is>
          <t>#N/A</t>
        </is>
      </c>
      <c r="J10" s="0" t="inlineStr">
        <is>
          <t>#N/A</t>
        </is>
      </c>
      <c r="K10" s="0" t="inlineStr">
        <is>
          <t>#N/A</t>
        </is>
      </c>
      <c r="L10" s="0" t="inlineStr">
        <is>
          <t>#N/A</t>
        </is>
      </c>
      <c r="M10" s="0" t="inlineStr">
        <is>
          <t>#N/A</t>
        </is>
      </c>
    </row>
    <row r="11">
      <c r="A11" s="0" t="inlineStr">
        <is>
          <t xml:space="preserve">Picks</t>
        </is>
      </c>
      <c r="B11" s="0" t="inlineStr">
        <is>
          <t xml:space="preserve">Clustered Insider Buying</t>
        </is>
      </c>
      <c r="C11" s="0" t="inlineStr">
        <is>
          <t>#N/A</t>
        </is>
      </c>
      <c r="D11" s="0" t="inlineStr">
        <is>
          <t>#N/A</t>
        </is>
      </c>
      <c r="E11" s="0" t="inlineStr">
        <is>
          <t>#N/A</t>
        </is>
      </c>
      <c r="F11" s="0" t="inlineStr">
        <is>
          <t>#N/A</t>
        </is>
      </c>
      <c r="G11" s="0" t="inlineStr">
        <is>
          <t>#N/A</t>
        </is>
      </c>
      <c r="H11" s="0" t="inlineStr">
        <is>
          <t>#N/A</t>
        </is>
      </c>
      <c r="I11" s="0" t="inlineStr">
        <is>
          <t>#N/A</t>
        </is>
      </c>
      <c r="J11" s="0" t="inlineStr">
        <is>
          <t>#N/A</t>
        </is>
      </c>
      <c r="K11" s="0" t="inlineStr">
        <is>
          <t>#N/A</t>
        </is>
      </c>
      <c r="L11" s="0" t="inlineStr">
        <is>
          <t>#N/A</t>
        </is>
      </c>
      <c r="M11" s="0" t="inlineStr">
        <is>
          <t>#N/A</t>
        </is>
      </c>
    </row>
    <row r="12">
      <c r="A12" s="0" t="inlineStr">
        <is>
          <t xml:space="preserve">Picks</t>
        </is>
      </c>
      <c r="B12" s="0" t="inlineStr">
        <is>
          <t xml:space="preserve">Same-Month Seasonality</t>
        </is>
      </c>
      <c r="C12" s="0" t="inlineStr">
        <is>
          <t>#N/A</t>
        </is>
      </c>
      <c r="D12" s="0" t="inlineStr">
        <is>
          <t>#N/A</t>
        </is>
      </c>
      <c r="E12" s="0" t="inlineStr">
        <is>
          <t>#N/A</t>
        </is>
      </c>
      <c r="F12" s="0" t="inlineStr">
        <is>
          <t>#N/A</t>
        </is>
      </c>
      <c r="G12" s="0" t="inlineStr">
        <is>
          <t>#N/A</t>
        </is>
      </c>
      <c r="H12" s="0" t="inlineStr">
        <is>
          <t>#N/A</t>
        </is>
      </c>
      <c r="I12" s="0" t="inlineStr">
        <is>
          <t>#N/A</t>
        </is>
      </c>
      <c r="J12" s="0" t="inlineStr">
        <is>
          <t>#N/A</t>
        </is>
      </c>
      <c r="K12" s="0" t="inlineStr">
        <is>
          <t>#N/A</t>
        </is>
      </c>
      <c r="L12" s="0" t="inlineStr">
        <is>
          <t>#N/A</t>
        </is>
      </c>
      <c r="M12" s="0" t="inlineStr">
        <is>
          <t>#N/A</t>
        </is>
      </c>
    </row>
    <row r="13">
      <c r="A13" s="0" t="inlineStr">
        <is>
          <t xml:space="preserve">Picks</t>
        </is>
      </c>
      <c r="B13" s="0" t="inlineStr">
        <is>
          <t xml:space="preserve">Quality at a Reasonable Price</t>
        </is>
      </c>
      <c r="C13" s="0" t="inlineStr">
        <is>
          <t>#N/A</t>
        </is>
      </c>
      <c r="D13" s="0" t="inlineStr">
        <is>
          <t>#N/A</t>
        </is>
      </c>
      <c r="E13" s="0" t="inlineStr">
        <is>
          <t>#N/A</t>
        </is>
      </c>
      <c r="F13" s="0" t="inlineStr">
        <is>
          <t>#N/A</t>
        </is>
      </c>
      <c r="G13" s="0" t="inlineStr">
        <is>
          <t>#N/A</t>
        </is>
      </c>
      <c r="H13" s="0" t="inlineStr">
        <is>
          <t>#N/A</t>
        </is>
      </c>
      <c r="I13" s="0" t="inlineStr">
        <is>
          <t>#N/A</t>
        </is>
      </c>
      <c r="J13" s="0" t="inlineStr">
        <is>
          <t>#N/A</t>
        </is>
      </c>
      <c r="K13" s="0" t="inlineStr">
        <is>
          <t>#N/A</t>
        </is>
      </c>
      <c r="L13" s="0" t="inlineStr">
        <is>
          <t>#N/A</t>
        </is>
      </c>
      <c r="M13" s="0" t="inlineStr">
        <is>
          <t>#N/A</t>
        </is>
      </c>
    </row>
    <row r="14">
      <c r="A14" s="0" t="inlineStr">
        <is>
          <t xml:space="preserve">Picks</t>
        </is>
      </c>
      <c r="B14" s="0" t="inlineStr">
        <is>
          <t xml:space="preserve">Residual Momentum</t>
        </is>
      </c>
      <c r="C14" s="0" t="inlineStr">
        <is>
          <t>#N/A</t>
        </is>
      </c>
      <c r="D14" s="0" t="inlineStr">
        <is>
          <t>#N/A</t>
        </is>
      </c>
      <c r="E14" s="0" t="inlineStr">
        <is>
          <t>#N/A</t>
        </is>
      </c>
      <c r="F14" s="0" t="inlineStr">
        <is>
          <t>#N/A</t>
        </is>
      </c>
      <c r="G14" s="0" t="inlineStr">
        <is>
          <t>#N/A</t>
        </is>
      </c>
      <c r="H14" s="0" t="inlineStr">
        <is>
          <t>#N/A</t>
        </is>
      </c>
      <c r="I14" s="0" t="inlineStr">
        <is>
          <t>#N/A</t>
        </is>
      </c>
      <c r="J14" s="0" t="inlineStr">
        <is>
          <t>#N/A</t>
        </is>
      </c>
      <c r="K14" s="0" t="inlineStr">
        <is>
          <t>#N/A</t>
        </is>
      </c>
      <c r="L14" s="0" t="inlineStr">
        <is>
          <t>#N/A</t>
        </is>
      </c>
      <c r="M14" s="0" t="inlineStr">
        <is>
          <t>#N/A</t>
        </is>
      </c>
    </row>
    <row r="15">
      <c r="A15" s="0" t="inlineStr">
        <is>
          <t xml:space="preserve">Picks</t>
        </is>
      </c>
      <c r="B15" s="0" t="inlineStr">
        <is>
          <t xml:space="preserve">Overnight Return Persistence</t>
        </is>
      </c>
      <c r="C15" s="0" t="inlineStr">
        <is>
          <t>#N/A</t>
        </is>
      </c>
      <c r="D15" s="0" t="inlineStr">
        <is>
          <t>#N/A</t>
        </is>
      </c>
      <c r="E15" s="0" t="inlineStr">
        <is>
          <t>#N/A</t>
        </is>
      </c>
      <c r="F15" s="0" t="inlineStr">
        <is>
          <t>#N/A</t>
        </is>
      </c>
      <c r="G15" s="0" t="inlineStr">
        <is>
          <t>#N/A</t>
        </is>
      </c>
      <c r="H15" s="0" t="inlineStr">
        <is>
          <t>#N/A</t>
        </is>
      </c>
      <c r="I15" s="0" t="inlineStr">
        <is>
          <t>#N/A</t>
        </is>
      </c>
      <c r="J15" s="0" t="inlineStr">
        <is>
          <t>#N/A</t>
        </is>
      </c>
      <c r="K15" s="0" t="inlineStr">
        <is>
          <t>#N/A</t>
        </is>
      </c>
      <c r="L15" s="0" t="inlineStr">
        <is>
          <t>#N/A</t>
        </is>
      </c>
      <c r="M15" s="0" t="inlineStr">
        <is>
          <t>#N/A</t>
        </is>
      </c>
    </row>
    <row r="16">
      <c r="A16" s="0" t="inlineStr">
        <is>
          <t xml:space="preserve">Picks</t>
        </is>
      </c>
      <c r="B16" s="0" t="inlineStr">
        <is>
          <t xml:space="preserve">52-Week-High Anchoring</t>
        </is>
      </c>
      <c r="C16" s="0" t="inlineStr">
        <is>
          <t>#N/A</t>
        </is>
      </c>
      <c r="D16" s="0" t="inlineStr">
        <is>
          <t>#N/A</t>
        </is>
      </c>
      <c r="E16" s="0" t="inlineStr">
        <is>
          <t>#N/A</t>
        </is>
      </c>
      <c r="F16" s="0" t="inlineStr">
        <is>
          <t>#N/A</t>
        </is>
      </c>
      <c r="G16" s="0" t="inlineStr">
        <is>
          <t>#N/A</t>
        </is>
      </c>
      <c r="H16" s="0" t="inlineStr">
        <is>
          <t>#N/A</t>
        </is>
      </c>
      <c r="I16" s="0" t="inlineStr">
        <is>
          <t>#N/A</t>
        </is>
      </c>
      <c r="J16" s="0" t="inlineStr">
        <is>
          <t>#N/A</t>
        </is>
      </c>
      <c r="K16" s="0" t="inlineStr">
        <is>
          <t>#N/A</t>
        </is>
      </c>
      <c r="L16" s="0" t="inlineStr">
        <is>
          <t>#N/A</t>
        </is>
      </c>
      <c r="M16" s="0" t="inlineStr">
        <is>
          <t>#N/A</t>
        </is>
      </c>
    </row>
    <row r="17">
      <c r="A17" s="0" t="inlineStr">
        <is>
          <t xml:space="preserve">Picks</t>
        </is>
      </c>
      <c r="B17" s="0" t="inlineStr">
        <is>
          <t xml:space="preserve">Random 1</t>
        </is>
      </c>
      <c r="C17" s="0" t="inlineStr">
        <is>
          <t>#N/A</t>
        </is>
      </c>
      <c r="D17" s="0" t="inlineStr">
        <is>
          <t>#N/A</t>
        </is>
      </c>
      <c r="E17" s="0" t="inlineStr">
        <is>
          <t>#N/A</t>
        </is>
      </c>
      <c r="F17" s="0" t="inlineStr">
        <is>
          <t>#N/A</t>
        </is>
      </c>
      <c r="G17" s="0" t="inlineStr">
        <is>
          <t>#N/A</t>
        </is>
      </c>
      <c r="H17" s="0" t="inlineStr">
        <is>
          <t>#N/A</t>
        </is>
      </c>
      <c r="I17" s="0" t="inlineStr">
        <is>
          <t>#N/A</t>
        </is>
      </c>
      <c r="J17" s="0" t="inlineStr">
        <is>
          <t>#N/A</t>
        </is>
      </c>
      <c r="K17" s="0" t="inlineStr">
        <is>
          <t>#N/A</t>
        </is>
      </c>
      <c r="L17" s="0" t="inlineStr">
        <is>
          <t>#N/A</t>
        </is>
      </c>
      <c r="M17" s="0" t="inlineStr">
        <is>
          <t>#N/A</t>
        </is>
      </c>
    </row>
    <row r="18">
      <c r="A18" s="0" t="inlineStr">
        <is>
          <t xml:space="preserve">Picks</t>
        </is>
      </c>
      <c r="B18" s="0" t="inlineStr">
        <is>
          <t xml:space="preserve">Random 2</t>
        </is>
      </c>
      <c r="C18" s="0" t="inlineStr">
        <is>
          <t>#N/A</t>
        </is>
      </c>
      <c r="D18" s="0" t="inlineStr">
        <is>
          <t>#N/A</t>
        </is>
      </c>
      <c r="E18" s="0" t="inlineStr">
        <is>
          <t>#N/A</t>
        </is>
      </c>
      <c r="F18" s="0" t="inlineStr">
        <is>
          <t>#N/A</t>
        </is>
      </c>
      <c r="G18" s="0" t="inlineStr">
        <is>
          <t>#N/A</t>
        </is>
      </c>
      <c r="H18" s="0" t="inlineStr">
        <is>
          <t>#N/A</t>
        </is>
      </c>
      <c r="I18" s="0" t="inlineStr">
        <is>
          <t>#N/A</t>
        </is>
      </c>
      <c r="J18" s="0" t="inlineStr">
        <is>
          <t>#N/A</t>
        </is>
      </c>
      <c r="K18" s="0" t="inlineStr">
        <is>
          <t>#N/A</t>
        </is>
      </c>
      <c r="L18" s="0" t="inlineStr">
        <is>
          <t>#N/A</t>
        </is>
      </c>
      <c r="M18" s="0" t="inlineStr">
        <is>
          <t>#N/A</t>
        </is>
      </c>
    </row>
    <row r="19">
      <c r="A19" s="0" t="inlineStr">
        <is>
          <t xml:space="preserve">Picks</t>
        </is>
      </c>
      <c r="B19" s="0" t="inlineStr">
        <is>
          <t xml:space="preserve">Random 3</t>
        </is>
      </c>
      <c r="C19" s="0" t="inlineStr">
        <is>
          <t>#N/A</t>
        </is>
      </c>
      <c r="D19" s="0" t="inlineStr">
        <is>
          <t>#N/A</t>
        </is>
      </c>
      <c r="E19" s="0" t="inlineStr">
        <is>
          <t>#N/A</t>
        </is>
      </c>
      <c r="F19" s="0" t="inlineStr">
        <is>
          <t>#N/A</t>
        </is>
      </c>
      <c r="G19" s="0" t="inlineStr">
        <is>
          <t>#N/A</t>
        </is>
      </c>
      <c r="H19" s="0" t="inlineStr">
        <is>
          <t>#N/A</t>
        </is>
      </c>
      <c r="I19" s="0" t="inlineStr">
        <is>
          <t>#N/A</t>
        </is>
      </c>
      <c r="J19" s="0" t="inlineStr">
        <is>
          <t>#N/A</t>
        </is>
      </c>
      <c r="K19" s="0" t="inlineStr">
        <is>
          <t>#N/A</t>
        </is>
      </c>
      <c r="L19" s="0" t="inlineStr">
        <is>
          <t>#N/A</t>
        </is>
      </c>
      <c r="M19" s="0" t="inlineStr">
        <is>
          <t>#N/A</t>
        </is>
      </c>
    </row>
    <row r="20">
      <c r="A20" s="0" t="inlineStr">
        <is>
          <t xml:space="preserve">Picks</t>
        </is>
      </c>
      <c r="B20" s="0" t="inlineStr">
        <is>
          <t xml:space="preserve">Random 4</t>
        </is>
      </c>
      <c r="C20" s="0" t="inlineStr">
        <is>
          <t>#N/A</t>
        </is>
      </c>
      <c r="D20" s="0" t="inlineStr">
        <is>
          <t>#N/A</t>
        </is>
      </c>
      <c r="E20" s="0" t="inlineStr">
        <is>
          <t>#N/A</t>
        </is>
      </c>
      <c r="F20" s="0" t="inlineStr">
        <is>
          <t>#N/A</t>
        </is>
      </c>
      <c r="G20" s="0" t="inlineStr">
        <is>
          <t>#N/A</t>
        </is>
      </c>
      <c r="H20" s="0" t="inlineStr">
        <is>
          <t>#N/A</t>
        </is>
      </c>
      <c r="I20" s="0" t="inlineStr">
        <is>
          <t>#N/A</t>
        </is>
      </c>
      <c r="J20" s="0" t="inlineStr">
        <is>
          <t>#N/A</t>
        </is>
      </c>
      <c r="K20" s="0" t="inlineStr">
        <is>
          <t>#N/A</t>
        </is>
      </c>
      <c r="L20" s="0" t="inlineStr">
        <is>
          <t>#N/A</t>
        </is>
      </c>
      <c r="M20" s="0" t="inlineStr">
        <is>
          <t>#N/A</t>
        </is>
      </c>
    </row>
    <row r="21">
      <c r="A21" s="0" t="inlineStr">
        <is>
          <t xml:space="preserve">Picks</t>
        </is>
      </c>
      <c r="B21" s="0" t="inlineStr">
        <is>
          <t xml:space="preserve">Random 5</t>
        </is>
      </c>
      <c r="C21" s="0" t="inlineStr">
        <is>
          <t>#N/A</t>
        </is>
      </c>
      <c r="D21" s="0" t="inlineStr">
        <is>
          <t>#N/A</t>
        </is>
      </c>
      <c r="E21" s="0" t="inlineStr">
        <is>
          <t>#N/A</t>
        </is>
      </c>
      <c r="F21" s="0" t="inlineStr">
        <is>
          <t>#N/A</t>
        </is>
      </c>
      <c r="G21" s="0" t="inlineStr">
        <is>
          <t>#N/A</t>
        </is>
      </c>
      <c r="H21" s="0" t="inlineStr">
        <is>
          <t>#N/A</t>
        </is>
      </c>
      <c r="I21" s="0" t="inlineStr">
        <is>
          <t>#N/A</t>
        </is>
      </c>
      <c r="J21" s="0" t="inlineStr">
        <is>
          <t>#N/A</t>
        </is>
      </c>
      <c r="K21" s="0" t="inlineStr">
        <is>
          <t>#N/A</t>
        </is>
      </c>
      <c r="L21" s="0" t="inlineStr">
        <is>
          <t>#N/A</t>
        </is>
      </c>
      <c r="M21" s="0" t="inlineStr">
        <is>
          <t>#N/A</t>
        </is>
      </c>
    </row>
    <row r="22">
      <c r="A22" s="0" t="inlineStr">
        <is>
          <t xml:space="preserve">Picks</t>
        </is>
      </c>
      <c r="B22" s="0" t="inlineStr">
        <is>
          <t xml:space="preserve">Random 6</t>
        </is>
      </c>
      <c r="C22" s="0" t="inlineStr">
        <is>
          <t>#N/A</t>
        </is>
      </c>
      <c r="D22" s="0" t="inlineStr">
        <is>
          <t>#N/A</t>
        </is>
      </c>
      <c r="E22" s="0" t="inlineStr">
        <is>
          <t>#N/A</t>
        </is>
      </c>
      <c r="F22" s="0" t="inlineStr">
        <is>
          <t>#N/A</t>
        </is>
      </c>
      <c r="G22" s="0" t="inlineStr">
        <is>
          <t>#N/A</t>
        </is>
      </c>
      <c r="H22" s="0" t="inlineStr">
        <is>
          <t>#N/A</t>
        </is>
      </c>
      <c r="I22" s="0" t="inlineStr">
        <is>
          <t>#N/A</t>
        </is>
      </c>
      <c r="J22" s="0" t="inlineStr">
        <is>
          <t>#N/A</t>
        </is>
      </c>
      <c r="K22" s="0" t="inlineStr">
        <is>
          <t>#N/A</t>
        </is>
      </c>
      <c r="L22" s="0" t="inlineStr">
        <is>
          <t>#N/A</t>
        </is>
      </c>
      <c r="M22" s="0" t="inlineStr">
        <is>
          <t>#N/A</t>
        </is>
      </c>
    </row>
    <row r="23">
      <c r="A23" s="0" t="inlineStr">
        <is>
          <t xml:space="preserve">Picks</t>
        </is>
      </c>
      <c r="B23" s="0" t="inlineStr">
        <is>
          <t xml:space="preserve">Random 7</t>
        </is>
      </c>
      <c r="C23" s="0" t="inlineStr">
        <is>
          <t>#N/A</t>
        </is>
      </c>
      <c r="D23" s="0" t="inlineStr">
        <is>
          <t>#N/A</t>
        </is>
      </c>
      <c r="E23" s="0" t="inlineStr">
        <is>
          <t>#N/A</t>
        </is>
      </c>
      <c r="F23" s="0" t="inlineStr">
        <is>
          <t>#N/A</t>
        </is>
      </c>
      <c r="G23" s="0" t="inlineStr">
        <is>
          <t>#N/A</t>
        </is>
      </c>
      <c r="H23" s="0" t="inlineStr">
        <is>
          <t>#N/A</t>
        </is>
      </c>
      <c r="I23" s="0" t="inlineStr">
        <is>
          <t>#N/A</t>
        </is>
      </c>
      <c r="J23" s="0" t="inlineStr">
        <is>
          <t>#N/A</t>
        </is>
      </c>
      <c r="K23" s="0" t="inlineStr">
        <is>
          <t>#N/A</t>
        </is>
      </c>
      <c r="L23" s="0" t="inlineStr">
        <is>
          <t>#N/A</t>
        </is>
      </c>
      <c r="M23" s="0" t="inlineStr">
        <is>
          <t>#N/A</t>
        </is>
      </c>
    </row>
    <row r="24">
      <c r="A24" s="0" t="inlineStr">
        <is>
          <t xml:space="preserve">Picks</t>
        </is>
      </c>
      <c r="B24" s="0" t="inlineStr">
        <is>
          <t xml:space="preserve">Random 8</t>
        </is>
      </c>
      <c r="C24" s="0" t="inlineStr">
        <is>
          <t>#N/A</t>
        </is>
      </c>
      <c r="D24" s="0" t="inlineStr">
        <is>
          <t>#N/A</t>
        </is>
      </c>
      <c r="E24" s="0" t="inlineStr">
        <is>
          <t>#N/A</t>
        </is>
      </c>
      <c r="F24" s="0" t="inlineStr">
        <is>
          <t>#N/A</t>
        </is>
      </c>
      <c r="G24" s="0" t="inlineStr">
        <is>
          <t>#N/A</t>
        </is>
      </c>
      <c r="H24" s="0" t="inlineStr">
        <is>
          <t>#N/A</t>
        </is>
      </c>
      <c r="I24" s="0" t="inlineStr">
        <is>
          <t>#N/A</t>
        </is>
      </c>
      <c r="J24" s="0" t="inlineStr">
        <is>
          <t>#N/A</t>
        </is>
      </c>
      <c r="K24" s="0" t="inlineStr">
        <is>
          <t>#N/A</t>
        </is>
      </c>
      <c r="L24" s="0" t="inlineStr">
        <is>
          <t>#N/A</t>
        </is>
      </c>
      <c r="M24" s="0" t="inlineStr">
        <is>
          <t>#N/A</t>
        </is>
      </c>
    </row>
    <row r="25">
      <c r="A25" s="0" t="inlineStr">
        <is>
          <t xml:space="preserve">Picks</t>
        </is>
      </c>
      <c r="B25" s="0" t="inlineStr">
        <is>
          <t xml:space="preserve">Random 9</t>
        </is>
      </c>
      <c r="C25" s="0" t="inlineStr">
        <is>
          <t>#N/A</t>
        </is>
      </c>
      <c r="D25" s="0" t="inlineStr">
        <is>
          <t>#N/A</t>
        </is>
      </c>
      <c r="E25" s="0" t="inlineStr">
        <is>
          <t>#N/A</t>
        </is>
      </c>
      <c r="F25" s="0" t="inlineStr">
        <is>
          <t>#N/A</t>
        </is>
      </c>
      <c r="G25" s="0" t="inlineStr">
        <is>
          <t>#N/A</t>
        </is>
      </c>
      <c r="H25" s="0" t="inlineStr">
        <is>
          <t>#N/A</t>
        </is>
      </c>
      <c r="I25" s="0" t="inlineStr">
        <is>
          <t>#N/A</t>
        </is>
      </c>
      <c r="J25" s="0" t="inlineStr">
        <is>
          <t>#N/A</t>
        </is>
      </c>
      <c r="K25" s="0" t="inlineStr">
        <is>
          <t>#N/A</t>
        </is>
      </c>
      <c r="L25" s="0" t="inlineStr">
        <is>
          <t>#N/A</t>
        </is>
      </c>
      <c r="M25" s="0" t="inlineStr">
        <is>
          <t>#N/A</t>
        </is>
      </c>
    </row>
    <row r="26">
      <c r="A26" s="0" t="inlineStr">
        <is>
          <t xml:space="preserve">Picks</t>
        </is>
      </c>
      <c r="B26" s="0" t="inlineStr">
        <is>
          <t xml:space="preserve">Random 10</t>
        </is>
      </c>
      <c r="C26" s="0" t="inlineStr">
        <is>
          <t>#N/A</t>
        </is>
      </c>
      <c r="D26" s="0" t="inlineStr">
        <is>
          <t>#N/A</t>
        </is>
      </c>
      <c r="E26" s="0" t="inlineStr">
        <is>
          <t>#N/A</t>
        </is>
      </c>
      <c r="F26" s="0" t="inlineStr">
        <is>
          <t>#N/A</t>
        </is>
      </c>
      <c r="G26" s="0" t="inlineStr">
        <is>
          <t>#N/A</t>
        </is>
      </c>
      <c r="H26" s="0" t="inlineStr">
        <is>
          <t>#N/A</t>
        </is>
      </c>
      <c r="I26" s="0" t="inlineStr">
        <is>
          <t>#N/A</t>
        </is>
      </c>
      <c r="J26" s="0" t="inlineStr">
        <is>
          <t>#N/A</t>
        </is>
      </c>
      <c r="K26" s="0" t="inlineStr">
        <is>
          <t>#N/A</t>
        </is>
      </c>
      <c r="L26" s="0" t="inlineStr">
        <is>
          <t>#N/A</t>
        </is>
      </c>
      <c r="M26" s="0" t="inlineStr">
        <is>
          <t>#N/A</t>
        </is>
      </c>
    </row>
    <row r="27">
      <c r="A27" s="0" t="inlineStr">
        <is>
          <t xml:space="preserve">Picks</t>
        </is>
      </c>
      <c r="B27" s="0" t="inlineStr">
        <is>
          <t xml:space="preserve">Random 11</t>
        </is>
      </c>
      <c r="C27" s="0" t="inlineStr">
        <is>
          <t>#N/A</t>
        </is>
      </c>
      <c r="D27" s="0" t="inlineStr">
        <is>
          <t>#N/A</t>
        </is>
      </c>
      <c r="E27" s="0" t="inlineStr">
        <is>
          <t>#N/A</t>
        </is>
      </c>
      <c r="F27" s="0" t="inlineStr">
        <is>
          <t>#N/A</t>
        </is>
      </c>
      <c r="G27" s="0" t="inlineStr">
        <is>
          <t>#N/A</t>
        </is>
      </c>
      <c r="H27" s="0" t="inlineStr">
        <is>
          <t>#N/A</t>
        </is>
      </c>
      <c r="I27" s="0" t="inlineStr">
        <is>
          <t>#N/A</t>
        </is>
      </c>
      <c r="J27" s="0" t="inlineStr">
        <is>
          <t>#N/A</t>
        </is>
      </c>
      <c r="K27" s="0" t="inlineStr">
        <is>
          <t>#N/A</t>
        </is>
      </c>
      <c r="L27" s="0" t="inlineStr">
        <is>
          <t>#N/A</t>
        </is>
      </c>
      <c r="M27" s="0" t="inlineStr">
        <is>
          <t>#N/A</t>
        </is>
      </c>
    </row>
    <row r="28">
      <c r="A28" s="0" t="inlineStr">
        <is>
          <t xml:space="preserve">Picks</t>
        </is>
      </c>
      <c r="B28" s="0" t="inlineStr">
        <is>
          <t xml:space="preserve">Random 12</t>
        </is>
      </c>
      <c r="C28" s="0" t="inlineStr">
        <is>
          <t>#N/A</t>
        </is>
      </c>
      <c r="D28" s="0" t="inlineStr">
        <is>
          <t>#N/A</t>
        </is>
      </c>
      <c r="E28" s="0" t="inlineStr">
        <is>
          <t>#N/A</t>
        </is>
      </c>
      <c r="F28" s="0" t="inlineStr">
        <is>
          <t>#N/A</t>
        </is>
      </c>
      <c r="G28" s="0" t="inlineStr">
        <is>
          <t>#N/A</t>
        </is>
      </c>
      <c r="H28" s="0" t="inlineStr">
        <is>
          <t>#N/A</t>
        </is>
      </c>
      <c r="I28" s="0" t="inlineStr">
        <is>
          <t>#N/A</t>
        </is>
      </c>
      <c r="J28" s="0" t="inlineStr">
        <is>
          <t>#N/A</t>
        </is>
      </c>
      <c r="K28" s="0" t="inlineStr">
        <is>
          <t>#N/A</t>
        </is>
      </c>
      <c r="L28" s="0" t="inlineStr">
        <is>
          <t>#N/A</t>
        </is>
      </c>
      <c r="M28" s="0" t="inlineStr">
        <is>
          <t>#N/A</t>
        </is>
      </c>
    </row>
    <row r="29">
      <c r="A29" s="0" t="inlineStr">
        <is>
          <t xml:space="preserve">Picks</t>
        </is>
      </c>
      <c r="B29" s="0" t="inlineStr">
        <is>
          <t xml:space="preserve">Random 13</t>
        </is>
      </c>
      <c r="C29" s="0" t="inlineStr">
        <is>
          <t>#N/A</t>
        </is>
      </c>
      <c r="D29" s="0" t="inlineStr">
        <is>
          <t>#N/A</t>
        </is>
      </c>
      <c r="E29" s="0" t="inlineStr">
        <is>
          <t>#N/A</t>
        </is>
      </c>
      <c r="F29" s="0" t="inlineStr">
        <is>
          <t>#N/A</t>
        </is>
      </c>
      <c r="G29" s="0" t="inlineStr">
        <is>
          <t>#N/A</t>
        </is>
      </c>
      <c r="H29" s="0" t="inlineStr">
        <is>
          <t>#N/A</t>
        </is>
      </c>
      <c r="I29" s="0" t="inlineStr">
        <is>
          <t>#N/A</t>
        </is>
      </c>
      <c r="J29" s="0" t="inlineStr">
        <is>
          <t>#N/A</t>
        </is>
      </c>
      <c r="K29" s="0" t="inlineStr">
        <is>
          <t>#N/A</t>
        </is>
      </c>
      <c r="L29" s="0" t="inlineStr">
        <is>
          <t>#N/A</t>
        </is>
      </c>
      <c r="M29" s="0" t="inlineStr">
        <is>
          <t>#N/A</t>
        </is>
      </c>
    </row>
    <row r="30">
      <c r="A30" s="0" t="inlineStr">
        <is>
          <t xml:space="preserve">Picks</t>
        </is>
      </c>
      <c r="B30" s="0" t="inlineStr">
        <is>
          <t xml:space="preserve">Random 14</t>
        </is>
      </c>
      <c r="C30" s="0" t="inlineStr">
        <is>
          <t>#N/A</t>
        </is>
      </c>
      <c r="D30" s="0" t="inlineStr">
        <is>
          <t>#N/A</t>
        </is>
      </c>
      <c r="E30" s="0" t="inlineStr">
        <is>
          <t>#N/A</t>
        </is>
      </c>
      <c r="F30" s="0" t="inlineStr">
        <is>
          <t>#N/A</t>
        </is>
      </c>
      <c r="G30" s="0" t="inlineStr">
        <is>
          <t>#N/A</t>
        </is>
      </c>
      <c r="H30" s="0" t="inlineStr">
        <is>
          <t>#N/A</t>
        </is>
      </c>
      <c r="I30" s="0" t="inlineStr">
        <is>
          <t>#N/A</t>
        </is>
      </c>
      <c r="J30" s="0" t="inlineStr">
        <is>
          <t>#N/A</t>
        </is>
      </c>
      <c r="K30" s="0" t="inlineStr">
        <is>
          <t>#N/A</t>
        </is>
      </c>
      <c r="L30" s="0" t="inlineStr">
        <is>
          <t>#N/A</t>
        </is>
      </c>
      <c r="M30" s="0" t="inlineStr">
        <is>
          <t>#N/A</t>
        </is>
      </c>
    </row>
    <row r="31">
      <c r="A31" s="0" t="inlineStr">
        <is>
          <t xml:space="preserve">Picks</t>
        </is>
      </c>
      <c r="B31" s="0" t="inlineStr">
        <is>
          <t xml:space="preserve">Random 15</t>
        </is>
      </c>
      <c r="C31" s="0" t="inlineStr">
        <is>
          <t>#N/A</t>
        </is>
      </c>
      <c r="D31" s="0" t="inlineStr">
        <is>
          <t>#N/A</t>
        </is>
      </c>
      <c r="E31" s="0" t="inlineStr">
        <is>
          <t>#N/A</t>
        </is>
      </c>
      <c r="F31" s="0" t="inlineStr">
        <is>
          <t>#N/A</t>
        </is>
      </c>
      <c r="G31" s="0" t="inlineStr">
        <is>
          <t>#N/A</t>
        </is>
      </c>
      <c r="H31" s="0" t="inlineStr">
        <is>
          <t>#N/A</t>
        </is>
      </c>
      <c r="I31" s="0" t="inlineStr">
        <is>
          <t>#N/A</t>
        </is>
      </c>
      <c r="J31" s="0" t="inlineStr">
        <is>
          <t>#N/A</t>
        </is>
      </c>
      <c r="K31" s="0" t="inlineStr">
        <is>
          <t>#N/A</t>
        </is>
      </c>
      <c r="L31" s="0" t="inlineStr">
        <is>
          <t>#N/A</t>
        </is>
      </c>
      <c r="M31" s="0" t="inlineStr">
        <is>
          <t>#N/A</t>
        </is>
      </c>
    </row>
    <row r="32">
      <c r="A32" s="0" t="inlineStr">
        <is>
          <t xml:space="preserve">Picks</t>
        </is>
      </c>
      <c r="B32" s="0" t="inlineStr">
        <is>
          <t xml:space="preserve">Random 16</t>
        </is>
      </c>
      <c r="C32" s="0" t="inlineStr">
        <is>
          <t>#N/A</t>
        </is>
      </c>
      <c r="D32" s="0" t="inlineStr">
        <is>
          <t>#N/A</t>
        </is>
      </c>
      <c r="E32" s="0" t="inlineStr">
        <is>
          <t>#N/A</t>
        </is>
      </c>
      <c r="F32" s="0" t="inlineStr">
        <is>
          <t>#N/A</t>
        </is>
      </c>
      <c r="G32" s="0" t="inlineStr">
        <is>
          <t>#N/A</t>
        </is>
      </c>
      <c r="H32" s="0" t="inlineStr">
        <is>
          <t>#N/A</t>
        </is>
      </c>
      <c r="I32" s="0" t="inlineStr">
        <is>
          <t>#N/A</t>
        </is>
      </c>
      <c r="J32" s="0" t="inlineStr">
        <is>
          <t>#N/A</t>
        </is>
      </c>
      <c r="K32" s="0" t="inlineStr">
        <is>
          <t>#N/A</t>
        </is>
      </c>
      <c r="L32" s="0" t="inlineStr">
        <is>
          <t>#N/A</t>
        </is>
      </c>
      <c r="M32" s="0" t="inlineStr">
        <is>
          <t>#N/A</t>
        </is>
      </c>
    </row>
    <row r="33">
      <c r="A33" s="0" t="inlineStr">
        <is>
          <t xml:space="preserve">Picks</t>
        </is>
      </c>
      <c r="B33" s="0" t="inlineStr">
        <is>
          <t xml:space="preserve">Random 17</t>
        </is>
      </c>
      <c r="C33" s="0" t="inlineStr">
        <is>
          <t>#N/A</t>
        </is>
      </c>
      <c r="D33" s="0" t="inlineStr">
        <is>
          <t>#N/A</t>
        </is>
      </c>
      <c r="E33" s="0" t="inlineStr">
        <is>
          <t>#N/A</t>
        </is>
      </c>
      <c r="F33" s="0" t="inlineStr">
        <is>
          <t>#N/A</t>
        </is>
      </c>
      <c r="G33" s="0" t="inlineStr">
        <is>
          <t>#N/A</t>
        </is>
      </c>
      <c r="H33" s="0" t="inlineStr">
        <is>
          <t>#N/A</t>
        </is>
      </c>
      <c r="I33" s="0" t="inlineStr">
        <is>
          <t>#N/A</t>
        </is>
      </c>
      <c r="J33" s="0" t="inlineStr">
        <is>
          <t>#N/A</t>
        </is>
      </c>
      <c r="K33" s="0" t="inlineStr">
        <is>
          <t>#N/A</t>
        </is>
      </c>
      <c r="L33" s="0" t="inlineStr">
        <is>
          <t>#N/A</t>
        </is>
      </c>
      <c r="M33" s="0" t="inlineStr">
        <is>
          <t>#N/A</t>
        </is>
      </c>
    </row>
    <row r="34">
      <c r="A34" s="0" t="inlineStr">
        <is>
          <t xml:space="preserve">Picks</t>
        </is>
      </c>
      <c r="B34" s="0" t="inlineStr">
        <is>
          <t xml:space="preserve">Random 18</t>
        </is>
      </c>
      <c r="C34" s="0" t="inlineStr">
        <is>
          <t>#N/A</t>
        </is>
      </c>
      <c r="D34" s="0" t="inlineStr">
        <is>
          <t>#N/A</t>
        </is>
      </c>
      <c r="E34" s="0" t="inlineStr">
        <is>
          <t>#N/A</t>
        </is>
      </c>
      <c r="F34" s="0" t="inlineStr">
        <is>
          <t>#N/A</t>
        </is>
      </c>
      <c r="G34" s="0" t="inlineStr">
        <is>
          <t>#N/A</t>
        </is>
      </c>
      <c r="H34" s="0" t="inlineStr">
        <is>
          <t>#N/A</t>
        </is>
      </c>
      <c r="I34" s="0" t="inlineStr">
        <is>
          <t>#N/A</t>
        </is>
      </c>
      <c r="J34" s="0" t="inlineStr">
        <is>
          <t>#N/A</t>
        </is>
      </c>
      <c r="K34" s="0" t="inlineStr">
        <is>
          <t>#N/A</t>
        </is>
      </c>
      <c r="L34" s="0" t="inlineStr">
        <is>
          <t>#N/A</t>
        </is>
      </c>
      <c r="M34" s="0" t="inlineStr">
        <is>
          <t>#N/A</t>
        </is>
      </c>
    </row>
    <row r="35">
      <c r="A35" s="0" t="inlineStr">
        <is>
          <t xml:space="preserve">Picks</t>
        </is>
      </c>
      <c r="B35" s="0" t="inlineStr">
        <is>
          <t xml:space="preserve">Random 19</t>
        </is>
      </c>
      <c r="C35" s="0" t="inlineStr">
        <is>
          <t>#N/A</t>
        </is>
      </c>
      <c r="D35" s="0" t="inlineStr">
        <is>
          <t>#N/A</t>
        </is>
      </c>
      <c r="E35" s="0" t="inlineStr">
        <is>
          <t>#N/A</t>
        </is>
      </c>
      <c r="F35" s="0" t="inlineStr">
        <is>
          <t>#N/A</t>
        </is>
      </c>
      <c r="G35" s="0" t="inlineStr">
        <is>
          <t>#N/A</t>
        </is>
      </c>
      <c r="H35" s="0" t="inlineStr">
        <is>
          <t>#N/A</t>
        </is>
      </c>
      <c r="I35" s="0" t="inlineStr">
        <is>
          <t>#N/A</t>
        </is>
      </c>
      <c r="J35" s="0" t="inlineStr">
        <is>
          <t>#N/A</t>
        </is>
      </c>
      <c r="K35" s="0" t="inlineStr">
        <is>
          <t>#N/A</t>
        </is>
      </c>
      <c r="L35" s="0" t="inlineStr">
        <is>
          <t>#N/A</t>
        </is>
      </c>
      <c r="M35" s="0" t="inlineStr">
        <is>
          <t>#N/A</t>
        </is>
      </c>
    </row>
    <row r="36">
      <c r="A36" s="0" t="inlineStr">
        <is>
          <t xml:space="preserve">Picks</t>
        </is>
      </c>
      <c r="B36" s="0" t="inlineStr">
        <is>
          <t xml:space="preserve">Random 20</t>
        </is>
      </c>
      <c r="C36" s="0" t="inlineStr">
        <is>
          <t>#N/A</t>
        </is>
      </c>
      <c r="D36" s="0" t="inlineStr">
        <is>
          <t>#N/A</t>
        </is>
      </c>
      <c r="E36" s="0" t="inlineStr">
        <is>
          <t>#N/A</t>
        </is>
      </c>
      <c r="F36" s="0" t="inlineStr">
        <is>
          <t>#N/A</t>
        </is>
      </c>
      <c r="G36" s="0" t="inlineStr">
        <is>
          <t>#N/A</t>
        </is>
      </c>
      <c r="H36" s="0" t="inlineStr">
        <is>
          <t>#N/A</t>
        </is>
      </c>
      <c r="I36" s="0" t="inlineStr">
        <is>
          <t>#N/A</t>
        </is>
      </c>
      <c r="J36" s="0" t="inlineStr">
        <is>
          <t>#N/A</t>
        </is>
      </c>
      <c r="K36" s="0" t="inlineStr">
        <is>
          <t>#N/A</t>
        </is>
      </c>
      <c r="L36" s="0" t="inlineStr">
        <is>
          <t>#N/A</t>
        </is>
      </c>
      <c r="M36" s="0" t="inlineStr">
        <is>
          <t>#N/A</t>
        </is>
      </c>
    </row>
    <row r="37">
      <c r="A37" s="0" t="inlineStr">
        <is>
          <t xml:space="preserve">Share of picks</t>
        </is>
      </c>
      <c r="B37" s="0" t="inlineStr">
        <is>
          <t xml:space="preserve">worst 100 by yesterday's close-to-close return</t>
        </is>
      </c>
      <c r="C37" s="12" t="e">
        <f>(C2/100)</f>
        <v>#N/A</v>
      </c>
      <c r="D37" s="12" t="e">
        <f>(D2/100)</f>
        <v>#N/A</v>
      </c>
      <c r="E37" s="12" t="e">
        <f>(E2/100)</f>
        <v>#N/A</v>
      </c>
      <c r="F37" s="12" t="e">
        <f>(F2/100)</f>
        <v>#N/A</v>
      </c>
      <c r="G37" s="12" t="e">
        <f>(G2/100)</f>
        <v>#N/A</v>
      </c>
      <c r="H37" s="12" t="e">
        <f>(H2/100)</f>
        <v>#N/A</v>
      </c>
      <c r="I37" s="12" t="e">
        <f>(I2/100)</f>
        <v>#N/A</v>
      </c>
      <c r="J37" s="12" t="e">
        <f>(J2/100)</f>
        <v>#N/A</v>
      </c>
      <c r="K37" s="12" t="e">
        <f>(K2/100)</f>
        <v>#N/A</v>
      </c>
      <c r="L37" s="12" t="e">
        <f>(L2/100)</f>
        <v>#N/A</v>
      </c>
      <c r="M37" s="12" t="e">
        <f>(M2/100)</f>
        <v>#N/A</v>
      </c>
    </row>
    <row r="38">
      <c r="A38" s="0" t="inlineStr">
        <is>
          <t xml:space="preserve">Share of picks</t>
        </is>
      </c>
      <c r="B38" s="0" t="inlineStr">
        <is>
          <t xml:space="preserve">lowest 100 by 60-day volatility</t>
        </is>
      </c>
      <c r="C38" s="12" t="e">
        <f>(C3/100)</f>
        <v>#N/A</v>
      </c>
      <c r="D38" s="12" t="e">
        <f>(D3/100)</f>
        <v>#N/A</v>
      </c>
      <c r="E38" s="12" t="e">
        <f>(E3/100)</f>
        <v>#N/A</v>
      </c>
      <c r="F38" s="12" t="e">
        <f>(F3/100)</f>
        <v>#N/A</v>
      </c>
      <c r="G38" s="12" t="e">
        <f>(G3/100)</f>
        <v>#N/A</v>
      </c>
      <c r="H38" s="12" t="e">
        <f>(H3/100)</f>
        <v>#N/A</v>
      </c>
      <c r="I38" s="12" t="e">
        <f>(I3/100)</f>
        <v>#N/A</v>
      </c>
      <c r="J38" s="12" t="e">
        <f>(J3/100)</f>
        <v>#N/A</v>
      </c>
      <c r="K38" s="12" t="e">
        <f>(K3/100)</f>
        <v>#N/A</v>
      </c>
      <c r="L38" s="12" t="e">
        <f>(L3/100)</f>
        <v>#N/A</v>
      </c>
      <c r="M38" s="12" t="e">
        <f>(M3/100)</f>
        <v>#N/A</v>
      </c>
    </row>
    <row r="39">
      <c r="A39" s="0" t="inlineStr">
        <is>
          <t xml:space="preserve">Share of picks</t>
        </is>
      </c>
      <c r="B39" s="0" t="inlineStr">
        <is>
          <t xml:space="preserve">largest 100 by market cap</t>
        </is>
      </c>
      <c r="C39" s="12" t="e">
        <f>(C4/100)</f>
        <v>#N/A</v>
      </c>
      <c r="D39" s="12" t="e">
        <f>(D4/100)</f>
        <v>#N/A</v>
      </c>
      <c r="E39" s="12" t="e">
        <f>(E4/100)</f>
        <v>#N/A</v>
      </c>
      <c r="F39" s="12" t="e">
        <f>(F4/100)</f>
        <v>#N/A</v>
      </c>
      <c r="G39" s="12" t="e">
        <f>(G4/100)</f>
        <v>#N/A</v>
      </c>
      <c r="H39" s="12" t="e">
        <f>(H4/100)</f>
        <v>#N/A</v>
      </c>
      <c r="I39" s="12" t="e">
        <f>(I4/100)</f>
        <v>#N/A</v>
      </c>
      <c r="J39" s="12" t="e">
        <f>(J4/100)</f>
        <v>#N/A</v>
      </c>
      <c r="K39" s="12" t="e">
        <f>(K4/100)</f>
        <v>#N/A</v>
      </c>
      <c r="L39" s="12" t="e">
        <f>(L4/100)</f>
        <v>#N/A</v>
      </c>
      <c r="M39" s="12" t="e">
        <f>(M4/100)</f>
        <v>#N/A</v>
      </c>
    </row>
    <row r="40">
      <c r="A40" s="0" t="inlineStr">
        <is>
          <t xml:space="preserve">Share of picks</t>
        </is>
      </c>
      <c r="B40" s="0" t="inlineStr">
        <is>
          <t xml:space="preserve">top 100 by 12-1 month return</t>
        </is>
      </c>
      <c r="C40" s="12" t="e">
        <f>(C5/100)</f>
        <v>#N/A</v>
      </c>
      <c r="D40" s="12" t="e">
        <f>(D5/100)</f>
        <v>#N/A</v>
      </c>
      <c r="E40" s="12" t="e">
        <f>(E5/100)</f>
        <v>#N/A</v>
      </c>
      <c r="F40" s="12" t="e">
        <f>(F5/100)</f>
        <v>#N/A</v>
      </c>
      <c r="G40" s="12" t="e">
        <f>(G5/100)</f>
        <v>#N/A</v>
      </c>
      <c r="H40" s="12" t="e">
        <f>(H5/100)</f>
        <v>#N/A</v>
      </c>
      <c r="I40" s="12" t="e">
        <f>(I5/100)</f>
        <v>#N/A</v>
      </c>
      <c r="J40" s="12" t="e">
        <f>(J5/100)</f>
        <v>#N/A</v>
      </c>
      <c r="K40" s="12" t="e">
        <f>(K5/100)</f>
        <v>#N/A</v>
      </c>
      <c r="L40" s="12" t="e">
        <f>(L5/100)</f>
        <v>#N/A</v>
      </c>
      <c r="M40" s="12" t="e">
        <f>(M5/100)</f>
        <v>#N/A</v>
      </c>
    </row>
    <row r="41">
      <c r="A41" s="0" t="inlineStr">
        <is>
          <t xml:space="preserve">Share of picks</t>
        </is>
      </c>
      <c r="B41" s="0" t="inlineStr">
        <is>
          <t xml:space="preserve">best 100 by yesterday's close-to-close return</t>
        </is>
      </c>
      <c r="C41" s="12" t="e">
        <f>(C6/100)</f>
        <v>#N/A</v>
      </c>
      <c r="D41" s="12" t="e">
        <f>(D6/100)</f>
        <v>#N/A</v>
      </c>
      <c r="E41" s="12" t="e">
        <f>(E6/100)</f>
        <v>#N/A</v>
      </c>
      <c r="F41" s="12" t="e">
        <f>(F6/100)</f>
        <v>#N/A</v>
      </c>
      <c r="G41" s="12" t="e">
        <f>(G6/100)</f>
        <v>#N/A</v>
      </c>
      <c r="H41" s="12" t="e">
        <f>(H6/100)</f>
        <v>#N/A</v>
      </c>
      <c r="I41" s="12" t="e">
        <f>(I6/100)</f>
        <v>#N/A</v>
      </c>
      <c r="J41" s="12" t="e">
        <f>(J6/100)</f>
        <v>#N/A</v>
      </c>
      <c r="K41" s="12" t="e">
        <f>(K6/100)</f>
        <v>#N/A</v>
      </c>
      <c r="L41" s="12" t="e">
        <f>(L6/100)</f>
        <v>#N/A</v>
      </c>
      <c r="M41" s="12" t="e">
        <f>(M6/100)</f>
        <v>#N/A</v>
      </c>
    </row>
    <row r="42">
      <c r="A42" s="0" t="inlineStr">
        <is>
          <t xml:space="preserve">Share of picks</t>
        </is>
      </c>
      <c r="B42" s="0" t="inlineStr">
        <is>
          <t xml:space="preserve">Retail Attention Overnight</t>
        </is>
      </c>
      <c r="C42" s="12" t="e">
        <f>(C7/100)</f>
        <v>#N/A</v>
      </c>
      <c r="D42" s="12" t="e">
        <f>(D7/100)</f>
        <v>#N/A</v>
      </c>
      <c r="E42" s="12" t="e">
        <f>(E7/100)</f>
        <v>#N/A</v>
      </c>
      <c r="F42" s="12" t="e">
        <f>(F7/100)</f>
        <v>#N/A</v>
      </c>
      <c r="G42" s="12" t="e">
        <f>(G7/100)</f>
        <v>#N/A</v>
      </c>
      <c r="H42" s="12" t="e">
        <f>(H7/100)</f>
        <v>#N/A</v>
      </c>
      <c r="I42" s="12" t="e">
        <f>(I7/100)</f>
        <v>#N/A</v>
      </c>
      <c r="J42" s="12" t="e">
        <f>(J7/100)</f>
        <v>#N/A</v>
      </c>
      <c r="K42" s="12" t="e">
        <f>(K7/100)</f>
        <v>#N/A</v>
      </c>
      <c r="L42" s="12" t="e">
        <f>(L7/100)</f>
        <v>#N/A</v>
      </c>
      <c r="M42" s="12" t="e">
        <f>(M7/100)</f>
        <v>#N/A</v>
      </c>
    </row>
    <row r="43">
      <c r="A43" s="0" t="inlineStr">
        <is>
          <t xml:space="preserve">Share of picks</t>
        </is>
      </c>
      <c r="B43" s="0" t="inlineStr">
        <is>
          <t xml:space="preserve">Post-Earnings Drift, Overnight Leg</t>
        </is>
      </c>
      <c r="C43" s="12" t="e">
        <f>(C8/100)</f>
        <v>#N/A</v>
      </c>
      <c r="D43" s="12" t="e">
        <f>(D8/100)</f>
        <v>#N/A</v>
      </c>
      <c r="E43" s="12" t="e">
        <f>(E8/100)</f>
        <v>#N/A</v>
      </c>
      <c r="F43" s="12" t="e">
        <f>(F8/100)</f>
        <v>#N/A</v>
      </c>
      <c r="G43" s="12" t="e">
        <f>(G8/100)</f>
        <v>#N/A</v>
      </c>
      <c r="H43" s="12" t="e">
        <f>(H8/100)</f>
        <v>#N/A</v>
      </c>
      <c r="I43" s="12" t="e">
        <f>(I8/100)</f>
        <v>#N/A</v>
      </c>
      <c r="J43" s="12" t="e">
        <f>(J8/100)</f>
        <v>#N/A</v>
      </c>
      <c r="K43" s="12" t="e">
        <f>(K8/100)</f>
        <v>#N/A</v>
      </c>
      <c r="L43" s="12" t="e">
        <f>(L8/100)</f>
        <v>#N/A</v>
      </c>
      <c r="M43" s="12" t="e">
        <f>(M8/100)</f>
        <v>#N/A</v>
      </c>
    </row>
    <row r="44">
      <c r="A44" s="0" t="inlineStr">
        <is>
          <t xml:space="preserve">Share of picks</t>
        </is>
      </c>
      <c r="B44" s="0" t="inlineStr">
        <is>
          <t xml:space="preserve">Intraday-to-Overnight Reversal</t>
        </is>
      </c>
      <c r="C44" s="12" t="e">
        <f>(C9/100)</f>
        <v>#N/A</v>
      </c>
      <c r="D44" s="12" t="e">
        <f>(D9/100)</f>
        <v>#N/A</v>
      </c>
      <c r="E44" s="12" t="e">
        <f>(E9/100)</f>
        <v>#N/A</v>
      </c>
      <c r="F44" s="12" t="e">
        <f>(F9/100)</f>
        <v>#N/A</v>
      </c>
      <c r="G44" s="12" t="e">
        <f>(G9/100)</f>
        <v>#N/A</v>
      </c>
      <c r="H44" s="12" t="e">
        <f>(H9/100)</f>
        <v>#N/A</v>
      </c>
      <c r="I44" s="12" t="e">
        <f>(I9/100)</f>
        <v>#N/A</v>
      </c>
      <c r="J44" s="12" t="e">
        <f>(J9/100)</f>
        <v>#N/A</v>
      </c>
      <c r="K44" s="12" t="e">
        <f>(K9/100)</f>
        <v>#N/A</v>
      </c>
      <c r="L44" s="12" t="e">
        <f>(L9/100)</f>
        <v>#N/A</v>
      </c>
      <c r="M44" s="12" t="e">
        <f>(M9/100)</f>
        <v>#N/A</v>
      </c>
    </row>
    <row r="45">
      <c r="A45" s="0" t="inlineStr">
        <is>
          <t xml:space="preserve">Share of picks</t>
        </is>
      </c>
      <c r="B45" s="0" t="inlineStr">
        <is>
          <t xml:space="preserve">Analyst Revision Momentum</t>
        </is>
      </c>
      <c r="C45" s="12" t="e">
        <f>(C10/100)</f>
        <v>#N/A</v>
      </c>
      <c r="D45" s="12" t="e">
        <f>(D10/100)</f>
        <v>#N/A</v>
      </c>
      <c r="E45" s="12" t="e">
        <f>(E10/100)</f>
        <v>#N/A</v>
      </c>
      <c r="F45" s="12" t="e">
        <f>(F10/100)</f>
        <v>#N/A</v>
      </c>
      <c r="G45" s="12" t="e">
        <f>(G10/100)</f>
        <v>#N/A</v>
      </c>
      <c r="H45" s="12" t="e">
        <f>(H10/100)</f>
        <v>#N/A</v>
      </c>
      <c r="I45" s="12" t="e">
        <f>(I10/100)</f>
        <v>#N/A</v>
      </c>
      <c r="J45" s="12" t="e">
        <f>(J10/100)</f>
        <v>#N/A</v>
      </c>
      <c r="K45" s="12" t="e">
        <f>(K10/100)</f>
        <v>#N/A</v>
      </c>
      <c r="L45" s="12" t="e">
        <f>(L10/100)</f>
        <v>#N/A</v>
      </c>
      <c r="M45" s="12" t="e">
        <f>(M10/100)</f>
        <v>#N/A</v>
      </c>
    </row>
    <row r="46">
      <c r="A46" s="0" t="inlineStr">
        <is>
          <t xml:space="preserve">Share of picks</t>
        </is>
      </c>
      <c r="B46" s="0" t="inlineStr">
        <is>
          <t xml:space="preserve">Clustered Insider Buying</t>
        </is>
      </c>
      <c r="C46" s="12" t="e">
        <f>(C11/100)</f>
        <v>#N/A</v>
      </c>
      <c r="D46" s="12" t="e">
        <f>(D11/100)</f>
        <v>#N/A</v>
      </c>
      <c r="E46" s="12" t="e">
        <f>(E11/100)</f>
        <v>#N/A</v>
      </c>
      <c r="F46" s="12" t="e">
        <f>(F11/100)</f>
        <v>#N/A</v>
      </c>
      <c r="G46" s="12" t="e">
        <f>(G11/100)</f>
        <v>#N/A</v>
      </c>
      <c r="H46" s="12" t="e">
        <f>(H11/100)</f>
        <v>#N/A</v>
      </c>
      <c r="I46" s="12" t="e">
        <f>(I11/100)</f>
        <v>#N/A</v>
      </c>
      <c r="J46" s="12" t="e">
        <f>(J11/100)</f>
        <v>#N/A</v>
      </c>
      <c r="K46" s="12" t="e">
        <f>(K11/100)</f>
        <v>#N/A</v>
      </c>
      <c r="L46" s="12" t="e">
        <f>(L11/100)</f>
        <v>#N/A</v>
      </c>
      <c r="M46" s="12" t="e">
        <f>(M11/100)</f>
        <v>#N/A</v>
      </c>
    </row>
    <row r="47">
      <c r="A47" s="0" t="inlineStr">
        <is>
          <t xml:space="preserve">Share of picks</t>
        </is>
      </c>
      <c r="B47" s="0" t="inlineStr">
        <is>
          <t xml:space="preserve">Same-Month Seasonality</t>
        </is>
      </c>
      <c r="C47" s="12" t="e">
        <f>(C12/100)</f>
        <v>#N/A</v>
      </c>
      <c r="D47" s="12" t="e">
        <f>(D12/100)</f>
        <v>#N/A</v>
      </c>
      <c r="E47" s="12" t="e">
        <f>(E12/100)</f>
        <v>#N/A</v>
      </c>
      <c r="F47" s="12" t="e">
        <f>(F12/100)</f>
        <v>#N/A</v>
      </c>
      <c r="G47" s="12" t="e">
        <f>(G12/100)</f>
        <v>#N/A</v>
      </c>
      <c r="H47" s="12" t="e">
        <f>(H12/100)</f>
        <v>#N/A</v>
      </c>
      <c r="I47" s="12" t="e">
        <f>(I12/100)</f>
        <v>#N/A</v>
      </c>
      <c r="J47" s="12" t="e">
        <f>(J12/100)</f>
        <v>#N/A</v>
      </c>
      <c r="K47" s="12" t="e">
        <f>(K12/100)</f>
        <v>#N/A</v>
      </c>
      <c r="L47" s="12" t="e">
        <f>(L12/100)</f>
        <v>#N/A</v>
      </c>
      <c r="M47" s="12" t="e">
        <f>(M12/100)</f>
        <v>#N/A</v>
      </c>
    </row>
    <row r="48">
      <c r="A48" s="0" t="inlineStr">
        <is>
          <t xml:space="preserve">Share of picks</t>
        </is>
      </c>
      <c r="B48" s="0" t="inlineStr">
        <is>
          <t xml:space="preserve">Quality at a Reasonable Price</t>
        </is>
      </c>
      <c r="C48" s="12" t="e">
        <f>(C13/100)</f>
        <v>#N/A</v>
      </c>
      <c r="D48" s="12" t="e">
        <f>(D13/100)</f>
        <v>#N/A</v>
      </c>
      <c r="E48" s="12" t="e">
        <f>(E13/100)</f>
        <v>#N/A</v>
      </c>
      <c r="F48" s="12" t="e">
        <f>(F13/100)</f>
        <v>#N/A</v>
      </c>
      <c r="G48" s="12" t="e">
        <f>(G13/100)</f>
        <v>#N/A</v>
      </c>
      <c r="H48" s="12" t="e">
        <f>(H13/100)</f>
        <v>#N/A</v>
      </c>
      <c r="I48" s="12" t="e">
        <f>(I13/100)</f>
        <v>#N/A</v>
      </c>
      <c r="J48" s="12" t="e">
        <f>(J13/100)</f>
        <v>#N/A</v>
      </c>
      <c r="K48" s="12" t="e">
        <f>(K13/100)</f>
        <v>#N/A</v>
      </c>
      <c r="L48" s="12" t="e">
        <f>(L13/100)</f>
        <v>#N/A</v>
      </c>
      <c r="M48" s="12" t="e">
        <f>(M13/100)</f>
        <v>#N/A</v>
      </c>
    </row>
    <row r="49">
      <c r="A49" s="0" t="inlineStr">
        <is>
          <t xml:space="preserve">Share of picks</t>
        </is>
      </c>
      <c r="B49" s="0" t="inlineStr">
        <is>
          <t xml:space="preserve">Residual Momentum</t>
        </is>
      </c>
      <c r="C49" s="12" t="e">
        <f>(C14/100)</f>
        <v>#N/A</v>
      </c>
      <c r="D49" s="12" t="e">
        <f>(D14/100)</f>
        <v>#N/A</v>
      </c>
      <c r="E49" s="12" t="e">
        <f>(E14/100)</f>
        <v>#N/A</v>
      </c>
      <c r="F49" s="12" t="e">
        <f>(F14/100)</f>
        <v>#N/A</v>
      </c>
      <c r="G49" s="12" t="e">
        <f>(G14/100)</f>
        <v>#N/A</v>
      </c>
      <c r="H49" s="12" t="e">
        <f>(H14/100)</f>
        <v>#N/A</v>
      </c>
      <c r="I49" s="12" t="e">
        <f>(I14/100)</f>
        <v>#N/A</v>
      </c>
      <c r="J49" s="12" t="e">
        <f>(J14/100)</f>
        <v>#N/A</v>
      </c>
      <c r="K49" s="12" t="e">
        <f>(K14/100)</f>
        <v>#N/A</v>
      </c>
      <c r="L49" s="12" t="e">
        <f>(L14/100)</f>
        <v>#N/A</v>
      </c>
      <c r="M49" s="12" t="e">
        <f>(M14/100)</f>
        <v>#N/A</v>
      </c>
    </row>
    <row r="50">
      <c r="A50" s="0" t="inlineStr">
        <is>
          <t xml:space="preserve">Share of picks</t>
        </is>
      </c>
      <c r="B50" s="0" t="inlineStr">
        <is>
          <t xml:space="preserve">Overnight Return Persistence</t>
        </is>
      </c>
      <c r="C50" s="12" t="e">
        <f>(C15/100)</f>
        <v>#N/A</v>
      </c>
      <c r="D50" s="12" t="e">
        <f>(D15/100)</f>
        <v>#N/A</v>
      </c>
      <c r="E50" s="12" t="e">
        <f>(E15/100)</f>
        <v>#N/A</v>
      </c>
      <c r="F50" s="12" t="e">
        <f>(F15/100)</f>
        <v>#N/A</v>
      </c>
      <c r="G50" s="12" t="e">
        <f>(G15/100)</f>
        <v>#N/A</v>
      </c>
      <c r="H50" s="12" t="e">
        <f>(H15/100)</f>
        <v>#N/A</v>
      </c>
      <c r="I50" s="12" t="e">
        <f>(I15/100)</f>
        <v>#N/A</v>
      </c>
      <c r="J50" s="12" t="e">
        <f>(J15/100)</f>
        <v>#N/A</v>
      </c>
      <c r="K50" s="12" t="e">
        <f>(K15/100)</f>
        <v>#N/A</v>
      </c>
      <c r="L50" s="12" t="e">
        <f>(L15/100)</f>
        <v>#N/A</v>
      </c>
      <c r="M50" s="12" t="e">
        <f>(M15/100)</f>
        <v>#N/A</v>
      </c>
    </row>
    <row r="51">
      <c r="A51" s="0" t="inlineStr">
        <is>
          <t xml:space="preserve">Share of picks</t>
        </is>
      </c>
      <c r="B51" s="0" t="inlineStr">
        <is>
          <t xml:space="preserve">52-Week-High Anchoring</t>
        </is>
      </c>
      <c r="C51" s="12" t="e">
        <f>(C16/100)</f>
        <v>#N/A</v>
      </c>
      <c r="D51" s="12" t="e">
        <f>(D16/100)</f>
        <v>#N/A</v>
      </c>
      <c r="E51" s="12" t="e">
        <f>(E16/100)</f>
        <v>#N/A</v>
      </c>
      <c r="F51" s="12" t="e">
        <f>(F16/100)</f>
        <v>#N/A</v>
      </c>
      <c r="G51" s="12" t="e">
        <f>(G16/100)</f>
        <v>#N/A</v>
      </c>
      <c r="H51" s="12" t="e">
        <f>(H16/100)</f>
        <v>#N/A</v>
      </c>
      <c r="I51" s="12" t="e">
        <f>(I16/100)</f>
        <v>#N/A</v>
      </c>
      <c r="J51" s="12" t="e">
        <f>(J16/100)</f>
        <v>#N/A</v>
      </c>
      <c r="K51" s="12" t="e">
        <f>(K16/100)</f>
        <v>#N/A</v>
      </c>
      <c r="L51" s="12" t="e">
        <f>(L16/100)</f>
        <v>#N/A</v>
      </c>
      <c r="M51" s="12" t="e">
        <f>(M16/100)</f>
        <v>#N/A</v>
      </c>
    </row>
    <row r="52">
      <c r="A52" s="0" t="inlineStr">
        <is>
          <t xml:space="preserve">Share of picks</t>
        </is>
      </c>
      <c r="B52" s="0" t="inlineStr">
        <is>
          <t xml:space="preserve">Random 1</t>
        </is>
      </c>
      <c r="C52" s="12" t="e">
        <f>(C17/100)</f>
        <v>#N/A</v>
      </c>
      <c r="D52" s="12" t="e">
        <f>(D17/100)</f>
        <v>#N/A</v>
      </c>
      <c r="E52" s="12" t="e">
        <f>(E17/100)</f>
        <v>#N/A</v>
      </c>
      <c r="F52" s="12" t="e">
        <f>(F17/100)</f>
        <v>#N/A</v>
      </c>
      <c r="G52" s="12" t="e">
        <f>(G17/100)</f>
        <v>#N/A</v>
      </c>
      <c r="H52" s="12" t="e">
        <f>(H17/100)</f>
        <v>#N/A</v>
      </c>
      <c r="I52" s="12" t="e">
        <f>(I17/100)</f>
        <v>#N/A</v>
      </c>
      <c r="J52" s="12" t="e">
        <f>(J17/100)</f>
        <v>#N/A</v>
      </c>
      <c r="K52" s="12" t="e">
        <f>(K17/100)</f>
        <v>#N/A</v>
      </c>
      <c r="L52" s="12" t="e">
        <f>(L17/100)</f>
        <v>#N/A</v>
      </c>
      <c r="M52" s="12" t="e">
        <f>(M17/100)</f>
        <v>#N/A</v>
      </c>
    </row>
    <row r="53">
      <c r="A53" s="0" t="inlineStr">
        <is>
          <t xml:space="preserve">Share of picks</t>
        </is>
      </c>
      <c r="B53" s="0" t="inlineStr">
        <is>
          <t xml:space="preserve">Random 2</t>
        </is>
      </c>
      <c r="C53" s="12" t="e">
        <f>(C18/100)</f>
        <v>#N/A</v>
      </c>
      <c r="D53" s="12" t="e">
        <f>(D18/100)</f>
        <v>#N/A</v>
      </c>
      <c r="E53" s="12" t="e">
        <f>(E18/100)</f>
        <v>#N/A</v>
      </c>
      <c r="F53" s="12" t="e">
        <f>(F18/100)</f>
        <v>#N/A</v>
      </c>
      <c r="G53" s="12" t="e">
        <f>(G18/100)</f>
        <v>#N/A</v>
      </c>
      <c r="H53" s="12" t="e">
        <f>(H18/100)</f>
        <v>#N/A</v>
      </c>
      <c r="I53" s="12" t="e">
        <f>(I18/100)</f>
        <v>#N/A</v>
      </c>
      <c r="J53" s="12" t="e">
        <f>(J18/100)</f>
        <v>#N/A</v>
      </c>
      <c r="K53" s="12" t="e">
        <f>(K18/100)</f>
        <v>#N/A</v>
      </c>
      <c r="L53" s="12" t="e">
        <f>(L18/100)</f>
        <v>#N/A</v>
      </c>
      <c r="M53" s="12" t="e">
        <f>(M18/100)</f>
        <v>#N/A</v>
      </c>
    </row>
    <row r="54">
      <c r="A54" s="0" t="inlineStr">
        <is>
          <t xml:space="preserve">Share of picks</t>
        </is>
      </c>
      <c r="B54" s="0" t="inlineStr">
        <is>
          <t xml:space="preserve">Random 3</t>
        </is>
      </c>
      <c r="C54" s="12" t="e">
        <f>(C19/100)</f>
        <v>#N/A</v>
      </c>
      <c r="D54" s="12" t="e">
        <f>(D19/100)</f>
        <v>#N/A</v>
      </c>
      <c r="E54" s="12" t="e">
        <f>(E19/100)</f>
        <v>#N/A</v>
      </c>
      <c r="F54" s="12" t="e">
        <f>(F19/100)</f>
        <v>#N/A</v>
      </c>
      <c r="G54" s="12" t="e">
        <f>(G19/100)</f>
        <v>#N/A</v>
      </c>
      <c r="H54" s="12" t="e">
        <f>(H19/100)</f>
        <v>#N/A</v>
      </c>
      <c r="I54" s="12" t="e">
        <f>(I19/100)</f>
        <v>#N/A</v>
      </c>
      <c r="J54" s="12" t="e">
        <f>(J19/100)</f>
        <v>#N/A</v>
      </c>
      <c r="K54" s="12" t="e">
        <f>(K19/100)</f>
        <v>#N/A</v>
      </c>
      <c r="L54" s="12" t="e">
        <f>(L19/100)</f>
        <v>#N/A</v>
      </c>
      <c r="M54" s="12" t="e">
        <f>(M19/100)</f>
        <v>#N/A</v>
      </c>
    </row>
    <row r="55">
      <c r="A55" s="0" t="inlineStr">
        <is>
          <t xml:space="preserve">Share of picks</t>
        </is>
      </c>
      <c r="B55" s="0" t="inlineStr">
        <is>
          <t xml:space="preserve">Random 4</t>
        </is>
      </c>
      <c r="C55" s="12" t="e">
        <f>(C20/100)</f>
        <v>#N/A</v>
      </c>
      <c r="D55" s="12" t="e">
        <f>(D20/100)</f>
        <v>#N/A</v>
      </c>
      <c r="E55" s="12" t="e">
        <f>(E20/100)</f>
        <v>#N/A</v>
      </c>
      <c r="F55" s="12" t="e">
        <f>(F20/100)</f>
        <v>#N/A</v>
      </c>
      <c r="G55" s="12" t="e">
        <f>(G20/100)</f>
        <v>#N/A</v>
      </c>
      <c r="H55" s="12" t="e">
        <f>(H20/100)</f>
        <v>#N/A</v>
      </c>
      <c r="I55" s="12" t="e">
        <f>(I20/100)</f>
        <v>#N/A</v>
      </c>
      <c r="J55" s="12" t="e">
        <f>(J20/100)</f>
        <v>#N/A</v>
      </c>
      <c r="K55" s="12" t="e">
        <f>(K20/100)</f>
        <v>#N/A</v>
      </c>
      <c r="L55" s="12" t="e">
        <f>(L20/100)</f>
        <v>#N/A</v>
      </c>
      <c r="M55" s="12" t="e">
        <f>(M20/100)</f>
        <v>#N/A</v>
      </c>
    </row>
    <row r="56">
      <c r="A56" s="0" t="inlineStr">
        <is>
          <t xml:space="preserve">Share of picks</t>
        </is>
      </c>
      <c r="B56" s="0" t="inlineStr">
        <is>
          <t xml:space="preserve">Random 5</t>
        </is>
      </c>
      <c r="C56" s="12" t="e">
        <f>(C21/100)</f>
        <v>#N/A</v>
      </c>
      <c r="D56" s="12" t="e">
        <f>(D21/100)</f>
        <v>#N/A</v>
      </c>
      <c r="E56" s="12" t="e">
        <f>(E21/100)</f>
        <v>#N/A</v>
      </c>
      <c r="F56" s="12" t="e">
        <f>(F21/100)</f>
        <v>#N/A</v>
      </c>
      <c r="G56" s="12" t="e">
        <f>(G21/100)</f>
        <v>#N/A</v>
      </c>
      <c r="H56" s="12" t="e">
        <f>(H21/100)</f>
        <v>#N/A</v>
      </c>
      <c r="I56" s="12" t="e">
        <f>(I21/100)</f>
        <v>#N/A</v>
      </c>
      <c r="J56" s="12" t="e">
        <f>(J21/100)</f>
        <v>#N/A</v>
      </c>
      <c r="K56" s="12" t="e">
        <f>(K21/100)</f>
        <v>#N/A</v>
      </c>
      <c r="L56" s="12" t="e">
        <f>(L21/100)</f>
        <v>#N/A</v>
      </c>
      <c r="M56" s="12" t="e">
        <f>(M21/100)</f>
        <v>#N/A</v>
      </c>
    </row>
    <row r="57">
      <c r="A57" s="0" t="inlineStr">
        <is>
          <t xml:space="preserve">Share of picks</t>
        </is>
      </c>
      <c r="B57" s="0" t="inlineStr">
        <is>
          <t xml:space="preserve">Random 6</t>
        </is>
      </c>
      <c r="C57" s="12" t="e">
        <f>(C22/100)</f>
        <v>#N/A</v>
      </c>
      <c r="D57" s="12" t="e">
        <f>(D22/100)</f>
        <v>#N/A</v>
      </c>
      <c r="E57" s="12" t="e">
        <f>(E22/100)</f>
        <v>#N/A</v>
      </c>
      <c r="F57" s="12" t="e">
        <f>(F22/100)</f>
        <v>#N/A</v>
      </c>
      <c r="G57" s="12" t="e">
        <f>(G22/100)</f>
        <v>#N/A</v>
      </c>
      <c r="H57" s="12" t="e">
        <f>(H22/100)</f>
        <v>#N/A</v>
      </c>
      <c r="I57" s="12" t="e">
        <f>(I22/100)</f>
        <v>#N/A</v>
      </c>
      <c r="J57" s="12" t="e">
        <f>(J22/100)</f>
        <v>#N/A</v>
      </c>
      <c r="K57" s="12" t="e">
        <f>(K22/100)</f>
        <v>#N/A</v>
      </c>
      <c r="L57" s="12" t="e">
        <f>(L22/100)</f>
        <v>#N/A</v>
      </c>
      <c r="M57" s="12" t="e">
        <f>(M22/100)</f>
        <v>#N/A</v>
      </c>
    </row>
    <row r="58">
      <c r="A58" s="0" t="inlineStr">
        <is>
          <t xml:space="preserve">Share of picks</t>
        </is>
      </c>
      <c r="B58" s="0" t="inlineStr">
        <is>
          <t xml:space="preserve">Random 7</t>
        </is>
      </c>
      <c r="C58" s="12" t="e">
        <f>(C23/100)</f>
        <v>#N/A</v>
      </c>
      <c r="D58" s="12" t="e">
        <f>(D23/100)</f>
        <v>#N/A</v>
      </c>
      <c r="E58" s="12" t="e">
        <f>(E23/100)</f>
        <v>#N/A</v>
      </c>
      <c r="F58" s="12" t="e">
        <f>(F23/100)</f>
        <v>#N/A</v>
      </c>
      <c r="G58" s="12" t="e">
        <f>(G23/100)</f>
        <v>#N/A</v>
      </c>
      <c r="H58" s="12" t="e">
        <f>(H23/100)</f>
        <v>#N/A</v>
      </c>
      <c r="I58" s="12" t="e">
        <f>(I23/100)</f>
        <v>#N/A</v>
      </c>
      <c r="J58" s="12" t="e">
        <f>(J23/100)</f>
        <v>#N/A</v>
      </c>
      <c r="K58" s="12" t="e">
        <f>(K23/100)</f>
        <v>#N/A</v>
      </c>
      <c r="L58" s="12" t="e">
        <f>(L23/100)</f>
        <v>#N/A</v>
      </c>
      <c r="M58" s="12" t="e">
        <f>(M23/100)</f>
        <v>#N/A</v>
      </c>
    </row>
    <row r="59">
      <c r="A59" s="0" t="inlineStr">
        <is>
          <t xml:space="preserve">Share of picks</t>
        </is>
      </c>
      <c r="B59" s="0" t="inlineStr">
        <is>
          <t xml:space="preserve">Random 8</t>
        </is>
      </c>
      <c r="C59" s="12" t="e">
        <f>(C24/100)</f>
        <v>#N/A</v>
      </c>
      <c r="D59" s="12" t="e">
        <f>(D24/100)</f>
        <v>#N/A</v>
      </c>
      <c r="E59" s="12" t="e">
        <f>(E24/100)</f>
        <v>#N/A</v>
      </c>
      <c r="F59" s="12" t="e">
        <f>(F24/100)</f>
        <v>#N/A</v>
      </c>
      <c r="G59" s="12" t="e">
        <f>(G24/100)</f>
        <v>#N/A</v>
      </c>
      <c r="H59" s="12" t="e">
        <f>(H24/100)</f>
        <v>#N/A</v>
      </c>
      <c r="I59" s="12" t="e">
        <f>(I24/100)</f>
        <v>#N/A</v>
      </c>
      <c r="J59" s="12" t="e">
        <f>(J24/100)</f>
        <v>#N/A</v>
      </c>
      <c r="K59" s="12" t="e">
        <f>(K24/100)</f>
        <v>#N/A</v>
      </c>
      <c r="L59" s="12" t="e">
        <f>(L24/100)</f>
        <v>#N/A</v>
      </c>
      <c r="M59" s="12" t="e">
        <f>(M24/100)</f>
        <v>#N/A</v>
      </c>
    </row>
    <row r="60">
      <c r="A60" s="0" t="inlineStr">
        <is>
          <t xml:space="preserve">Share of picks</t>
        </is>
      </c>
      <c r="B60" s="0" t="inlineStr">
        <is>
          <t xml:space="preserve">Random 9</t>
        </is>
      </c>
      <c r="C60" s="12" t="e">
        <f>(C25/100)</f>
        <v>#N/A</v>
      </c>
      <c r="D60" s="12" t="e">
        <f>(D25/100)</f>
        <v>#N/A</v>
      </c>
      <c r="E60" s="12" t="e">
        <f>(E25/100)</f>
        <v>#N/A</v>
      </c>
      <c r="F60" s="12" t="e">
        <f>(F25/100)</f>
        <v>#N/A</v>
      </c>
      <c r="G60" s="12" t="e">
        <f>(G25/100)</f>
        <v>#N/A</v>
      </c>
      <c r="H60" s="12" t="e">
        <f>(H25/100)</f>
        <v>#N/A</v>
      </c>
      <c r="I60" s="12" t="e">
        <f>(I25/100)</f>
        <v>#N/A</v>
      </c>
      <c r="J60" s="12" t="e">
        <f>(J25/100)</f>
        <v>#N/A</v>
      </c>
      <c r="K60" s="12" t="e">
        <f>(K25/100)</f>
        <v>#N/A</v>
      </c>
      <c r="L60" s="12" t="e">
        <f>(L25/100)</f>
        <v>#N/A</v>
      </c>
      <c r="M60" s="12" t="e">
        <f>(M25/100)</f>
        <v>#N/A</v>
      </c>
    </row>
    <row r="61">
      <c r="A61" s="0" t="inlineStr">
        <is>
          <t xml:space="preserve">Share of picks</t>
        </is>
      </c>
      <c r="B61" s="0" t="inlineStr">
        <is>
          <t xml:space="preserve">Random 10</t>
        </is>
      </c>
      <c r="C61" s="12" t="e">
        <f>(C26/100)</f>
        <v>#N/A</v>
      </c>
      <c r="D61" s="12" t="e">
        <f>(D26/100)</f>
        <v>#N/A</v>
      </c>
      <c r="E61" s="12" t="e">
        <f>(E26/100)</f>
        <v>#N/A</v>
      </c>
      <c r="F61" s="12" t="e">
        <f>(F26/100)</f>
        <v>#N/A</v>
      </c>
      <c r="G61" s="12" t="e">
        <f>(G26/100)</f>
        <v>#N/A</v>
      </c>
      <c r="H61" s="12" t="e">
        <f>(H26/100)</f>
        <v>#N/A</v>
      </c>
      <c r="I61" s="12" t="e">
        <f>(I26/100)</f>
        <v>#N/A</v>
      </c>
      <c r="J61" s="12" t="e">
        <f>(J26/100)</f>
        <v>#N/A</v>
      </c>
      <c r="K61" s="12" t="e">
        <f>(K26/100)</f>
        <v>#N/A</v>
      </c>
      <c r="L61" s="12" t="e">
        <f>(L26/100)</f>
        <v>#N/A</v>
      </c>
      <c r="M61" s="12" t="e">
        <f>(M26/100)</f>
        <v>#N/A</v>
      </c>
    </row>
    <row r="62">
      <c r="A62" s="0" t="inlineStr">
        <is>
          <t xml:space="preserve">Share of picks</t>
        </is>
      </c>
      <c r="B62" s="0" t="inlineStr">
        <is>
          <t xml:space="preserve">Random 11</t>
        </is>
      </c>
      <c r="C62" s="12" t="e">
        <f>(C27/100)</f>
        <v>#N/A</v>
      </c>
      <c r="D62" s="12" t="e">
        <f>(D27/100)</f>
        <v>#N/A</v>
      </c>
      <c r="E62" s="12" t="e">
        <f>(E27/100)</f>
        <v>#N/A</v>
      </c>
      <c r="F62" s="12" t="e">
        <f>(F27/100)</f>
        <v>#N/A</v>
      </c>
      <c r="G62" s="12" t="e">
        <f>(G27/100)</f>
        <v>#N/A</v>
      </c>
      <c r="H62" s="12" t="e">
        <f>(H27/100)</f>
        <v>#N/A</v>
      </c>
      <c r="I62" s="12" t="e">
        <f>(I27/100)</f>
        <v>#N/A</v>
      </c>
      <c r="J62" s="12" t="e">
        <f>(J27/100)</f>
        <v>#N/A</v>
      </c>
      <c r="K62" s="12" t="e">
        <f>(K27/100)</f>
        <v>#N/A</v>
      </c>
      <c r="L62" s="12" t="e">
        <f>(L27/100)</f>
        <v>#N/A</v>
      </c>
      <c r="M62" s="12" t="e">
        <f>(M27/100)</f>
        <v>#N/A</v>
      </c>
    </row>
    <row r="63">
      <c r="A63" s="0" t="inlineStr">
        <is>
          <t xml:space="preserve">Share of picks</t>
        </is>
      </c>
      <c r="B63" s="0" t="inlineStr">
        <is>
          <t xml:space="preserve">Random 12</t>
        </is>
      </c>
      <c r="C63" s="12" t="e">
        <f>(C28/100)</f>
        <v>#N/A</v>
      </c>
      <c r="D63" s="12" t="e">
        <f>(D28/100)</f>
        <v>#N/A</v>
      </c>
      <c r="E63" s="12" t="e">
        <f>(E28/100)</f>
        <v>#N/A</v>
      </c>
      <c r="F63" s="12" t="e">
        <f>(F28/100)</f>
        <v>#N/A</v>
      </c>
      <c r="G63" s="12" t="e">
        <f>(G28/100)</f>
        <v>#N/A</v>
      </c>
      <c r="H63" s="12" t="e">
        <f>(H28/100)</f>
        <v>#N/A</v>
      </c>
      <c r="I63" s="12" t="e">
        <f>(I28/100)</f>
        <v>#N/A</v>
      </c>
      <c r="J63" s="12" t="e">
        <f>(J28/100)</f>
        <v>#N/A</v>
      </c>
      <c r="K63" s="12" t="e">
        <f>(K28/100)</f>
        <v>#N/A</v>
      </c>
      <c r="L63" s="12" t="e">
        <f>(L28/100)</f>
        <v>#N/A</v>
      </c>
      <c r="M63" s="12" t="e">
        <f>(M28/100)</f>
        <v>#N/A</v>
      </c>
    </row>
    <row r="64">
      <c r="A64" s="0" t="inlineStr">
        <is>
          <t xml:space="preserve">Share of picks</t>
        </is>
      </c>
      <c r="B64" s="0" t="inlineStr">
        <is>
          <t xml:space="preserve">Random 13</t>
        </is>
      </c>
      <c r="C64" s="12" t="e">
        <f>(C29/100)</f>
        <v>#N/A</v>
      </c>
      <c r="D64" s="12" t="e">
        <f>(D29/100)</f>
        <v>#N/A</v>
      </c>
      <c r="E64" s="12" t="e">
        <f>(E29/100)</f>
        <v>#N/A</v>
      </c>
      <c r="F64" s="12" t="e">
        <f>(F29/100)</f>
        <v>#N/A</v>
      </c>
      <c r="G64" s="12" t="e">
        <f>(G29/100)</f>
        <v>#N/A</v>
      </c>
      <c r="H64" s="12" t="e">
        <f>(H29/100)</f>
        <v>#N/A</v>
      </c>
      <c r="I64" s="12" t="e">
        <f>(I29/100)</f>
        <v>#N/A</v>
      </c>
      <c r="J64" s="12" t="e">
        <f>(J29/100)</f>
        <v>#N/A</v>
      </c>
      <c r="K64" s="12" t="e">
        <f>(K29/100)</f>
        <v>#N/A</v>
      </c>
      <c r="L64" s="12" t="e">
        <f>(L29/100)</f>
        <v>#N/A</v>
      </c>
      <c r="M64" s="12" t="e">
        <f>(M29/100)</f>
        <v>#N/A</v>
      </c>
    </row>
    <row r="65">
      <c r="A65" s="0" t="inlineStr">
        <is>
          <t xml:space="preserve">Share of picks</t>
        </is>
      </c>
      <c r="B65" s="0" t="inlineStr">
        <is>
          <t xml:space="preserve">Random 14</t>
        </is>
      </c>
      <c r="C65" s="12" t="e">
        <f>(C30/100)</f>
        <v>#N/A</v>
      </c>
      <c r="D65" s="12" t="e">
        <f>(D30/100)</f>
        <v>#N/A</v>
      </c>
      <c r="E65" s="12" t="e">
        <f>(E30/100)</f>
        <v>#N/A</v>
      </c>
      <c r="F65" s="12" t="e">
        <f>(F30/100)</f>
        <v>#N/A</v>
      </c>
      <c r="G65" s="12" t="e">
        <f>(G30/100)</f>
        <v>#N/A</v>
      </c>
      <c r="H65" s="12" t="e">
        <f>(H30/100)</f>
        <v>#N/A</v>
      </c>
      <c r="I65" s="12" t="e">
        <f>(I30/100)</f>
        <v>#N/A</v>
      </c>
      <c r="J65" s="12" t="e">
        <f>(J30/100)</f>
        <v>#N/A</v>
      </c>
      <c r="K65" s="12" t="e">
        <f>(K30/100)</f>
        <v>#N/A</v>
      </c>
      <c r="L65" s="12" t="e">
        <f>(L30/100)</f>
        <v>#N/A</v>
      </c>
      <c r="M65" s="12" t="e">
        <f>(M30/100)</f>
        <v>#N/A</v>
      </c>
    </row>
    <row r="66">
      <c r="A66" s="0" t="inlineStr">
        <is>
          <t xml:space="preserve">Share of picks</t>
        </is>
      </c>
      <c r="B66" s="0" t="inlineStr">
        <is>
          <t xml:space="preserve">Random 15</t>
        </is>
      </c>
      <c r="C66" s="12" t="e">
        <f>(C31/100)</f>
        <v>#N/A</v>
      </c>
      <c r="D66" s="12" t="e">
        <f>(D31/100)</f>
        <v>#N/A</v>
      </c>
      <c r="E66" s="12" t="e">
        <f>(E31/100)</f>
        <v>#N/A</v>
      </c>
      <c r="F66" s="12" t="e">
        <f>(F31/100)</f>
        <v>#N/A</v>
      </c>
      <c r="G66" s="12" t="e">
        <f>(G31/100)</f>
        <v>#N/A</v>
      </c>
      <c r="H66" s="12" t="e">
        <f>(H31/100)</f>
        <v>#N/A</v>
      </c>
      <c r="I66" s="12" t="e">
        <f>(I31/100)</f>
        <v>#N/A</v>
      </c>
      <c r="J66" s="12" t="e">
        <f>(J31/100)</f>
        <v>#N/A</v>
      </c>
      <c r="K66" s="12" t="e">
        <f>(K31/100)</f>
        <v>#N/A</v>
      </c>
      <c r="L66" s="12" t="e">
        <f>(L31/100)</f>
        <v>#N/A</v>
      </c>
      <c r="M66" s="12" t="e">
        <f>(M31/100)</f>
        <v>#N/A</v>
      </c>
    </row>
    <row r="67">
      <c r="A67" s="0" t="inlineStr">
        <is>
          <t xml:space="preserve">Share of picks</t>
        </is>
      </c>
      <c r="B67" s="0" t="inlineStr">
        <is>
          <t xml:space="preserve">Random 16</t>
        </is>
      </c>
      <c r="C67" s="12" t="e">
        <f>(C32/100)</f>
        <v>#N/A</v>
      </c>
      <c r="D67" s="12" t="e">
        <f>(D32/100)</f>
        <v>#N/A</v>
      </c>
      <c r="E67" s="12" t="e">
        <f>(E32/100)</f>
        <v>#N/A</v>
      </c>
      <c r="F67" s="12" t="e">
        <f>(F32/100)</f>
        <v>#N/A</v>
      </c>
      <c r="G67" s="12" t="e">
        <f>(G32/100)</f>
        <v>#N/A</v>
      </c>
      <c r="H67" s="12" t="e">
        <f>(H32/100)</f>
        <v>#N/A</v>
      </c>
      <c r="I67" s="12" t="e">
        <f>(I32/100)</f>
        <v>#N/A</v>
      </c>
      <c r="J67" s="12" t="e">
        <f>(J32/100)</f>
        <v>#N/A</v>
      </c>
      <c r="K67" s="12" t="e">
        <f>(K32/100)</f>
        <v>#N/A</v>
      </c>
      <c r="L67" s="12" t="e">
        <f>(L32/100)</f>
        <v>#N/A</v>
      </c>
      <c r="M67" s="12" t="e">
        <f>(M32/100)</f>
        <v>#N/A</v>
      </c>
    </row>
    <row r="68">
      <c r="A68" s="0" t="inlineStr">
        <is>
          <t xml:space="preserve">Share of picks</t>
        </is>
      </c>
      <c r="B68" s="0" t="inlineStr">
        <is>
          <t xml:space="preserve">Random 17</t>
        </is>
      </c>
      <c r="C68" s="12" t="e">
        <f>(C33/100)</f>
        <v>#N/A</v>
      </c>
      <c r="D68" s="12" t="e">
        <f>(D33/100)</f>
        <v>#N/A</v>
      </c>
      <c r="E68" s="12" t="e">
        <f>(E33/100)</f>
        <v>#N/A</v>
      </c>
      <c r="F68" s="12" t="e">
        <f>(F33/100)</f>
        <v>#N/A</v>
      </c>
      <c r="G68" s="12" t="e">
        <f>(G33/100)</f>
        <v>#N/A</v>
      </c>
      <c r="H68" s="12" t="e">
        <f>(H33/100)</f>
        <v>#N/A</v>
      </c>
      <c r="I68" s="12" t="e">
        <f>(I33/100)</f>
        <v>#N/A</v>
      </c>
      <c r="J68" s="12" t="e">
        <f>(J33/100)</f>
        <v>#N/A</v>
      </c>
      <c r="K68" s="12" t="e">
        <f>(K33/100)</f>
        <v>#N/A</v>
      </c>
      <c r="L68" s="12" t="e">
        <f>(L33/100)</f>
        <v>#N/A</v>
      </c>
      <c r="M68" s="12" t="e">
        <f>(M33/100)</f>
        <v>#N/A</v>
      </c>
    </row>
    <row r="69">
      <c r="A69" s="0" t="inlineStr">
        <is>
          <t xml:space="preserve">Share of picks</t>
        </is>
      </c>
      <c r="B69" s="0" t="inlineStr">
        <is>
          <t xml:space="preserve">Random 18</t>
        </is>
      </c>
      <c r="C69" s="12" t="e">
        <f>(C34/100)</f>
        <v>#N/A</v>
      </c>
      <c r="D69" s="12" t="e">
        <f>(D34/100)</f>
        <v>#N/A</v>
      </c>
      <c r="E69" s="12" t="e">
        <f>(E34/100)</f>
        <v>#N/A</v>
      </c>
      <c r="F69" s="12" t="e">
        <f>(F34/100)</f>
        <v>#N/A</v>
      </c>
      <c r="G69" s="12" t="e">
        <f>(G34/100)</f>
        <v>#N/A</v>
      </c>
      <c r="H69" s="12" t="e">
        <f>(H34/100)</f>
        <v>#N/A</v>
      </c>
      <c r="I69" s="12" t="e">
        <f>(I34/100)</f>
        <v>#N/A</v>
      </c>
      <c r="J69" s="12" t="e">
        <f>(J34/100)</f>
        <v>#N/A</v>
      </c>
      <c r="K69" s="12" t="e">
        <f>(K34/100)</f>
        <v>#N/A</v>
      </c>
      <c r="L69" s="12" t="e">
        <f>(L34/100)</f>
        <v>#N/A</v>
      </c>
      <c r="M69" s="12" t="e">
        <f>(M34/100)</f>
        <v>#N/A</v>
      </c>
    </row>
    <row r="70">
      <c r="A70" s="0" t="inlineStr">
        <is>
          <t xml:space="preserve">Share of picks</t>
        </is>
      </c>
      <c r="B70" s="0" t="inlineStr">
        <is>
          <t xml:space="preserve">Random 19</t>
        </is>
      </c>
      <c r="C70" s="12" t="e">
        <f>(C35/100)</f>
        <v>#N/A</v>
      </c>
      <c r="D70" s="12" t="e">
        <f>(D35/100)</f>
        <v>#N/A</v>
      </c>
      <c r="E70" s="12" t="e">
        <f>(E35/100)</f>
        <v>#N/A</v>
      </c>
      <c r="F70" s="12" t="e">
        <f>(F35/100)</f>
        <v>#N/A</v>
      </c>
      <c r="G70" s="12" t="e">
        <f>(G35/100)</f>
        <v>#N/A</v>
      </c>
      <c r="H70" s="12" t="e">
        <f>(H35/100)</f>
        <v>#N/A</v>
      </c>
      <c r="I70" s="12" t="e">
        <f>(I35/100)</f>
        <v>#N/A</v>
      </c>
      <c r="J70" s="12" t="e">
        <f>(J35/100)</f>
        <v>#N/A</v>
      </c>
      <c r="K70" s="12" t="e">
        <f>(K35/100)</f>
        <v>#N/A</v>
      </c>
      <c r="L70" s="12" t="e">
        <f>(L35/100)</f>
        <v>#N/A</v>
      </c>
      <c r="M70" s="12" t="e">
        <f>(M35/100)</f>
        <v>#N/A</v>
      </c>
    </row>
    <row r="71">
      <c r="A71" s="0" t="inlineStr">
        <is>
          <t xml:space="preserve">Share of picks</t>
        </is>
      </c>
      <c r="B71" s="0" t="inlineStr">
        <is>
          <t xml:space="preserve">Random 20</t>
        </is>
      </c>
      <c r="C71" s="12" t="e">
        <f>(C36/100)</f>
        <v>#N/A</v>
      </c>
      <c r="D71" s="12" t="e">
        <f>(D36/100)</f>
        <v>#N/A</v>
      </c>
      <c r="E71" s="12" t="e">
        <f>(E36/100)</f>
        <v>#N/A</v>
      </c>
      <c r="F71" s="12" t="e">
        <f>(F36/100)</f>
        <v>#N/A</v>
      </c>
      <c r="G71" s="12" t="e">
        <f>(G36/100)</f>
        <v>#N/A</v>
      </c>
      <c r="H71" s="12" t="e">
        <f>(H36/100)</f>
        <v>#N/A</v>
      </c>
      <c r="I71" s="12" t="e">
        <f>(I36/100)</f>
        <v>#N/A</v>
      </c>
      <c r="J71" s="12" t="e">
        <f>(J36/100)</f>
        <v>#N/A</v>
      </c>
      <c r="K71" s="12" t="e">
        <f>(K36/100)</f>
        <v>#N/A</v>
      </c>
      <c r="L71" s="12" t="e">
        <f>(L36/100)</f>
        <v>#N/A</v>
      </c>
      <c r="M71" s="12" t="e">
        <f>(M36/100)</f>
        <v>#N/A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cols>
    <col min="1" max="1" width="18" customWidth="1"/>
    <col min="2" max="2" width="3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inlineStr">
        <is>
          <t xml:space="preserve">line</t>
        </is>
      </c>
      <c r="B1" s="1" t="inlineStr">
        <is>
          <t xml:space="preserve">pod_a</t>
        </is>
      </c>
      <c r="C1" s="1" t="inlineStr">
        <is>
          <t xml:space="preserve">Retail Attention Overnight</t>
        </is>
      </c>
      <c r="D1" s="1" t="inlineStr">
        <is>
          <t xml:space="preserve">Post-Earnings Drift, Overnight Leg</t>
        </is>
      </c>
      <c r="E1" s="1" t="inlineStr">
        <is>
          <t xml:space="preserve">Intraday-to-Overnight Reversal</t>
        </is>
      </c>
      <c r="F1" s="1" t="inlineStr">
        <is>
          <t xml:space="preserve">Analyst Revision Momentum</t>
        </is>
      </c>
      <c r="G1" s="1" t="inlineStr">
        <is>
          <t xml:space="preserve">Clustered Insider Buying</t>
        </is>
      </c>
      <c r="H1" s="1" t="inlineStr">
        <is>
          <t xml:space="preserve">Same-Month Seasonality</t>
        </is>
      </c>
      <c r="I1" s="1" t="inlineStr">
        <is>
          <t xml:space="preserve">Quality at a Reasonable Price</t>
        </is>
      </c>
      <c r="J1" s="1" t="inlineStr">
        <is>
          <t xml:space="preserve">Residual Momentum</t>
        </is>
      </c>
      <c r="K1" s="1" t="inlineStr">
        <is>
          <t xml:space="preserve">Overnight Return Persistence</t>
        </is>
      </c>
      <c r="L1" s="1" t="inlineStr">
        <is>
          <t xml:space="preserve">52-Week-High Anchoring</t>
        </is>
      </c>
    </row>
    <row r="2">
      <c r="A2" s="0" t="inlineStr">
        <is>
          <t xml:space="preserve">Shared picks</t>
        </is>
      </c>
      <c r="B2" s="0" t="inlineStr">
        <is>
          <t xml:space="preserve">Retail Attention Overnight</t>
        </is>
      </c>
      <c r="C2" s="4">
        <f>SUMIFS('Pick overlap (latest day)'!$D$2:$D$101,'Pick overlap (latest day)'!$B$2:$B$101,"=p01_attention",'Pick overlap (latest day)'!$C$2:$C$101,"=p01_attention")</f>
        <v>100</v>
      </c>
      <c r="D2" s="4">
        <f>SUMIFS('Pick overlap (latest day)'!$D$2:$D$101,'Pick overlap (latest day)'!$B$2:$B$101,"=p01_attention",'Pick overlap (latest day)'!$C$2:$C$101,"=p02_earnings_drift")</f>
        <v>6</v>
      </c>
      <c r="E2" s="4">
        <f>SUMIFS('Pick overlap (latest day)'!$D$2:$D$101,'Pick overlap (latest day)'!$B$2:$B$101,"=p01_attention",'Pick overlap (latest day)'!$C$2:$C$101,"=p03_intraday_reversal")</f>
        <v>23</v>
      </c>
      <c r="F2" s="4">
        <f>SUMIFS('Pick overlap (latest day)'!$D$2:$D$101,'Pick overlap (latest day)'!$B$2:$B$101,"=p01_attention",'Pick overlap (latest day)'!$C$2:$C$101,"=p04_analyst_revisions")</f>
        <v>9</v>
      </c>
      <c r="G2" s="4">
        <f>SUMIFS('Pick overlap (latest day)'!$D$2:$D$101,'Pick overlap (latest day)'!$B$2:$B$101,"=p01_attention",'Pick overlap (latest day)'!$C$2:$C$101,"=p05_insider_clusters")</f>
        <v>6</v>
      </c>
      <c r="H2" s="4">
        <f>SUMIFS('Pick overlap (latest day)'!$D$2:$D$101,'Pick overlap (latest day)'!$B$2:$B$101,"=p01_attention",'Pick overlap (latest day)'!$C$2:$C$101,"=p06_seasonality")</f>
        <v>10</v>
      </c>
      <c r="I2" s="4">
        <f>SUMIFS('Pick overlap (latest day)'!$D$2:$D$101,'Pick overlap (latest day)'!$B$2:$B$101,"=p01_attention",'Pick overlap (latest day)'!$C$2:$C$101,"=p07_quality_value")</f>
        <v>8</v>
      </c>
      <c r="J2" s="4">
        <f>SUMIFS('Pick overlap (latest day)'!$D$2:$D$101,'Pick overlap (latest day)'!$B$2:$B$101,"=p01_attention",'Pick overlap (latest day)'!$C$2:$C$101,"=p08_residual_momentum")</f>
        <v>8</v>
      </c>
      <c r="K2" s="4">
        <f>SUMIFS('Pick overlap (latest day)'!$D$2:$D$101,'Pick overlap (latest day)'!$B$2:$B$101,"=p01_attention",'Pick overlap (latest day)'!$C$2:$C$101,"=p09_overnight_persistence")</f>
        <v>2</v>
      </c>
      <c r="L2" s="4">
        <f>SUMIFS('Pick overlap (latest day)'!$D$2:$D$101,'Pick overlap (latest day)'!$B$2:$B$101,"=p01_attention",'Pick overlap (latest day)'!$C$2:$C$101,"=p10_52wk_high")</f>
        <v>13</v>
      </c>
    </row>
    <row r="3">
      <c r="A3" s="0" t="inlineStr">
        <is>
          <t xml:space="preserve">Shared picks</t>
        </is>
      </c>
      <c r="B3" s="0" t="inlineStr">
        <is>
          <t xml:space="preserve">Post-Earnings Drift, Overnight Leg</t>
        </is>
      </c>
      <c r="C3" s="4">
        <f>SUMIFS('Pick overlap (latest day)'!$D$2:$D$101,'Pick overlap (latest day)'!$B$2:$B$101,"=p02_earnings_drift",'Pick overlap (latest day)'!$C$2:$C$101,"=p01_attention")</f>
        <v>6</v>
      </c>
      <c r="D3" s="4">
        <f>SUMIFS('Pick overlap (latest day)'!$D$2:$D$101,'Pick overlap (latest day)'!$B$2:$B$101,"=p02_earnings_drift",'Pick overlap (latest day)'!$C$2:$C$101,"=p02_earnings_drift")</f>
        <v>100</v>
      </c>
      <c r="E3" s="4">
        <f>SUMIFS('Pick overlap (latest day)'!$D$2:$D$101,'Pick overlap (latest day)'!$B$2:$B$101,"=p02_earnings_drift",'Pick overlap (latest day)'!$C$2:$C$101,"=p03_intraday_reversal")</f>
        <v>5</v>
      </c>
      <c r="F3" s="4">
        <f>SUMIFS('Pick overlap (latest day)'!$D$2:$D$101,'Pick overlap (latest day)'!$B$2:$B$101,"=p02_earnings_drift",'Pick overlap (latest day)'!$C$2:$C$101,"=p04_analyst_revisions")</f>
        <v>6</v>
      </c>
      <c r="G3" s="4">
        <f>SUMIFS('Pick overlap (latest day)'!$D$2:$D$101,'Pick overlap (latest day)'!$B$2:$B$101,"=p02_earnings_drift",'Pick overlap (latest day)'!$C$2:$C$101,"=p05_insider_clusters")</f>
        <v>12</v>
      </c>
      <c r="H3" s="4">
        <f>SUMIFS('Pick overlap (latest day)'!$D$2:$D$101,'Pick overlap (latest day)'!$B$2:$B$101,"=p02_earnings_drift",'Pick overlap (latest day)'!$C$2:$C$101,"=p06_seasonality")</f>
        <v>7</v>
      </c>
      <c r="I3" s="4">
        <f>SUMIFS('Pick overlap (latest day)'!$D$2:$D$101,'Pick overlap (latest day)'!$B$2:$B$101,"=p02_earnings_drift",'Pick overlap (latest day)'!$C$2:$C$101,"=p07_quality_value")</f>
        <v>4</v>
      </c>
      <c r="J3" s="4">
        <f>SUMIFS('Pick overlap (latest day)'!$D$2:$D$101,'Pick overlap (latest day)'!$B$2:$B$101,"=p02_earnings_drift",'Pick overlap (latest day)'!$C$2:$C$101,"=p08_residual_momentum")</f>
        <v>3</v>
      </c>
      <c r="K3" s="4">
        <f>SUMIFS('Pick overlap (latest day)'!$D$2:$D$101,'Pick overlap (latest day)'!$B$2:$B$101,"=p02_earnings_drift",'Pick overlap (latest day)'!$C$2:$C$101,"=p09_overnight_persistence")</f>
        <v>9</v>
      </c>
      <c r="L3" s="4">
        <f>SUMIFS('Pick overlap (latest day)'!$D$2:$D$101,'Pick overlap (latest day)'!$B$2:$B$101,"=p02_earnings_drift",'Pick overlap (latest day)'!$C$2:$C$101,"=p10_52wk_high")</f>
        <v>8</v>
      </c>
    </row>
    <row r="4">
      <c r="A4" s="0" t="inlineStr">
        <is>
          <t xml:space="preserve">Shared picks</t>
        </is>
      </c>
      <c r="B4" s="0" t="inlineStr">
        <is>
          <t xml:space="preserve">Intraday-to-Overnight Reversal</t>
        </is>
      </c>
      <c r="C4" s="4">
        <f>SUMIFS('Pick overlap (latest day)'!$D$2:$D$101,'Pick overlap (latest day)'!$B$2:$B$101,"=p03_intraday_reversal",'Pick overlap (latest day)'!$C$2:$C$101,"=p01_attention")</f>
        <v>23</v>
      </c>
      <c r="D4" s="4">
        <f>SUMIFS('Pick overlap (latest day)'!$D$2:$D$101,'Pick overlap (latest day)'!$B$2:$B$101,"=p03_intraday_reversal",'Pick overlap (latest day)'!$C$2:$C$101,"=p02_earnings_drift")</f>
        <v>5</v>
      </c>
      <c r="E4" s="4">
        <f>SUMIFS('Pick overlap (latest day)'!$D$2:$D$101,'Pick overlap (latest day)'!$B$2:$B$101,"=p03_intraday_reversal",'Pick overlap (latest day)'!$C$2:$C$101,"=p03_intraday_reversal")</f>
        <v>100</v>
      </c>
      <c r="F4" s="4">
        <f>SUMIFS('Pick overlap (latest day)'!$D$2:$D$101,'Pick overlap (latest day)'!$B$2:$B$101,"=p03_intraday_reversal",'Pick overlap (latest day)'!$C$2:$C$101,"=p04_analyst_revisions")</f>
        <v>4</v>
      </c>
      <c r="G4" s="4">
        <f>SUMIFS('Pick overlap (latest day)'!$D$2:$D$101,'Pick overlap (latest day)'!$B$2:$B$101,"=p03_intraday_reversal",'Pick overlap (latest day)'!$C$2:$C$101,"=p05_insider_clusters")</f>
        <v>8</v>
      </c>
      <c r="H4" s="4">
        <f>SUMIFS('Pick overlap (latest day)'!$D$2:$D$101,'Pick overlap (latest day)'!$B$2:$B$101,"=p03_intraday_reversal",'Pick overlap (latest day)'!$C$2:$C$101,"=p06_seasonality")</f>
        <v>12</v>
      </c>
      <c r="I4" s="4">
        <f>SUMIFS('Pick overlap (latest day)'!$D$2:$D$101,'Pick overlap (latest day)'!$B$2:$B$101,"=p03_intraday_reversal",'Pick overlap (latest day)'!$C$2:$C$101,"=p07_quality_value")</f>
        <v>14</v>
      </c>
      <c r="J4" s="4">
        <f>SUMIFS('Pick overlap (latest day)'!$D$2:$D$101,'Pick overlap (latest day)'!$B$2:$B$101,"=p03_intraday_reversal",'Pick overlap (latest day)'!$C$2:$C$101,"=p08_residual_momentum")</f>
        <v>18</v>
      </c>
      <c r="K4" s="4">
        <f>SUMIFS('Pick overlap (latest day)'!$D$2:$D$101,'Pick overlap (latest day)'!$B$2:$B$101,"=p03_intraday_reversal",'Pick overlap (latest day)'!$C$2:$C$101,"=p09_overnight_persistence")</f>
        <v>11</v>
      </c>
      <c r="L4" s="4">
        <f>SUMIFS('Pick overlap (latest day)'!$D$2:$D$101,'Pick overlap (latest day)'!$B$2:$B$101,"=p03_intraday_reversal",'Pick overlap (latest day)'!$C$2:$C$101,"=p10_52wk_high")</f>
        <v>4</v>
      </c>
    </row>
    <row r="5">
      <c r="A5" s="0" t="inlineStr">
        <is>
          <t xml:space="preserve">Shared picks</t>
        </is>
      </c>
      <c r="B5" s="0" t="inlineStr">
        <is>
          <t xml:space="preserve">Analyst Revision Momentum</t>
        </is>
      </c>
      <c r="C5" s="4">
        <f>SUMIFS('Pick overlap (latest day)'!$D$2:$D$101,'Pick overlap (latest day)'!$B$2:$B$101,"=p04_analyst_revisions",'Pick overlap (latest day)'!$C$2:$C$101,"=p01_attention")</f>
        <v>9</v>
      </c>
      <c r="D5" s="4">
        <f>SUMIFS('Pick overlap (latest day)'!$D$2:$D$101,'Pick overlap (latest day)'!$B$2:$B$101,"=p04_analyst_revisions",'Pick overlap (latest day)'!$C$2:$C$101,"=p02_earnings_drift")</f>
        <v>6</v>
      </c>
      <c r="E5" s="4">
        <f>SUMIFS('Pick overlap (latest day)'!$D$2:$D$101,'Pick overlap (latest day)'!$B$2:$B$101,"=p04_analyst_revisions",'Pick overlap (latest day)'!$C$2:$C$101,"=p03_intraday_reversal")</f>
        <v>4</v>
      </c>
      <c r="F5" s="4">
        <f>SUMIFS('Pick overlap (latest day)'!$D$2:$D$101,'Pick overlap (latest day)'!$B$2:$B$101,"=p04_analyst_revisions",'Pick overlap (latest day)'!$C$2:$C$101,"=p04_analyst_revisions")</f>
        <v>100</v>
      </c>
      <c r="G5" s="4">
        <f>SUMIFS('Pick overlap (latest day)'!$D$2:$D$101,'Pick overlap (latest day)'!$B$2:$B$101,"=p04_analyst_revisions",'Pick overlap (latest day)'!$C$2:$C$101,"=p05_insider_clusters")</f>
        <v>7</v>
      </c>
      <c r="H5" s="4">
        <f>SUMIFS('Pick overlap (latest day)'!$D$2:$D$101,'Pick overlap (latest day)'!$B$2:$B$101,"=p04_analyst_revisions",'Pick overlap (latest day)'!$C$2:$C$101,"=p06_seasonality")</f>
        <v>11</v>
      </c>
      <c r="I5" s="4">
        <f>SUMIFS('Pick overlap (latest day)'!$D$2:$D$101,'Pick overlap (latest day)'!$B$2:$B$101,"=p04_analyst_revisions",'Pick overlap (latest day)'!$C$2:$C$101,"=p07_quality_value")</f>
        <v>6</v>
      </c>
      <c r="J5" s="4">
        <f>SUMIFS('Pick overlap (latest day)'!$D$2:$D$101,'Pick overlap (latest day)'!$B$2:$B$101,"=p04_analyst_revisions",'Pick overlap (latest day)'!$C$2:$C$101,"=p08_residual_momentum")</f>
        <v>2</v>
      </c>
      <c r="K5" s="4">
        <f>SUMIFS('Pick overlap (latest day)'!$D$2:$D$101,'Pick overlap (latest day)'!$B$2:$B$101,"=p04_analyst_revisions",'Pick overlap (latest day)'!$C$2:$C$101,"=p09_overnight_persistence")</f>
        <v>13</v>
      </c>
      <c r="L5" s="4">
        <f>SUMIFS('Pick overlap (latest day)'!$D$2:$D$101,'Pick overlap (latest day)'!$B$2:$B$101,"=p04_analyst_revisions",'Pick overlap (latest day)'!$C$2:$C$101,"=p10_52wk_high")</f>
        <v>13</v>
      </c>
    </row>
    <row r="6">
      <c r="A6" s="0" t="inlineStr">
        <is>
          <t xml:space="preserve">Shared picks</t>
        </is>
      </c>
      <c r="B6" s="0" t="inlineStr">
        <is>
          <t xml:space="preserve">Clustered Insider Buying</t>
        </is>
      </c>
      <c r="C6" s="4">
        <f>SUMIFS('Pick overlap (latest day)'!$D$2:$D$101,'Pick overlap (latest day)'!$B$2:$B$101,"=p05_insider_clusters",'Pick overlap (latest day)'!$C$2:$C$101,"=p01_attention")</f>
        <v>6</v>
      </c>
      <c r="D6" s="4">
        <f>SUMIFS('Pick overlap (latest day)'!$D$2:$D$101,'Pick overlap (latest day)'!$B$2:$B$101,"=p05_insider_clusters",'Pick overlap (latest day)'!$C$2:$C$101,"=p02_earnings_drift")</f>
        <v>12</v>
      </c>
      <c r="E6" s="4">
        <f>SUMIFS('Pick overlap (latest day)'!$D$2:$D$101,'Pick overlap (latest day)'!$B$2:$B$101,"=p05_insider_clusters",'Pick overlap (latest day)'!$C$2:$C$101,"=p03_intraday_reversal")</f>
        <v>8</v>
      </c>
      <c r="F6" s="4">
        <f>SUMIFS('Pick overlap (latest day)'!$D$2:$D$101,'Pick overlap (latest day)'!$B$2:$B$101,"=p05_insider_clusters",'Pick overlap (latest day)'!$C$2:$C$101,"=p04_analyst_revisions")</f>
        <v>7</v>
      </c>
      <c r="G6" s="4">
        <f>SUMIFS('Pick overlap (latest day)'!$D$2:$D$101,'Pick overlap (latest day)'!$B$2:$B$101,"=p05_insider_clusters",'Pick overlap (latest day)'!$C$2:$C$101,"=p05_insider_clusters")</f>
        <v>100</v>
      </c>
      <c r="H6" s="4">
        <f>SUMIFS('Pick overlap (latest day)'!$D$2:$D$101,'Pick overlap (latest day)'!$B$2:$B$101,"=p05_insider_clusters",'Pick overlap (latest day)'!$C$2:$C$101,"=p06_seasonality")</f>
        <v>5</v>
      </c>
      <c r="I6" s="4">
        <f>SUMIFS('Pick overlap (latest day)'!$D$2:$D$101,'Pick overlap (latest day)'!$B$2:$B$101,"=p05_insider_clusters",'Pick overlap (latest day)'!$C$2:$C$101,"=p07_quality_value")</f>
        <v>7</v>
      </c>
      <c r="J6" s="4">
        <f>SUMIFS('Pick overlap (latest day)'!$D$2:$D$101,'Pick overlap (latest day)'!$B$2:$B$101,"=p05_insider_clusters",'Pick overlap (latest day)'!$C$2:$C$101,"=p08_residual_momentum")</f>
        <v>10</v>
      </c>
      <c r="K6" s="4">
        <f>SUMIFS('Pick overlap (latest day)'!$D$2:$D$101,'Pick overlap (latest day)'!$B$2:$B$101,"=p05_insider_clusters",'Pick overlap (latest day)'!$C$2:$C$101,"=p09_overnight_persistence")</f>
        <v>10</v>
      </c>
      <c r="L6" s="4">
        <f>SUMIFS('Pick overlap (latest day)'!$D$2:$D$101,'Pick overlap (latest day)'!$B$2:$B$101,"=p05_insider_clusters",'Pick overlap (latest day)'!$C$2:$C$101,"=p10_52wk_high")</f>
        <v>10</v>
      </c>
    </row>
    <row r="7">
      <c r="A7" s="0" t="inlineStr">
        <is>
          <t xml:space="preserve">Shared picks</t>
        </is>
      </c>
      <c r="B7" s="0" t="inlineStr">
        <is>
          <t xml:space="preserve">Same-Month Seasonality</t>
        </is>
      </c>
      <c r="C7" s="4">
        <f>SUMIFS('Pick overlap (latest day)'!$D$2:$D$101,'Pick overlap (latest day)'!$B$2:$B$101,"=p06_seasonality",'Pick overlap (latest day)'!$C$2:$C$101,"=p01_attention")</f>
        <v>10</v>
      </c>
      <c r="D7" s="4">
        <f>SUMIFS('Pick overlap (latest day)'!$D$2:$D$101,'Pick overlap (latest day)'!$B$2:$B$101,"=p06_seasonality",'Pick overlap (latest day)'!$C$2:$C$101,"=p02_earnings_drift")</f>
        <v>7</v>
      </c>
      <c r="E7" s="4">
        <f>SUMIFS('Pick overlap (latest day)'!$D$2:$D$101,'Pick overlap (latest day)'!$B$2:$B$101,"=p06_seasonality",'Pick overlap (latest day)'!$C$2:$C$101,"=p03_intraday_reversal")</f>
        <v>12</v>
      </c>
      <c r="F7" s="4">
        <f>SUMIFS('Pick overlap (latest day)'!$D$2:$D$101,'Pick overlap (latest day)'!$B$2:$B$101,"=p06_seasonality",'Pick overlap (latest day)'!$C$2:$C$101,"=p04_analyst_revisions")</f>
        <v>11</v>
      </c>
      <c r="G7" s="4">
        <f>SUMIFS('Pick overlap (latest day)'!$D$2:$D$101,'Pick overlap (latest day)'!$B$2:$B$101,"=p06_seasonality",'Pick overlap (latest day)'!$C$2:$C$101,"=p05_insider_clusters")</f>
        <v>5</v>
      </c>
      <c r="H7" s="4">
        <f>SUMIFS('Pick overlap (latest day)'!$D$2:$D$101,'Pick overlap (latest day)'!$B$2:$B$101,"=p06_seasonality",'Pick overlap (latest day)'!$C$2:$C$101,"=p06_seasonality")</f>
        <v>100</v>
      </c>
      <c r="I7" s="4">
        <f>SUMIFS('Pick overlap (latest day)'!$D$2:$D$101,'Pick overlap (latest day)'!$B$2:$B$101,"=p06_seasonality",'Pick overlap (latest day)'!$C$2:$C$101,"=p07_quality_value")</f>
        <v>4</v>
      </c>
      <c r="J7" s="4">
        <f>SUMIFS('Pick overlap (latest day)'!$D$2:$D$101,'Pick overlap (latest day)'!$B$2:$B$101,"=p06_seasonality",'Pick overlap (latest day)'!$C$2:$C$101,"=p08_residual_momentum")</f>
        <v>3</v>
      </c>
      <c r="K7" s="4">
        <f>SUMIFS('Pick overlap (latest day)'!$D$2:$D$101,'Pick overlap (latest day)'!$B$2:$B$101,"=p06_seasonality",'Pick overlap (latest day)'!$C$2:$C$101,"=p09_overnight_persistence")</f>
        <v>11</v>
      </c>
      <c r="L7" s="4">
        <f>SUMIFS('Pick overlap (latest day)'!$D$2:$D$101,'Pick overlap (latest day)'!$B$2:$B$101,"=p06_seasonality",'Pick overlap (latest day)'!$C$2:$C$101,"=p10_52wk_high")</f>
        <v>3</v>
      </c>
    </row>
    <row r="8">
      <c r="A8" s="0" t="inlineStr">
        <is>
          <t xml:space="preserve">Shared picks</t>
        </is>
      </c>
      <c r="B8" s="0" t="inlineStr">
        <is>
          <t xml:space="preserve">Quality at a Reasonable Price</t>
        </is>
      </c>
      <c r="C8" s="4">
        <f>SUMIFS('Pick overlap (latest day)'!$D$2:$D$101,'Pick overlap (latest day)'!$B$2:$B$101,"=p07_quality_value",'Pick overlap (latest day)'!$C$2:$C$101,"=p01_attention")</f>
        <v>8</v>
      </c>
      <c r="D8" s="4">
        <f>SUMIFS('Pick overlap (latest day)'!$D$2:$D$101,'Pick overlap (latest day)'!$B$2:$B$101,"=p07_quality_value",'Pick overlap (latest day)'!$C$2:$C$101,"=p02_earnings_drift")</f>
        <v>4</v>
      </c>
      <c r="E8" s="4">
        <f>SUMIFS('Pick overlap (latest day)'!$D$2:$D$101,'Pick overlap (latest day)'!$B$2:$B$101,"=p07_quality_value",'Pick overlap (latest day)'!$C$2:$C$101,"=p03_intraday_reversal")</f>
        <v>14</v>
      </c>
      <c r="F8" s="4">
        <f>SUMIFS('Pick overlap (latest day)'!$D$2:$D$101,'Pick overlap (latest day)'!$B$2:$B$101,"=p07_quality_value",'Pick overlap (latest day)'!$C$2:$C$101,"=p04_analyst_revisions")</f>
        <v>6</v>
      </c>
      <c r="G8" s="4">
        <f>SUMIFS('Pick overlap (latest day)'!$D$2:$D$101,'Pick overlap (latest day)'!$B$2:$B$101,"=p07_quality_value",'Pick overlap (latest day)'!$C$2:$C$101,"=p05_insider_clusters")</f>
        <v>7</v>
      </c>
      <c r="H8" s="4">
        <f>SUMIFS('Pick overlap (latest day)'!$D$2:$D$101,'Pick overlap (latest day)'!$B$2:$B$101,"=p07_quality_value",'Pick overlap (latest day)'!$C$2:$C$101,"=p06_seasonality")</f>
        <v>4</v>
      </c>
      <c r="I8" s="4">
        <f>SUMIFS('Pick overlap (latest day)'!$D$2:$D$101,'Pick overlap (latest day)'!$B$2:$B$101,"=p07_quality_value",'Pick overlap (latest day)'!$C$2:$C$101,"=p07_quality_value")</f>
        <v>100</v>
      </c>
      <c r="J8" s="4">
        <f>SUMIFS('Pick overlap (latest day)'!$D$2:$D$101,'Pick overlap (latest day)'!$B$2:$B$101,"=p07_quality_value",'Pick overlap (latest day)'!$C$2:$C$101,"=p08_residual_momentum")</f>
        <v>12</v>
      </c>
      <c r="K8" s="4">
        <f>SUMIFS('Pick overlap (latest day)'!$D$2:$D$101,'Pick overlap (latest day)'!$B$2:$B$101,"=p07_quality_value",'Pick overlap (latest day)'!$C$2:$C$101,"=p09_overnight_persistence")</f>
        <v>2</v>
      </c>
      <c r="L8" s="4">
        <f>SUMIFS('Pick overlap (latest day)'!$D$2:$D$101,'Pick overlap (latest day)'!$B$2:$B$101,"=p07_quality_value",'Pick overlap (latest day)'!$C$2:$C$101,"=p10_52wk_high")</f>
        <v>5</v>
      </c>
    </row>
    <row r="9">
      <c r="A9" s="0" t="inlineStr">
        <is>
          <t xml:space="preserve">Shared picks</t>
        </is>
      </c>
      <c r="B9" s="0" t="inlineStr">
        <is>
          <t xml:space="preserve">Residual Momentum</t>
        </is>
      </c>
      <c r="C9" s="4">
        <f>SUMIFS('Pick overlap (latest day)'!$D$2:$D$101,'Pick overlap (latest day)'!$B$2:$B$101,"=p08_residual_momentum",'Pick overlap (latest day)'!$C$2:$C$101,"=p01_attention")</f>
        <v>8</v>
      </c>
      <c r="D9" s="4">
        <f>SUMIFS('Pick overlap (latest day)'!$D$2:$D$101,'Pick overlap (latest day)'!$B$2:$B$101,"=p08_residual_momentum",'Pick overlap (latest day)'!$C$2:$C$101,"=p02_earnings_drift")</f>
        <v>3</v>
      </c>
      <c r="E9" s="4">
        <f>SUMIFS('Pick overlap (latest day)'!$D$2:$D$101,'Pick overlap (latest day)'!$B$2:$B$101,"=p08_residual_momentum",'Pick overlap (latest day)'!$C$2:$C$101,"=p03_intraday_reversal")</f>
        <v>18</v>
      </c>
      <c r="F9" s="4">
        <f>SUMIFS('Pick overlap (latest day)'!$D$2:$D$101,'Pick overlap (latest day)'!$B$2:$B$101,"=p08_residual_momentum",'Pick overlap (latest day)'!$C$2:$C$101,"=p04_analyst_revisions")</f>
        <v>2</v>
      </c>
      <c r="G9" s="4">
        <f>SUMIFS('Pick overlap (latest day)'!$D$2:$D$101,'Pick overlap (latest day)'!$B$2:$B$101,"=p08_residual_momentum",'Pick overlap (latest day)'!$C$2:$C$101,"=p05_insider_clusters")</f>
        <v>10</v>
      </c>
      <c r="H9" s="4">
        <f>SUMIFS('Pick overlap (latest day)'!$D$2:$D$101,'Pick overlap (latest day)'!$B$2:$B$101,"=p08_residual_momentum",'Pick overlap (latest day)'!$C$2:$C$101,"=p06_seasonality")</f>
        <v>3</v>
      </c>
      <c r="I9" s="4">
        <f>SUMIFS('Pick overlap (latest day)'!$D$2:$D$101,'Pick overlap (latest day)'!$B$2:$B$101,"=p08_residual_momentum",'Pick overlap (latest day)'!$C$2:$C$101,"=p07_quality_value")</f>
        <v>12</v>
      </c>
      <c r="J9" s="4">
        <f>SUMIFS('Pick overlap (latest day)'!$D$2:$D$101,'Pick overlap (latest day)'!$B$2:$B$101,"=p08_residual_momentum",'Pick overlap (latest day)'!$C$2:$C$101,"=p08_residual_momentum")</f>
        <v>100</v>
      </c>
      <c r="K9" s="4">
        <f>SUMIFS('Pick overlap (latest day)'!$D$2:$D$101,'Pick overlap (latest day)'!$B$2:$B$101,"=p08_residual_momentum",'Pick overlap (latest day)'!$C$2:$C$101,"=p09_overnight_persistence")</f>
        <v>9</v>
      </c>
      <c r="L9" s="4">
        <f>SUMIFS('Pick overlap (latest day)'!$D$2:$D$101,'Pick overlap (latest day)'!$B$2:$B$101,"=p08_residual_momentum",'Pick overlap (latest day)'!$C$2:$C$101,"=p10_52wk_high")</f>
        <v>0</v>
      </c>
    </row>
    <row r="10">
      <c r="A10" s="0" t="inlineStr">
        <is>
          <t xml:space="preserve">Shared picks</t>
        </is>
      </c>
      <c r="B10" s="0" t="inlineStr">
        <is>
          <t xml:space="preserve">Overnight Return Persistence</t>
        </is>
      </c>
      <c r="C10" s="4">
        <f>SUMIFS('Pick overlap (latest day)'!$D$2:$D$101,'Pick overlap (latest day)'!$B$2:$B$101,"=p09_overnight_persistence",'Pick overlap (latest day)'!$C$2:$C$101,"=p01_attention")</f>
        <v>2</v>
      </c>
      <c r="D10" s="4">
        <f>SUMIFS('Pick overlap (latest day)'!$D$2:$D$101,'Pick overlap (latest day)'!$B$2:$B$101,"=p09_overnight_persistence",'Pick overlap (latest day)'!$C$2:$C$101,"=p02_earnings_drift")</f>
        <v>9</v>
      </c>
      <c r="E10" s="4">
        <f>SUMIFS('Pick overlap (latest day)'!$D$2:$D$101,'Pick overlap (latest day)'!$B$2:$B$101,"=p09_overnight_persistence",'Pick overlap (latest day)'!$C$2:$C$101,"=p03_intraday_reversal")</f>
        <v>11</v>
      </c>
      <c r="F10" s="4">
        <f>SUMIFS('Pick overlap (latest day)'!$D$2:$D$101,'Pick overlap (latest day)'!$B$2:$B$101,"=p09_overnight_persistence",'Pick overlap (latest day)'!$C$2:$C$101,"=p04_analyst_revisions")</f>
        <v>13</v>
      </c>
      <c r="G10" s="4">
        <f>SUMIFS('Pick overlap (latest day)'!$D$2:$D$101,'Pick overlap (latest day)'!$B$2:$B$101,"=p09_overnight_persistence",'Pick overlap (latest day)'!$C$2:$C$101,"=p05_insider_clusters")</f>
        <v>10</v>
      </c>
      <c r="H10" s="4">
        <f>SUMIFS('Pick overlap (latest day)'!$D$2:$D$101,'Pick overlap (latest day)'!$B$2:$B$101,"=p09_overnight_persistence",'Pick overlap (latest day)'!$C$2:$C$101,"=p06_seasonality")</f>
        <v>11</v>
      </c>
      <c r="I10" s="4">
        <f>SUMIFS('Pick overlap (latest day)'!$D$2:$D$101,'Pick overlap (latest day)'!$B$2:$B$101,"=p09_overnight_persistence",'Pick overlap (latest day)'!$C$2:$C$101,"=p07_quality_value")</f>
        <v>2</v>
      </c>
      <c r="J10" s="4">
        <f>SUMIFS('Pick overlap (latest day)'!$D$2:$D$101,'Pick overlap (latest day)'!$B$2:$B$101,"=p09_overnight_persistence",'Pick overlap (latest day)'!$C$2:$C$101,"=p08_residual_momentum")</f>
        <v>9</v>
      </c>
      <c r="K10" s="4">
        <f>SUMIFS('Pick overlap (latest day)'!$D$2:$D$101,'Pick overlap (latest day)'!$B$2:$B$101,"=p09_overnight_persistence",'Pick overlap (latest day)'!$C$2:$C$101,"=p09_overnight_persistence")</f>
        <v>100</v>
      </c>
      <c r="L10" s="4">
        <f>SUMIFS('Pick overlap (latest day)'!$D$2:$D$101,'Pick overlap (latest day)'!$B$2:$B$101,"=p09_overnight_persistence",'Pick overlap (latest day)'!$C$2:$C$101,"=p10_52wk_high")</f>
        <v>10</v>
      </c>
    </row>
    <row r="11">
      <c r="A11" s="0" t="inlineStr">
        <is>
          <t xml:space="preserve">Shared picks</t>
        </is>
      </c>
      <c r="B11" s="0" t="inlineStr">
        <is>
          <t xml:space="preserve">52-Week-High Anchoring</t>
        </is>
      </c>
      <c r="C11" s="4">
        <f>SUMIFS('Pick overlap (latest day)'!$D$2:$D$101,'Pick overlap (latest day)'!$B$2:$B$101,"=p10_52wk_high",'Pick overlap (latest day)'!$C$2:$C$101,"=p01_attention")</f>
        <v>13</v>
      </c>
      <c r="D11" s="4">
        <f>SUMIFS('Pick overlap (latest day)'!$D$2:$D$101,'Pick overlap (latest day)'!$B$2:$B$101,"=p10_52wk_high",'Pick overlap (latest day)'!$C$2:$C$101,"=p02_earnings_drift")</f>
        <v>8</v>
      </c>
      <c r="E11" s="4">
        <f>SUMIFS('Pick overlap (latest day)'!$D$2:$D$101,'Pick overlap (latest day)'!$B$2:$B$101,"=p10_52wk_high",'Pick overlap (latest day)'!$C$2:$C$101,"=p03_intraday_reversal")</f>
        <v>4</v>
      </c>
      <c r="F11" s="4">
        <f>SUMIFS('Pick overlap (latest day)'!$D$2:$D$101,'Pick overlap (latest day)'!$B$2:$B$101,"=p10_52wk_high",'Pick overlap (latest day)'!$C$2:$C$101,"=p04_analyst_revisions")</f>
        <v>13</v>
      </c>
      <c r="G11" s="4">
        <f>SUMIFS('Pick overlap (latest day)'!$D$2:$D$101,'Pick overlap (latest day)'!$B$2:$B$101,"=p10_52wk_high",'Pick overlap (latest day)'!$C$2:$C$101,"=p05_insider_clusters")</f>
        <v>10</v>
      </c>
      <c r="H11" s="4">
        <f>SUMIFS('Pick overlap (latest day)'!$D$2:$D$101,'Pick overlap (latest day)'!$B$2:$B$101,"=p10_52wk_high",'Pick overlap (latest day)'!$C$2:$C$101,"=p06_seasonality")</f>
        <v>3</v>
      </c>
      <c r="I11" s="4">
        <f>SUMIFS('Pick overlap (latest day)'!$D$2:$D$101,'Pick overlap (latest day)'!$B$2:$B$101,"=p10_52wk_high",'Pick overlap (latest day)'!$C$2:$C$101,"=p07_quality_value")</f>
        <v>5</v>
      </c>
      <c r="J11" s="4">
        <f>SUMIFS('Pick overlap (latest day)'!$D$2:$D$101,'Pick overlap (latest day)'!$B$2:$B$101,"=p10_52wk_high",'Pick overlap (latest day)'!$C$2:$C$101,"=p08_residual_momentum")</f>
        <v>0</v>
      </c>
      <c r="K11" s="4">
        <f>SUMIFS('Pick overlap (latest day)'!$D$2:$D$101,'Pick overlap (latest day)'!$B$2:$B$101,"=p10_52wk_high",'Pick overlap (latest day)'!$C$2:$C$101,"=p09_overnight_persistence")</f>
        <v>10</v>
      </c>
      <c r="L11" s="4">
        <f>SUMIFS('Pick overlap (latest day)'!$D$2:$D$101,'Pick overlap (latest day)'!$B$2:$B$101,"=p10_52wk_high",'Pick overlap (latest day)'!$C$2:$C$101,"=p10_52wk_high")</f>
        <v>100</v>
      </c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sep26</t>
        </is>
      </c>
      <c r="B2" s="0" t="inlineStr">
        <is>
          <t xml:space="preserve">Sep-26</t>
        </is>
      </c>
      <c r="C2" s="16">
        <v>46266</v>
      </c>
      <c r="D2" s="16">
        <v>46295</v>
      </c>
      <c r="E2" s="0" t="inlineStr">
        <is>
          <t xml:space="preserve">fcst</t>
        </is>
      </c>
      <c r="F2" s="4">
        <v>2026</v>
      </c>
      <c r="G2" s="0" t="inlineStr">
        <is>
          <t xml:space="preserve">Q3 2026</t>
        </is>
      </c>
      <c r="H2" s="4">
        <v>0</v>
      </c>
    </row>
    <row r="3">
      <c r="A3" s="0" t="inlineStr">
        <is>
          <t xml:space="preserve">oct26</t>
        </is>
      </c>
      <c r="B3" s="0" t="inlineStr">
        <is>
          <t xml:space="preserve">Oct-26</t>
        </is>
      </c>
      <c r="C3" s="16">
        <v>46296</v>
      </c>
      <c r="D3" s="16">
        <v>46326</v>
      </c>
      <c r="E3" s="0" t="inlineStr">
        <is>
          <t xml:space="preserve">fcst</t>
        </is>
      </c>
      <c r="F3" s="4">
        <v>2026</v>
      </c>
      <c r="G3" s="0" t="inlineStr">
        <is>
          <t xml:space="preserve">Q4 2026</t>
        </is>
      </c>
      <c r="H3" s="4">
        <v>1</v>
      </c>
    </row>
    <row r="4">
      <c r="A4" s="0" t="inlineStr">
        <is>
          <t xml:space="preserve">nov26</t>
        </is>
      </c>
      <c r="B4" s="0" t="inlineStr">
        <is>
          <t xml:space="preserve">Nov-26</t>
        </is>
      </c>
      <c r="C4" s="16">
        <v>46327</v>
      </c>
      <c r="D4" s="16">
        <v>46356</v>
      </c>
      <c r="E4" s="0" t="inlineStr">
        <is>
          <t xml:space="preserve">fcst</t>
        </is>
      </c>
      <c r="F4" s="4">
        <v>2026</v>
      </c>
      <c r="G4" s="0" t="inlineStr">
        <is>
          <t xml:space="preserve">Q4 2026</t>
        </is>
      </c>
      <c r="H4" s="4">
        <v>2</v>
      </c>
    </row>
    <row r="5">
      <c r="A5" s="0" t="inlineStr">
        <is>
          <t xml:space="preserve">dec26</t>
        </is>
      </c>
      <c r="B5" s="0" t="inlineStr">
        <is>
          <t xml:space="preserve">Dec-26</t>
        </is>
      </c>
      <c r="C5" s="16">
        <v>46357</v>
      </c>
      <c r="D5" s="16">
        <v>46387</v>
      </c>
      <c r="E5" s="0" t="inlineStr">
        <is>
          <t xml:space="preserve">fcst</t>
        </is>
      </c>
      <c r="F5" s="4">
        <v>2026</v>
      </c>
      <c r="G5" s="0" t="inlineStr">
        <is>
          <t xml:space="preserve">Q4 2026</t>
        </is>
      </c>
      <c r="H5" s="4">
        <v>3</v>
      </c>
    </row>
    <row r="6">
      <c r="A6" s="0" t="inlineStr">
        <is>
          <t xml:space="preserve">jan27</t>
        </is>
      </c>
      <c r="B6" s="0" t="inlineStr">
        <is>
          <t xml:space="preserve">Jan-27</t>
        </is>
      </c>
      <c r="C6" s="16">
        <v>46388</v>
      </c>
      <c r="D6" s="16">
        <v>46418</v>
      </c>
      <c r="E6" s="0" t="inlineStr">
        <is>
          <t xml:space="preserve">fcst</t>
        </is>
      </c>
      <c r="F6" s="4">
        <v>2027</v>
      </c>
      <c r="G6" s="0" t="inlineStr">
        <is>
          <t xml:space="preserve">Q1 2027</t>
        </is>
      </c>
      <c r="H6" s="4">
        <v>4</v>
      </c>
    </row>
    <row r="7">
      <c r="A7" s="0" t="inlineStr">
        <is>
          <t xml:space="preserve">feb27</t>
        </is>
      </c>
      <c r="B7" s="0" t="inlineStr">
        <is>
          <t xml:space="preserve">Feb-27</t>
        </is>
      </c>
      <c r="C7" s="16">
        <v>46419</v>
      </c>
      <c r="D7" s="16">
        <v>46446</v>
      </c>
      <c r="E7" s="0" t="inlineStr">
        <is>
          <t xml:space="preserve">fcst</t>
        </is>
      </c>
      <c r="F7" s="4">
        <v>2027</v>
      </c>
      <c r="G7" s="0" t="inlineStr">
        <is>
          <t xml:space="preserve">Q1 2027</t>
        </is>
      </c>
      <c r="H7" s="4">
        <v>5</v>
      </c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kind</t>
        </is>
      </c>
      <c r="D1" s="1" t="inlineStr">
        <is>
          <t xml:space="preserve">family</t>
        </is>
      </c>
      <c r="E1" s="1" t="inlineStr">
        <is>
          <t xml:space="preserve">isolated</t>
        </is>
      </c>
      <c r="F1" s="1" t="inlineStr">
        <is>
          <t xml:space="preserve">signature</t>
        </is>
      </c>
    </row>
    <row r="2">
      <c r="A2" s="0" t="inlineStr">
        <is>
          <t xml:space="preserve">naive_loser1d</t>
        </is>
      </c>
      <c r="B2" s="0" t="inlineStr">
        <is>
          <t xml:space="preserve">worst 100 by yesterday's close-to-close return</t>
        </is>
      </c>
      <c r="C2" s="0" t="inlineStr">
        <is>
          <t xml:space="preserve">naive</t>
        </is>
      </c>
      <c r="D2" s="0" t="inlineStr">
        <is>
          <t xml:space="preserve">baseline</t>
        </is>
      </c>
      <c r="E2" s="4">
        <v>0</v>
      </c>
      <c r="F2" s="0"/>
    </row>
    <row r="3">
      <c r="A3" s="0" t="inlineStr">
        <is>
          <t xml:space="preserve">naive_lowvol</t>
        </is>
      </c>
      <c r="B3" s="0" t="inlineStr">
        <is>
          <t xml:space="preserve">lowest 100 by 60-day volatility</t>
        </is>
      </c>
      <c r="C3" s="0" t="inlineStr">
        <is>
          <t xml:space="preserve">naive</t>
        </is>
      </c>
      <c r="D3" s="0" t="inlineStr">
        <is>
          <t xml:space="preserve">baseline</t>
        </is>
      </c>
      <c r="E3" s="4">
        <v>0</v>
      </c>
      <c r="F3" s="0"/>
    </row>
    <row r="4">
      <c r="A4" s="0" t="inlineStr">
        <is>
          <t xml:space="preserve">naive_mcap</t>
        </is>
      </c>
      <c r="B4" s="0" t="inlineStr">
        <is>
          <t xml:space="preserve">largest 100 by market cap</t>
        </is>
      </c>
      <c r="C4" s="0" t="inlineStr">
        <is>
          <t xml:space="preserve">naive</t>
        </is>
      </c>
      <c r="D4" s="0" t="inlineStr">
        <is>
          <t xml:space="preserve">baseline</t>
        </is>
      </c>
      <c r="E4" s="4">
        <v>0</v>
      </c>
      <c r="F4" s="0"/>
    </row>
    <row r="5">
      <c r="A5" s="0" t="inlineStr">
        <is>
          <t xml:space="preserve">naive_mom</t>
        </is>
      </c>
      <c r="B5" s="0" t="inlineStr">
        <is>
          <t xml:space="preserve">top 100 by 12-1 month return</t>
        </is>
      </c>
      <c r="C5" s="0" t="inlineStr">
        <is>
          <t xml:space="preserve">naive</t>
        </is>
      </c>
      <c r="D5" s="0" t="inlineStr">
        <is>
          <t xml:space="preserve">baseline</t>
        </is>
      </c>
      <c r="E5" s="4">
        <v>0</v>
      </c>
      <c r="F5" s="0"/>
    </row>
    <row r="6">
      <c r="A6" s="0" t="inlineStr">
        <is>
          <t xml:space="preserve">naive_winner1d</t>
        </is>
      </c>
      <c r="B6" s="0" t="inlineStr">
        <is>
          <t xml:space="preserve">best 100 by yesterday's close-to-close return</t>
        </is>
      </c>
      <c r="C6" s="0" t="inlineStr">
        <is>
          <t xml:space="preserve">naive</t>
        </is>
      </c>
      <c r="D6" s="0" t="inlineStr">
        <is>
          <t xml:space="preserve">baseline</t>
        </is>
      </c>
      <c r="E6" s="4">
        <v>0</v>
      </c>
      <c r="F6" s="0"/>
    </row>
    <row r="7">
      <c r="A7" s="0" t="inlineStr">
        <is>
          <t xml:space="preserve">p01_attention</t>
        </is>
      </c>
      <c r="B7" s="0" t="inlineStr">
        <is>
          <t xml:space="preserve">Retail Attention Overnight</t>
        </is>
      </c>
      <c r="C7" s="0" t="inlineStr">
        <is>
          <t xml:space="preserve">llm</t>
        </is>
      </c>
      <c r="D7" s="0" t="inlineStr">
        <is>
          <t xml:space="preserve">investor attention &amp; flows</t>
        </is>
      </c>
      <c r="E7" s="4">
        <v>0</v>
      </c>
      <c r="F7" s="0" t="inlineStr">
        <is>
          <t xml:space="preserve">abnormal news-article count over trailing 3 sessions</t>
        </is>
      </c>
    </row>
    <row r="8">
      <c r="A8" s="0" t="inlineStr">
        <is>
          <t xml:space="preserve">p02_earnings_drift</t>
        </is>
      </c>
      <c r="B8" s="0" t="inlineStr">
        <is>
          <t xml:space="preserve">Post-Earnings Drift, Overnight Leg</t>
        </is>
      </c>
      <c r="C8" s="0" t="inlineStr">
        <is>
          <t xml:space="preserve">llm</t>
        </is>
      </c>
      <c r="D8" s="0" t="inlineStr">
        <is>
          <t xml:space="preserve">behavioral bias / underreaction</t>
        </is>
      </c>
      <c r="E8" s="4">
        <v>0</v>
      </c>
      <c r="F8" s="0" t="inlineStr">
        <is>
          <t xml:space="preserve">standardized EPS surprise of the most recent report within the last 15 sessions</t>
        </is>
      </c>
    </row>
    <row r="9">
      <c r="A9" s="0" t="inlineStr">
        <is>
          <t xml:space="preserve">p03_intraday_reversal</t>
        </is>
      </c>
      <c r="B9" s="0" t="inlineStr">
        <is>
          <t xml:space="preserve">Intraday-to-Overnight Reversal</t>
        </is>
      </c>
      <c r="C9" s="0" t="inlineStr">
        <is>
          <t xml:space="preserve">llm</t>
        </is>
      </c>
      <c r="D9" s="0" t="inlineStr">
        <is>
          <t xml:space="preserve">market microstructure / liquidity</t>
        </is>
      </c>
      <c r="E9" s="4">
        <v>0</v>
      </c>
      <c r="F9" s="0" t="inlineStr">
        <is>
          <t xml:space="preserve">sector-residual open-to-close return of the last session, z-scored by 60-day intraday volatility</t>
        </is>
      </c>
    </row>
    <row r="10">
      <c r="A10" s="0" t="inlineStr">
        <is>
          <t xml:space="preserve">p04_analyst_revisions</t>
        </is>
      </c>
      <c r="B10" s="0" t="inlineStr">
        <is>
          <t xml:space="preserve">Analyst Revision Momentum</t>
        </is>
      </c>
      <c r="C10" s="0" t="inlineStr">
        <is>
          <t xml:space="preserve">llm</t>
        </is>
      </c>
      <c r="D10" s="0" t="inlineStr">
        <is>
          <t xml:space="preserve">analyst &amp; institutional behavior</t>
        </is>
      </c>
      <c r="E10" s="4">
        <v>0</v>
      </c>
      <c r="F10" s="0" t="inlineStr">
        <is>
          <t xml:space="preserve">net upgrade count over the trailing 20 sessions divided by number of grading firms</t>
        </is>
      </c>
    </row>
    <row r="11">
      <c r="A11" s="0" t="inlineStr">
        <is>
          <t xml:space="preserve">p05_insider_clusters</t>
        </is>
      </c>
      <c r="B11" s="0" t="inlineStr">
        <is>
          <t xml:space="preserve">Clustered Insider Buying</t>
        </is>
      </c>
      <c r="C11" s="0" t="inlineStr">
        <is>
          <t xml:space="preserve">llm</t>
        </is>
      </c>
      <c r="D11" s="0" t="inlineStr">
        <is>
          <t xml:space="preserve">information diffusion / informed traders</t>
        </is>
      </c>
      <c r="E11" s="4">
        <v>0</v>
      </c>
      <c r="F11" s="0" t="inlineStr">
        <is>
          <t xml:space="preserve">number of distinct insiders with open-market purchases in the trailing 30 days</t>
        </is>
      </c>
    </row>
    <row r="12">
      <c r="A12" s="0" t="inlineStr">
        <is>
          <t xml:space="preserve">p06_seasonality</t>
        </is>
      </c>
      <c r="B12" s="0" t="inlineStr">
        <is>
          <t xml:space="preserve">Same-Month Seasonality</t>
        </is>
      </c>
      <c r="C12" s="0" t="inlineStr">
        <is>
          <t xml:space="preserve">llm</t>
        </is>
      </c>
      <c r="D12" s="0" t="inlineStr">
        <is>
          <t xml:space="preserve">seasonality / calendar</t>
        </is>
      </c>
      <c r="E12" s="4">
        <v>0</v>
      </c>
      <c r="F12" s="0" t="inlineStr">
        <is>
          <t xml:space="preserve">average return in the same calendar month over the prior 4 years</t>
        </is>
      </c>
    </row>
    <row r="13">
      <c r="A13" s="0" t="inlineStr">
        <is>
          <t xml:space="preserve">p07_quality_value</t>
        </is>
      </c>
      <c r="B13" s="0" t="inlineStr">
        <is>
          <t xml:space="preserve">Quality at a Reasonable Price</t>
        </is>
      </c>
      <c r="C13" s="0" t="inlineStr">
        <is>
          <t xml:space="preserve">llm</t>
        </is>
      </c>
      <c r="D13" s="0" t="inlineStr">
        <is>
          <t xml:space="preserve">risk premium</t>
        </is>
      </c>
      <c r="E13" s="4">
        <v>1</v>
      </c>
      <c r="F13" s="0" t="inlineStr">
        <is>
          <t xml:space="preserve">gross profit to total assets (TTM)</t>
        </is>
      </c>
    </row>
    <row r="14">
      <c r="A14" s="0" t="inlineStr">
        <is>
          <t xml:space="preserve">p08_residual_momentum</t>
        </is>
      </c>
      <c r="B14" s="0" t="inlineStr">
        <is>
          <t xml:space="preserve">Residual Momentum</t>
        </is>
      </c>
      <c r="C14" s="0" t="inlineStr">
        <is>
          <t xml:space="preserve">llm</t>
        </is>
      </c>
      <c r="D14" s="0" t="inlineStr">
        <is>
          <t xml:space="preserve">behavioral bias / underreaction</t>
        </is>
      </c>
      <c r="E14" s="4">
        <v>0</v>
      </c>
      <c r="F14" s="0" t="inlineStr">
        <is>
          <t xml:space="preserve">12-1 month return residualized on market and sector, scaled by residual volatility</t>
        </is>
      </c>
    </row>
    <row r="15">
      <c r="A15" s="0" t="inlineStr">
        <is>
          <t xml:space="preserve">p09_overnight_persistence</t>
        </is>
      </c>
      <c r="B15" s="0" t="inlineStr">
        <is>
          <t xml:space="preserve">Overnight Return Persistence</t>
        </is>
      </c>
      <c r="C15" s="0" t="inlineStr">
        <is>
          <t xml:space="preserve">llm</t>
        </is>
      </c>
      <c r="D15" s="0" t="inlineStr">
        <is>
          <t xml:space="preserve">investor attention &amp; flows</t>
        </is>
      </c>
      <c r="E15" s="4">
        <v>0</v>
      </c>
      <c r="F15" s="0" t="inlineStr">
        <is>
          <t xml:space="preserve">trailing 60-session mean overnight return divided by its standard deviation</t>
        </is>
      </c>
    </row>
    <row r="16">
      <c r="A16" s="0" t="inlineStr">
        <is>
          <t xml:space="preserve">p10_52wk_high</t>
        </is>
      </c>
      <c r="B16" s="0" t="inlineStr">
        <is>
          <t xml:space="preserve">52-Week-High Anchoring</t>
        </is>
      </c>
      <c r="C16" s="0" t="inlineStr">
        <is>
          <t xml:space="preserve">llm</t>
        </is>
      </c>
      <c r="D16" s="0" t="inlineStr">
        <is>
          <t xml:space="preserve">behavioral bias / underreaction</t>
        </is>
      </c>
      <c r="E16" s="4">
        <v>1</v>
      </c>
      <c r="F16" s="0" t="inlineStr">
        <is>
          <t xml:space="preserve">close price divided by the trailing 252-session high</t>
        </is>
      </c>
    </row>
    <row r="17">
      <c r="A17" s="0" t="inlineStr">
        <is>
          <t xml:space="preserve">random_01</t>
        </is>
      </c>
      <c r="B17" s="0" t="inlineStr">
        <is>
          <t xml:space="preserve">Random 1</t>
        </is>
      </c>
      <c r="C17" s="0" t="inlineStr">
        <is>
          <t xml:space="preserve">random</t>
        </is>
      </c>
      <c r="D17" s="0" t="inlineStr">
        <is>
          <t xml:space="preserve">null</t>
        </is>
      </c>
      <c r="E17" s="4">
        <v>0</v>
      </c>
      <c r="F17" s="0"/>
    </row>
    <row r="18">
      <c r="A18" s="0" t="inlineStr">
        <is>
          <t xml:space="preserve">random_02</t>
        </is>
      </c>
      <c r="B18" s="0" t="inlineStr">
        <is>
          <t xml:space="preserve">Random 2</t>
        </is>
      </c>
      <c r="C18" s="0" t="inlineStr">
        <is>
          <t xml:space="preserve">random</t>
        </is>
      </c>
      <c r="D18" s="0" t="inlineStr">
        <is>
          <t xml:space="preserve">null</t>
        </is>
      </c>
      <c r="E18" s="4">
        <v>0</v>
      </c>
      <c r="F18" s="0"/>
    </row>
    <row r="19">
      <c r="A19" s="0" t="inlineStr">
        <is>
          <t xml:space="preserve">random_03</t>
        </is>
      </c>
      <c r="B19" s="0" t="inlineStr">
        <is>
          <t xml:space="preserve">Random 3</t>
        </is>
      </c>
      <c r="C19" s="0" t="inlineStr">
        <is>
          <t xml:space="preserve">random</t>
        </is>
      </c>
      <c r="D19" s="0" t="inlineStr">
        <is>
          <t xml:space="preserve">null</t>
        </is>
      </c>
      <c r="E19" s="4">
        <v>0</v>
      </c>
      <c r="F19" s="0"/>
    </row>
    <row r="20">
      <c r="A20" s="0" t="inlineStr">
        <is>
          <t xml:space="preserve">random_04</t>
        </is>
      </c>
      <c r="B20" s="0" t="inlineStr">
        <is>
          <t xml:space="preserve">Random 4</t>
        </is>
      </c>
      <c r="C20" s="0" t="inlineStr">
        <is>
          <t xml:space="preserve">random</t>
        </is>
      </c>
      <c r="D20" s="0" t="inlineStr">
        <is>
          <t xml:space="preserve">null</t>
        </is>
      </c>
      <c r="E20" s="4">
        <v>0</v>
      </c>
      <c r="F20" s="0"/>
    </row>
    <row r="21">
      <c r="A21" s="0" t="inlineStr">
        <is>
          <t xml:space="preserve">random_05</t>
        </is>
      </c>
      <c r="B21" s="0" t="inlineStr">
        <is>
          <t xml:space="preserve">Random 5</t>
        </is>
      </c>
      <c r="C21" s="0" t="inlineStr">
        <is>
          <t xml:space="preserve">random</t>
        </is>
      </c>
      <c r="D21" s="0" t="inlineStr">
        <is>
          <t xml:space="preserve">null</t>
        </is>
      </c>
      <c r="E21" s="4">
        <v>0</v>
      </c>
      <c r="F21" s="0"/>
    </row>
    <row r="22">
      <c r="A22" s="0" t="inlineStr">
        <is>
          <t xml:space="preserve">random_06</t>
        </is>
      </c>
      <c r="B22" s="0" t="inlineStr">
        <is>
          <t xml:space="preserve">Random 6</t>
        </is>
      </c>
      <c r="C22" s="0" t="inlineStr">
        <is>
          <t xml:space="preserve">random</t>
        </is>
      </c>
      <c r="D22" s="0" t="inlineStr">
        <is>
          <t xml:space="preserve">null</t>
        </is>
      </c>
      <c r="E22" s="4">
        <v>0</v>
      </c>
      <c r="F22" s="0"/>
    </row>
    <row r="23">
      <c r="A23" s="0" t="inlineStr">
        <is>
          <t xml:space="preserve">random_07</t>
        </is>
      </c>
      <c r="B23" s="0" t="inlineStr">
        <is>
          <t xml:space="preserve">Random 7</t>
        </is>
      </c>
      <c r="C23" s="0" t="inlineStr">
        <is>
          <t xml:space="preserve">random</t>
        </is>
      </c>
      <c r="D23" s="0" t="inlineStr">
        <is>
          <t xml:space="preserve">null</t>
        </is>
      </c>
      <c r="E23" s="4">
        <v>0</v>
      </c>
      <c r="F23" s="0"/>
    </row>
    <row r="24">
      <c r="A24" s="0" t="inlineStr">
        <is>
          <t xml:space="preserve">random_08</t>
        </is>
      </c>
      <c r="B24" s="0" t="inlineStr">
        <is>
          <t xml:space="preserve">Random 8</t>
        </is>
      </c>
      <c r="C24" s="0" t="inlineStr">
        <is>
          <t xml:space="preserve">random</t>
        </is>
      </c>
      <c r="D24" s="0" t="inlineStr">
        <is>
          <t xml:space="preserve">null</t>
        </is>
      </c>
      <c r="E24" s="4">
        <v>0</v>
      </c>
      <c r="F24" s="0"/>
    </row>
    <row r="25">
      <c r="A25" s="0" t="inlineStr">
        <is>
          <t xml:space="preserve">random_09</t>
        </is>
      </c>
      <c r="B25" s="0" t="inlineStr">
        <is>
          <t xml:space="preserve">Random 9</t>
        </is>
      </c>
      <c r="C25" s="0" t="inlineStr">
        <is>
          <t xml:space="preserve">random</t>
        </is>
      </c>
      <c r="D25" s="0" t="inlineStr">
        <is>
          <t xml:space="preserve">null</t>
        </is>
      </c>
      <c r="E25" s="4">
        <v>0</v>
      </c>
      <c r="F25" s="0"/>
    </row>
    <row r="26">
      <c r="A26" s="0" t="inlineStr">
        <is>
          <t xml:space="preserve">random_10</t>
        </is>
      </c>
      <c r="B26" s="0" t="inlineStr">
        <is>
          <t xml:space="preserve">Random 10</t>
        </is>
      </c>
      <c r="C26" s="0" t="inlineStr">
        <is>
          <t xml:space="preserve">random</t>
        </is>
      </c>
      <c r="D26" s="0" t="inlineStr">
        <is>
          <t xml:space="preserve">null</t>
        </is>
      </c>
      <c r="E26" s="4">
        <v>0</v>
      </c>
      <c r="F26" s="0"/>
    </row>
    <row r="27">
      <c r="A27" s="0" t="inlineStr">
        <is>
          <t xml:space="preserve">random_11</t>
        </is>
      </c>
      <c r="B27" s="0" t="inlineStr">
        <is>
          <t xml:space="preserve">Random 11</t>
        </is>
      </c>
      <c r="C27" s="0" t="inlineStr">
        <is>
          <t xml:space="preserve">random</t>
        </is>
      </c>
      <c r="D27" s="0" t="inlineStr">
        <is>
          <t xml:space="preserve">null</t>
        </is>
      </c>
      <c r="E27" s="4">
        <v>0</v>
      </c>
      <c r="F27" s="0"/>
    </row>
    <row r="28">
      <c r="A28" s="0" t="inlineStr">
        <is>
          <t xml:space="preserve">random_12</t>
        </is>
      </c>
      <c r="B28" s="0" t="inlineStr">
        <is>
          <t xml:space="preserve">Random 12</t>
        </is>
      </c>
      <c r="C28" s="0" t="inlineStr">
        <is>
          <t xml:space="preserve">random</t>
        </is>
      </c>
      <c r="D28" s="0" t="inlineStr">
        <is>
          <t xml:space="preserve">null</t>
        </is>
      </c>
      <c r="E28" s="4">
        <v>0</v>
      </c>
      <c r="F28" s="0"/>
    </row>
    <row r="29">
      <c r="A29" s="0" t="inlineStr">
        <is>
          <t xml:space="preserve">random_13</t>
        </is>
      </c>
      <c r="B29" s="0" t="inlineStr">
        <is>
          <t xml:space="preserve">Random 13</t>
        </is>
      </c>
      <c r="C29" s="0" t="inlineStr">
        <is>
          <t xml:space="preserve">random</t>
        </is>
      </c>
      <c r="D29" s="0" t="inlineStr">
        <is>
          <t xml:space="preserve">null</t>
        </is>
      </c>
      <c r="E29" s="4">
        <v>0</v>
      </c>
      <c r="F29" s="0"/>
    </row>
    <row r="30">
      <c r="A30" s="0" t="inlineStr">
        <is>
          <t xml:space="preserve">random_14</t>
        </is>
      </c>
      <c r="B30" s="0" t="inlineStr">
        <is>
          <t xml:space="preserve">Random 14</t>
        </is>
      </c>
      <c r="C30" s="0" t="inlineStr">
        <is>
          <t xml:space="preserve">random</t>
        </is>
      </c>
      <c r="D30" s="0" t="inlineStr">
        <is>
          <t xml:space="preserve">null</t>
        </is>
      </c>
      <c r="E30" s="4">
        <v>0</v>
      </c>
      <c r="F30" s="0"/>
    </row>
    <row r="31">
      <c r="A31" s="0" t="inlineStr">
        <is>
          <t xml:space="preserve">random_15</t>
        </is>
      </c>
      <c r="B31" s="0" t="inlineStr">
        <is>
          <t xml:space="preserve">Random 15</t>
        </is>
      </c>
      <c r="C31" s="0" t="inlineStr">
        <is>
          <t xml:space="preserve">random</t>
        </is>
      </c>
      <c r="D31" s="0" t="inlineStr">
        <is>
          <t xml:space="preserve">null</t>
        </is>
      </c>
      <c r="E31" s="4">
        <v>0</v>
      </c>
      <c r="F31" s="0"/>
    </row>
    <row r="32">
      <c r="A32" s="0" t="inlineStr">
        <is>
          <t xml:space="preserve">random_16</t>
        </is>
      </c>
      <c r="B32" s="0" t="inlineStr">
        <is>
          <t xml:space="preserve">Random 16</t>
        </is>
      </c>
      <c r="C32" s="0" t="inlineStr">
        <is>
          <t xml:space="preserve">random</t>
        </is>
      </c>
      <c r="D32" s="0" t="inlineStr">
        <is>
          <t xml:space="preserve">null</t>
        </is>
      </c>
      <c r="E32" s="4">
        <v>0</v>
      </c>
      <c r="F32" s="0"/>
    </row>
    <row r="33">
      <c r="A33" s="0" t="inlineStr">
        <is>
          <t xml:space="preserve">random_17</t>
        </is>
      </c>
      <c r="B33" s="0" t="inlineStr">
        <is>
          <t xml:space="preserve">Random 17</t>
        </is>
      </c>
      <c r="C33" s="0" t="inlineStr">
        <is>
          <t xml:space="preserve">random</t>
        </is>
      </c>
      <c r="D33" s="0" t="inlineStr">
        <is>
          <t xml:space="preserve">null</t>
        </is>
      </c>
      <c r="E33" s="4">
        <v>0</v>
      </c>
      <c r="F33" s="0"/>
    </row>
    <row r="34">
      <c r="A34" s="0" t="inlineStr">
        <is>
          <t xml:space="preserve">random_18</t>
        </is>
      </c>
      <c r="B34" s="0" t="inlineStr">
        <is>
          <t xml:space="preserve">Random 18</t>
        </is>
      </c>
      <c r="C34" s="0" t="inlineStr">
        <is>
          <t xml:space="preserve">random</t>
        </is>
      </c>
      <c r="D34" s="0" t="inlineStr">
        <is>
          <t xml:space="preserve">null</t>
        </is>
      </c>
      <c r="E34" s="4">
        <v>0</v>
      </c>
      <c r="F34" s="0"/>
    </row>
    <row r="35">
      <c r="A35" s="0" t="inlineStr">
        <is>
          <t xml:space="preserve">random_19</t>
        </is>
      </c>
      <c r="B35" s="0" t="inlineStr">
        <is>
          <t xml:space="preserve">Random 19</t>
        </is>
      </c>
      <c r="C35" s="0" t="inlineStr">
        <is>
          <t xml:space="preserve">random</t>
        </is>
      </c>
      <c r="D35" s="0" t="inlineStr">
        <is>
          <t xml:space="preserve">null</t>
        </is>
      </c>
      <c r="E35" s="4">
        <v>0</v>
      </c>
      <c r="F35" s="0"/>
    </row>
    <row r="36">
      <c r="A36" s="0" t="inlineStr">
        <is>
          <t xml:space="preserve">random_20</t>
        </is>
      </c>
      <c r="B36" s="0" t="inlineStr">
        <is>
          <t xml:space="preserve">Random 20</t>
        </is>
      </c>
      <c r="C36" s="0" t="inlineStr">
        <is>
          <t xml:space="preserve">random</t>
        </is>
      </c>
      <c r="D36" s="0" t="inlineStr">
        <is>
          <t xml:space="preserve">null</t>
        </is>
      </c>
      <c r="E36" s="4">
        <v>0</v>
      </c>
      <c r="F36" s="0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p01_attention</t>
        </is>
      </c>
      <c r="B2" s="0" t="inlineStr">
        <is>
          <t xml:space="preserve">Retail Attention Overnight</t>
        </is>
      </c>
    </row>
    <row r="3">
      <c r="A3" s="0" t="inlineStr">
        <is>
          <t xml:space="preserve">p02_earnings_drift</t>
        </is>
      </c>
      <c r="B3" s="0" t="inlineStr">
        <is>
          <t xml:space="preserve">Post-Earnings Drift, Overnight Leg</t>
        </is>
      </c>
    </row>
    <row r="4">
      <c r="A4" s="0" t="inlineStr">
        <is>
          <t xml:space="preserve">p03_intraday_reversal</t>
        </is>
      </c>
      <c r="B4" s="0" t="inlineStr">
        <is>
          <t xml:space="preserve">Intraday-to-Overnight Reversal</t>
        </is>
      </c>
    </row>
    <row r="5">
      <c r="A5" s="0" t="inlineStr">
        <is>
          <t xml:space="preserve">p04_analyst_revisions</t>
        </is>
      </c>
      <c r="B5" s="0" t="inlineStr">
        <is>
          <t xml:space="preserve">Analyst Revision Momentum</t>
        </is>
      </c>
    </row>
    <row r="6">
      <c r="A6" s="0" t="inlineStr">
        <is>
          <t xml:space="preserve">p05_insider_clusters</t>
        </is>
      </c>
      <c r="B6" s="0" t="inlineStr">
        <is>
          <t xml:space="preserve">Clustered Insider Buying</t>
        </is>
      </c>
    </row>
    <row r="7">
      <c r="A7" s="0" t="inlineStr">
        <is>
          <t xml:space="preserve">p06_seasonality</t>
        </is>
      </c>
      <c r="B7" s="0" t="inlineStr">
        <is>
          <t xml:space="preserve">Same-Month Seasonality</t>
        </is>
      </c>
    </row>
    <row r="8">
      <c r="A8" s="0" t="inlineStr">
        <is>
          <t xml:space="preserve">p07_quality_value</t>
        </is>
      </c>
      <c r="B8" s="0" t="inlineStr">
        <is>
          <t xml:space="preserve">Quality at a Reasonable Price</t>
        </is>
      </c>
    </row>
    <row r="9">
      <c r="A9" s="0" t="inlineStr">
        <is>
          <t xml:space="preserve">p08_residual_momentum</t>
        </is>
      </c>
      <c r="B9" s="0" t="inlineStr">
        <is>
          <t xml:space="preserve">Residual Momentum</t>
        </is>
      </c>
    </row>
    <row r="10">
      <c r="A10" s="0" t="inlineStr">
        <is>
          <t xml:space="preserve">p09_overnight_persistence</t>
        </is>
      </c>
      <c r="B10" s="0" t="inlineStr">
        <is>
          <t xml:space="preserve">Overnight Return Persistence</t>
        </is>
      </c>
    </row>
    <row r="11">
      <c r="A11" s="0" t="inlineStr">
        <is>
          <t xml:space="preserve">p10_52wk_high</t>
        </is>
      </c>
      <c r="B11" s="0" t="inlineStr">
        <is>
          <t xml:space="preserve">52-Week-High Anchoring</t>
        </is>
      </c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p01_attention</t>
        </is>
      </c>
      <c r="B2" s="0" t="inlineStr">
        <is>
          <t xml:space="preserve">Retail Attention Overnight</t>
        </is>
      </c>
    </row>
    <row r="3">
      <c r="A3" s="0" t="inlineStr">
        <is>
          <t xml:space="preserve">p02_earnings_drift</t>
        </is>
      </c>
      <c r="B3" s="0" t="inlineStr">
        <is>
          <t xml:space="preserve">Post-Earnings Drift, Overnight Leg</t>
        </is>
      </c>
    </row>
    <row r="4">
      <c r="A4" s="0" t="inlineStr">
        <is>
          <t xml:space="preserve">p03_intraday_reversal</t>
        </is>
      </c>
      <c r="B4" s="0" t="inlineStr">
        <is>
          <t xml:space="preserve">Intraday-to-Overnight Reversal</t>
        </is>
      </c>
    </row>
    <row r="5">
      <c r="A5" s="0" t="inlineStr">
        <is>
          <t xml:space="preserve">p04_analyst_revisions</t>
        </is>
      </c>
      <c r="B5" s="0" t="inlineStr">
        <is>
          <t xml:space="preserve">Analyst Revision Momentum</t>
        </is>
      </c>
    </row>
    <row r="6">
      <c r="A6" s="0" t="inlineStr">
        <is>
          <t xml:space="preserve">p05_insider_clusters</t>
        </is>
      </c>
      <c r="B6" s="0" t="inlineStr">
        <is>
          <t xml:space="preserve">Clustered Insider Buying</t>
        </is>
      </c>
    </row>
    <row r="7">
      <c r="A7" s="0" t="inlineStr">
        <is>
          <t xml:space="preserve">p06_seasonality</t>
        </is>
      </c>
      <c r="B7" s="0" t="inlineStr">
        <is>
          <t xml:space="preserve">Same-Month Seasonality</t>
        </is>
      </c>
    </row>
    <row r="8">
      <c r="A8" s="0" t="inlineStr">
        <is>
          <t xml:space="preserve">p07_quality_value</t>
        </is>
      </c>
      <c r="B8" s="0" t="inlineStr">
        <is>
          <t xml:space="preserve">Quality at a Reasonable Price</t>
        </is>
      </c>
    </row>
    <row r="9">
      <c r="A9" s="0" t="inlineStr">
        <is>
          <t xml:space="preserve">p08_residual_momentum</t>
        </is>
      </c>
      <c r="B9" s="0" t="inlineStr">
        <is>
          <t xml:space="preserve">Residual Momentum</t>
        </is>
      </c>
    </row>
    <row r="10">
      <c r="A10" s="0" t="inlineStr">
        <is>
          <t xml:space="preserve">p09_overnight_persistence</t>
        </is>
      </c>
      <c r="B10" s="0" t="inlineStr">
        <is>
          <t xml:space="preserve">Overnight Return Persistence</t>
        </is>
      </c>
    </row>
    <row r="11">
      <c r="A11" s="0" t="inlineStr">
        <is>
          <t xml:space="preserve">p10_52wk_high</t>
        </is>
      </c>
      <c r="B11" s="0" t="inlineStr">
        <is>
          <t xml:space="preserve">52-Week-High Anchoring</t>
        </is>
      </c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date</t>
        </is>
      </c>
      <c r="D1" s="1" t="inlineStr">
        <is>
          <t xml:space="preserve">idx</t>
        </is>
      </c>
      <c r="E1" s="1" t="inlineStr">
        <is>
          <t xml:space="preserve">evaluated</t>
        </is>
      </c>
      <c r="F1" s="1" t="inlineStr">
        <is>
          <t xml:space="preserve">month</t>
        </is>
      </c>
      <c r="G1" s="1" t="inlineStr">
        <is>
          <t xml:space="preserve">is_latest_pick</t>
        </is>
      </c>
    </row>
    <row r="2">
      <c r="A2" s="0" t="inlineStr">
        <is>
          <t xml:space="preserve">d20260922</t>
        </is>
      </c>
      <c r="B2" s="0" t="inlineStr">
        <is>
          <t xml:space="preserve">09-22</t>
        </is>
      </c>
      <c r="C2" s="16">
        <v>46287</v>
      </c>
      <c r="D2" s="4">
        <v>1</v>
      </c>
      <c r="E2" s="4">
        <v>1</v>
      </c>
      <c r="F2" s="0" t="inlineStr">
        <is>
          <t xml:space="preserve">sep26</t>
        </is>
      </c>
      <c r="G2" s="4">
        <v>0</v>
      </c>
    </row>
    <row r="3">
      <c r="A3" s="0" t="inlineStr">
        <is>
          <t xml:space="preserve">d20260923</t>
        </is>
      </c>
      <c r="B3" s="0" t="inlineStr">
        <is>
          <t xml:space="preserve">09-23</t>
        </is>
      </c>
      <c r="C3" s="16">
        <v>46288</v>
      </c>
      <c r="D3" s="4">
        <v>2</v>
      </c>
      <c r="E3" s="4">
        <v>0</v>
      </c>
      <c r="F3" s="0" t="inlineStr">
        <is>
          <t xml:space="preserve">sep26</t>
        </is>
      </c>
      <c r="G3" s="4">
        <v>1</v>
      </c>
    </row>
    <row r="4">
      <c r="A4" s="0" t="inlineStr">
        <is>
          <t xml:space="preserve">d20260924</t>
        </is>
      </c>
      <c r="B4" s="0" t="inlineStr">
        <is>
          <t xml:space="preserve">09-24</t>
        </is>
      </c>
      <c r="C4" s="16">
        <v>46289</v>
      </c>
      <c r="D4" s="4">
        <v>3</v>
      </c>
      <c r="E4" s="4">
        <v>0</v>
      </c>
      <c r="F4" s="0" t="inlineStr">
        <is>
          <t xml:space="preserve">sep26</t>
        </is>
      </c>
      <c r="G4" s="4">
        <v>0</v>
      </c>
    </row>
    <row r="5">
      <c r="A5" s="0" t="inlineStr">
        <is>
          <t xml:space="preserve">d20260925</t>
        </is>
      </c>
      <c r="B5" s="0" t="inlineStr">
        <is>
          <t xml:space="preserve">09-25</t>
        </is>
      </c>
      <c r="C5" s="16">
        <v>46290</v>
      </c>
      <c r="D5" s="4">
        <v>4</v>
      </c>
      <c r="E5" s="4">
        <v>0</v>
      </c>
      <c r="F5" s="0" t="inlineStr">
        <is>
          <t xml:space="preserve">sep26</t>
        </is>
      </c>
      <c r="G5" s="4">
        <v>0</v>
      </c>
    </row>
    <row r="6">
      <c r="A6" s="0" t="inlineStr">
        <is>
          <t xml:space="preserve">d20260928</t>
        </is>
      </c>
      <c r="B6" s="0" t="inlineStr">
        <is>
          <t xml:space="preserve">09-28</t>
        </is>
      </c>
      <c r="C6" s="16">
        <v>46293</v>
      </c>
      <c r="D6" s="4">
        <v>5</v>
      </c>
      <c r="E6" s="4">
        <v>0</v>
      </c>
      <c r="F6" s="0" t="inlineStr">
        <is>
          <t xml:space="preserve">sep26</t>
        </is>
      </c>
      <c r="G6" s="4">
        <v>0</v>
      </c>
    </row>
    <row r="7">
      <c r="A7" s="0" t="inlineStr">
        <is>
          <t xml:space="preserve">d20260929</t>
        </is>
      </c>
      <c r="B7" s="0" t="inlineStr">
        <is>
          <t xml:space="preserve">09-29</t>
        </is>
      </c>
      <c r="C7" s="16">
        <v>46294</v>
      </c>
      <c r="D7" s="4">
        <v>6</v>
      </c>
      <c r="E7" s="4">
        <v>0</v>
      </c>
      <c r="F7" s="0" t="inlineStr">
        <is>
          <t xml:space="preserve">sep26</t>
        </is>
      </c>
      <c r="G7" s="4">
        <v>0</v>
      </c>
    </row>
    <row r="8">
      <c r="A8" s="0" t="inlineStr">
        <is>
          <t xml:space="preserve">d20260930</t>
        </is>
      </c>
      <c r="B8" s="0" t="inlineStr">
        <is>
          <t xml:space="preserve">09-30</t>
        </is>
      </c>
      <c r="C8" s="16">
        <v>46295</v>
      </c>
      <c r="D8" s="4">
        <v>7</v>
      </c>
      <c r="E8" s="4">
        <v>0</v>
      </c>
      <c r="F8" s="0" t="inlineStr">
        <is>
          <t xml:space="preserve">sep26</t>
        </is>
      </c>
      <c r="G8" s="4">
        <v>0</v>
      </c>
    </row>
    <row r="9">
      <c r="A9" s="0" t="inlineStr">
        <is>
          <t xml:space="preserve">d20261001</t>
        </is>
      </c>
      <c r="B9" s="0" t="inlineStr">
        <is>
          <t xml:space="preserve">10-01</t>
        </is>
      </c>
      <c r="C9" s="16">
        <v>46296</v>
      </c>
      <c r="D9" s="4">
        <v>8</v>
      </c>
      <c r="E9" s="4">
        <v>0</v>
      </c>
      <c r="F9" s="0" t="inlineStr">
        <is>
          <t xml:space="preserve">oct26</t>
        </is>
      </c>
      <c r="G9" s="4">
        <v>0</v>
      </c>
    </row>
    <row r="10">
      <c r="A10" s="0" t="inlineStr">
        <is>
          <t xml:space="preserve">d20261002</t>
        </is>
      </c>
      <c r="B10" s="0" t="inlineStr">
        <is>
          <t xml:space="preserve">10-02</t>
        </is>
      </c>
      <c r="C10" s="16">
        <v>46297</v>
      </c>
      <c r="D10" s="4">
        <v>9</v>
      </c>
      <c r="E10" s="4">
        <v>0</v>
      </c>
      <c r="F10" s="0" t="inlineStr">
        <is>
          <t xml:space="preserve">oct26</t>
        </is>
      </c>
      <c r="G10" s="4">
        <v>0</v>
      </c>
    </row>
    <row r="11">
      <c r="A11" s="0" t="inlineStr">
        <is>
          <t xml:space="preserve">d20261005</t>
        </is>
      </c>
      <c r="B11" s="0" t="inlineStr">
        <is>
          <t xml:space="preserve">10-05</t>
        </is>
      </c>
      <c r="C11" s="16">
        <v>46300</v>
      </c>
      <c r="D11" s="4">
        <v>10</v>
      </c>
      <c r="E11" s="4">
        <v>0</v>
      </c>
      <c r="F11" s="0" t="inlineStr">
        <is>
          <t xml:space="preserve">oct26</t>
        </is>
      </c>
      <c r="G11" s="4">
        <v>0</v>
      </c>
    </row>
    <row r="12">
      <c r="A12" s="0" t="inlineStr">
        <is>
          <t xml:space="preserve">d20261006</t>
        </is>
      </c>
      <c r="B12" s="0" t="inlineStr">
        <is>
          <t xml:space="preserve">10-06</t>
        </is>
      </c>
      <c r="C12" s="16">
        <v>46301</v>
      </c>
      <c r="D12" s="4">
        <v>11</v>
      </c>
      <c r="E12" s="4">
        <v>0</v>
      </c>
      <c r="F12" s="0" t="inlineStr">
        <is>
          <t xml:space="preserve">oct26</t>
        </is>
      </c>
      <c r="G12" s="4">
        <v>0</v>
      </c>
    </row>
    <row r="13">
      <c r="A13" s="0" t="inlineStr">
        <is>
          <t xml:space="preserve">d20261007</t>
        </is>
      </c>
      <c r="B13" s="0" t="inlineStr">
        <is>
          <t xml:space="preserve">10-07</t>
        </is>
      </c>
      <c r="C13" s="16">
        <v>46302</v>
      </c>
      <c r="D13" s="4">
        <v>12</v>
      </c>
      <c r="E13" s="4">
        <v>0</v>
      </c>
      <c r="F13" s="0" t="inlineStr">
        <is>
          <t xml:space="preserve">oct26</t>
        </is>
      </c>
      <c r="G13" s="4">
        <v>0</v>
      </c>
    </row>
    <row r="14">
      <c r="A14" s="0" t="inlineStr">
        <is>
          <t xml:space="preserve">d20261008</t>
        </is>
      </c>
      <c r="B14" s="0" t="inlineStr">
        <is>
          <t xml:space="preserve">10-08</t>
        </is>
      </c>
      <c r="C14" s="16">
        <v>46303</v>
      </c>
      <c r="D14" s="4">
        <v>13</v>
      </c>
      <c r="E14" s="4">
        <v>0</v>
      </c>
      <c r="F14" s="0" t="inlineStr">
        <is>
          <t xml:space="preserve">oct26</t>
        </is>
      </c>
      <c r="G14" s="4">
        <v>0</v>
      </c>
    </row>
    <row r="15">
      <c r="A15" s="0" t="inlineStr">
        <is>
          <t xml:space="preserve">d20261009</t>
        </is>
      </c>
      <c r="B15" s="0" t="inlineStr">
        <is>
          <t xml:space="preserve">10-09</t>
        </is>
      </c>
      <c r="C15" s="16">
        <v>46304</v>
      </c>
      <c r="D15" s="4">
        <v>14</v>
      </c>
      <c r="E15" s="4">
        <v>0</v>
      </c>
      <c r="F15" s="0" t="inlineStr">
        <is>
          <t xml:space="preserve">oct26</t>
        </is>
      </c>
      <c r="G15" s="4">
        <v>0</v>
      </c>
    </row>
    <row r="16">
      <c r="A16" s="0" t="inlineStr">
        <is>
          <t xml:space="preserve">d20261012</t>
        </is>
      </c>
      <c r="B16" s="0" t="inlineStr">
        <is>
          <t xml:space="preserve">10-12</t>
        </is>
      </c>
      <c r="C16" s="16">
        <v>46307</v>
      </c>
      <c r="D16" s="4">
        <v>15</v>
      </c>
      <c r="E16" s="4">
        <v>0</v>
      </c>
      <c r="F16" s="0" t="inlineStr">
        <is>
          <t xml:space="preserve">oct26</t>
        </is>
      </c>
      <c r="G16" s="4">
        <v>0</v>
      </c>
    </row>
    <row r="17">
      <c r="A17" s="0" t="inlineStr">
        <is>
          <t xml:space="preserve">d20261013</t>
        </is>
      </c>
      <c r="B17" s="0" t="inlineStr">
        <is>
          <t xml:space="preserve">10-13</t>
        </is>
      </c>
      <c r="C17" s="16">
        <v>46308</v>
      </c>
      <c r="D17" s="4">
        <v>16</v>
      </c>
      <c r="E17" s="4">
        <v>0</v>
      </c>
      <c r="F17" s="0" t="inlineStr">
        <is>
          <t xml:space="preserve">oct26</t>
        </is>
      </c>
      <c r="G17" s="4">
        <v>0</v>
      </c>
    </row>
    <row r="18">
      <c r="A18" s="0" t="inlineStr">
        <is>
          <t xml:space="preserve">d20261014</t>
        </is>
      </c>
      <c r="B18" s="0" t="inlineStr">
        <is>
          <t xml:space="preserve">10-14</t>
        </is>
      </c>
      <c r="C18" s="16">
        <v>46309</v>
      </c>
      <c r="D18" s="4">
        <v>17</v>
      </c>
      <c r="E18" s="4">
        <v>0</v>
      </c>
      <c r="F18" s="0" t="inlineStr">
        <is>
          <t xml:space="preserve">oct26</t>
        </is>
      </c>
      <c r="G18" s="4">
        <v>0</v>
      </c>
    </row>
    <row r="19">
      <c r="A19" s="0" t="inlineStr">
        <is>
          <t xml:space="preserve">d20261015</t>
        </is>
      </c>
      <c r="B19" s="0" t="inlineStr">
        <is>
          <t xml:space="preserve">10-15</t>
        </is>
      </c>
      <c r="C19" s="16">
        <v>46310</v>
      </c>
      <c r="D19" s="4">
        <v>18</v>
      </c>
      <c r="E19" s="4">
        <v>0</v>
      </c>
      <c r="F19" s="0" t="inlineStr">
        <is>
          <t xml:space="preserve">oct26</t>
        </is>
      </c>
      <c r="G19" s="4">
        <v>0</v>
      </c>
    </row>
    <row r="20">
      <c r="A20" s="0" t="inlineStr">
        <is>
          <t xml:space="preserve">d20261016</t>
        </is>
      </c>
      <c r="B20" s="0" t="inlineStr">
        <is>
          <t xml:space="preserve">10-16</t>
        </is>
      </c>
      <c r="C20" s="16">
        <v>46311</v>
      </c>
      <c r="D20" s="4">
        <v>19</v>
      </c>
      <c r="E20" s="4">
        <v>0</v>
      </c>
      <c r="F20" s="0" t="inlineStr">
        <is>
          <t xml:space="preserve">oct26</t>
        </is>
      </c>
      <c r="G20" s="4">
        <v>0</v>
      </c>
    </row>
    <row r="21">
      <c r="A21" s="0" t="inlineStr">
        <is>
          <t xml:space="preserve">d20261019</t>
        </is>
      </c>
      <c r="B21" s="0" t="inlineStr">
        <is>
          <t xml:space="preserve">10-19</t>
        </is>
      </c>
      <c r="C21" s="16">
        <v>46314</v>
      </c>
      <c r="D21" s="4">
        <v>20</v>
      </c>
      <c r="E21" s="4">
        <v>0</v>
      </c>
      <c r="F21" s="0" t="inlineStr">
        <is>
          <t xml:space="preserve">oct26</t>
        </is>
      </c>
      <c r="G21" s="4">
        <v>0</v>
      </c>
    </row>
    <row r="22">
      <c r="A22" s="0" t="inlineStr">
        <is>
          <t xml:space="preserve">d20261020</t>
        </is>
      </c>
      <c r="B22" s="0" t="inlineStr">
        <is>
          <t xml:space="preserve">10-20</t>
        </is>
      </c>
      <c r="C22" s="16">
        <v>46315</v>
      </c>
      <c r="D22" s="4">
        <v>21</v>
      </c>
      <c r="E22" s="4">
        <v>0</v>
      </c>
      <c r="F22" s="0" t="inlineStr">
        <is>
          <t xml:space="preserve">oct26</t>
        </is>
      </c>
      <c r="G22" s="4">
        <v>0</v>
      </c>
    </row>
    <row r="23">
      <c r="A23" s="0" t="inlineStr">
        <is>
          <t xml:space="preserve">d20261021</t>
        </is>
      </c>
      <c r="B23" s="0" t="inlineStr">
        <is>
          <t xml:space="preserve">10-21</t>
        </is>
      </c>
      <c r="C23" s="16">
        <v>46316</v>
      </c>
      <c r="D23" s="4">
        <v>22</v>
      </c>
      <c r="E23" s="4">
        <v>0</v>
      </c>
      <c r="F23" s="0" t="inlineStr">
        <is>
          <t xml:space="preserve">oct26</t>
        </is>
      </c>
      <c r="G23" s="4">
        <v>0</v>
      </c>
    </row>
    <row r="24">
      <c r="A24" s="0" t="inlineStr">
        <is>
          <t xml:space="preserve">d20261022</t>
        </is>
      </c>
      <c r="B24" s="0" t="inlineStr">
        <is>
          <t xml:space="preserve">10-22</t>
        </is>
      </c>
      <c r="C24" s="16">
        <v>46317</v>
      </c>
      <c r="D24" s="4">
        <v>23</v>
      </c>
      <c r="E24" s="4">
        <v>0</v>
      </c>
      <c r="F24" s="0" t="inlineStr">
        <is>
          <t xml:space="preserve">oct26</t>
        </is>
      </c>
      <c r="G24" s="4">
        <v>0</v>
      </c>
    </row>
    <row r="25">
      <c r="A25" s="0" t="inlineStr">
        <is>
          <t xml:space="preserve">d20261023</t>
        </is>
      </c>
      <c r="B25" s="0" t="inlineStr">
        <is>
          <t xml:space="preserve">10-23</t>
        </is>
      </c>
      <c r="C25" s="16">
        <v>46318</v>
      </c>
      <c r="D25" s="4">
        <v>24</v>
      </c>
      <c r="E25" s="4">
        <v>0</v>
      </c>
      <c r="F25" s="0" t="inlineStr">
        <is>
          <t xml:space="preserve">oct26</t>
        </is>
      </c>
      <c r="G25" s="4">
        <v>0</v>
      </c>
    </row>
    <row r="26">
      <c r="A26" s="0" t="inlineStr">
        <is>
          <t xml:space="preserve">d20261026</t>
        </is>
      </c>
      <c r="B26" s="0" t="inlineStr">
        <is>
          <t xml:space="preserve">10-26</t>
        </is>
      </c>
      <c r="C26" s="16">
        <v>46321</v>
      </c>
      <c r="D26" s="4">
        <v>25</v>
      </c>
      <c r="E26" s="4">
        <v>0</v>
      </c>
      <c r="F26" s="0" t="inlineStr">
        <is>
          <t xml:space="preserve">oct26</t>
        </is>
      </c>
      <c r="G26" s="4">
        <v>0</v>
      </c>
    </row>
    <row r="27">
      <c r="A27" s="0" t="inlineStr">
        <is>
          <t xml:space="preserve">d20261027</t>
        </is>
      </c>
      <c r="B27" s="0" t="inlineStr">
        <is>
          <t xml:space="preserve">10-27</t>
        </is>
      </c>
      <c r="C27" s="16">
        <v>46322</v>
      </c>
      <c r="D27" s="4">
        <v>26</v>
      </c>
      <c r="E27" s="4">
        <v>0</v>
      </c>
      <c r="F27" s="0" t="inlineStr">
        <is>
          <t xml:space="preserve">oct26</t>
        </is>
      </c>
      <c r="G27" s="4">
        <v>0</v>
      </c>
    </row>
    <row r="28">
      <c r="A28" s="0" t="inlineStr">
        <is>
          <t xml:space="preserve">d20261028</t>
        </is>
      </c>
      <c r="B28" s="0" t="inlineStr">
        <is>
          <t xml:space="preserve">10-28</t>
        </is>
      </c>
      <c r="C28" s="16">
        <v>46323</v>
      </c>
      <c r="D28" s="4">
        <v>27</v>
      </c>
      <c r="E28" s="4">
        <v>0</v>
      </c>
      <c r="F28" s="0" t="inlineStr">
        <is>
          <t xml:space="preserve">oct26</t>
        </is>
      </c>
      <c r="G28" s="4">
        <v>0</v>
      </c>
    </row>
    <row r="29">
      <c r="A29" s="0" t="inlineStr">
        <is>
          <t xml:space="preserve">d20261029</t>
        </is>
      </c>
      <c r="B29" s="0" t="inlineStr">
        <is>
          <t xml:space="preserve">10-29</t>
        </is>
      </c>
      <c r="C29" s="16">
        <v>46324</v>
      </c>
      <c r="D29" s="4">
        <v>28</v>
      </c>
      <c r="E29" s="4">
        <v>0</v>
      </c>
      <c r="F29" s="0" t="inlineStr">
        <is>
          <t xml:space="preserve">oct26</t>
        </is>
      </c>
      <c r="G29" s="4">
        <v>0</v>
      </c>
    </row>
    <row r="30">
      <c r="A30" s="0" t="inlineStr">
        <is>
          <t xml:space="preserve">d20261030</t>
        </is>
      </c>
      <c r="B30" s="0" t="inlineStr">
        <is>
          <t xml:space="preserve">10-30</t>
        </is>
      </c>
      <c r="C30" s="16">
        <v>46325</v>
      </c>
      <c r="D30" s="4">
        <v>29</v>
      </c>
      <c r="E30" s="4">
        <v>0</v>
      </c>
      <c r="F30" s="0" t="inlineStr">
        <is>
          <t xml:space="preserve">oct26</t>
        </is>
      </c>
      <c r="G30" s="4">
        <v>0</v>
      </c>
    </row>
    <row r="31">
      <c r="A31" s="0" t="inlineStr">
        <is>
          <t xml:space="preserve">d20261102</t>
        </is>
      </c>
      <c r="B31" s="0" t="inlineStr">
        <is>
          <t xml:space="preserve">11-02</t>
        </is>
      </c>
      <c r="C31" s="16">
        <v>46328</v>
      </c>
      <c r="D31" s="4">
        <v>30</v>
      </c>
      <c r="E31" s="4">
        <v>0</v>
      </c>
      <c r="F31" s="0" t="inlineStr">
        <is>
          <t xml:space="preserve">nov26</t>
        </is>
      </c>
      <c r="G31" s="4">
        <v>0</v>
      </c>
    </row>
    <row r="32">
      <c r="A32" s="0" t="inlineStr">
        <is>
          <t xml:space="preserve">d20261103</t>
        </is>
      </c>
      <c r="B32" s="0" t="inlineStr">
        <is>
          <t xml:space="preserve">11-03</t>
        </is>
      </c>
      <c r="C32" s="16">
        <v>46329</v>
      </c>
      <c r="D32" s="4">
        <v>31</v>
      </c>
      <c r="E32" s="4">
        <v>0</v>
      </c>
      <c r="F32" s="0" t="inlineStr">
        <is>
          <t xml:space="preserve">nov26</t>
        </is>
      </c>
      <c r="G32" s="4">
        <v>0</v>
      </c>
    </row>
    <row r="33">
      <c r="A33" s="0" t="inlineStr">
        <is>
          <t xml:space="preserve">d20261104</t>
        </is>
      </c>
      <c r="B33" s="0" t="inlineStr">
        <is>
          <t xml:space="preserve">11-04</t>
        </is>
      </c>
      <c r="C33" s="16">
        <v>46330</v>
      </c>
      <c r="D33" s="4">
        <v>32</v>
      </c>
      <c r="E33" s="4">
        <v>0</v>
      </c>
      <c r="F33" s="0" t="inlineStr">
        <is>
          <t xml:space="preserve">nov26</t>
        </is>
      </c>
      <c r="G33" s="4">
        <v>0</v>
      </c>
    </row>
    <row r="34">
      <c r="A34" s="0" t="inlineStr">
        <is>
          <t xml:space="preserve">d20261105</t>
        </is>
      </c>
      <c r="B34" s="0" t="inlineStr">
        <is>
          <t xml:space="preserve">11-05</t>
        </is>
      </c>
      <c r="C34" s="16">
        <v>46331</v>
      </c>
      <c r="D34" s="4">
        <v>33</v>
      </c>
      <c r="E34" s="4">
        <v>0</v>
      </c>
      <c r="F34" s="0" t="inlineStr">
        <is>
          <t xml:space="preserve">nov26</t>
        </is>
      </c>
      <c r="G34" s="4">
        <v>0</v>
      </c>
    </row>
    <row r="35">
      <c r="A35" s="0" t="inlineStr">
        <is>
          <t xml:space="preserve">d20261106</t>
        </is>
      </c>
      <c r="B35" s="0" t="inlineStr">
        <is>
          <t xml:space="preserve">11-06</t>
        </is>
      </c>
      <c r="C35" s="16">
        <v>46332</v>
      </c>
      <c r="D35" s="4">
        <v>34</v>
      </c>
      <c r="E35" s="4">
        <v>0</v>
      </c>
      <c r="F35" s="0" t="inlineStr">
        <is>
          <t xml:space="preserve">nov26</t>
        </is>
      </c>
      <c r="G35" s="4">
        <v>0</v>
      </c>
    </row>
    <row r="36">
      <c r="A36" s="0" t="inlineStr">
        <is>
          <t xml:space="preserve">d20261109</t>
        </is>
      </c>
      <c r="B36" s="0" t="inlineStr">
        <is>
          <t xml:space="preserve">11-09</t>
        </is>
      </c>
      <c r="C36" s="16">
        <v>46335</v>
      </c>
      <c r="D36" s="4">
        <v>35</v>
      </c>
      <c r="E36" s="4">
        <v>0</v>
      </c>
      <c r="F36" s="0" t="inlineStr">
        <is>
          <t xml:space="preserve">nov26</t>
        </is>
      </c>
      <c r="G36" s="4">
        <v>0</v>
      </c>
    </row>
    <row r="37">
      <c r="A37" s="0" t="inlineStr">
        <is>
          <t xml:space="preserve">d20261110</t>
        </is>
      </c>
      <c r="B37" s="0" t="inlineStr">
        <is>
          <t xml:space="preserve">11-10</t>
        </is>
      </c>
      <c r="C37" s="16">
        <v>46336</v>
      </c>
      <c r="D37" s="4">
        <v>36</v>
      </c>
      <c r="E37" s="4">
        <v>0</v>
      </c>
      <c r="F37" s="0" t="inlineStr">
        <is>
          <t xml:space="preserve">nov26</t>
        </is>
      </c>
      <c r="G37" s="4">
        <v>0</v>
      </c>
    </row>
    <row r="38">
      <c r="A38" s="0" t="inlineStr">
        <is>
          <t xml:space="preserve">d20261111</t>
        </is>
      </c>
      <c r="B38" s="0" t="inlineStr">
        <is>
          <t xml:space="preserve">11-11</t>
        </is>
      </c>
      <c r="C38" s="16">
        <v>46337</v>
      </c>
      <c r="D38" s="4">
        <v>37</v>
      </c>
      <c r="E38" s="4">
        <v>0</v>
      </c>
      <c r="F38" s="0" t="inlineStr">
        <is>
          <t xml:space="preserve">nov26</t>
        </is>
      </c>
      <c r="G38" s="4">
        <v>0</v>
      </c>
    </row>
    <row r="39">
      <c r="A39" s="0" t="inlineStr">
        <is>
          <t xml:space="preserve">d20261112</t>
        </is>
      </c>
      <c r="B39" s="0" t="inlineStr">
        <is>
          <t xml:space="preserve">11-12</t>
        </is>
      </c>
      <c r="C39" s="16">
        <v>46338</v>
      </c>
      <c r="D39" s="4">
        <v>38</v>
      </c>
      <c r="E39" s="4">
        <v>0</v>
      </c>
      <c r="F39" s="0" t="inlineStr">
        <is>
          <t xml:space="preserve">nov26</t>
        </is>
      </c>
      <c r="G39" s="4">
        <v>0</v>
      </c>
    </row>
    <row r="40">
      <c r="A40" s="0" t="inlineStr">
        <is>
          <t xml:space="preserve">d20261113</t>
        </is>
      </c>
      <c r="B40" s="0" t="inlineStr">
        <is>
          <t xml:space="preserve">11-13</t>
        </is>
      </c>
      <c r="C40" s="16">
        <v>46339</v>
      </c>
      <c r="D40" s="4">
        <v>39</v>
      </c>
      <c r="E40" s="4">
        <v>0</v>
      </c>
      <c r="F40" s="0" t="inlineStr">
        <is>
          <t xml:space="preserve">nov26</t>
        </is>
      </c>
      <c r="G40" s="4">
        <v>0</v>
      </c>
    </row>
    <row r="41">
      <c r="A41" s="0" t="inlineStr">
        <is>
          <t xml:space="preserve">d20261116</t>
        </is>
      </c>
      <c r="B41" s="0" t="inlineStr">
        <is>
          <t xml:space="preserve">11-16</t>
        </is>
      </c>
      <c r="C41" s="16">
        <v>46342</v>
      </c>
      <c r="D41" s="4">
        <v>40</v>
      </c>
      <c r="E41" s="4">
        <v>0</v>
      </c>
      <c r="F41" s="0" t="inlineStr">
        <is>
          <t xml:space="preserve">nov26</t>
        </is>
      </c>
      <c r="G41" s="4">
        <v>0</v>
      </c>
    </row>
    <row r="42">
      <c r="A42" s="0" t="inlineStr">
        <is>
          <t xml:space="preserve">d20261117</t>
        </is>
      </c>
      <c r="B42" s="0" t="inlineStr">
        <is>
          <t xml:space="preserve">11-17</t>
        </is>
      </c>
      <c r="C42" s="16">
        <v>46343</v>
      </c>
      <c r="D42" s="4">
        <v>41</v>
      </c>
      <c r="E42" s="4">
        <v>0</v>
      </c>
      <c r="F42" s="0" t="inlineStr">
        <is>
          <t xml:space="preserve">nov26</t>
        </is>
      </c>
      <c r="G42" s="4">
        <v>0</v>
      </c>
    </row>
    <row r="43">
      <c r="A43" s="0" t="inlineStr">
        <is>
          <t xml:space="preserve">d20261118</t>
        </is>
      </c>
      <c r="B43" s="0" t="inlineStr">
        <is>
          <t xml:space="preserve">11-18</t>
        </is>
      </c>
      <c r="C43" s="16">
        <v>46344</v>
      </c>
      <c r="D43" s="4">
        <v>42</v>
      </c>
      <c r="E43" s="4">
        <v>0</v>
      </c>
      <c r="F43" s="0" t="inlineStr">
        <is>
          <t xml:space="preserve">nov26</t>
        </is>
      </c>
      <c r="G43" s="4">
        <v>0</v>
      </c>
    </row>
    <row r="44">
      <c r="A44" s="0" t="inlineStr">
        <is>
          <t xml:space="preserve">d20261119</t>
        </is>
      </c>
      <c r="B44" s="0" t="inlineStr">
        <is>
          <t xml:space="preserve">11-19</t>
        </is>
      </c>
      <c r="C44" s="16">
        <v>46345</v>
      </c>
      <c r="D44" s="4">
        <v>43</v>
      </c>
      <c r="E44" s="4">
        <v>0</v>
      </c>
      <c r="F44" s="0" t="inlineStr">
        <is>
          <t xml:space="preserve">nov26</t>
        </is>
      </c>
      <c r="G44" s="4">
        <v>0</v>
      </c>
    </row>
    <row r="45">
      <c r="A45" s="0" t="inlineStr">
        <is>
          <t xml:space="preserve">d20261120</t>
        </is>
      </c>
      <c r="B45" s="0" t="inlineStr">
        <is>
          <t xml:space="preserve">11-20</t>
        </is>
      </c>
      <c r="C45" s="16">
        <v>46346</v>
      </c>
      <c r="D45" s="4">
        <v>44</v>
      </c>
      <c r="E45" s="4">
        <v>0</v>
      </c>
      <c r="F45" s="0" t="inlineStr">
        <is>
          <t xml:space="preserve">nov26</t>
        </is>
      </c>
      <c r="G45" s="4">
        <v>0</v>
      </c>
    </row>
    <row r="46">
      <c r="A46" s="0" t="inlineStr">
        <is>
          <t xml:space="preserve">d20261123</t>
        </is>
      </c>
      <c r="B46" s="0" t="inlineStr">
        <is>
          <t xml:space="preserve">11-23</t>
        </is>
      </c>
      <c r="C46" s="16">
        <v>46349</v>
      </c>
      <c r="D46" s="4">
        <v>45</v>
      </c>
      <c r="E46" s="4">
        <v>0</v>
      </c>
      <c r="F46" s="0" t="inlineStr">
        <is>
          <t xml:space="preserve">nov26</t>
        </is>
      </c>
      <c r="G46" s="4">
        <v>0</v>
      </c>
    </row>
    <row r="47">
      <c r="A47" s="0" t="inlineStr">
        <is>
          <t xml:space="preserve">d20261124</t>
        </is>
      </c>
      <c r="B47" s="0" t="inlineStr">
        <is>
          <t xml:space="preserve">11-24</t>
        </is>
      </c>
      <c r="C47" s="16">
        <v>46350</v>
      </c>
      <c r="D47" s="4">
        <v>46</v>
      </c>
      <c r="E47" s="4">
        <v>0</v>
      </c>
      <c r="F47" s="0" t="inlineStr">
        <is>
          <t xml:space="preserve">nov26</t>
        </is>
      </c>
      <c r="G47" s="4">
        <v>0</v>
      </c>
    </row>
    <row r="48">
      <c r="A48" s="0" t="inlineStr">
        <is>
          <t xml:space="preserve">d20261125</t>
        </is>
      </c>
      <c r="B48" s="0" t="inlineStr">
        <is>
          <t xml:space="preserve">11-25</t>
        </is>
      </c>
      <c r="C48" s="16">
        <v>46351</v>
      </c>
      <c r="D48" s="4">
        <v>47</v>
      </c>
      <c r="E48" s="4">
        <v>0</v>
      </c>
      <c r="F48" s="0" t="inlineStr">
        <is>
          <t xml:space="preserve">nov26</t>
        </is>
      </c>
      <c r="G48" s="4">
        <v>0</v>
      </c>
    </row>
    <row r="49">
      <c r="A49" s="0" t="inlineStr">
        <is>
          <t xml:space="preserve">d20261127</t>
        </is>
      </c>
      <c r="B49" s="0" t="inlineStr">
        <is>
          <t xml:space="preserve">11-27</t>
        </is>
      </c>
      <c r="C49" s="16">
        <v>46353</v>
      </c>
      <c r="D49" s="4">
        <v>48</v>
      </c>
      <c r="E49" s="4">
        <v>0</v>
      </c>
      <c r="F49" s="0" t="inlineStr">
        <is>
          <t xml:space="preserve">nov26</t>
        </is>
      </c>
      <c r="G49" s="4">
        <v>0</v>
      </c>
    </row>
    <row r="50">
      <c r="A50" s="0" t="inlineStr">
        <is>
          <t xml:space="preserve">d20261130</t>
        </is>
      </c>
      <c r="B50" s="0" t="inlineStr">
        <is>
          <t xml:space="preserve">11-30</t>
        </is>
      </c>
      <c r="C50" s="16">
        <v>46356</v>
      </c>
      <c r="D50" s="4">
        <v>49</v>
      </c>
      <c r="E50" s="4">
        <v>0</v>
      </c>
      <c r="F50" s="0" t="inlineStr">
        <is>
          <t xml:space="preserve">nov26</t>
        </is>
      </c>
      <c r="G50" s="4">
        <v>0</v>
      </c>
    </row>
    <row r="51">
      <c r="A51" s="0" t="inlineStr">
        <is>
          <t xml:space="preserve">d20261201</t>
        </is>
      </c>
      <c r="B51" s="0" t="inlineStr">
        <is>
          <t xml:space="preserve">12-01</t>
        </is>
      </c>
      <c r="C51" s="16">
        <v>46357</v>
      </c>
      <c r="D51" s="4">
        <v>50</v>
      </c>
      <c r="E51" s="4">
        <v>0</v>
      </c>
      <c r="F51" s="0" t="inlineStr">
        <is>
          <t xml:space="preserve">dec26</t>
        </is>
      </c>
      <c r="G51" s="4">
        <v>0</v>
      </c>
    </row>
    <row r="52">
      <c r="A52" s="0" t="inlineStr">
        <is>
          <t xml:space="preserve">d20261202</t>
        </is>
      </c>
      <c r="B52" s="0" t="inlineStr">
        <is>
          <t xml:space="preserve">12-02</t>
        </is>
      </c>
      <c r="C52" s="16">
        <v>46358</v>
      </c>
      <c r="D52" s="4">
        <v>51</v>
      </c>
      <c r="E52" s="4">
        <v>0</v>
      </c>
      <c r="F52" s="0" t="inlineStr">
        <is>
          <t xml:space="preserve">dec26</t>
        </is>
      </c>
      <c r="G52" s="4">
        <v>0</v>
      </c>
    </row>
    <row r="53">
      <c r="A53" s="0" t="inlineStr">
        <is>
          <t xml:space="preserve">d20261203</t>
        </is>
      </c>
      <c r="B53" s="0" t="inlineStr">
        <is>
          <t xml:space="preserve">12-03</t>
        </is>
      </c>
      <c r="C53" s="16">
        <v>46359</v>
      </c>
      <c r="D53" s="4">
        <v>52</v>
      </c>
      <c r="E53" s="4">
        <v>0</v>
      </c>
      <c r="F53" s="0" t="inlineStr">
        <is>
          <t xml:space="preserve">dec26</t>
        </is>
      </c>
      <c r="G53" s="4">
        <v>0</v>
      </c>
    </row>
    <row r="54">
      <c r="A54" s="0" t="inlineStr">
        <is>
          <t xml:space="preserve">d20261204</t>
        </is>
      </c>
      <c r="B54" s="0" t="inlineStr">
        <is>
          <t xml:space="preserve">12-04</t>
        </is>
      </c>
      <c r="C54" s="16">
        <v>46360</v>
      </c>
      <c r="D54" s="4">
        <v>53</v>
      </c>
      <c r="E54" s="4">
        <v>0</v>
      </c>
      <c r="F54" s="0" t="inlineStr">
        <is>
          <t xml:space="preserve">dec26</t>
        </is>
      </c>
      <c r="G54" s="4">
        <v>0</v>
      </c>
    </row>
    <row r="55">
      <c r="A55" s="0" t="inlineStr">
        <is>
          <t xml:space="preserve">d20261207</t>
        </is>
      </c>
      <c r="B55" s="0" t="inlineStr">
        <is>
          <t xml:space="preserve">12-07</t>
        </is>
      </c>
      <c r="C55" s="16">
        <v>46363</v>
      </c>
      <c r="D55" s="4">
        <v>54</v>
      </c>
      <c r="E55" s="4">
        <v>0</v>
      </c>
      <c r="F55" s="0" t="inlineStr">
        <is>
          <t xml:space="preserve">dec26</t>
        </is>
      </c>
      <c r="G55" s="4">
        <v>0</v>
      </c>
    </row>
    <row r="56">
      <c r="A56" s="0" t="inlineStr">
        <is>
          <t xml:space="preserve">d20261208</t>
        </is>
      </c>
      <c r="B56" s="0" t="inlineStr">
        <is>
          <t xml:space="preserve">12-08</t>
        </is>
      </c>
      <c r="C56" s="16">
        <v>46364</v>
      </c>
      <c r="D56" s="4">
        <v>55</v>
      </c>
      <c r="E56" s="4">
        <v>0</v>
      </c>
      <c r="F56" s="0" t="inlineStr">
        <is>
          <t xml:space="preserve">dec26</t>
        </is>
      </c>
      <c r="G56" s="4">
        <v>0</v>
      </c>
    </row>
    <row r="57">
      <c r="A57" s="0" t="inlineStr">
        <is>
          <t xml:space="preserve">d20261209</t>
        </is>
      </c>
      <c r="B57" s="0" t="inlineStr">
        <is>
          <t xml:space="preserve">12-09</t>
        </is>
      </c>
      <c r="C57" s="16">
        <v>46365</v>
      </c>
      <c r="D57" s="4">
        <v>56</v>
      </c>
      <c r="E57" s="4">
        <v>0</v>
      </c>
      <c r="F57" s="0" t="inlineStr">
        <is>
          <t xml:space="preserve">dec26</t>
        </is>
      </c>
      <c r="G57" s="4">
        <v>0</v>
      </c>
    </row>
    <row r="58">
      <c r="A58" s="0" t="inlineStr">
        <is>
          <t xml:space="preserve">d20261210</t>
        </is>
      </c>
      <c r="B58" s="0" t="inlineStr">
        <is>
          <t xml:space="preserve">12-10</t>
        </is>
      </c>
      <c r="C58" s="16">
        <v>46366</v>
      </c>
      <c r="D58" s="4">
        <v>57</v>
      </c>
      <c r="E58" s="4">
        <v>0</v>
      </c>
      <c r="F58" s="0" t="inlineStr">
        <is>
          <t xml:space="preserve">dec26</t>
        </is>
      </c>
      <c r="G58" s="4">
        <v>0</v>
      </c>
    </row>
    <row r="59">
      <c r="A59" s="0" t="inlineStr">
        <is>
          <t xml:space="preserve">d20261211</t>
        </is>
      </c>
      <c r="B59" s="0" t="inlineStr">
        <is>
          <t xml:space="preserve">12-11</t>
        </is>
      </c>
      <c r="C59" s="16">
        <v>46367</v>
      </c>
      <c r="D59" s="4">
        <v>58</v>
      </c>
      <c r="E59" s="4">
        <v>0</v>
      </c>
      <c r="F59" s="0" t="inlineStr">
        <is>
          <t xml:space="preserve">dec26</t>
        </is>
      </c>
      <c r="G59" s="4">
        <v>0</v>
      </c>
    </row>
    <row r="60">
      <c r="A60" s="0" t="inlineStr">
        <is>
          <t xml:space="preserve">d20261214</t>
        </is>
      </c>
      <c r="B60" s="0" t="inlineStr">
        <is>
          <t xml:space="preserve">12-14</t>
        </is>
      </c>
      <c r="C60" s="16">
        <v>46370</v>
      </c>
      <c r="D60" s="4">
        <v>59</v>
      </c>
      <c r="E60" s="4">
        <v>0</v>
      </c>
      <c r="F60" s="0" t="inlineStr">
        <is>
          <t xml:space="preserve">dec26</t>
        </is>
      </c>
      <c r="G60" s="4">
        <v>0</v>
      </c>
    </row>
    <row r="61">
      <c r="A61" s="0" t="inlineStr">
        <is>
          <t xml:space="preserve">d20261215</t>
        </is>
      </c>
      <c r="B61" s="0" t="inlineStr">
        <is>
          <t xml:space="preserve">12-15</t>
        </is>
      </c>
      <c r="C61" s="16">
        <v>46371</v>
      </c>
      <c r="D61" s="4">
        <v>60</v>
      </c>
      <c r="E61" s="4">
        <v>0</v>
      </c>
      <c r="F61" s="0" t="inlineStr">
        <is>
          <t xml:space="preserve">dec26</t>
        </is>
      </c>
      <c r="G61" s="4">
        <v>0</v>
      </c>
    </row>
    <row r="62">
      <c r="A62" s="0" t="inlineStr">
        <is>
          <t xml:space="preserve">d20261216</t>
        </is>
      </c>
      <c r="B62" s="0" t="inlineStr">
        <is>
          <t xml:space="preserve">12-16</t>
        </is>
      </c>
      <c r="C62" s="16">
        <v>46372</v>
      </c>
      <c r="D62" s="4">
        <v>61</v>
      </c>
      <c r="E62" s="4">
        <v>0</v>
      </c>
      <c r="F62" s="0" t="inlineStr">
        <is>
          <t xml:space="preserve">dec26</t>
        </is>
      </c>
      <c r="G62" s="4">
        <v>0</v>
      </c>
    </row>
    <row r="63">
      <c r="A63" s="0" t="inlineStr">
        <is>
          <t xml:space="preserve">d20261217</t>
        </is>
      </c>
      <c r="B63" s="0" t="inlineStr">
        <is>
          <t xml:space="preserve">12-17</t>
        </is>
      </c>
      <c r="C63" s="16">
        <v>46373</v>
      </c>
      <c r="D63" s="4">
        <v>62</v>
      </c>
      <c r="E63" s="4">
        <v>0</v>
      </c>
      <c r="F63" s="0" t="inlineStr">
        <is>
          <t xml:space="preserve">dec26</t>
        </is>
      </c>
      <c r="G63" s="4">
        <v>0</v>
      </c>
    </row>
    <row r="64">
      <c r="A64" s="0" t="inlineStr">
        <is>
          <t xml:space="preserve">d20261218</t>
        </is>
      </c>
      <c r="B64" s="0" t="inlineStr">
        <is>
          <t xml:space="preserve">12-18</t>
        </is>
      </c>
      <c r="C64" s="16">
        <v>46374</v>
      </c>
      <c r="D64" s="4">
        <v>63</v>
      </c>
      <c r="E64" s="4">
        <v>0</v>
      </c>
      <c r="F64" s="0" t="inlineStr">
        <is>
          <t xml:space="preserve">dec26</t>
        </is>
      </c>
      <c r="G64" s="4">
        <v>0</v>
      </c>
    </row>
    <row r="65">
      <c r="A65" s="0" t="inlineStr">
        <is>
          <t xml:space="preserve">d20261221</t>
        </is>
      </c>
      <c r="B65" s="0" t="inlineStr">
        <is>
          <t xml:space="preserve">12-21</t>
        </is>
      </c>
      <c r="C65" s="16">
        <v>46377</v>
      </c>
      <c r="D65" s="4">
        <v>64</v>
      </c>
      <c r="E65" s="4">
        <v>0</v>
      </c>
      <c r="F65" s="0" t="inlineStr">
        <is>
          <t xml:space="preserve">dec26</t>
        </is>
      </c>
      <c r="G65" s="4">
        <v>0</v>
      </c>
    </row>
    <row r="66">
      <c r="A66" s="0" t="inlineStr">
        <is>
          <t xml:space="preserve">d20261222</t>
        </is>
      </c>
      <c r="B66" s="0" t="inlineStr">
        <is>
          <t xml:space="preserve">12-22</t>
        </is>
      </c>
      <c r="C66" s="16">
        <v>46378</v>
      </c>
      <c r="D66" s="4">
        <v>65</v>
      </c>
      <c r="E66" s="4">
        <v>0</v>
      </c>
      <c r="F66" s="0" t="inlineStr">
        <is>
          <t xml:space="preserve">dec26</t>
        </is>
      </c>
      <c r="G66" s="4">
        <v>0</v>
      </c>
    </row>
    <row r="67">
      <c r="A67" s="0" t="inlineStr">
        <is>
          <t xml:space="preserve">d20261223</t>
        </is>
      </c>
      <c r="B67" s="0" t="inlineStr">
        <is>
          <t xml:space="preserve">12-23</t>
        </is>
      </c>
      <c r="C67" s="16">
        <v>46379</v>
      </c>
      <c r="D67" s="4">
        <v>66</v>
      </c>
      <c r="E67" s="4">
        <v>0</v>
      </c>
      <c r="F67" s="0" t="inlineStr">
        <is>
          <t xml:space="preserve">dec26</t>
        </is>
      </c>
      <c r="G67" s="4">
        <v>0</v>
      </c>
    </row>
    <row r="68">
      <c r="A68" s="0" t="inlineStr">
        <is>
          <t xml:space="preserve">d20261224</t>
        </is>
      </c>
      <c r="B68" s="0" t="inlineStr">
        <is>
          <t xml:space="preserve">12-24</t>
        </is>
      </c>
      <c r="C68" s="16">
        <v>46380</v>
      </c>
      <c r="D68" s="4">
        <v>67</v>
      </c>
      <c r="E68" s="4">
        <v>0</v>
      </c>
      <c r="F68" s="0" t="inlineStr">
        <is>
          <t xml:space="preserve">dec26</t>
        </is>
      </c>
      <c r="G68" s="4">
        <v>0</v>
      </c>
    </row>
    <row r="69">
      <c r="A69" s="0" t="inlineStr">
        <is>
          <t xml:space="preserve">d20261228</t>
        </is>
      </c>
      <c r="B69" s="0" t="inlineStr">
        <is>
          <t xml:space="preserve">12-28</t>
        </is>
      </c>
      <c r="C69" s="16">
        <v>46384</v>
      </c>
      <c r="D69" s="4">
        <v>68</v>
      </c>
      <c r="E69" s="4">
        <v>0</v>
      </c>
      <c r="F69" s="0" t="inlineStr">
        <is>
          <t xml:space="preserve">dec26</t>
        </is>
      </c>
      <c r="G69" s="4">
        <v>0</v>
      </c>
    </row>
    <row r="70">
      <c r="A70" s="0" t="inlineStr">
        <is>
          <t xml:space="preserve">d20261229</t>
        </is>
      </c>
      <c r="B70" s="0" t="inlineStr">
        <is>
          <t xml:space="preserve">12-29</t>
        </is>
      </c>
      <c r="C70" s="16">
        <v>46385</v>
      </c>
      <c r="D70" s="4">
        <v>69</v>
      </c>
      <c r="E70" s="4">
        <v>0</v>
      </c>
      <c r="F70" s="0" t="inlineStr">
        <is>
          <t xml:space="preserve">dec26</t>
        </is>
      </c>
      <c r="G70" s="4">
        <v>0</v>
      </c>
    </row>
    <row r="71">
      <c r="A71" s="0" t="inlineStr">
        <is>
          <t xml:space="preserve">d20261230</t>
        </is>
      </c>
      <c r="B71" s="0" t="inlineStr">
        <is>
          <t xml:space="preserve">12-30</t>
        </is>
      </c>
      <c r="C71" s="16">
        <v>46386</v>
      </c>
      <c r="D71" s="4">
        <v>70</v>
      </c>
      <c r="E71" s="4">
        <v>0</v>
      </c>
      <c r="F71" s="0" t="inlineStr">
        <is>
          <t xml:space="preserve">dec26</t>
        </is>
      </c>
      <c r="G71" s="4">
        <v>0</v>
      </c>
    </row>
    <row r="72">
      <c r="A72" s="0" t="inlineStr">
        <is>
          <t xml:space="preserve">d20261231</t>
        </is>
      </c>
      <c r="B72" s="0" t="inlineStr">
        <is>
          <t xml:space="preserve">12-31</t>
        </is>
      </c>
      <c r="C72" s="16">
        <v>46387</v>
      </c>
      <c r="D72" s="4">
        <v>71</v>
      </c>
      <c r="E72" s="4">
        <v>0</v>
      </c>
      <c r="F72" s="0" t="inlineStr">
        <is>
          <t xml:space="preserve">dec26</t>
        </is>
      </c>
      <c r="G72" s="4">
        <v>0</v>
      </c>
    </row>
    <row r="73">
      <c r="A73" s="0" t="inlineStr">
        <is>
          <t xml:space="preserve">d20270104</t>
        </is>
      </c>
      <c r="B73" s="0" t="inlineStr">
        <is>
          <t xml:space="preserve">01-04</t>
        </is>
      </c>
      <c r="C73" s="16">
        <v>46391</v>
      </c>
      <c r="D73" s="4">
        <v>72</v>
      </c>
      <c r="E73" s="4">
        <v>0</v>
      </c>
      <c r="F73" s="0" t="inlineStr">
        <is>
          <t xml:space="preserve">jan27</t>
        </is>
      </c>
      <c r="G73" s="4">
        <v>0</v>
      </c>
    </row>
    <row r="74">
      <c r="A74" s="0" t="inlineStr">
        <is>
          <t xml:space="preserve">d20270105</t>
        </is>
      </c>
      <c r="B74" s="0" t="inlineStr">
        <is>
          <t xml:space="preserve">01-05</t>
        </is>
      </c>
      <c r="C74" s="16">
        <v>46392</v>
      </c>
      <c r="D74" s="4">
        <v>73</v>
      </c>
      <c r="E74" s="4">
        <v>0</v>
      </c>
      <c r="F74" s="0" t="inlineStr">
        <is>
          <t xml:space="preserve">jan27</t>
        </is>
      </c>
      <c r="G74" s="4">
        <v>0</v>
      </c>
    </row>
    <row r="75">
      <c r="A75" s="0" t="inlineStr">
        <is>
          <t xml:space="preserve">d20270106</t>
        </is>
      </c>
      <c r="B75" s="0" t="inlineStr">
        <is>
          <t xml:space="preserve">01-06</t>
        </is>
      </c>
      <c r="C75" s="16">
        <v>46393</v>
      </c>
      <c r="D75" s="4">
        <v>74</v>
      </c>
      <c r="E75" s="4">
        <v>0</v>
      </c>
      <c r="F75" s="0" t="inlineStr">
        <is>
          <t xml:space="preserve">jan27</t>
        </is>
      </c>
      <c r="G75" s="4">
        <v>0</v>
      </c>
    </row>
    <row r="76">
      <c r="A76" s="0" t="inlineStr">
        <is>
          <t xml:space="preserve">d20270107</t>
        </is>
      </c>
      <c r="B76" s="0" t="inlineStr">
        <is>
          <t xml:space="preserve">01-07</t>
        </is>
      </c>
      <c r="C76" s="16">
        <v>46394</v>
      </c>
      <c r="D76" s="4">
        <v>75</v>
      </c>
      <c r="E76" s="4">
        <v>0</v>
      </c>
      <c r="F76" s="0" t="inlineStr">
        <is>
          <t xml:space="preserve">jan27</t>
        </is>
      </c>
      <c r="G76" s="4">
        <v>0</v>
      </c>
    </row>
    <row r="77">
      <c r="A77" s="0" t="inlineStr">
        <is>
          <t xml:space="preserve">d20270108</t>
        </is>
      </c>
      <c r="B77" s="0" t="inlineStr">
        <is>
          <t xml:space="preserve">01-08</t>
        </is>
      </c>
      <c r="C77" s="16">
        <v>46395</v>
      </c>
      <c r="D77" s="4">
        <v>76</v>
      </c>
      <c r="E77" s="4">
        <v>0</v>
      </c>
      <c r="F77" s="0" t="inlineStr">
        <is>
          <t xml:space="preserve">jan27</t>
        </is>
      </c>
      <c r="G77" s="4">
        <v>0</v>
      </c>
    </row>
    <row r="78">
      <c r="A78" s="0" t="inlineStr">
        <is>
          <t xml:space="preserve">d20270111</t>
        </is>
      </c>
      <c r="B78" s="0" t="inlineStr">
        <is>
          <t xml:space="preserve">01-11</t>
        </is>
      </c>
      <c r="C78" s="16">
        <v>46398</v>
      </c>
      <c r="D78" s="4">
        <v>77</v>
      </c>
      <c r="E78" s="4">
        <v>0</v>
      </c>
      <c r="F78" s="0" t="inlineStr">
        <is>
          <t xml:space="preserve">jan27</t>
        </is>
      </c>
      <c r="G78" s="4">
        <v>0</v>
      </c>
    </row>
    <row r="79">
      <c r="A79" s="0" t="inlineStr">
        <is>
          <t xml:space="preserve">d20270112</t>
        </is>
      </c>
      <c r="B79" s="0" t="inlineStr">
        <is>
          <t xml:space="preserve">01-12</t>
        </is>
      </c>
      <c r="C79" s="16">
        <v>46399</v>
      </c>
      <c r="D79" s="4">
        <v>78</v>
      </c>
      <c r="E79" s="4">
        <v>0</v>
      </c>
      <c r="F79" s="0" t="inlineStr">
        <is>
          <t xml:space="preserve">jan27</t>
        </is>
      </c>
      <c r="G79" s="4">
        <v>0</v>
      </c>
    </row>
    <row r="80">
      <c r="A80" s="0" t="inlineStr">
        <is>
          <t xml:space="preserve">d20270113</t>
        </is>
      </c>
      <c r="B80" s="0" t="inlineStr">
        <is>
          <t xml:space="preserve">01-13</t>
        </is>
      </c>
      <c r="C80" s="16">
        <v>46400</v>
      </c>
      <c r="D80" s="4">
        <v>79</v>
      </c>
      <c r="E80" s="4">
        <v>0</v>
      </c>
      <c r="F80" s="0" t="inlineStr">
        <is>
          <t xml:space="preserve">jan27</t>
        </is>
      </c>
      <c r="G80" s="4">
        <v>0</v>
      </c>
    </row>
    <row r="81">
      <c r="A81" s="0" t="inlineStr">
        <is>
          <t xml:space="preserve">d20270114</t>
        </is>
      </c>
      <c r="B81" s="0" t="inlineStr">
        <is>
          <t xml:space="preserve">01-14</t>
        </is>
      </c>
      <c r="C81" s="16">
        <v>46401</v>
      </c>
      <c r="D81" s="4">
        <v>80</v>
      </c>
      <c r="E81" s="4">
        <v>0</v>
      </c>
      <c r="F81" s="0" t="inlineStr">
        <is>
          <t xml:space="preserve">jan27</t>
        </is>
      </c>
      <c r="G81" s="4">
        <v>0</v>
      </c>
    </row>
    <row r="82">
      <c r="A82" s="0" t="inlineStr">
        <is>
          <t xml:space="preserve">d20270115</t>
        </is>
      </c>
      <c r="B82" s="0" t="inlineStr">
        <is>
          <t xml:space="preserve">01-15</t>
        </is>
      </c>
      <c r="C82" s="16">
        <v>46402</v>
      </c>
      <c r="D82" s="4">
        <v>81</v>
      </c>
      <c r="E82" s="4">
        <v>0</v>
      </c>
      <c r="F82" s="0" t="inlineStr">
        <is>
          <t xml:space="preserve">jan27</t>
        </is>
      </c>
      <c r="G82" s="4">
        <v>0</v>
      </c>
    </row>
    <row r="83">
      <c r="A83" s="0" t="inlineStr">
        <is>
          <t xml:space="preserve">d20270119</t>
        </is>
      </c>
      <c r="B83" s="0" t="inlineStr">
        <is>
          <t xml:space="preserve">01-19</t>
        </is>
      </c>
      <c r="C83" s="16">
        <v>46406</v>
      </c>
      <c r="D83" s="4">
        <v>82</v>
      </c>
      <c r="E83" s="4">
        <v>0</v>
      </c>
      <c r="F83" s="0" t="inlineStr">
        <is>
          <t xml:space="preserve">jan27</t>
        </is>
      </c>
      <c r="G83" s="4">
        <v>0</v>
      </c>
    </row>
    <row r="84">
      <c r="A84" s="0" t="inlineStr">
        <is>
          <t xml:space="preserve">d20270120</t>
        </is>
      </c>
      <c r="B84" s="0" t="inlineStr">
        <is>
          <t xml:space="preserve">01-20</t>
        </is>
      </c>
      <c r="C84" s="16">
        <v>46407</v>
      </c>
      <c r="D84" s="4">
        <v>83</v>
      </c>
      <c r="E84" s="4">
        <v>0</v>
      </c>
      <c r="F84" s="0" t="inlineStr">
        <is>
          <t xml:space="preserve">jan27</t>
        </is>
      </c>
      <c r="G84" s="4">
        <v>0</v>
      </c>
    </row>
    <row r="85">
      <c r="A85" s="0" t="inlineStr">
        <is>
          <t xml:space="preserve">d20270121</t>
        </is>
      </c>
      <c r="B85" s="0" t="inlineStr">
        <is>
          <t xml:space="preserve">01-21</t>
        </is>
      </c>
      <c r="C85" s="16">
        <v>46408</v>
      </c>
      <c r="D85" s="4">
        <v>84</v>
      </c>
      <c r="E85" s="4">
        <v>0</v>
      </c>
      <c r="F85" s="0" t="inlineStr">
        <is>
          <t xml:space="preserve">jan27</t>
        </is>
      </c>
      <c r="G85" s="4">
        <v>0</v>
      </c>
    </row>
    <row r="86">
      <c r="A86" s="0" t="inlineStr">
        <is>
          <t xml:space="preserve">d20270122</t>
        </is>
      </c>
      <c r="B86" s="0" t="inlineStr">
        <is>
          <t xml:space="preserve">01-22</t>
        </is>
      </c>
      <c r="C86" s="16">
        <v>46409</v>
      </c>
      <c r="D86" s="4">
        <v>85</v>
      </c>
      <c r="E86" s="4">
        <v>0</v>
      </c>
      <c r="F86" s="0" t="inlineStr">
        <is>
          <t xml:space="preserve">jan27</t>
        </is>
      </c>
      <c r="G86" s="4">
        <v>0</v>
      </c>
    </row>
    <row r="87">
      <c r="A87" s="0" t="inlineStr">
        <is>
          <t xml:space="preserve">d20270125</t>
        </is>
      </c>
      <c r="B87" s="0" t="inlineStr">
        <is>
          <t xml:space="preserve">01-25</t>
        </is>
      </c>
      <c r="C87" s="16">
        <v>46412</v>
      </c>
      <c r="D87" s="4">
        <v>86</v>
      </c>
      <c r="E87" s="4">
        <v>0</v>
      </c>
      <c r="F87" s="0" t="inlineStr">
        <is>
          <t xml:space="preserve">jan27</t>
        </is>
      </c>
      <c r="G87" s="4">
        <v>0</v>
      </c>
    </row>
    <row r="88">
      <c r="A88" s="0" t="inlineStr">
        <is>
          <t xml:space="preserve">d20270126</t>
        </is>
      </c>
      <c r="B88" s="0" t="inlineStr">
        <is>
          <t xml:space="preserve">01-26</t>
        </is>
      </c>
      <c r="C88" s="16">
        <v>46413</v>
      </c>
      <c r="D88" s="4">
        <v>87</v>
      </c>
      <c r="E88" s="4">
        <v>0</v>
      </c>
      <c r="F88" s="0" t="inlineStr">
        <is>
          <t xml:space="preserve">jan27</t>
        </is>
      </c>
      <c r="G88" s="4">
        <v>0</v>
      </c>
    </row>
    <row r="89">
      <c r="A89" s="0" t="inlineStr">
        <is>
          <t xml:space="preserve">d20270127</t>
        </is>
      </c>
      <c r="B89" s="0" t="inlineStr">
        <is>
          <t xml:space="preserve">01-27</t>
        </is>
      </c>
      <c r="C89" s="16">
        <v>46414</v>
      </c>
      <c r="D89" s="4">
        <v>88</v>
      </c>
      <c r="E89" s="4">
        <v>0</v>
      </c>
      <c r="F89" s="0" t="inlineStr">
        <is>
          <t xml:space="preserve">jan27</t>
        </is>
      </c>
      <c r="G89" s="4">
        <v>0</v>
      </c>
    </row>
    <row r="90">
      <c r="A90" s="0" t="inlineStr">
        <is>
          <t xml:space="preserve">d20270128</t>
        </is>
      </c>
      <c r="B90" s="0" t="inlineStr">
        <is>
          <t xml:space="preserve">01-28</t>
        </is>
      </c>
      <c r="C90" s="16">
        <v>46415</v>
      </c>
      <c r="D90" s="4">
        <v>89</v>
      </c>
      <c r="E90" s="4">
        <v>0</v>
      </c>
      <c r="F90" s="0" t="inlineStr">
        <is>
          <t xml:space="preserve">jan27</t>
        </is>
      </c>
      <c r="G90" s="4">
        <v>0</v>
      </c>
    </row>
    <row r="91">
      <c r="A91" s="0" t="inlineStr">
        <is>
          <t xml:space="preserve">d20270129</t>
        </is>
      </c>
      <c r="B91" s="0" t="inlineStr">
        <is>
          <t xml:space="preserve">01-29</t>
        </is>
      </c>
      <c r="C91" s="16">
        <v>46416</v>
      </c>
      <c r="D91" s="4">
        <v>90</v>
      </c>
      <c r="E91" s="4">
        <v>0</v>
      </c>
      <c r="F91" s="0" t="inlineStr">
        <is>
          <t xml:space="preserve">jan27</t>
        </is>
      </c>
      <c r="G91" s="4">
        <v>0</v>
      </c>
    </row>
    <row r="92">
      <c r="A92" s="0" t="inlineStr">
        <is>
          <t xml:space="preserve">d20270201</t>
        </is>
      </c>
      <c r="B92" s="0" t="inlineStr">
        <is>
          <t xml:space="preserve">02-01</t>
        </is>
      </c>
      <c r="C92" s="16">
        <v>46419</v>
      </c>
      <c r="D92" s="4">
        <v>91</v>
      </c>
      <c r="E92" s="4">
        <v>0</v>
      </c>
      <c r="F92" s="0" t="inlineStr">
        <is>
          <t xml:space="preserve">feb27</t>
        </is>
      </c>
      <c r="G92" s="4">
        <v>0</v>
      </c>
    </row>
    <row r="93">
      <c r="A93" s="0" t="inlineStr">
        <is>
          <t xml:space="preserve">d20270202</t>
        </is>
      </c>
      <c r="B93" s="0" t="inlineStr">
        <is>
          <t xml:space="preserve">02-02</t>
        </is>
      </c>
      <c r="C93" s="16">
        <v>46420</v>
      </c>
      <c r="D93" s="4">
        <v>92</v>
      </c>
      <c r="E93" s="4">
        <v>0</v>
      </c>
      <c r="F93" s="0" t="inlineStr">
        <is>
          <t xml:space="preserve">feb27</t>
        </is>
      </c>
      <c r="G93" s="4">
        <v>0</v>
      </c>
    </row>
    <row r="94">
      <c r="A94" s="0" t="inlineStr">
        <is>
          <t xml:space="preserve">d20270203</t>
        </is>
      </c>
      <c r="B94" s="0" t="inlineStr">
        <is>
          <t xml:space="preserve">02-03</t>
        </is>
      </c>
      <c r="C94" s="16">
        <v>46421</v>
      </c>
      <c r="D94" s="4">
        <v>93</v>
      </c>
      <c r="E94" s="4">
        <v>0</v>
      </c>
      <c r="F94" s="0" t="inlineStr">
        <is>
          <t xml:space="preserve">feb27</t>
        </is>
      </c>
      <c r="G94" s="4">
        <v>0</v>
      </c>
    </row>
    <row r="95">
      <c r="A95" s="0" t="inlineStr">
        <is>
          <t xml:space="preserve">d20270204</t>
        </is>
      </c>
      <c r="B95" s="0" t="inlineStr">
        <is>
          <t xml:space="preserve">02-04</t>
        </is>
      </c>
      <c r="C95" s="16">
        <v>46422</v>
      </c>
      <c r="D95" s="4">
        <v>94</v>
      </c>
      <c r="E95" s="4">
        <v>0</v>
      </c>
      <c r="F95" s="0" t="inlineStr">
        <is>
          <t xml:space="preserve">feb27</t>
        </is>
      </c>
      <c r="G95" s="4">
        <v>0</v>
      </c>
    </row>
    <row r="96">
      <c r="A96" s="0" t="inlineStr">
        <is>
          <t xml:space="preserve">d20270205</t>
        </is>
      </c>
      <c r="B96" s="0" t="inlineStr">
        <is>
          <t xml:space="preserve">02-05</t>
        </is>
      </c>
      <c r="C96" s="16">
        <v>46423</v>
      </c>
      <c r="D96" s="4">
        <v>95</v>
      </c>
      <c r="E96" s="4">
        <v>0</v>
      </c>
      <c r="F96" s="0" t="inlineStr">
        <is>
          <t xml:space="preserve">feb27</t>
        </is>
      </c>
      <c r="G96" s="4">
        <v>0</v>
      </c>
    </row>
    <row r="97">
      <c r="A97" s="0" t="inlineStr">
        <is>
          <t xml:space="preserve">d20270208</t>
        </is>
      </c>
      <c r="B97" s="0" t="inlineStr">
        <is>
          <t xml:space="preserve">02-08</t>
        </is>
      </c>
      <c r="C97" s="16">
        <v>46426</v>
      </c>
      <c r="D97" s="4">
        <v>96</v>
      </c>
      <c r="E97" s="4">
        <v>0</v>
      </c>
      <c r="F97" s="0" t="inlineStr">
        <is>
          <t xml:space="preserve">feb27</t>
        </is>
      </c>
      <c r="G97" s="4">
        <v>0</v>
      </c>
    </row>
    <row r="98">
      <c r="A98" s="0" t="inlineStr">
        <is>
          <t xml:space="preserve">d20270209</t>
        </is>
      </c>
      <c r="B98" s="0" t="inlineStr">
        <is>
          <t xml:space="preserve">02-09</t>
        </is>
      </c>
      <c r="C98" s="16">
        <v>46427</v>
      </c>
      <c r="D98" s="4">
        <v>97</v>
      </c>
      <c r="E98" s="4">
        <v>0</v>
      </c>
      <c r="F98" s="0" t="inlineStr">
        <is>
          <t xml:space="preserve">feb27</t>
        </is>
      </c>
      <c r="G98" s="4">
        <v>0</v>
      </c>
    </row>
    <row r="99">
      <c r="A99" s="0" t="inlineStr">
        <is>
          <t xml:space="preserve">d20270210</t>
        </is>
      </c>
      <c r="B99" s="0" t="inlineStr">
        <is>
          <t xml:space="preserve">02-10</t>
        </is>
      </c>
      <c r="C99" s="16">
        <v>46428</v>
      </c>
      <c r="D99" s="4">
        <v>98</v>
      </c>
      <c r="E99" s="4">
        <v>0</v>
      </c>
      <c r="F99" s="0" t="inlineStr">
        <is>
          <t xml:space="preserve">feb27</t>
        </is>
      </c>
      <c r="G99" s="4">
        <v>0</v>
      </c>
    </row>
    <row r="100">
      <c r="A100" s="0" t="inlineStr">
        <is>
          <t xml:space="preserve">d20270211</t>
        </is>
      </c>
      <c r="B100" s="0" t="inlineStr">
        <is>
          <t xml:space="preserve">02-11</t>
        </is>
      </c>
      <c r="C100" s="16">
        <v>46429</v>
      </c>
      <c r="D100" s="4">
        <v>99</v>
      </c>
      <c r="E100" s="4">
        <v>0</v>
      </c>
      <c r="F100" s="0" t="inlineStr">
        <is>
          <t xml:space="preserve">feb27</t>
        </is>
      </c>
      <c r="G100" s="4">
        <v>0</v>
      </c>
    </row>
    <row r="101">
      <c r="A101" s="0" t="inlineStr">
        <is>
          <t xml:space="preserve">d20270212</t>
        </is>
      </c>
      <c r="B101" s="0" t="inlineStr">
        <is>
          <t xml:space="preserve">02-12</t>
        </is>
      </c>
      <c r="C101" s="16">
        <v>46430</v>
      </c>
      <c r="D101" s="4">
        <v>100</v>
      </c>
      <c r="E101" s="4">
        <v>0</v>
      </c>
      <c r="F101" s="0" t="inlineStr">
        <is>
          <t xml:space="preserve">feb27</t>
        </is>
      </c>
      <c r="G101" s="4">
        <v>0</v>
      </c>
    </row>
  </sheetData>
</worksheet>
</file>

<file path=xl/worksheets/sheet1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basic_materials</t>
        </is>
      </c>
      <c r="B2" s="0" t="inlineStr">
        <is>
          <t xml:space="preserve">Basic Materials</t>
        </is>
      </c>
    </row>
    <row r="3">
      <c r="A3" s="0" t="inlineStr">
        <is>
          <t xml:space="preserve">communication_services</t>
        </is>
      </c>
      <c r="B3" s="0" t="inlineStr">
        <is>
          <t xml:space="preserve">Communication Services</t>
        </is>
      </c>
    </row>
    <row r="4">
      <c r="A4" s="0" t="inlineStr">
        <is>
          <t xml:space="preserve">consumer_cyclical</t>
        </is>
      </c>
      <c r="B4" s="0" t="inlineStr">
        <is>
          <t xml:space="preserve">Consumer Cyclical</t>
        </is>
      </c>
    </row>
    <row r="5">
      <c r="A5" s="0" t="inlineStr">
        <is>
          <t xml:space="preserve">consumer_defensive</t>
        </is>
      </c>
      <c r="B5" s="0" t="inlineStr">
        <is>
          <t xml:space="preserve">Consumer Defensive</t>
        </is>
      </c>
    </row>
    <row r="6">
      <c r="A6" s="0" t="inlineStr">
        <is>
          <t xml:space="preserve">energy</t>
        </is>
      </c>
      <c r="B6" s="0" t="inlineStr">
        <is>
          <t xml:space="preserve">Energy</t>
        </is>
      </c>
    </row>
    <row r="7">
      <c r="A7" s="0" t="inlineStr">
        <is>
          <t xml:space="preserve">financial_services</t>
        </is>
      </c>
      <c r="B7" s="0" t="inlineStr">
        <is>
          <t xml:space="preserve">Financial Services</t>
        </is>
      </c>
    </row>
    <row r="8">
      <c r="A8" s="0" t="inlineStr">
        <is>
          <t xml:space="preserve">healthcare</t>
        </is>
      </c>
      <c r="B8" s="0" t="inlineStr">
        <is>
          <t xml:space="preserve">Healthcare</t>
        </is>
      </c>
    </row>
    <row r="9">
      <c r="A9" s="0" t="inlineStr">
        <is>
          <t xml:space="preserve">industrials</t>
        </is>
      </c>
      <c r="B9" s="0" t="inlineStr">
        <is>
          <t xml:space="preserve">Industrials</t>
        </is>
      </c>
    </row>
    <row r="10">
      <c r="A10" s="0" t="inlineStr">
        <is>
          <t xml:space="preserve">real_estate</t>
        </is>
      </c>
      <c r="B10" s="0" t="inlineStr">
        <is>
          <t xml:space="preserve">Real Estate</t>
        </is>
      </c>
    </row>
    <row r="11">
      <c r="A11" s="0" t="inlineStr">
        <is>
          <t xml:space="preserve">technology</t>
        </is>
      </c>
      <c r="B11" s="0" t="inlineStr">
        <is>
          <t xml:space="preserve">Technology</t>
        </is>
      </c>
    </row>
    <row r="12">
      <c r="A12" s="0" t="inlineStr">
        <is>
          <t xml:space="preserve">utilities</t>
        </is>
      </c>
      <c r="B12" s="0" t="inlineStr">
        <is>
          <t xml:space="preserve">Utilities</t>
        </is>
      </c>
    </row>
  </sheetData>
</worksheet>
</file>

<file path=xl/worksheets/sheet1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</cols>
  <sheetData>
    <row r="1">
      <c r="A1" s="1" t="inlineStr">
        <is>
          <t xml:space="preserve">ID</t>
        </is>
      </c>
      <c r="B1" s="1" t="inlineStr">
        <is>
          <t xml:space="preserve">pod</t>
        </is>
      </c>
      <c r="C1" s="1" t="inlineStr">
        <is>
          <t xml:space="preserve">day</t>
        </is>
      </c>
      <c r="D1" s="1" t="inlineStr">
        <is>
          <t xml:space="preserve">sn_excess_bps</t>
        </is>
      </c>
      <c r="E1" s="1" t="inlineStr">
        <is>
          <t xml:space="preserve">excess_bps</t>
        </is>
      </c>
      <c r="F1" s="1" t="inlineStr">
        <is>
          <t xml:space="preserve">net_bps</t>
        </is>
      </c>
      <c r="G1" s="1" t="inlineStr">
        <is>
          <t xml:space="preserve">cc_sn_bps</t>
        </is>
      </c>
      <c r="H1" s="1" t="inlineStr">
        <is>
          <t xml:space="preserve">hit_rate</t>
        </is>
      </c>
      <c r="I1" s="1" t="inlineStr">
        <is>
          <t xml:space="preserve">ic</t>
        </is>
      </c>
      <c r="J1" s="1" t="inlineStr">
        <is>
          <t xml:space="preserve">n_scored</t>
        </is>
      </c>
      <c r="K1" s="1" t="inlineStr">
        <is>
          <t xml:space="preserve">sq_bps</t>
        </is>
      </c>
      <c r="L1" s="1" t="inlineStr">
        <is>
          <t xml:space="preserve">source</t>
        </is>
      </c>
    </row>
    <row r="2">
      <c r="A2" s="0" t="inlineStr">
        <is>
          <t xml:space="preserve">p10_52wk_high_d20260922</t>
        </is>
      </c>
      <c r="B2" s="0" t="inlineStr">
        <is>
          <t xml:space="preserve">p10_52wk_high</t>
        </is>
      </c>
      <c r="C2" s="0" t="inlineStr">
        <is>
          <t xml:space="preserve">d20260922</t>
        </is>
      </c>
      <c r="D2" s="8">
        <v>17.164</v>
      </c>
      <c r="E2" s="8">
        <v>39.111</v>
      </c>
      <c r="F2" s="8">
        <v>29.111</v>
      </c>
      <c r="G2" s="0"/>
      <c r="H2" s="8">
        <v>0.78</v>
      </c>
      <c r="I2" s="8">
        <v>0.149</v>
      </c>
      <c r="J2" s="4">
        <v>1488</v>
      </c>
      <c r="K2" s="8">
        <v>294.597</v>
      </c>
      <c r="L2" s="0" t="inlineStr">
        <is>
          <t xml:space="preserve">live</t>
        </is>
      </c>
    </row>
    <row r="3">
      <c r="A3" s="0" t="inlineStr">
        <is>
          <t xml:space="preserve">p08_residual_momentum_d20260922</t>
        </is>
      </c>
      <c r="B3" s="0" t="inlineStr">
        <is>
          <t xml:space="preserve">p08_residual_momentum</t>
        </is>
      </c>
      <c r="C3" s="0" t="inlineStr">
        <is>
          <t xml:space="preserve">d20260922</t>
        </is>
      </c>
      <c r="D3" s="8">
        <v>13.936</v>
      </c>
      <c r="E3" s="8">
        <v>14.833</v>
      </c>
      <c r="F3" s="8">
        <v>4.833</v>
      </c>
      <c r="G3" s="0"/>
      <c r="H3" s="8">
        <v>0.53</v>
      </c>
      <c r="I3" s="8">
        <v>0.1171</v>
      </c>
      <c r="J3" s="4">
        <v>1441</v>
      </c>
      <c r="K3" s="8">
        <v>194.219</v>
      </c>
      <c r="L3" s="0" t="inlineStr">
        <is>
          <t xml:space="preserve">live</t>
        </is>
      </c>
    </row>
    <row r="4">
      <c r="A4" s="0" t="inlineStr">
        <is>
          <t xml:space="preserve">random_11_d20260922</t>
        </is>
      </c>
      <c r="B4" s="0" t="inlineStr">
        <is>
          <t xml:space="preserve">random_11</t>
        </is>
      </c>
      <c r="C4" s="0" t="inlineStr">
        <is>
          <t xml:space="preserve">d20260922</t>
        </is>
      </c>
      <c r="D4" s="8">
        <v>13.888</v>
      </c>
      <c r="E4" s="8">
        <v>11.501</v>
      </c>
      <c r="F4" s="8">
        <v>1.501</v>
      </c>
      <c r="G4" s="0"/>
      <c r="H4" s="8">
        <v>0.56</v>
      </c>
      <c r="I4" s="8">
        <v>0.0314</v>
      </c>
      <c r="J4" s="4">
        <v>1488</v>
      </c>
      <c r="K4" s="8">
        <v>192.885</v>
      </c>
      <c r="L4" s="0" t="inlineStr">
        <is>
          <t xml:space="preserve">live</t>
        </is>
      </c>
    </row>
    <row r="5">
      <c r="A5" s="0" t="inlineStr">
        <is>
          <t xml:space="preserve">naive_loser1d_d20260922</t>
        </is>
      </c>
      <c r="B5" s="0" t="inlineStr">
        <is>
          <t xml:space="preserve">naive_loser1d</t>
        </is>
      </c>
      <c r="C5" s="0" t="inlineStr">
        <is>
          <t xml:space="preserve">d20260922</t>
        </is>
      </c>
      <c r="D5" s="8">
        <v>13.654</v>
      </c>
      <c r="E5" s="8">
        <v>37.379</v>
      </c>
      <c r="F5" s="8">
        <v>27.379</v>
      </c>
      <c r="G5" s="0"/>
      <c r="H5" s="8">
        <v>0.67</v>
      </c>
      <c r="I5" s="8">
        <v>0.0962</v>
      </c>
      <c r="J5" s="4">
        <v>1488</v>
      </c>
      <c r="K5" s="8">
        <v>186.432</v>
      </c>
      <c r="L5" s="0" t="inlineStr">
        <is>
          <t xml:space="preserve">live</t>
        </is>
      </c>
    </row>
    <row r="6">
      <c r="A6" s="0" t="inlineStr">
        <is>
          <t xml:space="preserve">naive_lowvol_d20260922</t>
        </is>
      </c>
      <c r="B6" s="0" t="inlineStr">
        <is>
          <t xml:space="preserve">naive_lowvol</t>
        </is>
      </c>
      <c r="C6" s="0" t="inlineStr">
        <is>
          <t xml:space="preserve">d20260922</t>
        </is>
      </c>
      <c r="D6" s="8">
        <v>12.648</v>
      </c>
      <c r="E6" s="8">
        <v>-4.709</v>
      </c>
      <c r="F6" s="8">
        <v>-14.709</v>
      </c>
      <c r="G6" s="0"/>
      <c r="H6" s="8">
        <v>0.44</v>
      </c>
      <c r="I6" s="8">
        <v>-0.0239</v>
      </c>
      <c r="J6" s="4">
        <v>1488</v>
      </c>
      <c r="K6" s="8">
        <v>159.975</v>
      </c>
      <c r="L6" s="0" t="inlineStr">
        <is>
          <t xml:space="preserve">live</t>
        </is>
      </c>
    </row>
    <row r="7">
      <c r="A7" s="0" t="inlineStr">
        <is>
          <t xml:space="preserve">p02_earnings_drift_d20260922</t>
        </is>
      </c>
      <c r="B7" s="0" t="inlineStr">
        <is>
          <t xml:space="preserve">p02_earnings_drift</t>
        </is>
      </c>
      <c r="C7" s="0" t="inlineStr">
        <is>
          <t xml:space="preserve">d20260922</t>
        </is>
      </c>
      <c r="D7" s="8">
        <v>11.704</v>
      </c>
      <c r="E7" s="8">
        <v>15.229</v>
      </c>
      <c r="F7" s="8">
        <v>5.229</v>
      </c>
      <c r="G7" s="0"/>
      <c r="H7" s="8">
        <v>0.53</v>
      </c>
      <c r="I7" s="8">
        <v>-0.1282</v>
      </c>
      <c r="J7" s="4">
        <v>1488</v>
      </c>
      <c r="K7" s="8">
        <v>136.976</v>
      </c>
      <c r="L7" s="0" t="inlineStr">
        <is>
          <t xml:space="preserve">live</t>
        </is>
      </c>
    </row>
    <row r="8">
      <c r="A8" s="0" t="inlineStr">
        <is>
          <t xml:space="preserve">random_18_d20260922</t>
        </is>
      </c>
      <c r="B8" s="0" t="inlineStr">
        <is>
          <t xml:space="preserve">random_18</t>
        </is>
      </c>
      <c r="C8" s="0" t="inlineStr">
        <is>
          <t xml:space="preserve">d20260922</t>
        </is>
      </c>
      <c r="D8" s="8">
        <v>10.83</v>
      </c>
      <c r="E8" s="8">
        <v>8.19</v>
      </c>
      <c r="F8" s="8">
        <v>-1.81</v>
      </c>
      <c r="G8" s="0"/>
      <c r="H8" s="8">
        <v>0.51</v>
      </c>
      <c r="I8" s="8">
        <v>0.007</v>
      </c>
      <c r="J8" s="4">
        <v>1488</v>
      </c>
      <c r="K8" s="8">
        <v>117.293</v>
      </c>
      <c r="L8" s="0" t="inlineStr">
        <is>
          <t xml:space="preserve">live</t>
        </is>
      </c>
    </row>
    <row r="9">
      <c r="A9" s="0" t="inlineStr">
        <is>
          <t xml:space="preserve">random_05_d20260922</t>
        </is>
      </c>
      <c r="B9" s="0" t="inlineStr">
        <is>
          <t xml:space="preserve">random_05</t>
        </is>
      </c>
      <c r="C9" s="0" t="inlineStr">
        <is>
          <t xml:space="preserve">d20260922</t>
        </is>
      </c>
      <c r="D9" s="8">
        <v>8.485</v>
      </c>
      <c r="E9" s="8">
        <v>2.742</v>
      </c>
      <c r="F9" s="8">
        <v>-7.258</v>
      </c>
      <c r="G9" s="0"/>
      <c r="H9" s="8">
        <v>0.45</v>
      </c>
      <c r="I9" s="8">
        <v>0.0179</v>
      </c>
      <c r="J9" s="4">
        <v>1488</v>
      </c>
      <c r="K9" s="8">
        <v>71.997</v>
      </c>
      <c r="L9" s="0" t="inlineStr">
        <is>
          <t xml:space="preserve">live</t>
        </is>
      </c>
    </row>
    <row r="10">
      <c r="A10" s="0" t="inlineStr">
        <is>
          <t xml:space="preserve">p09_overnight_persistence_d20260922</t>
        </is>
      </c>
      <c r="B10" s="0" t="inlineStr">
        <is>
          <t xml:space="preserve">p09_overnight_persistence</t>
        </is>
      </c>
      <c r="C10" s="0" t="inlineStr">
        <is>
          <t xml:space="preserve">d20260922</t>
        </is>
      </c>
      <c r="D10" s="8">
        <v>8.172</v>
      </c>
      <c r="E10" s="8">
        <v>1.478</v>
      </c>
      <c r="F10" s="8">
        <v>-8.522</v>
      </c>
      <c r="G10" s="0"/>
      <c r="H10" s="8">
        <v>0.56</v>
      </c>
      <c r="I10" s="8">
        <v>0.0133</v>
      </c>
      <c r="J10" s="4">
        <v>1488</v>
      </c>
      <c r="K10" s="8">
        <v>66.784</v>
      </c>
      <c r="L10" s="0" t="inlineStr">
        <is>
          <t xml:space="preserve">live</t>
        </is>
      </c>
    </row>
    <row r="11">
      <c r="A11" s="0" t="inlineStr">
        <is>
          <t xml:space="preserve">random_19_d20260922</t>
        </is>
      </c>
      <c r="B11" s="0" t="inlineStr">
        <is>
          <t xml:space="preserve">random_19</t>
        </is>
      </c>
      <c r="C11" s="0" t="inlineStr">
        <is>
          <t xml:space="preserve">d20260922</t>
        </is>
      </c>
      <c r="D11" s="8">
        <v>5.56</v>
      </c>
      <c r="E11" s="8">
        <v>1.362</v>
      </c>
      <c r="F11" s="8">
        <v>-8.638</v>
      </c>
      <c r="G11" s="0"/>
      <c r="H11" s="8">
        <v>0.51</v>
      </c>
      <c r="I11" s="8">
        <v>-0.0102</v>
      </c>
      <c r="J11" s="4">
        <v>1488</v>
      </c>
      <c r="K11" s="8">
        <v>30.917</v>
      </c>
      <c r="L11" s="0" t="inlineStr">
        <is>
          <t xml:space="preserve">live</t>
        </is>
      </c>
    </row>
    <row r="12">
      <c r="A12" s="0" t="inlineStr">
        <is>
          <t xml:space="preserve">random_20_d20260922</t>
        </is>
      </c>
      <c r="B12" s="0" t="inlineStr">
        <is>
          <t xml:space="preserve">random_20</t>
        </is>
      </c>
      <c r="C12" s="0" t="inlineStr">
        <is>
          <t xml:space="preserve">d20260922</t>
        </is>
      </c>
      <c r="D12" s="8">
        <v>5.013</v>
      </c>
      <c r="E12" s="8">
        <v>5.139</v>
      </c>
      <c r="F12" s="8">
        <v>-4.861</v>
      </c>
      <c r="G12" s="0"/>
      <c r="H12" s="8">
        <v>0.45</v>
      </c>
      <c r="I12" s="8">
        <v>-0.0314</v>
      </c>
      <c r="J12" s="4">
        <v>1488</v>
      </c>
      <c r="K12" s="8">
        <v>25.13</v>
      </c>
      <c r="L12" s="0" t="inlineStr">
        <is>
          <t xml:space="preserve">live</t>
        </is>
      </c>
    </row>
    <row r="13">
      <c r="A13" s="0" t="inlineStr">
        <is>
          <t xml:space="preserve">random_10_d20260922</t>
        </is>
      </c>
      <c r="B13" s="0" t="inlineStr">
        <is>
          <t xml:space="preserve">random_10</t>
        </is>
      </c>
      <c r="C13" s="0" t="inlineStr">
        <is>
          <t xml:space="preserve">d20260922</t>
        </is>
      </c>
      <c r="D13" s="8">
        <v>4.866</v>
      </c>
      <c r="E13" s="8">
        <v>3.649</v>
      </c>
      <c r="F13" s="8">
        <v>-6.351</v>
      </c>
      <c r="G13" s="0"/>
      <c r="H13" s="8">
        <v>0.47</v>
      </c>
      <c r="I13" s="8">
        <v>-0.0459</v>
      </c>
      <c r="J13" s="4">
        <v>1488</v>
      </c>
      <c r="K13" s="8">
        <v>23.681</v>
      </c>
      <c r="L13" s="0" t="inlineStr">
        <is>
          <t xml:space="preserve">live</t>
        </is>
      </c>
    </row>
    <row r="14">
      <c r="A14" s="0" t="inlineStr">
        <is>
          <t xml:space="preserve">naive_mcap_d20260922</t>
        </is>
      </c>
      <c r="B14" s="0" t="inlineStr">
        <is>
          <t xml:space="preserve">naive_mcap</t>
        </is>
      </c>
      <c r="C14" s="0" t="inlineStr">
        <is>
          <t xml:space="preserve">d20260922</t>
        </is>
      </c>
      <c r="D14" s="8">
        <v>4.751</v>
      </c>
      <c r="E14" s="8">
        <v>14.964</v>
      </c>
      <c r="F14" s="8">
        <v>4.964</v>
      </c>
      <c r="G14" s="0"/>
      <c r="H14" s="8">
        <v>0.64</v>
      </c>
      <c r="I14" s="8">
        <v>0.0763</v>
      </c>
      <c r="J14" s="4">
        <v>1488</v>
      </c>
      <c r="K14" s="8">
        <v>22.568</v>
      </c>
      <c r="L14" s="0" t="inlineStr">
        <is>
          <t xml:space="preserve">live</t>
        </is>
      </c>
    </row>
    <row r="15">
      <c r="A15" s="0" t="inlineStr">
        <is>
          <t xml:space="preserve">random_03_d20260922</t>
        </is>
      </c>
      <c r="B15" s="0" t="inlineStr">
        <is>
          <t xml:space="preserve">random_03</t>
        </is>
      </c>
      <c r="C15" s="0" t="inlineStr">
        <is>
          <t xml:space="preserve">d20260922</t>
        </is>
      </c>
      <c r="D15" s="8">
        <v>4.62</v>
      </c>
      <c r="E15" s="8">
        <v>5.9</v>
      </c>
      <c r="F15" s="8">
        <v>-4.1</v>
      </c>
      <c r="G15" s="0"/>
      <c r="H15" s="8">
        <v>0.55</v>
      </c>
      <c r="I15" s="8">
        <v>0.0242</v>
      </c>
      <c r="J15" s="4">
        <v>1488</v>
      </c>
      <c r="K15" s="8">
        <v>21.343</v>
      </c>
      <c r="L15" s="0" t="inlineStr">
        <is>
          <t xml:space="preserve">live</t>
        </is>
      </c>
    </row>
    <row r="16">
      <c r="A16" s="0" t="inlineStr">
        <is>
          <t xml:space="preserve">p03_intraday_reversal_d20260922</t>
        </is>
      </c>
      <c r="B16" s="0" t="inlineStr">
        <is>
          <t xml:space="preserve">p03_intraday_reversal</t>
        </is>
      </c>
      <c r="C16" s="0" t="inlineStr">
        <is>
          <t xml:space="preserve">d20260922</t>
        </is>
      </c>
      <c r="D16" s="8">
        <v>4.098</v>
      </c>
      <c r="E16" s="8">
        <v>2.547</v>
      </c>
      <c r="F16" s="8">
        <v>-7.453</v>
      </c>
      <c r="G16" s="0"/>
      <c r="H16" s="8">
        <v>0.53</v>
      </c>
      <c r="I16" s="8">
        <v>0.0638</v>
      </c>
      <c r="J16" s="4">
        <v>1488</v>
      </c>
      <c r="K16" s="8">
        <v>16.793</v>
      </c>
      <c r="L16" s="0" t="inlineStr">
        <is>
          <t xml:space="preserve">live</t>
        </is>
      </c>
    </row>
    <row r="17">
      <c r="A17" s="0" t="inlineStr">
        <is>
          <t xml:space="preserve">random_08_d20260922</t>
        </is>
      </c>
      <c r="B17" s="0" t="inlineStr">
        <is>
          <t xml:space="preserve">random_08</t>
        </is>
      </c>
      <c r="C17" s="0" t="inlineStr">
        <is>
          <t xml:space="preserve">d20260922</t>
        </is>
      </c>
      <c r="D17" s="8">
        <v>3.133</v>
      </c>
      <c r="E17" s="8">
        <v>5.462</v>
      </c>
      <c r="F17" s="8">
        <v>-4.538</v>
      </c>
      <c r="G17" s="0"/>
      <c r="H17" s="8">
        <v>0.5</v>
      </c>
      <c r="I17" s="8">
        <v>-0.021</v>
      </c>
      <c r="J17" s="4">
        <v>1488</v>
      </c>
      <c r="K17" s="8">
        <v>9.816</v>
      </c>
      <c r="L17" s="0" t="inlineStr">
        <is>
          <t xml:space="preserve">live</t>
        </is>
      </c>
    </row>
    <row r="18">
      <c r="A18" s="0" t="inlineStr">
        <is>
          <t xml:space="preserve">p05_insider_clusters_d20260922</t>
        </is>
      </c>
      <c r="B18" s="0" t="inlineStr">
        <is>
          <t xml:space="preserve">p05_insider_clusters</t>
        </is>
      </c>
      <c r="C18" s="0" t="inlineStr">
        <is>
          <t xml:space="preserve">d20260922</t>
        </is>
      </c>
      <c r="D18" s="8">
        <v>2.143</v>
      </c>
      <c r="E18" s="8">
        <v>14.195</v>
      </c>
      <c r="F18" s="8">
        <v>4.195</v>
      </c>
      <c r="G18" s="0"/>
      <c r="H18" s="8">
        <v>0.53</v>
      </c>
      <c r="I18" s="8">
        <v>-0.0244</v>
      </c>
      <c r="J18" s="4">
        <v>1488</v>
      </c>
      <c r="K18" s="8">
        <v>4.592</v>
      </c>
      <c r="L18" s="0" t="inlineStr">
        <is>
          <t xml:space="preserve">live</t>
        </is>
      </c>
    </row>
    <row r="19">
      <c r="A19" s="0" t="inlineStr">
        <is>
          <t xml:space="preserve">random_14_d20260922</t>
        </is>
      </c>
      <c r="B19" s="0" t="inlineStr">
        <is>
          <t xml:space="preserve">random_14</t>
        </is>
      </c>
      <c r="C19" s="0" t="inlineStr">
        <is>
          <t xml:space="preserve">d20260922</t>
        </is>
      </c>
      <c r="D19" s="8">
        <v>1.692</v>
      </c>
      <c r="E19" s="8">
        <v>4.727</v>
      </c>
      <c r="F19" s="8">
        <v>-5.273</v>
      </c>
      <c r="G19" s="0"/>
      <c r="H19" s="8">
        <v>0.6263</v>
      </c>
      <c r="I19" s="8">
        <v>0.0579</v>
      </c>
      <c r="J19" s="4">
        <v>1488</v>
      </c>
      <c r="K19" s="8">
        <v>2.863</v>
      </c>
      <c r="L19" s="0" t="inlineStr">
        <is>
          <t xml:space="preserve">live</t>
        </is>
      </c>
    </row>
    <row r="20">
      <c r="A20" s="0" t="inlineStr">
        <is>
          <t xml:space="preserve">random_02_d20260922</t>
        </is>
      </c>
      <c r="B20" s="0" t="inlineStr">
        <is>
          <t xml:space="preserve">random_02</t>
        </is>
      </c>
      <c r="C20" s="0" t="inlineStr">
        <is>
          <t xml:space="preserve">d20260922</t>
        </is>
      </c>
      <c r="D20" s="8">
        <v>0.703</v>
      </c>
      <c r="E20" s="8">
        <v>-2.049</v>
      </c>
      <c r="F20" s="8">
        <v>-12.049</v>
      </c>
      <c r="G20" s="0"/>
      <c r="H20" s="8">
        <v>0.49</v>
      </c>
      <c r="I20" s="8">
        <v>0.0008</v>
      </c>
      <c r="J20" s="4">
        <v>1488</v>
      </c>
      <c r="K20" s="8">
        <v>0.494</v>
      </c>
      <c r="L20" s="0" t="inlineStr">
        <is>
          <t xml:space="preserve">live</t>
        </is>
      </c>
    </row>
    <row r="21">
      <c r="A21" s="0" t="inlineStr">
        <is>
          <t xml:space="preserve">p07_quality_value_d20260922</t>
        </is>
      </c>
      <c r="B21" s="0" t="inlineStr">
        <is>
          <t xml:space="preserve">p07_quality_value</t>
        </is>
      </c>
      <c r="C21" s="0" t="inlineStr">
        <is>
          <t xml:space="preserve">d20260922</t>
        </is>
      </c>
      <c r="D21" s="8">
        <v>-0.086</v>
      </c>
      <c r="E21" s="8">
        <v>10.19</v>
      </c>
      <c r="F21" s="8">
        <v>0.19</v>
      </c>
      <c r="G21" s="0"/>
      <c r="H21" s="8">
        <v>0.63</v>
      </c>
      <c r="I21" s="8">
        <v>0.1021</v>
      </c>
      <c r="J21" s="4">
        <v>1485</v>
      </c>
      <c r="K21" s="8">
        <v>0.007</v>
      </c>
      <c r="L21" s="0" t="inlineStr">
        <is>
          <t xml:space="preserve">live</t>
        </is>
      </c>
    </row>
    <row r="22">
      <c r="A22" s="0" t="inlineStr">
        <is>
          <t xml:space="preserve">random_12_d20260922</t>
        </is>
      </c>
      <c r="B22" s="0" t="inlineStr">
        <is>
          <t xml:space="preserve">random_12</t>
        </is>
      </c>
      <c r="C22" s="0" t="inlineStr">
        <is>
          <t xml:space="preserve">d20260922</t>
        </is>
      </c>
      <c r="D22" s="8">
        <v>-0.503</v>
      </c>
      <c r="E22" s="8">
        <v>0.737</v>
      </c>
      <c r="F22" s="8">
        <v>-9.263</v>
      </c>
      <c r="G22" s="0"/>
      <c r="H22" s="8">
        <v>0.52</v>
      </c>
      <c r="I22" s="8">
        <v>0.0119</v>
      </c>
      <c r="J22" s="4">
        <v>1488</v>
      </c>
      <c r="K22" s="8">
        <v>0.253</v>
      </c>
      <c r="L22" s="0" t="inlineStr">
        <is>
          <t xml:space="preserve">live</t>
        </is>
      </c>
    </row>
    <row r="23">
      <c r="A23" s="0" t="inlineStr">
        <is>
          <t xml:space="preserve">random_16_d20260922</t>
        </is>
      </c>
      <c r="B23" s="0" t="inlineStr">
        <is>
          <t xml:space="preserve">random_16</t>
        </is>
      </c>
      <c r="C23" s="0" t="inlineStr">
        <is>
          <t xml:space="preserve">d20260922</t>
        </is>
      </c>
      <c r="D23" s="8">
        <v>-1.212</v>
      </c>
      <c r="E23" s="8">
        <v>-1.774</v>
      </c>
      <c r="F23" s="8">
        <v>-11.774</v>
      </c>
      <c r="G23" s="0"/>
      <c r="H23" s="8">
        <v>0.52</v>
      </c>
      <c r="I23" s="8">
        <v>-0.0384</v>
      </c>
      <c r="J23" s="4">
        <v>1488</v>
      </c>
      <c r="K23" s="8">
        <v>1.469</v>
      </c>
      <c r="L23" s="0" t="inlineStr">
        <is>
          <t xml:space="preserve">live</t>
        </is>
      </c>
    </row>
    <row r="24">
      <c r="A24" s="0" t="inlineStr">
        <is>
          <t xml:space="preserve">random_04_d20260922</t>
        </is>
      </c>
      <c r="B24" s="0" t="inlineStr">
        <is>
          <t xml:space="preserve">random_04</t>
        </is>
      </c>
      <c r="C24" s="0" t="inlineStr">
        <is>
          <t xml:space="preserve">d20260922</t>
        </is>
      </c>
      <c r="D24" s="8">
        <v>-1.755</v>
      </c>
      <c r="E24" s="8">
        <v>-5.497</v>
      </c>
      <c r="F24" s="8">
        <v>-15.497</v>
      </c>
      <c r="G24" s="0"/>
      <c r="H24" s="8">
        <v>0.47</v>
      </c>
      <c r="I24" s="8">
        <v>-0.0556</v>
      </c>
      <c r="J24" s="4">
        <v>1488</v>
      </c>
      <c r="K24" s="8">
        <v>3.08</v>
      </c>
      <c r="L24" s="0" t="inlineStr">
        <is>
          <t xml:space="preserve">live</t>
        </is>
      </c>
    </row>
    <row r="25">
      <c r="A25" s="0" t="inlineStr">
        <is>
          <t xml:space="preserve">p04_analyst_revisions_d20260922</t>
        </is>
      </c>
      <c r="B25" s="0" t="inlineStr">
        <is>
          <t xml:space="preserve">p04_analyst_revisions</t>
        </is>
      </c>
      <c r="C25" s="0" t="inlineStr">
        <is>
          <t xml:space="preserve">d20260922</t>
        </is>
      </c>
      <c r="D25" s="8">
        <v>-2.965</v>
      </c>
      <c r="E25" s="8">
        <v>-6.285</v>
      </c>
      <c r="F25" s="8">
        <v>-16.285</v>
      </c>
      <c r="G25" s="0"/>
      <c r="H25" s="8">
        <v>0.49</v>
      </c>
      <c r="I25" s="8">
        <v>0.074</v>
      </c>
      <c r="J25" s="4">
        <v>1488</v>
      </c>
      <c r="K25" s="8">
        <v>8.79</v>
      </c>
      <c r="L25" s="0" t="inlineStr">
        <is>
          <t xml:space="preserve">live</t>
        </is>
      </c>
    </row>
    <row r="26">
      <c r="A26" s="0" t="inlineStr">
        <is>
          <t xml:space="preserve">random_17_d20260922</t>
        </is>
      </c>
      <c r="B26" s="0" t="inlineStr">
        <is>
          <t xml:space="preserve">random_17</t>
        </is>
      </c>
      <c r="C26" s="0" t="inlineStr">
        <is>
          <t xml:space="preserve">d20260922</t>
        </is>
      </c>
      <c r="D26" s="8">
        <v>-2.98</v>
      </c>
      <c r="E26" s="8">
        <v>-3.443</v>
      </c>
      <c r="F26" s="8">
        <v>-13.443</v>
      </c>
      <c r="G26" s="0"/>
      <c r="H26" s="8">
        <v>0.45</v>
      </c>
      <c r="I26" s="8">
        <v>-0.0086</v>
      </c>
      <c r="J26" s="4">
        <v>1488</v>
      </c>
      <c r="K26" s="8">
        <v>8.879</v>
      </c>
      <c r="L26" s="0" t="inlineStr">
        <is>
          <t xml:space="preserve">live</t>
        </is>
      </c>
    </row>
    <row r="27">
      <c r="A27" s="0" t="inlineStr">
        <is>
          <t xml:space="preserve">random_06_d20260922</t>
        </is>
      </c>
      <c r="B27" s="0" t="inlineStr">
        <is>
          <t xml:space="preserve">random_06</t>
        </is>
      </c>
      <c r="C27" s="0" t="inlineStr">
        <is>
          <t xml:space="preserve">d20260922</t>
        </is>
      </c>
      <c r="D27" s="8">
        <v>-3.004</v>
      </c>
      <c r="E27" s="8">
        <v>-3.953</v>
      </c>
      <c r="F27" s="8">
        <v>-13.953</v>
      </c>
      <c r="G27" s="0"/>
      <c r="H27" s="8">
        <v>0.52</v>
      </c>
      <c r="I27" s="8">
        <v>-0.0092</v>
      </c>
      <c r="J27" s="4">
        <v>1488</v>
      </c>
      <c r="K27" s="8">
        <v>9.026</v>
      </c>
      <c r="L27" s="0" t="inlineStr">
        <is>
          <t xml:space="preserve">live</t>
        </is>
      </c>
    </row>
    <row r="28">
      <c r="A28" s="0" t="inlineStr">
        <is>
          <t xml:space="preserve">random_07_d20260922</t>
        </is>
      </c>
      <c r="B28" s="0" t="inlineStr">
        <is>
          <t xml:space="preserve">random_07</t>
        </is>
      </c>
      <c r="C28" s="0" t="inlineStr">
        <is>
          <t xml:space="preserve">d20260922</t>
        </is>
      </c>
      <c r="D28" s="8">
        <v>-3.263</v>
      </c>
      <c r="E28" s="8">
        <v>0.195</v>
      </c>
      <c r="F28" s="8">
        <v>-9.805</v>
      </c>
      <c r="G28" s="0"/>
      <c r="H28" s="8">
        <v>0.52</v>
      </c>
      <c r="I28" s="8">
        <v>0.0337</v>
      </c>
      <c r="J28" s="4">
        <v>1488</v>
      </c>
      <c r="K28" s="8">
        <v>10.65</v>
      </c>
      <c r="L28" s="0" t="inlineStr">
        <is>
          <t xml:space="preserve">live</t>
        </is>
      </c>
    </row>
    <row r="29">
      <c r="A29" s="0" t="inlineStr">
        <is>
          <t xml:space="preserve">random_09_d20260922</t>
        </is>
      </c>
      <c r="B29" s="0" t="inlineStr">
        <is>
          <t xml:space="preserve">random_09</t>
        </is>
      </c>
      <c r="C29" s="0" t="inlineStr">
        <is>
          <t xml:space="preserve">d20260922</t>
        </is>
      </c>
      <c r="D29" s="8">
        <v>-3.328</v>
      </c>
      <c r="E29" s="8">
        <v>-0.968</v>
      </c>
      <c r="F29" s="8">
        <v>-10.968</v>
      </c>
      <c r="G29" s="0"/>
      <c r="H29" s="8">
        <v>0.44</v>
      </c>
      <c r="I29" s="8">
        <v>0.057</v>
      </c>
      <c r="J29" s="4">
        <v>1488</v>
      </c>
      <c r="K29" s="8">
        <v>11.075</v>
      </c>
      <c r="L29" s="0" t="inlineStr">
        <is>
          <t xml:space="preserve">live</t>
        </is>
      </c>
    </row>
    <row r="30">
      <c r="A30" s="0" t="inlineStr">
        <is>
          <t xml:space="preserve">random_01_d20260922</t>
        </is>
      </c>
      <c r="B30" s="0" t="inlineStr">
        <is>
          <t xml:space="preserve">random_01</t>
        </is>
      </c>
      <c r="C30" s="0" t="inlineStr">
        <is>
          <t xml:space="preserve">d20260922</t>
        </is>
      </c>
      <c r="D30" s="8">
        <v>-4.097</v>
      </c>
      <c r="E30" s="8">
        <v>-2.933</v>
      </c>
      <c r="F30" s="8">
        <v>-12.933</v>
      </c>
      <c r="G30" s="0"/>
      <c r="H30" s="8">
        <v>0.48</v>
      </c>
      <c r="I30" s="8">
        <v>0.0364</v>
      </c>
      <c r="J30" s="4">
        <v>1488</v>
      </c>
      <c r="K30" s="8">
        <v>16.784</v>
      </c>
      <c r="L30" s="0" t="inlineStr">
        <is>
          <t xml:space="preserve">live</t>
        </is>
      </c>
    </row>
    <row r="31">
      <c r="A31" s="0" t="inlineStr">
        <is>
          <t xml:space="preserve">random_13_d20260922</t>
        </is>
      </c>
      <c r="B31" s="0" t="inlineStr">
        <is>
          <t xml:space="preserve">random_13</t>
        </is>
      </c>
      <c r="C31" s="0" t="inlineStr">
        <is>
          <t xml:space="preserve">d20260922</t>
        </is>
      </c>
      <c r="D31" s="8">
        <v>-8.316</v>
      </c>
      <c r="E31" s="8">
        <v>-3.194</v>
      </c>
      <c r="F31" s="8">
        <v>-13.194</v>
      </c>
      <c r="G31" s="0"/>
      <c r="H31" s="8">
        <v>0.56</v>
      </c>
      <c r="I31" s="8">
        <v>0.026</v>
      </c>
      <c r="J31" s="4">
        <v>1488</v>
      </c>
      <c r="K31" s="8">
        <v>69.162</v>
      </c>
      <c r="L31" s="0" t="inlineStr">
        <is>
          <t xml:space="preserve">live</t>
        </is>
      </c>
    </row>
    <row r="32">
      <c r="A32" s="0" t="inlineStr">
        <is>
          <t xml:space="preserve">random_15_d20260922</t>
        </is>
      </c>
      <c r="B32" s="0" t="inlineStr">
        <is>
          <t xml:space="preserve">random_15</t>
        </is>
      </c>
      <c r="C32" s="0" t="inlineStr">
        <is>
          <t xml:space="preserve">d20260922</t>
        </is>
      </c>
      <c r="D32" s="8">
        <v>-13.795</v>
      </c>
      <c r="E32" s="8">
        <v>-11.721</v>
      </c>
      <c r="F32" s="8">
        <v>-21.721</v>
      </c>
      <c r="G32" s="0"/>
      <c r="H32" s="8">
        <v>0.4</v>
      </c>
      <c r="I32" s="8">
        <v>-0.0193</v>
      </c>
      <c r="J32" s="4">
        <v>1488</v>
      </c>
      <c r="K32" s="8">
        <v>190.31</v>
      </c>
      <c r="L32" s="0" t="inlineStr">
        <is>
          <t xml:space="preserve">live</t>
        </is>
      </c>
    </row>
    <row r="33">
      <c r="A33" s="0" t="inlineStr">
        <is>
          <t xml:space="preserve">naive_winner1d_d20260922</t>
        </is>
      </c>
      <c r="B33" s="0" t="inlineStr">
        <is>
          <t xml:space="preserve">naive_winner1d</t>
        </is>
      </c>
      <c r="C33" s="0" t="inlineStr">
        <is>
          <t xml:space="preserve">d20260922</t>
        </is>
      </c>
      <c r="D33" s="8">
        <v>-14.463</v>
      </c>
      <c r="E33" s="8">
        <v>4.33</v>
      </c>
      <c r="F33" s="8">
        <v>-5.67</v>
      </c>
      <c r="G33" s="0"/>
      <c r="H33" s="8">
        <v>0.5758</v>
      </c>
      <c r="I33" s="8">
        <v>-0.0962</v>
      </c>
      <c r="J33" s="4">
        <v>1488</v>
      </c>
      <c r="K33" s="8">
        <v>209.181</v>
      </c>
      <c r="L33" s="0" t="inlineStr">
        <is>
          <t xml:space="preserve">live</t>
        </is>
      </c>
    </row>
    <row r="34">
      <c r="A34" s="0" t="inlineStr">
        <is>
          <t xml:space="preserve">p01_attention_d20260922</t>
        </is>
      </c>
      <c r="B34" s="0" t="inlineStr">
        <is>
          <t xml:space="preserve">p01_attention</t>
        </is>
      </c>
      <c r="C34" s="0" t="inlineStr">
        <is>
          <t xml:space="preserve">d20260922</t>
        </is>
      </c>
      <c r="D34" s="8">
        <v>-19.56</v>
      </c>
      <c r="E34" s="8">
        <v>-17.227</v>
      </c>
      <c r="F34" s="8">
        <v>-27.227</v>
      </c>
      <c r="G34" s="0"/>
      <c r="H34" s="8">
        <v>0.404</v>
      </c>
      <c r="I34" s="8">
        <v>-0.0688</v>
      </c>
      <c r="J34" s="4">
        <v>1488</v>
      </c>
      <c r="K34" s="8">
        <v>382.594</v>
      </c>
      <c r="L34" s="0" t="inlineStr">
        <is>
          <t xml:space="preserve">live</t>
        </is>
      </c>
    </row>
    <row r="35">
      <c r="A35" s="0" t="inlineStr">
        <is>
          <t xml:space="preserve">p06_seasonality_d20260922</t>
        </is>
      </c>
      <c r="B35" s="0" t="inlineStr">
        <is>
          <t xml:space="preserve">p06_seasonality</t>
        </is>
      </c>
      <c r="C35" s="0" t="inlineStr">
        <is>
          <t xml:space="preserve">d20260922</t>
        </is>
      </c>
      <c r="D35" s="8">
        <v>-21.574</v>
      </c>
      <c r="E35" s="8">
        <v>-8.298</v>
      </c>
      <c r="F35" s="8">
        <v>-18.298</v>
      </c>
      <c r="G35" s="0"/>
      <c r="H35" s="8">
        <v>0.5</v>
      </c>
      <c r="I35" s="8">
        <v>0.0123</v>
      </c>
      <c r="J35" s="4">
        <v>1436</v>
      </c>
      <c r="K35" s="8">
        <v>465.431</v>
      </c>
      <c r="L35" s="0" t="inlineStr">
        <is>
          <t xml:space="preserve">live</t>
        </is>
      </c>
    </row>
    <row r="36">
      <c r="A36" s="0" t="inlineStr">
        <is>
          <t xml:space="preserve">naive_mom_d20260922</t>
        </is>
      </c>
      <c r="B36" s="0" t="inlineStr">
        <is>
          <t xml:space="preserve">naive_mom</t>
        </is>
      </c>
      <c r="C36" s="0" t="inlineStr">
        <is>
          <t xml:space="preserve">d20260922</t>
        </is>
      </c>
      <c r="D36" s="8">
        <v>-23.532</v>
      </c>
      <c r="E36" s="8">
        <v>-2.603</v>
      </c>
      <c r="F36" s="8">
        <v>-12.603</v>
      </c>
      <c r="G36" s="0"/>
      <c r="H36" s="8">
        <v>0.51</v>
      </c>
      <c r="I36" s="8">
        <v>0.0517</v>
      </c>
      <c r="J36" s="4">
        <v>1442</v>
      </c>
      <c r="K36" s="8">
        <v>553.747</v>
      </c>
      <c r="L36" s="0" t="inlineStr">
        <is>
          <t xml:space="preserve">live</t>
        </is>
      </c>
    </row>
  </sheetData>
</worksheet>
</file>

<file path=xl/worksheets/sheet1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ID</t>
        </is>
      </c>
      <c r="B1" s="1" t="inlineStr">
        <is>
          <t xml:space="preserve">pod</t>
        </is>
      </c>
      <c r="C1" s="1" t="inlineStr">
        <is>
          <t xml:space="preserve">day</t>
        </is>
      </c>
      <c r="D1" s="1" t="inlineStr">
        <is>
          <t xml:space="preserve">symbol</t>
        </is>
      </c>
      <c r="E1" s="1" t="inlineStr">
        <is>
          <t xml:space="preserve">sector</t>
        </is>
      </c>
      <c r="F1" s="1" t="inlineStr">
        <is>
          <t xml:space="preserve">rank</t>
        </is>
      </c>
    </row>
    <row r="2">
      <c r="A2" s="0" t="inlineStr">
        <is>
          <t xml:space="preserve">p01_attention_MU</t>
        </is>
      </c>
      <c r="B2" s="0" t="inlineStr">
        <is>
          <t xml:space="preserve">p01_attention</t>
        </is>
      </c>
      <c r="C2" s="0" t="inlineStr">
        <is>
          <t xml:space="preserve">d20260923</t>
        </is>
      </c>
      <c r="D2" s="0" t="inlineStr">
        <is>
          <t xml:space="preserve">MU</t>
        </is>
      </c>
      <c r="E2" s="0" t="inlineStr">
        <is>
          <t xml:space="preserve">technology</t>
        </is>
      </c>
      <c r="F2" s="4">
        <v>1</v>
      </c>
    </row>
    <row r="3">
      <c r="A3" s="0" t="inlineStr">
        <is>
          <t xml:space="preserve">p01_attention_ASTS</t>
        </is>
      </c>
      <c r="B3" s="0" t="inlineStr">
        <is>
          <t xml:space="preserve">p01_attention</t>
        </is>
      </c>
      <c r="C3" s="0" t="inlineStr">
        <is>
          <t xml:space="preserve">d20260923</t>
        </is>
      </c>
      <c r="D3" s="0" t="inlineStr">
        <is>
          <t xml:space="preserve">ASTS</t>
        </is>
      </c>
      <c r="E3" s="0" t="inlineStr">
        <is>
          <t xml:space="preserve">communication_services</t>
        </is>
      </c>
      <c r="F3" s="4">
        <v>2</v>
      </c>
    </row>
    <row r="4">
      <c r="A4" s="0" t="inlineStr">
        <is>
          <t xml:space="preserve">p01_attention_AES</t>
        </is>
      </c>
      <c r="B4" s="0" t="inlineStr">
        <is>
          <t xml:space="preserve">p01_attention</t>
        </is>
      </c>
      <c r="C4" s="0" t="inlineStr">
        <is>
          <t xml:space="preserve">d20260923</t>
        </is>
      </c>
      <c r="D4" s="0" t="inlineStr">
        <is>
          <t xml:space="preserve">AES</t>
        </is>
      </c>
      <c r="E4" s="0" t="inlineStr">
        <is>
          <t xml:space="preserve">utilities</t>
        </is>
      </c>
      <c r="F4" s="4">
        <v>3</v>
      </c>
    </row>
    <row r="5">
      <c r="A5" s="0" t="inlineStr">
        <is>
          <t xml:space="preserve">p01_attention_FSLY</t>
        </is>
      </c>
      <c r="B5" s="0" t="inlineStr">
        <is>
          <t xml:space="preserve">p01_attention</t>
        </is>
      </c>
      <c r="C5" s="0" t="inlineStr">
        <is>
          <t xml:space="preserve">d20260923</t>
        </is>
      </c>
      <c r="D5" s="0" t="inlineStr">
        <is>
          <t xml:space="preserve">FSLY</t>
        </is>
      </c>
      <c r="E5" s="0" t="inlineStr">
        <is>
          <t xml:space="preserve">technology</t>
        </is>
      </c>
      <c r="F5" s="4">
        <v>4</v>
      </c>
    </row>
    <row r="6">
      <c r="A6" s="0" t="inlineStr">
        <is>
          <t xml:space="preserve">p01_attention_VICR</t>
        </is>
      </c>
      <c r="B6" s="0" t="inlineStr">
        <is>
          <t xml:space="preserve">p01_attention</t>
        </is>
      </c>
      <c r="C6" s="0" t="inlineStr">
        <is>
          <t xml:space="preserve">d20260923</t>
        </is>
      </c>
      <c r="D6" s="0" t="inlineStr">
        <is>
          <t xml:space="preserve">VICR</t>
        </is>
      </c>
      <c r="E6" s="0" t="inlineStr">
        <is>
          <t xml:space="preserve">technology</t>
        </is>
      </c>
      <c r="F6" s="4">
        <v>5</v>
      </c>
    </row>
    <row r="7">
      <c r="A7" s="0" t="inlineStr">
        <is>
          <t xml:space="preserve">p01_attention_FIVN</t>
        </is>
      </c>
      <c r="B7" s="0" t="inlineStr">
        <is>
          <t xml:space="preserve">p01_attention</t>
        </is>
      </c>
      <c r="C7" s="0" t="inlineStr">
        <is>
          <t xml:space="preserve">d20260923</t>
        </is>
      </c>
      <c r="D7" s="0" t="inlineStr">
        <is>
          <t xml:space="preserve">FIVN</t>
        </is>
      </c>
      <c r="E7" s="0" t="inlineStr">
        <is>
          <t xml:space="preserve">technology</t>
        </is>
      </c>
      <c r="F7" s="4">
        <v>6</v>
      </c>
    </row>
    <row r="8">
      <c r="A8" s="0" t="inlineStr">
        <is>
          <t xml:space="preserve">p01_attention_DBX</t>
        </is>
      </c>
      <c r="B8" s="0" t="inlineStr">
        <is>
          <t xml:space="preserve">p01_attention</t>
        </is>
      </c>
      <c r="C8" s="0" t="inlineStr">
        <is>
          <t xml:space="preserve">d20260923</t>
        </is>
      </c>
      <c r="D8" s="0" t="inlineStr">
        <is>
          <t xml:space="preserve">DBX</t>
        </is>
      </c>
      <c r="E8" s="0" t="inlineStr">
        <is>
          <t xml:space="preserve">technology</t>
        </is>
      </c>
      <c r="F8" s="4">
        <v>7</v>
      </c>
    </row>
    <row r="9">
      <c r="A9" s="0" t="inlineStr">
        <is>
          <t xml:space="preserve">p01_attention_PM</t>
        </is>
      </c>
      <c r="B9" s="0" t="inlineStr">
        <is>
          <t xml:space="preserve">p01_attention</t>
        </is>
      </c>
      <c r="C9" s="0" t="inlineStr">
        <is>
          <t xml:space="preserve">d20260923</t>
        </is>
      </c>
      <c r="D9" s="0" t="inlineStr">
        <is>
          <t xml:space="preserve">PM</t>
        </is>
      </c>
      <c r="E9" s="0" t="inlineStr">
        <is>
          <t xml:space="preserve">consumer_defensive</t>
        </is>
      </c>
      <c r="F9" s="4">
        <v>8</v>
      </c>
    </row>
    <row r="10">
      <c r="A10" s="0" t="inlineStr">
        <is>
          <t xml:space="preserve">p01_attention_BHE</t>
        </is>
      </c>
      <c r="B10" s="0" t="inlineStr">
        <is>
          <t xml:space="preserve">p01_attention</t>
        </is>
      </c>
      <c r="C10" s="0" t="inlineStr">
        <is>
          <t xml:space="preserve">d20260923</t>
        </is>
      </c>
      <c r="D10" s="0" t="inlineStr">
        <is>
          <t xml:space="preserve">BHE</t>
        </is>
      </c>
      <c r="E10" s="0" t="inlineStr">
        <is>
          <t xml:space="preserve">technology</t>
        </is>
      </c>
      <c r="F10" s="4">
        <v>9</v>
      </c>
    </row>
    <row r="11">
      <c r="A11" s="0" t="inlineStr">
        <is>
          <t xml:space="preserve">p01_attention_NOVT</t>
        </is>
      </c>
      <c r="B11" s="0" t="inlineStr">
        <is>
          <t xml:space="preserve">p01_attention</t>
        </is>
      </c>
      <c r="C11" s="0" t="inlineStr">
        <is>
          <t xml:space="preserve">d20260923</t>
        </is>
      </c>
      <c r="D11" s="0" t="inlineStr">
        <is>
          <t xml:space="preserve">NOVT</t>
        </is>
      </c>
      <c r="E11" s="0" t="inlineStr">
        <is>
          <t xml:space="preserve">technology</t>
        </is>
      </c>
      <c r="F11" s="4">
        <v>10</v>
      </c>
    </row>
    <row r="12">
      <c r="A12" s="0" t="inlineStr">
        <is>
          <t xml:space="preserve">p01_attention_MH</t>
        </is>
      </c>
      <c r="B12" s="0" t="inlineStr">
        <is>
          <t xml:space="preserve">p01_attention</t>
        </is>
      </c>
      <c r="C12" s="0" t="inlineStr">
        <is>
          <t xml:space="preserve">d20260923</t>
        </is>
      </c>
      <c r="D12" s="0" t="inlineStr">
        <is>
          <t xml:space="preserve">MH</t>
        </is>
      </c>
      <c r="E12" s="0" t="inlineStr">
        <is>
          <t xml:space="preserve">consumer_defensive</t>
        </is>
      </c>
      <c r="F12" s="4">
        <v>11</v>
      </c>
    </row>
    <row r="13">
      <c r="A13" s="0" t="inlineStr">
        <is>
          <t xml:space="preserve">p01_attention_OSK</t>
        </is>
      </c>
      <c r="B13" s="0" t="inlineStr">
        <is>
          <t xml:space="preserve">p01_attention</t>
        </is>
      </c>
      <c r="C13" s="0" t="inlineStr">
        <is>
          <t xml:space="preserve">d20260923</t>
        </is>
      </c>
      <c r="D13" s="0" t="inlineStr">
        <is>
          <t xml:space="preserve">OSK</t>
        </is>
      </c>
      <c r="E13" s="0" t="inlineStr">
        <is>
          <t xml:space="preserve">industrials</t>
        </is>
      </c>
      <c r="F13" s="4">
        <v>12</v>
      </c>
    </row>
    <row r="14">
      <c r="A14" s="0" t="inlineStr">
        <is>
          <t xml:space="preserve">p01_attention_TWLO</t>
        </is>
      </c>
      <c r="B14" s="0" t="inlineStr">
        <is>
          <t xml:space="preserve">p01_attention</t>
        </is>
      </c>
      <c r="C14" s="0" t="inlineStr">
        <is>
          <t xml:space="preserve">d20260923</t>
        </is>
      </c>
      <c r="D14" s="0" t="inlineStr">
        <is>
          <t xml:space="preserve">TWLO</t>
        </is>
      </c>
      <c r="E14" s="0" t="inlineStr">
        <is>
          <t xml:space="preserve">technology</t>
        </is>
      </c>
      <c r="F14" s="4">
        <v>13</v>
      </c>
    </row>
    <row r="15">
      <c r="A15" s="0" t="inlineStr">
        <is>
          <t xml:space="preserve">p01_attention_PI</t>
        </is>
      </c>
      <c r="B15" s="0" t="inlineStr">
        <is>
          <t xml:space="preserve">p01_attention</t>
        </is>
      </c>
      <c r="C15" s="0" t="inlineStr">
        <is>
          <t xml:space="preserve">d20260923</t>
        </is>
      </c>
      <c r="D15" s="0" t="inlineStr">
        <is>
          <t xml:space="preserve">PI</t>
        </is>
      </c>
      <c r="E15" s="0" t="inlineStr">
        <is>
          <t xml:space="preserve">technology</t>
        </is>
      </c>
      <c r="F15" s="4">
        <v>14</v>
      </c>
    </row>
    <row r="16">
      <c r="A16" s="0" t="inlineStr">
        <is>
          <t xml:space="preserve">p01_attention_PCAR</t>
        </is>
      </c>
      <c r="B16" s="0" t="inlineStr">
        <is>
          <t xml:space="preserve">p01_attention</t>
        </is>
      </c>
      <c r="C16" s="0" t="inlineStr">
        <is>
          <t xml:space="preserve">d20260923</t>
        </is>
      </c>
      <c r="D16" s="0" t="inlineStr">
        <is>
          <t xml:space="preserve">PCAR</t>
        </is>
      </c>
      <c r="E16" s="0" t="inlineStr">
        <is>
          <t xml:space="preserve">industrials</t>
        </is>
      </c>
      <c r="F16" s="4">
        <v>15</v>
      </c>
    </row>
    <row r="17">
      <c r="A17" s="0" t="inlineStr">
        <is>
          <t xml:space="preserve">p01_attention_MPWR</t>
        </is>
      </c>
      <c r="B17" s="0" t="inlineStr">
        <is>
          <t xml:space="preserve">p01_attention</t>
        </is>
      </c>
      <c r="C17" s="0" t="inlineStr">
        <is>
          <t xml:space="preserve">d20260923</t>
        </is>
      </c>
      <c r="D17" s="0" t="inlineStr">
        <is>
          <t xml:space="preserve">MPWR</t>
        </is>
      </c>
      <c r="E17" s="0" t="inlineStr">
        <is>
          <t xml:space="preserve">technology</t>
        </is>
      </c>
      <c r="F17" s="4">
        <v>16</v>
      </c>
    </row>
    <row r="18">
      <c r="A18" s="0" t="inlineStr">
        <is>
          <t xml:space="preserve">p01_attention_D</t>
        </is>
      </c>
      <c r="B18" s="0" t="inlineStr">
        <is>
          <t xml:space="preserve">p01_attention</t>
        </is>
      </c>
      <c r="C18" s="0" t="inlineStr">
        <is>
          <t xml:space="preserve">d20260923</t>
        </is>
      </c>
      <c r="D18" s="0" t="inlineStr">
        <is>
          <t xml:space="preserve">D</t>
        </is>
      </c>
      <c r="E18" s="0" t="inlineStr">
        <is>
          <t xml:space="preserve">utilities</t>
        </is>
      </c>
      <c r="F18" s="4">
        <v>17</v>
      </c>
    </row>
    <row r="19">
      <c r="A19" s="0" t="inlineStr">
        <is>
          <t xml:space="preserve">p01_attention_DTE</t>
        </is>
      </c>
      <c r="B19" s="0" t="inlineStr">
        <is>
          <t xml:space="preserve">p01_attention</t>
        </is>
      </c>
      <c r="C19" s="0" t="inlineStr">
        <is>
          <t xml:space="preserve">d20260923</t>
        </is>
      </c>
      <c r="D19" s="0" t="inlineStr">
        <is>
          <t xml:space="preserve">DTE</t>
        </is>
      </c>
      <c r="E19" s="0" t="inlineStr">
        <is>
          <t xml:space="preserve">utilities</t>
        </is>
      </c>
      <c r="F19" s="4">
        <v>18</v>
      </c>
    </row>
    <row r="20">
      <c r="A20" s="0" t="inlineStr">
        <is>
          <t xml:space="preserve">p01_attention_ULS</t>
        </is>
      </c>
      <c r="B20" s="0" t="inlineStr">
        <is>
          <t xml:space="preserve">p01_attention</t>
        </is>
      </c>
      <c r="C20" s="0" t="inlineStr">
        <is>
          <t xml:space="preserve">d20260923</t>
        </is>
      </c>
      <c r="D20" s="0" t="inlineStr">
        <is>
          <t xml:space="preserve">ULS</t>
        </is>
      </c>
      <c r="E20" s="0" t="inlineStr">
        <is>
          <t xml:space="preserve">industrials</t>
        </is>
      </c>
      <c r="F20" s="4">
        <v>19</v>
      </c>
    </row>
    <row r="21">
      <c r="A21" s="0" t="inlineStr">
        <is>
          <t xml:space="preserve">p01_attention_ALGM</t>
        </is>
      </c>
      <c r="B21" s="0" t="inlineStr">
        <is>
          <t xml:space="preserve">p01_attention</t>
        </is>
      </c>
      <c r="C21" s="0" t="inlineStr">
        <is>
          <t xml:space="preserve">d20260923</t>
        </is>
      </c>
      <c r="D21" s="0" t="inlineStr">
        <is>
          <t xml:space="preserve">ALGM</t>
        </is>
      </c>
      <c r="E21" s="0" t="inlineStr">
        <is>
          <t xml:space="preserve">technology</t>
        </is>
      </c>
      <c r="F21" s="4">
        <v>20</v>
      </c>
    </row>
    <row r="22">
      <c r="A22" s="0" t="inlineStr">
        <is>
          <t xml:space="preserve">p01_attention_MKSI</t>
        </is>
      </c>
      <c r="B22" s="0" t="inlineStr">
        <is>
          <t xml:space="preserve">p01_attention</t>
        </is>
      </c>
      <c r="C22" s="0" t="inlineStr">
        <is>
          <t xml:space="preserve">d20260923</t>
        </is>
      </c>
      <c r="D22" s="0" t="inlineStr">
        <is>
          <t xml:space="preserve">MKSI</t>
        </is>
      </c>
      <c r="E22" s="0" t="inlineStr">
        <is>
          <t xml:space="preserve">technology</t>
        </is>
      </c>
      <c r="F22" s="4">
        <v>21</v>
      </c>
    </row>
    <row r="23">
      <c r="A23" s="0" t="inlineStr">
        <is>
          <t xml:space="preserve">p01_attention_CSCO</t>
        </is>
      </c>
      <c r="B23" s="0" t="inlineStr">
        <is>
          <t xml:space="preserve">p01_attention</t>
        </is>
      </c>
      <c r="C23" s="0" t="inlineStr">
        <is>
          <t xml:space="preserve">d20260923</t>
        </is>
      </c>
      <c r="D23" s="0" t="inlineStr">
        <is>
          <t xml:space="preserve">CSCO</t>
        </is>
      </c>
      <c r="E23" s="0" t="inlineStr">
        <is>
          <t xml:space="preserve">technology</t>
        </is>
      </c>
      <c r="F23" s="4">
        <v>22</v>
      </c>
    </row>
    <row r="24">
      <c r="A24" s="0" t="inlineStr">
        <is>
          <t xml:space="preserve">p01_attention_BNL</t>
        </is>
      </c>
      <c r="B24" s="0" t="inlineStr">
        <is>
          <t xml:space="preserve">p01_attention</t>
        </is>
      </c>
      <c r="C24" s="0" t="inlineStr">
        <is>
          <t xml:space="preserve">d20260923</t>
        </is>
      </c>
      <c r="D24" s="0" t="inlineStr">
        <is>
          <t xml:space="preserve">BNL</t>
        </is>
      </c>
      <c r="E24" s="0" t="inlineStr">
        <is>
          <t xml:space="preserve">real_estate</t>
        </is>
      </c>
      <c r="F24" s="4">
        <v>23</v>
      </c>
    </row>
    <row r="25">
      <c r="A25" s="0" t="inlineStr">
        <is>
          <t xml:space="preserve">p01_attention_CALM</t>
        </is>
      </c>
      <c r="B25" s="0" t="inlineStr">
        <is>
          <t xml:space="preserve">p01_attention</t>
        </is>
      </c>
      <c r="C25" s="0" t="inlineStr">
        <is>
          <t xml:space="preserve">d20260923</t>
        </is>
      </c>
      <c r="D25" s="0" t="inlineStr">
        <is>
          <t xml:space="preserve">CALM</t>
        </is>
      </c>
      <c r="E25" s="0" t="inlineStr">
        <is>
          <t xml:space="preserve">consumer_defensive</t>
        </is>
      </c>
      <c r="F25" s="4">
        <v>24</v>
      </c>
    </row>
    <row r="26">
      <c r="A26" s="0" t="inlineStr">
        <is>
          <t xml:space="preserve">p01_attention_GEN</t>
        </is>
      </c>
      <c r="B26" s="0" t="inlineStr">
        <is>
          <t xml:space="preserve">p01_attention</t>
        </is>
      </c>
      <c r="C26" s="0" t="inlineStr">
        <is>
          <t xml:space="preserve">d20260923</t>
        </is>
      </c>
      <c r="D26" s="0" t="inlineStr">
        <is>
          <t xml:space="preserve">GEN</t>
        </is>
      </c>
      <c r="E26" s="0" t="inlineStr">
        <is>
          <t xml:space="preserve">technology</t>
        </is>
      </c>
      <c r="F26" s="4">
        <v>25</v>
      </c>
    </row>
    <row r="27">
      <c r="A27" s="0" t="inlineStr">
        <is>
          <t xml:space="preserve">p01_attention_PAYO</t>
        </is>
      </c>
      <c r="B27" s="0" t="inlineStr">
        <is>
          <t xml:space="preserve">p01_attention</t>
        </is>
      </c>
      <c r="C27" s="0" t="inlineStr">
        <is>
          <t xml:space="preserve">d20260923</t>
        </is>
      </c>
      <c r="D27" s="0" t="inlineStr">
        <is>
          <t xml:space="preserve">PAYO</t>
        </is>
      </c>
      <c r="E27" s="0" t="inlineStr">
        <is>
          <t xml:space="preserve">technology</t>
        </is>
      </c>
      <c r="F27" s="4">
        <v>26</v>
      </c>
    </row>
    <row r="28">
      <c r="A28" s="0" t="inlineStr">
        <is>
          <t xml:space="preserve">p01_attention_CW</t>
        </is>
      </c>
      <c r="B28" s="0" t="inlineStr">
        <is>
          <t xml:space="preserve">p01_attention</t>
        </is>
      </c>
      <c r="C28" s="0" t="inlineStr">
        <is>
          <t xml:space="preserve">d20260923</t>
        </is>
      </c>
      <c r="D28" s="0" t="inlineStr">
        <is>
          <t xml:space="preserve">CW</t>
        </is>
      </c>
      <c r="E28" s="0" t="inlineStr">
        <is>
          <t xml:space="preserve">industrials</t>
        </is>
      </c>
      <c r="F28" s="4">
        <v>27</v>
      </c>
    </row>
    <row r="29">
      <c r="A29" s="0" t="inlineStr">
        <is>
          <t xml:space="preserve">p01_attention_RMBS</t>
        </is>
      </c>
      <c r="B29" s="0" t="inlineStr">
        <is>
          <t xml:space="preserve">p01_attention</t>
        </is>
      </c>
      <c r="C29" s="0" t="inlineStr">
        <is>
          <t xml:space="preserve">d20260923</t>
        </is>
      </c>
      <c r="D29" s="0" t="inlineStr">
        <is>
          <t xml:space="preserve">RMBS</t>
        </is>
      </c>
      <c r="E29" s="0" t="inlineStr">
        <is>
          <t xml:space="preserve">technology</t>
        </is>
      </c>
      <c r="F29" s="4">
        <v>28</v>
      </c>
    </row>
    <row r="30">
      <c r="A30" s="0" t="inlineStr">
        <is>
          <t xml:space="preserve">p01_attention_SAIL</t>
        </is>
      </c>
      <c r="B30" s="0" t="inlineStr">
        <is>
          <t xml:space="preserve">p01_attention</t>
        </is>
      </c>
      <c r="C30" s="0" t="inlineStr">
        <is>
          <t xml:space="preserve">d20260923</t>
        </is>
      </c>
      <c r="D30" s="0" t="inlineStr">
        <is>
          <t xml:space="preserve">SAIL</t>
        </is>
      </c>
      <c r="E30" s="0" t="inlineStr">
        <is>
          <t xml:space="preserve">technology</t>
        </is>
      </c>
      <c r="F30" s="4">
        <v>29</v>
      </c>
    </row>
    <row r="31">
      <c r="A31" s="0" t="inlineStr">
        <is>
          <t xml:space="preserve">p01_attention_GDDY</t>
        </is>
      </c>
      <c r="B31" s="0" t="inlineStr">
        <is>
          <t xml:space="preserve">p01_attention</t>
        </is>
      </c>
      <c r="C31" s="0" t="inlineStr">
        <is>
          <t xml:space="preserve">d20260923</t>
        </is>
      </c>
      <c r="D31" s="0" t="inlineStr">
        <is>
          <t xml:space="preserve">GDDY</t>
        </is>
      </c>
      <c r="E31" s="0" t="inlineStr">
        <is>
          <t xml:space="preserve">technology</t>
        </is>
      </c>
      <c r="F31" s="4">
        <v>30</v>
      </c>
    </row>
    <row r="32">
      <c r="A32" s="0" t="inlineStr">
        <is>
          <t xml:space="preserve">p01_attention_CHRW</t>
        </is>
      </c>
      <c r="B32" s="0" t="inlineStr">
        <is>
          <t xml:space="preserve">p01_attention</t>
        </is>
      </c>
      <c r="C32" s="0" t="inlineStr">
        <is>
          <t xml:space="preserve">d20260923</t>
        </is>
      </c>
      <c r="D32" s="0" t="inlineStr">
        <is>
          <t xml:space="preserve">CHRW</t>
        </is>
      </c>
      <c r="E32" s="0" t="inlineStr">
        <is>
          <t xml:space="preserve">industrials</t>
        </is>
      </c>
      <c r="F32" s="4">
        <v>31</v>
      </c>
    </row>
    <row r="33">
      <c r="A33" s="0" t="inlineStr">
        <is>
          <t xml:space="preserve">p01_attention_VKTX</t>
        </is>
      </c>
      <c r="B33" s="0" t="inlineStr">
        <is>
          <t xml:space="preserve">p01_attention</t>
        </is>
      </c>
      <c r="C33" s="0" t="inlineStr">
        <is>
          <t xml:space="preserve">d20260923</t>
        </is>
      </c>
      <c r="D33" s="0" t="inlineStr">
        <is>
          <t xml:space="preserve">VKTX</t>
        </is>
      </c>
      <c r="E33" s="0" t="inlineStr">
        <is>
          <t xml:space="preserve">healthcare</t>
        </is>
      </c>
      <c r="F33" s="4">
        <v>32</v>
      </c>
    </row>
    <row r="34">
      <c r="A34" s="0" t="inlineStr">
        <is>
          <t xml:space="preserve">p01_attention_NNN</t>
        </is>
      </c>
      <c r="B34" s="0" t="inlineStr">
        <is>
          <t xml:space="preserve">p01_attention</t>
        </is>
      </c>
      <c r="C34" s="0" t="inlineStr">
        <is>
          <t xml:space="preserve">d20260923</t>
        </is>
      </c>
      <c r="D34" s="0" t="inlineStr">
        <is>
          <t xml:space="preserve">NNN</t>
        </is>
      </c>
      <c r="E34" s="0" t="inlineStr">
        <is>
          <t xml:space="preserve">real_estate</t>
        </is>
      </c>
      <c r="F34" s="4">
        <v>33</v>
      </c>
    </row>
    <row r="35">
      <c r="A35" s="0" t="inlineStr">
        <is>
          <t xml:space="preserve">p01_attention_CLDX</t>
        </is>
      </c>
      <c r="B35" s="0" t="inlineStr">
        <is>
          <t xml:space="preserve">p01_attention</t>
        </is>
      </c>
      <c r="C35" s="0" t="inlineStr">
        <is>
          <t xml:space="preserve">d20260923</t>
        </is>
      </c>
      <c r="D35" s="0" t="inlineStr">
        <is>
          <t xml:space="preserve">CLDX</t>
        </is>
      </c>
      <c r="E35" s="0" t="inlineStr">
        <is>
          <t xml:space="preserve">healthcare</t>
        </is>
      </c>
      <c r="F35" s="4">
        <v>34</v>
      </c>
    </row>
    <row r="36">
      <c r="A36" s="0" t="inlineStr">
        <is>
          <t xml:space="preserve">p01_attention_BFLY</t>
        </is>
      </c>
      <c r="B36" s="0" t="inlineStr">
        <is>
          <t xml:space="preserve">p01_attention</t>
        </is>
      </c>
      <c r="C36" s="0" t="inlineStr">
        <is>
          <t xml:space="preserve">d20260923</t>
        </is>
      </c>
      <c r="D36" s="0" t="inlineStr">
        <is>
          <t xml:space="preserve">BFLY</t>
        </is>
      </c>
      <c r="E36" s="0" t="inlineStr">
        <is>
          <t xml:space="preserve">healthcare</t>
        </is>
      </c>
      <c r="F36" s="4">
        <v>35</v>
      </c>
    </row>
    <row r="37">
      <c r="A37" s="0" t="inlineStr">
        <is>
          <t xml:space="preserve">p01_attention_KTOS</t>
        </is>
      </c>
      <c r="B37" s="0" t="inlineStr">
        <is>
          <t xml:space="preserve">p01_attention</t>
        </is>
      </c>
      <c r="C37" s="0" t="inlineStr">
        <is>
          <t xml:space="preserve">d20260923</t>
        </is>
      </c>
      <c r="D37" s="0" t="inlineStr">
        <is>
          <t xml:space="preserve">KTOS</t>
        </is>
      </c>
      <c r="E37" s="0" t="inlineStr">
        <is>
          <t xml:space="preserve">industrials</t>
        </is>
      </c>
      <c r="F37" s="4">
        <v>36</v>
      </c>
    </row>
    <row r="38">
      <c r="A38" s="0" t="inlineStr">
        <is>
          <t xml:space="preserve">p01_attention_MANE</t>
        </is>
      </c>
      <c r="B38" s="0" t="inlineStr">
        <is>
          <t xml:space="preserve">p01_attention</t>
        </is>
      </c>
      <c r="C38" s="0" t="inlineStr">
        <is>
          <t xml:space="preserve">d20260923</t>
        </is>
      </c>
      <c r="D38" s="0" t="inlineStr">
        <is>
          <t xml:space="preserve">MANE</t>
        </is>
      </c>
      <c r="E38" s="0" t="inlineStr">
        <is>
          <t xml:space="preserve">healthcare</t>
        </is>
      </c>
      <c r="F38" s="4">
        <v>37</v>
      </c>
    </row>
    <row r="39">
      <c r="A39" s="0" t="inlineStr">
        <is>
          <t xml:space="preserve">p01_attention_XMTR</t>
        </is>
      </c>
      <c r="B39" s="0" t="inlineStr">
        <is>
          <t xml:space="preserve">p01_attention</t>
        </is>
      </c>
      <c r="C39" s="0" t="inlineStr">
        <is>
          <t xml:space="preserve">d20260923</t>
        </is>
      </c>
      <c r="D39" s="0" t="inlineStr">
        <is>
          <t xml:space="preserve">XMTR</t>
        </is>
      </c>
      <c r="E39" s="0" t="inlineStr">
        <is>
          <t xml:space="preserve">industrials</t>
        </is>
      </c>
      <c r="F39" s="4">
        <v>38</v>
      </c>
    </row>
    <row r="40">
      <c r="A40" s="0" t="inlineStr">
        <is>
          <t xml:space="preserve">p01_attention_GRAL</t>
        </is>
      </c>
      <c r="B40" s="0" t="inlineStr">
        <is>
          <t xml:space="preserve">p01_attention</t>
        </is>
      </c>
      <c r="C40" s="0" t="inlineStr">
        <is>
          <t xml:space="preserve">d20260923</t>
        </is>
      </c>
      <c r="D40" s="0" t="inlineStr">
        <is>
          <t xml:space="preserve">GRAL</t>
        </is>
      </c>
      <c r="E40" s="0" t="inlineStr">
        <is>
          <t xml:space="preserve">healthcare</t>
        </is>
      </c>
      <c r="F40" s="4">
        <v>39</v>
      </c>
    </row>
    <row r="41">
      <c r="A41" s="0" t="inlineStr">
        <is>
          <t xml:space="preserve">p01_attention_CL</t>
        </is>
      </c>
      <c r="B41" s="0" t="inlineStr">
        <is>
          <t xml:space="preserve">p01_attention</t>
        </is>
      </c>
      <c r="C41" s="0" t="inlineStr">
        <is>
          <t xml:space="preserve">d20260923</t>
        </is>
      </c>
      <c r="D41" s="0" t="inlineStr">
        <is>
          <t xml:space="preserve">CL</t>
        </is>
      </c>
      <c r="E41" s="0" t="inlineStr">
        <is>
          <t xml:space="preserve">consumer_defensive</t>
        </is>
      </c>
      <c r="F41" s="4">
        <v>40</v>
      </c>
    </row>
    <row r="42">
      <c r="A42" s="0" t="inlineStr">
        <is>
          <t xml:space="preserve">p01_attention_DIOD</t>
        </is>
      </c>
      <c r="B42" s="0" t="inlineStr">
        <is>
          <t xml:space="preserve">p01_attention</t>
        </is>
      </c>
      <c r="C42" s="0" t="inlineStr">
        <is>
          <t xml:space="preserve">d20260923</t>
        </is>
      </c>
      <c r="D42" s="0" t="inlineStr">
        <is>
          <t xml:space="preserve">DIOD</t>
        </is>
      </c>
      <c r="E42" s="0" t="inlineStr">
        <is>
          <t xml:space="preserve">technology</t>
        </is>
      </c>
      <c r="F42" s="4">
        <v>41</v>
      </c>
    </row>
    <row r="43">
      <c r="A43" s="0" t="inlineStr">
        <is>
          <t xml:space="preserve">p01_attention_WGS</t>
        </is>
      </c>
      <c r="B43" s="0" t="inlineStr">
        <is>
          <t xml:space="preserve">p01_attention</t>
        </is>
      </c>
      <c r="C43" s="0" t="inlineStr">
        <is>
          <t xml:space="preserve">d20260923</t>
        </is>
      </c>
      <c r="D43" s="0" t="inlineStr">
        <is>
          <t xml:space="preserve">WGS</t>
        </is>
      </c>
      <c r="E43" s="0" t="inlineStr">
        <is>
          <t xml:space="preserve">healthcare</t>
        </is>
      </c>
      <c r="F43" s="4">
        <v>42</v>
      </c>
    </row>
    <row r="44">
      <c r="A44" s="0" t="inlineStr">
        <is>
          <t xml:space="preserve">p01_attention_CMS</t>
        </is>
      </c>
      <c r="B44" s="0" t="inlineStr">
        <is>
          <t xml:space="preserve">p01_attention</t>
        </is>
      </c>
      <c r="C44" s="0" t="inlineStr">
        <is>
          <t xml:space="preserve">d20260923</t>
        </is>
      </c>
      <c r="D44" s="0" t="inlineStr">
        <is>
          <t xml:space="preserve">CMS</t>
        </is>
      </c>
      <c r="E44" s="0" t="inlineStr">
        <is>
          <t xml:space="preserve">utilities</t>
        </is>
      </c>
      <c r="F44" s="4">
        <v>43</v>
      </c>
    </row>
    <row r="45">
      <c r="A45" s="0" t="inlineStr">
        <is>
          <t xml:space="preserve">p01_attention_TNGX</t>
        </is>
      </c>
      <c r="B45" s="0" t="inlineStr">
        <is>
          <t xml:space="preserve">p01_attention</t>
        </is>
      </c>
      <c r="C45" s="0" t="inlineStr">
        <is>
          <t xml:space="preserve">d20260923</t>
        </is>
      </c>
      <c r="D45" s="0" t="inlineStr">
        <is>
          <t xml:space="preserve">TNGX</t>
        </is>
      </c>
      <c r="E45" s="0" t="inlineStr">
        <is>
          <t xml:space="preserve">healthcare</t>
        </is>
      </c>
      <c r="F45" s="4">
        <v>44</v>
      </c>
    </row>
    <row r="46">
      <c r="A46" s="0" t="inlineStr">
        <is>
          <t xml:space="preserve">p01_attention_DGX</t>
        </is>
      </c>
      <c r="B46" s="0" t="inlineStr">
        <is>
          <t xml:space="preserve">p01_attention</t>
        </is>
      </c>
      <c r="C46" s="0" t="inlineStr">
        <is>
          <t xml:space="preserve">d20260923</t>
        </is>
      </c>
      <c r="D46" s="0" t="inlineStr">
        <is>
          <t xml:space="preserve">DGX</t>
        </is>
      </c>
      <c r="E46" s="0" t="inlineStr">
        <is>
          <t xml:space="preserve">healthcare</t>
        </is>
      </c>
      <c r="F46" s="4">
        <v>45</v>
      </c>
    </row>
    <row r="47">
      <c r="A47" s="0" t="inlineStr">
        <is>
          <t xml:space="preserve">p01_attention_FRSH</t>
        </is>
      </c>
      <c r="B47" s="0" t="inlineStr">
        <is>
          <t xml:space="preserve">p01_attention</t>
        </is>
      </c>
      <c r="C47" s="0" t="inlineStr">
        <is>
          <t xml:space="preserve">d20260923</t>
        </is>
      </c>
      <c r="D47" s="0" t="inlineStr">
        <is>
          <t xml:space="preserve">FRSH</t>
        </is>
      </c>
      <c r="E47" s="0" t="inlineStr">
        <is>
          <t xml:space="preserve">technology</t>
        </is>
      </c>
      <c r="F47" s="4">
        <v>46</v>
      </c>
    </row>
    <row r="48">
      <c r="A48" s="0" t="inlineStr">
        <is>
          <t xml:space="preserve">p01_attention_SPXC</t>
        </is>
      </c>
      <c r="B48" s="0" t="inlineStr">
        <is>
          <t xml:space="preserve">p01_attention</t>
        </is>
      </c>
      <c r="C48" s="0" t="inlineStr">
        <is>
          <t xml:space="preserve">d20260923</t>
        </is>
      </c>
      <c r="D48" s="0" t="inlineStr">
        <is>
          <t xml:space="preserve">SPXC</t>
        </is>
      </c>
      <c r="E48" s="0" t="inlineStr">
        <is>
          <t xml:space="preserve">basic_materials</t>
        </is>
      </c>
      <c r="F48" s="4">
        <v>47</v>
      </c>
    </row>
    <row r="49">
      <c r="A49" s="0" t="inlineStr">
        <is>
          <t xml:space="preserve">p01_attention_DT</t>
        </is>
      </c>
      <c r="B49" s="0" t="inlineStr">
        <is>
          <t xml:space="preserve">p01_attention</t>
        </is>
      </c>
      <c r="C49" s="0" t="inlineStr">
        <is>
          <t xml:space="preserve">d20260923</t>
        </is>
      </c>
      <c r="D49" s="0" t="inlineStr">
        <is>
          <t xml:space="preserve">DT</t>
        </is>
      </c>
      <c r="E49" s="0" t="inlineStr">
        <is>
          <t xml:space="preserve">technology</t>
        </is>
      </c>
      <c r="F49" s="4">
        <v>48</v>
      </c>
    </row>
    <row r="50">
      <c r="A50" s="0" t="inlineStr">
        <is>
          <t xml:space="preserve">p01_attention_GEO</t>
        </is>
      </c>
      <c r="B50" s="0" t="inlineStr">
        <is>
          <t xml:space="preserve">p01_attention</t>
        </is>
      </c>
      <c r="C50" s="0" t="inlineStr">
        <is>
          <t xml:space="preserve">d20260923</t>
        </is>
      </c>
      <c r="D50" s="0" t="inlineStr">
        <is>
          <t xml:space="preserve">GEO</t>
        </is>
      </c>
      <c r="E50" s="0" t="inlineStr">
        <is>
          <t xml:space="preserve">industrials</t>
        </is>
      </c>
      <c r="F50" s="4">
        <v>49</v>
      </c>
    </row>
    <row r="51">
      <c r="A51" s="0" t="inlineStr">
        <is>
          <t xml:space="preserve">p01_attention_LH</t>
        </is>
      </c>
      <c r="B51" s="0" t="inlineStr">
        <is>
          <t xml:space="preserve">p01_attention</t>
        </is>
      </c>
      <c r="C51" s="0" t="inlineStr">
        <is>
          <t xml:space="preserve">d20260923</t>
        </is>
      </c>
      <c r="D51" s="0" t="inlineStr">
        <is>
          <t xml:space="preserve">LH</t>
        </is>
      </c>
      <c r="E51" s="0" t="inlineStr">
        <is>
          <t xml:space="preserve">healthcare</t>
        </is>
      </c>
      <c r="F51" s="4">
        <v>50</v>
      </c>
    </row>
    <row r="52">
      <c r="A52" s="0" t="inlineStr">
        <is>
          <t xml:space="preserve">p01_attention_CGNX</t>
        </is>
      </c>
      <c r="B52" s="0" t="inlineStr">
        <is>
          <t xml:space="preserve">p01_attention</t>
        </is>
      </c>
      <c r="C52" s="0" t="inlineStr">
        <is>
          <t xml:space="preserve">d20260923</t>
        </is>
      </c>
      <c r="D52" s="0" t="inlineStr">
        <is>
          <t xml:space="preserve">CGNX</t>
        </is>
      </c>
      <c r="E52" s="0" t="inlineStr">
        <is>
          <t xml:space="preserve">technology</t>
        </is>
      </c>
      <c r="F52" s="4">
        <v>51</v>
      </c>
    </row>
    <row r="53">
      <c r="A53" s="0" t="inlineStr">
        <is>
          <t xml:space="preserve">p01_attention_RNG</t>
        </is>
      </c>
      <c r="B53" s="0" t="inlineStr">
        <is>
          <t xml:space="preserve">p01_attention</t>
        </is>
      </c>
      <c r="C53" s="0" t="inlineStr">
        <is>
          <t xml:space="preserve">d20260923</t>
        </is>
      </c>
      <c r="D53" s="0" t="inlineStr">
        <is>
          <t xml:space="preserve">RNG</t>
        </is>
      </c>
      <c r="E53" s="0" t="inlineStr">
        <is>
          <t xml:space="preserve">technology</t>
        </is>
      </c>
      <c r="F53" s="4">
        <v>52</v>
      </c>
    </row>
    <row r="54">
      <c r="A54" s="0" t="inlineStr">
        <is>
          <t xml:space="preserve">p01_attention_KBR</t>
        </is>
      </c>
      <c r="B54" s="0" t="inlineStr">
        <is>
          <t xml:space="preserve">p01_attention</t>
        </is>
      </c>
      <c r="C54" s="0" t="inlineStr">
        <is>
          <t xml:space="preserve">d20260923</t>
        </is>
      </c>
      <c r="D54" s="0" t="inlineStr">
        <is>
          <t xml:space="preserve">KBR</t>
        </is>
      </c>
      <c r="E54" s="0" t="inlineStr">
        <is>
          <t xml:space="preserve">industrials</t>
        </is>
      </c>
      <c r="F54" s="4">
        <v>53</v>
      </c>
    </row>
    <row r="55">
      <c r="A55" s="0" t="inlineStr">
        <is>
          <t xml:space="preserve">p01_attention_AUGO</t>
        </is>
      </c>
      <c r="B55" s="0" t="inlineStr">
        <is>
          <t xml:space="preserve">p01_attention</t>
        </is>
      </c>
      <c r="C55" s="0" t="inlineStr">
        <is>
          <t xml:space="preserve">d20260923</t>
        </is>
      </c>
      <c r="D55" s="0" t="inlineStr">
        <is>
          <t xml:space="preserve">AUGO</t>
        </is>
      </c>
      <c r="E55" s="0" t="inlineStr">
        <is>
          <t xml:space="preserve">basic_materials</t>
        </is>
      </c>
      <c r="F55" s="4">
        <v>54</v>
      </c>
    </row>
    <row r="56">
      <c r="A56" s="0" t="inlineStr">
        <is>
          <t xml:space="preserve">p01_attention_TVTX</t>
        </is>
      </c>
      <c r="B56" s="0" t="inlineStr">
        <is>
          <t xml:space="preserve">p01_attention</t>
        </is>
      </c>
      <c r="C56" s="0" t="inlineStr">
        <is>
          <t xml:space="preserve">d20260923</t>
        </is>
      </c>
      <c r="D56" s="0" t="inlineStr">
        <is>
          <t xml:space="preserve">TVTX</t>
        </is>
      </c>
      <c r="E56" s="0" t="inlineStr">
        <is>
          <t xml:space="preserve">healthcare</t>
        </is>
      </c>
      <c r="F56" s="4">
        <v>55</v>
      </c>
    </row>
    <row r="57">
      <c r="A57" s="0" t="inlineStr">
        <is>
          <t xml:space="preserve">p01_attention_WBD</t>
        </is>
      </c>
      <c r="B57" s="0" t="inlineStr">
        <is>
          <t xml:space="preserve">p01_attention</t>
        </is>
      </c>
      <c r="C57" s="0" t="inlineStr">
        <is>
          <t xml:space="preserve">d20260923</t>
        </is>
      </c>
      <c r="D57" s="0" t="inlineStr">
        <is>
          <t xml:space="preserve">WBD</t>
        </is>
      </c>
      <c r="E57" s="0" t="inlineStr">
        <is>
          <t xml:space="preserve">communication_services</t>
        </is>
      </c>
      <c r="F57" s="4">
        <v>56</v>
      </c>
    </row>
    <row r="58">
      <c r="A58" s="0" t="inlineStr">
        <is>
          <t xml:space="preserve">p01_attention_LSCC</t>
        </is>
      </c>
      <c r="B58" s="0" t="inlineStr">
        <is>
          <t xml:space="preserve">p01_attention</t>
        </is>
      </c>
      <c r="C58" s="0" t="inlineStr">
        <is>
          <t xml:space="preserve">d20260923</t>
        </is>
      </c>
      <c r="D58" s="0" t="inlineStr">
        <is>
          <t xml:space="preserve">LSCC</t>
        </is>
      </c>
      <c r="E58" s="0" t="inlineStr">
        <is>
          <t xml:space="preserve">technology</t>
        </is>
      </c>
      <c r="F58" s="4">
        <v>57</v>
      </c>
    </row>
    <row r="59">
      <c r="A59" s="0" t="inlineStr">
        <is>
          <t xml:space="preserve">p01_attention_NYT</t>
        </is>
      </c>
      <c r="B59" s="0" t="inlineStr">
        <is>
          <t xml:space="preserve">p01_attention</t>
        </is>
      </c>
      <c r="C59" s="0" t="inlineStr">
        <is>
          <t xml:space="preserve">d20260923</t>
        </is>
      </c>
      <c r="D59" s="0" t="inlineStr">
        <is>
          <t xml:space="preserve">NYT</t>
        </is>
      </c>
      <c r="E59" s="0" t="inlineStr">
        <is>
          <t xml:space="preserve">communication_services</t>
        </is>
      </c>
      <c r="F59" s="4">
        <v>58</v>
      </c>
    </row>
    <row r="60">
      <c r="A60" s="0" t="inlineStr">
        <is>
          <t xml:space="preserve">p01_attention_CGON</t>
        </is>
      </c>
      <c r="B60" s="0" t="inlineStr">
        <is>
          <t xml:space="preserve">p01_attention</t>
        </is>
      </c>
      <c r="C60" s="0" t="inlineStr">
        <is>
          <t xml:space="preserve">d20260923</t>
        </is>
      </c>
      <c r="D60" s="0" t="inlineStr">
        <is>
          <t xml:space="preserve">CGON</t>
        </is>
      </c>
      <c r="E60" s="0" t="inlineStr">
        <is>
          <t xml:space="preserve">healthcare</t>
        </is>
      </c>
      <c r="F60" s="4">
        <v>59</v>
      </c>
    </row>
    <row r="61">
      <c r="A61" s="0" t="inlineStr">
        <is>
          <t xml:space="preserve">p01_attention_WTRG</t>
        </is>
      </c>
      <c r="B61" s="0" t="inlineStr">
        <is>
          <t xml:space="preserve">p01_attention</t>
        </is>
      </c>
      <c r="C61" s="0" t="inlineStr">
        <is>
          <t xml:space="preserve">d20260923</t>
        </is>
      </c>
      <c r="D61" s="0" t="inlineStr">
        <is>
          <t xml:space="preserve">WTRG</t>
        </is>
      </c>
      <c r="E61" s="0" t="inlineStr">
        <is>
          <t xml:space="preserve">utilities</t>
        </is>
      </c>
      <c r="F61" s="4">
        <v>60</v>
      </c>
    </row>
    <row r="62">
      <c r="A62" s="0" t="inlineStr">
        <is>
          <t xml:space="preserve">p01_attention_AMT</t>
        </is>
      </c>
      <c r="B62" s="0" t="inlineStr">
        <is>
          <t xml:space="preserve">p01_attention</t>
        </is>
      </c>
      <c r="C62" s="0" t="inlineStr">
        <is>
          <t xml:space="preserve">d20260923</t>
        </is>
      </c>
      <c r="D62" s="0" t="inlineStr">
        <is>
          <t xml:space="preserve">AMT</t>
        </is>
      </c>
      <c r="E62" s="0" t="inlineStr">
        <is>
          <t xml:space="preserve">real_estate</t>
        </is>
      </c>
      <c r="F62" s="4">
        <v>61</v>
      </c>
    </row>
    <row r="63">
      <c r="A63" s="0" t="inlineStr">
        <is>
          <t xml:space="preserve">p01_attention_IBRX</t>
        </is>
      </c>
      <c r="B63" s="0" t="inlineStr">
        <is>
          <t xml:space="preserve">p01_attention</t>
        </is>
      </c>
      <c r="C63" s="0" t="inlineStr">
        <is>
          <t xml:space="preserve">d20260923</t>
        </is>
      </c>
      <c r="D63" s="0" t="inlineStr">
        <is>
          <t xml:space="preserve">IBRX</t>
        </is>
      </c>
      <c r="E63" s="0" t="inlineStr">
        <is>
          <t xml:space="preserve">healthcare</t>
        </is>
      </c>
      <c r="F63" s="4">
        <v>62</v>
      </c>
    </row>
    <row r="64">
      <c r="A64" s="0" t="inlineStr">
        <is>
          <t xml:space="preserve">p01_attention_COMP</t>
        </is>
      </c>
      <c r="B64" s="0" t="inlineStr">
        <is>
          <t xml:space="preserve">p01_attention</t>
        </is>
      </c>
      <c r="C64" s="0" t="inlineStr">
        <is>
          <t xml:space="preserve">d20260923</t>
        </is>
      </c>
      <c r="D64" s="0" t="inlineStr">
        <is>
          <t xml:space="preserve">COMP</t>
        </is>
      </c>
      <c r="E64" s="0" t="inlineStr">
        <is>
          <t xml:space="preserve">real_estate</t>
        </is>
      </c>
      <c r="F64" s="4">
        <v>63</v>
      </c>
    </row>
    <row r="65">
      <c r="A65" s="0" t="inlineStr">
        <is>
          <t xml:space="preserve">p01_attention_HALO</t>
        </is>
      </c>
      <c r="B65" s="0" t="inlineStr">
        <is>
          <t xml:space="preserve">p01_attention</t>
        </is>
      </c>
      <c r="C65" s="0" t="inlineStr">
        <is>
          <t xml:space="preserve">d20260923</t>
        </is>
      </c>
      <c r="D65" s="0" t="inlineStr">
        <is>
          <t xml:space="preserve">HALO</t>
        </is>
      </c>
      <c r="E65" s="0" t="inlineStr">
        <is>
          <t xml:space="preserve">healthcare</t>
        </is>
      </c>
      <c r="F65" s="4">
        <v>64</v>
      </c>
    </row>
    <row r="66">
      <c r="A66" s="0" t="inlineStr">
        <is>
          <t xml:space="preserve">p01_attention_RCL</t>
        </is>
      </c>
      <c r="B66" s="0" t="inlineStr">
        <is>
          <t xml:space="preserve">p01_attention</t>
        </is>
      </c>
      <c r="C66" s="0" t="inlineStr">
        <is>
          <t xml:space="preserve">d20260923</t>
        </is>
      </c>
      <c r="D66" s="0" t="inlineStr">
        <is>
          <t xml:space="preserve">RCL</t>
        </is>
      </c>
      <c r="E66" s="0" t="inlineStr">
        <is>
          <t xml:space="preserve">consumer_cyclical</t>
        </is>
      </c>
      <c r="F66" s="4">
        <v>65</v>
      </c>
    </row>
    <row r="67">
      <c r="A67" s="0" t="inlineStr">
        <is>
          <t xml:space="preserve">p01_attention_PEN</t>
        </is>
      </c>
      <c r="B67" s="0" t="inlineStr">
        <is>
          <t xml:space="preserve">p01_attention</t>
        </is>
      </c>
      <c r="C67" s="0" t="inlineStr">
        <is>
          <t xml:space="preserve">d20260923</t>
        </is>
      </c>
      <c r="D67" s="0" t="inlineStr">
        <is>
          <t xml:space="preserve">PEN</t>
        </is>
      </c>
      <c r="E67" s="0" t="inlineStr">
        <is>
          <t xml:space="preserve">healthcare</t>
        </is>
      </c>
      <c r="F67" s="4">
        <v>66</v>
      </c>
    </row>
    <row r="68">
      <c r="A68" s="0" t="inlineStr">
        <is>
          <t xml:space="preserve">p01_attention_VECO</t>
        </is>
      </c>
      <c r="B68" s="0" t="inlineStr">
        <is>
          <t xml:space="preserve">p01_attention</t>
        </is>
      </c>
      <c r="C68" s="0" t="inlineStr">
        <is>
          <t xml:space="preserve">d20260923</t>
        </is>
      </c>
      <c r="D68" s="0" t="inlineStr">
        <is>
          <t xml:space="preserve">VECO</t>
        </is>
      </c>
      <c r="E68" s="0" t="inlineStr">
        <is>
          <t xml:space="preserve">technology</t>
        </is>
      </c>
      <c r="F68" s="4">
        <v>67</v>
      </c>
    </row>
    <row r="69">
      <c r="A69" s="0" t="inlineStr">
        <is>
          <t xml:space="preserve">p01_attention_PLNT</t>
        </is>
      </c>
      <c r="B69" s="0" t="inlineStr">
        <is>
          <t xml:space="preserve">p01_attention</t>
        </is>
      </c>
      <c r="C69" s="0" t="inlineStr">
        <is>
          <t xml:space="preserve">d20260923</t>
        </is>
      </c>
      <c r="D69" s="0" t="inlineStr">
        <is>
          <t xml:space="preserve">PLNT</t>
        </is>
      </c>
      <c r="E69" s="0" t="inlineStr">
        <is>
          <t xml:space="preserve">consumer_cyclical</t>
        </is>
      </c>
      <c r="F69" s="4">
        <v>68</v>
      </c>
    </row>
    <row r="70">
      <c r="A70" s="0" t="inlineStr">
        <is>
          <t xml:space="preserve">p01_attention_BFAM</t>
        </is>
      </c>
      <c r="B70" s="0" t="inlineStr">
        <is>
          <t xml:space="preserve">p01_attention</t>
        </is>
      </c>
      <c r="C70" s="0" t="inlineStr">
        <is>
          <t xml:space="preserve">d20260923</t>
        </is>
      </c>
      <c r="D70" s="0" t="inlineStr">
        <is>
          <t xml:space="preserve">BFAM</t>
        </is>
      </c>
      <c r="E70" s="0" t="inlineStr">
        <is>
          <t xml:space="preserve">industrials</t>
        </is>
      </c>
      <c r="F70" s="4">
        <v>69</v>
      </c>
    </row>
    <row r="71">
      <c r="A71" s="0" t="inlineStr">
        <is>
          <t xml:space="preserve">p01_attention_PSKY</t>
        </is>
      </c>
      <c r="B71" s="0" t="inlineStr">
        <is>
          <t xml:space="preserve">p01_attention</t>
        </is>
      </c>
      <c r="C71" s="0" t="inlineStr">
        <is>
          <t xml:space="preserve">d20260923</t>
        </is>
      </c>
      <c r="D71" s="0" t="inlineStr">
        <is>
          <t xml:space="preserve">PSKY</t>
        </is>
      </c>
      <c r="E71" s="0" t="inlineStr">
        <is>
          <t xml:space="preserve">communication_services</t>
        </is>
      </c>
      <c r="F71" s="4">
        <v>70</v>
      </c>
    </row>
    <row r="72">
      <c r="A72" s="0" t="inlineStr">
        <is>
          <t xml:space="preserve">p01_attention_EXPE</t>
        </is>
      </c>
      <c r="B72" s="0" t="inlineStr">
        <is>
          <t xml:space="preserve">p01_attention</t>
        </is>
      </c>
      <c r="C72" s="0" t="inlineStr">
        <is>
          <t xml:space="preserve">d20260923</t>
        </is>
      </c>
      <c r="D72" s="0" t="inlineStr">
        <is>
          <t xml:space="preserve">EXPE</t>
        </is>
      </c>
      <c r="E72" s="0" t="inlineStr">
        <is>
          <t xml:space="preserve">consumer_cyclical</t>
        </is>
      </c>
      <c r="F72" s="4">
        <v>71</v>
      </c>
    </row>
    <row r="73">
      <c r="A73" s="0" t="inlineStr">
        <is>
          <t xml:space="preserve">p01_attention_ADPT</t>
        </is>
      </c>
      <c r="B73" s="0" t="inlineStr">
        <is>
          <t xml:space="preserve">p01_attention</t>
        </is>
      </c>
      <c r="C73" s="0" t="inlineStr">
        <is>
          <t xml:space="preserve">d20260923</t>
        </is>
      </c>
      <c r="D73" s="0" t="inlineStr">
        <is>
          <t xml:space="preserve">ADPT</t>
        </is>
      </c>
      <c r="E73" s="0" t="inlineStr">
        <is>
          <t xml:space="preserve">healthcare</t>
        </is>
      </c>
      <c r="F73" s="4">
        <v>72</v>
      </c>
    </row>
    <row r="74">
      <c r="A74" s="0" t="inlineStr">
        <is>
          <t xml:space="preserve">p01_attention_CARG</t>
        </is>
      </c>
      <c r="B74" s="0" t="inlineStr">
        <is>
          <t xml:space="preserve">p01_attention</t>
        </is>
      </c>
      <c r="C74" s="0" t="inlineStr">
        <is>
          <t xml:space="preserve">d20260923</t>
        </is>
      </c>
      <c r="D74" s="0" t="inlineStr">
        <is>
          <t xml:space="preserve">CARG</t>
        </is>
      </c>
      <c r="E74" s="0" t="inlineStr">
        <is>
          <t xml:space="preserve">communication_services</t>
        </is>
      </c>
      <c r="F74" s="4">
        <v>73</v>
      </c>
    </row>
    <row r="75">
      <c r="A75" s="0" t="inlineStr">
        <is>
          <t xml:space="preserve">p01_attention_APD</t>
        </is>
      </c>
      <c r="B75" s="0" t="inlineStr">
        <is>
          <t xml:space="preserve">p01_attention</t>
        </is>
      </c>
      <c r="C75" s="0" t="inlineStr">
        <is>
          <t xml:space="preserve">d20260923</t>
        </is>
      </c>
      <c r="D75" s="0" t="inlineStr">
        <is>
          <t xml:space="preserve">APD</t>
        </is>
      </c>
      <c r="E75" s="0" t="inlineStr">
        <is>
          <t xml:space="preserve">basic_materials</t>
        </is>
      </c>
      <c r="F75" s="4">
        <v>74</v>
      </c>
    </row>
    <row r="76">
      <c r="A76" s="0" t="inlineStr">
        <is>
          <t xml:space="preserve">p01_attention_VLO</t>
        </is>
      </c>
      <c r="B76" s="0" t="inlineStr">
        <is>
          <t xml:space="preserve">p01_attention</t>
        </is>
      </c>
      <c r="C76" s="0" t="inlineStr">
        <is>
          <t xml:space="preserve">d20260923</t>
        </is>
      </c>
      <c r="D76" s="0" t="inlineStr">
        <is>
          <t xml:space="preserve">VLO</t>
        </is>
      </c>
      <c r="E76" s="0" t="inlineStr">
        <is>
          <t xml:space="preserve">energy</t>
        </is>
      </c>
      <c r="F76" s="4">
        <v>75</v>
      </c>
    </row>
    <row r="77">
      <c r="A77" s="0" t="inlineStr">
        <is>
          <t xml:space="preserve">p01_attention_OUST</t>
        </is>
      </c>
      <c r="B77" s="0" t="inlineStr">
        <is>
          <t xml:space="preserve">p01_attention</t>
        </is>
      </c>
      <c r="C77" s="0" t="inlineStr">
        <is>
          <t xml:space="preserve">d20260923</t>
        </is>
      </c>
      <c r="D77" s="0" t="inlineStr">
        <is>
          <t xml:space="preserve">OUST</t>
        </is>
      </c>
      <c r="E77" s="0" t="inlineStr">
        <is>
          <t xml:space="preserve">technology</t>
        </is>
      </c>
      <c r="F77" s="4">
        <v>76</v>
      </c>
    </row>
    <row r="78">
      <c r="A78" s="0" t="inlineStr">
        <is>
          <t xml:space="preserve">p01_attention_DLB</t>
        </is>
      </c>
      <c r="B78" s="0" t="inlineStr">
        <is>
          <t xml:space="preserve">p01_attention</t>
        </is>
      </c>
      <c r="C78" s="0" t="inlineStr">
        <is>
          <t xml:space="preserve">d20260923</t>
        </is>
      </c>
      <c r="D78" s="0" t="inlineStr">
        <is>
          <t xml:space="preserve">DLB</t>
        </is>
      </c>
      <c r="E78" s="0" t="inlineStr">
        <is>
          <t xml:space="preserve">technology</t>
        </is>
      </c>
      <c r="F78" s="4">
        <v>77</v>
      </c>
    </row>
    <row r="79">
      <c r="A79" s="0" t="inlineStr">
        <is>
          <t xml:space="preserve">p01_attention_UCTT</t>
        </is>
      </c>
      <c r="B79" s="0" t="inlineStr">
        <is>
          <t xml:space="preserve">p01_attention</t>
        </is>
      </c>
      <c r="C79" s="0" t="inlineStr">
        <is>
          <t xml:space="preserve">d20260923</t>
        </is>
      </c>
      <c r="D79" s="0" t="inlineStr">
        <is>
          <t xml:space="preserve">UCTT</t>
        </is>
      </c>
      <c r="E79" s="0" t="inlineStr">
        <is>
          <t xml:space="preserve">technology</t>
        </is>
      </c>
      <c r="F79" s="4">
        <v>78</v>
      </c>
    </row>
    <row r="80">
      <c r="A80" s="0" t="inlineStr">
        <is>
          <t xml:space="preserve">p01_attention_FWONK</t>
        </is>
      </c>
      <c r="B80" s="0" t="inlineStr">
        <is>
          <t xml:space="preserve">p01_attention</t>
        </is>
      </c>
      <c r="C80" s="0" t="inlineStr">
        <is>
          <t xml:space="preserve">d20260923</t>
        </is>
      </c>
      <c r="D80" s="0" t="inlineStr">
        <is>
          <t xml:space="preserve">FWONK</t>
        </is>
      </c>
      <c r="E80" s="0" t="inlineStr">
        <is>
          <t xml:space="preserve">communication_services</t>
        </is>
      </c>
      <c r="F80" s="4">
        <v>79</v>
      </c>
    </row>
    <row r="81">
      <c r="A81" s="0" t="inlineStr">
        <is>
          <t xml:space="preserve">p01_attention_EXR</t>
        </is>
      </c>
      <c r="B81" s="0" t="inlineStr">
        <is>
          <t xml:space="preserve">p01_attention</t>
        </is>
      </c>
      <c r="C81" s="0" t="inlineStr">
        <is>
          <t xml:space="preserve">d20260923</t>
        </is>
      </c>
      <c r="D81" s="0" t="inlineStr">
        <is>
          <t xml:space="preserve">EXR</t>
        </is>
      </c>
      <c r="E81" s="0" t="inlineStr">
        <is>
          <t xml:space="preserve">real_estate</t>
        </is>
      </c>
      <c r="F81" s="4">
        <v>80</v>
      </c>
    </row>
    <row r="82">
      <c r="A82" s="0" t="inlineStr">
        <is>
          <t xml:space="preserve">p01_attention_POR</t>
        </is>
      </c>
      <c r="B82" s="0" t="inlineStr">
        <is>
          <t xml:space="preserve">p01_attention</t>
        </is>
      </c>
      <c r="C82" s="0" t="inlineStr">
        <is>
          <t xml:space="preserve">d20260923</t>
        </is>
      </c>
      <c r="D82" s="0" t="inlineStr">
        <is>
          <t xml:space="preserve">POR</t>
        </is>
      </c>
      <c r="E82" s="0" t="inlineStr">
        <is>
          <t xml:space="preserve">utilities</t>
        </is>
      </c>
      <c r="F82" s="4">
        <v>81</v>
      </c>
    </row>
    <row r="83">
      <c r="A83" s="0" t="inlineStr">
        <is>
          <t xml:space="preserve">p01_attention_KBH</t>
        </is>
      </c>
      <c r="B83" s="0" t="inlineStr">
        <is>
          <t xml:space="preserve">p01_attention</t>
        </is>
      </c>
      <c r="C83" s="0" t="inlineStr">
        <is>
          <t xml:space="preserve">d20260923</t>
        </is>
      </c>
      <c r="D83" s="0" t="inlineStr">
        <is>
          <t xml:space="preserve">KBH</t>
        </is>
      </c>
      <c r="E83" s="0" t="inlineStr">
        <is>
          <t xml:space="preserve">consumer_cyclical</t>
        </is>
      </c>
      <c r="F83" s="4">
        <v>82</v>
      </c>
    </row>
    <row r="84">
      <c r="A84" s="0" t="inlineStr">
        <is>
          <t xml:space="preserve">p01_attention_SRRK</t>
        </is>
      </c>
      <c r="B84" s="0" t="inlineStr">
        <is>
          <t xml:space="preserve">p01_attention</t>
        </is>
      </c>
      <c r="C84" s="0" t="inlineStr">
        <is>
          <t xml:space="preserve">d20260923</t>
        </is>
      </c>
      <c r="D84" s="0" t="inlineStr">
        <is>
          <t xml:space="preserve">SRRK</t>
        </is>
      </c>
      <c r="E84" s="0" t="inlineStr">
        <is>
          <t xml:space="preserve">healthcare</t>
        </is>
      </c>
      <c r="F84" s="4">
        <v>83</v>
      </c>
    </row>
    <row r="85">
      <c r="A85" s="0" t="inlineStr">
        <is>
          <t xml:space="preserve">p01_attention_CART</t>
        </is>
      </c>
      <c r="B85" s="0" t="inlineStr">
        <is>
          <t xml:space="preserve">p01_attention</t>
        </is>
      </c>
      <c r="C85" s="0" t="inlineStr">
        <is>
          <t xml:space="preserve">d20260923</t>
        </is>
      </c>
      <c r="D85" s="0" t="inlineStr">
        <is>
          <t xml:space="preserve">CART</t>
        </is>
      </c>
      <c r="E85" s="0" t="inlineStr">
        <is>
          <t xml:space="preserve">technology</t>
        </is>
      </c>
      <c r="F85" s="4">
        <v>84</v>
      </c>
    </row>
    <row r="86">
      <c r="A86" s="0" t="inlineStr">
        <is>
          <t xml:space="preserve">p01_attention_HIMS</t>
        </is>
      </c>
      <c r="B86" s="0" t="inlineStr">
        <is>
          <t xml:space="preserve">p01_attention</t>
        </is>
      </c>
      <c r="C86" s="0" t="inlineStr">
        <is>
          <t xml:space="preserve">d20260923</t>
        </is>
      </c>
      <c r="D86" s="0" t="inlineStr">
        <is>
          <t xml:space="preserve">HIMS</t>
        </is>
      </c>
      <c r="E86" s="0" t="inlineStr">
        <is>
          <t xml:space="preserve">healthcare</t>
        </is>
      </c>
      <c r="F86" s="4">
        <v>85</v>
      </c>
    </row>
    <row r="87">
      <c r="A87" s="0" t="inlineStr">
        <is>
          <t xml:space="preserve">p01_attention_BLLN</t>
        </is>
      </c>
      <c r="B87" s="0" t="inlineStr">
        <is>
          <t xml:space="preserve">p01_attention</t>
        </is>
      </c>
      <c r="C87" s="0" t="inlineStr">
        <is>
          <t xml:space="preserve">d20260923</t>
        </is>
      </c>
      <c r="D87" s="0" t="inlineStr">
        <is>
          <t xml:space="preserve">BLLN</t>
        </is>
      </c>
      <c r="E87" s="0" t="inlineStr">
        <is>
          <t xml:space="preserve">healthcare</t>
        </is>
      </c>
      <c r="F87" s="4">
        <v>86</v>
      </c>
    </row>
    <row r="88">
      <c r="A88" s="0" t="inlineStr">
        <is>
          <t xml:space="preserve">p01_attention_QXO</t>
        </is>
      </c>
      <c r="B88" s="0" t="inlineStr">
        <is>
          <t xml:space="preserve">p01_attention</t>
        </is>
      </c>
      <c r="C88" s="0" t="inlineStr">
        <is>
          <t xml:space="preserve">d20260923</t>
        </is>
      </c>
      <c r="D88" s="0" t="inlineStr">
        <is>
          <t xml:space="preserve">QXO</t>
        </is>
      </c>
      <c r="E88" s="0" t="inlineStr">
        <is>
          <t xml:space="preserve">industrials</t>
        </is>
      </c>
      <c r="F88" s="4">
        <v>87</v>
      </c>
    </row>
    <row r="89">
      <c r="A89" s="0" t="inlineStr">
        <is>
          <t xml:space="preserve">p01_attention_DXCM</t>
        </is>
      </c>
      <c r="B89" s="0" t="inlineStr">
        <is>
          <t xml:space="preserve">p01_attention</t>
        </is>
      </c>
      <c r="C89" s="0" t="inlineStr">
        <is>
          <t xml:space="preserve">d20260923</t>
        </is>
      </c>
      <c r="D89" s="0" t="inlineStr">
        <is>
          <t xml:space="preserve">DXCM</t>
        </is>
      </c>
      <c r="E89" s="0" t="inlineStr">
        <is>
          <t xml:space="preserve">healthcare</t>
        </is>
      </c>
      <c r="F89" s="4">
        <v>88</v>
      </c>
    </row>
    <row r="90">
      <c r="A90" s="0" t="inlineStr">
        <is>
          <t xml:space="preserve">p01_attention_TTMI</t>
        </is>
      </c>
      <c r="B90" s="0" t="inlineStr">
        <is>
          <t xml:space="preserve">p01_attention</t>
        </is>
      </c>
      <c r="C90" s="0" t="inlineStr">
        <is>
          <t xml:space="preserve">d20260923</t>
        </is>
      </c>
      <c r="D90" s="0" t="inlineStr">
        <is>
          <t xml:space="preserve">TTMI</t>
        </is>
      </c>
      <c r="E90" s="0" t="inlineStr">
        <is>
          <t xml:space="preserve">technology</t>
        </is>
      </c>
      <c r="F90" s="4">
        <v>89</v>
      </c>
    </row>
    <row r="91">
      <c r="A91" s="0" t="inlineStr">
        <is>
          <t xml:space="preserve">p01_attention_DKNG</t>
        </is>
      </c>
      <c r="B91" s="0" t="inlineStr">
        <is>
          <t xml:space="preserve">p01_attention</t>
        </is>
      </c>
      <c r="C91" s="0" t="inlineStr">
        <is>
          <t xml:space="preserve">d20260923</t>
        </is>
      </c>
      <c r="D91" s="0" t="inlineStr">
        <is>
          <t xml:space="preserve">DKNG</t>
        </is>
      </c>
      <c r="E91" s="0" t="inlineStr">
        <is>
          <t xml:space="preserve">consumer_cyclical</t>
        </is>
      </c>
      <c r="F91" s="4">
        <v>90</v>
      </c>
    </row>
    <row r="92">
      <c r="A92" s="0" t="inlineStr">
        <is>
          <t xml:space="preserve">p01_attention_PAYX</t>
        </is>
      </c>
      <c r="B92" s="0" t="inlineStr">
        <is>
          <t xml:space="preserve">p01_attention</t>
        </is>
      </c>
      <c r="C92" s="0" t="inlineStr">
        <is>
          <t xml:space="preserve">d20260923</t>
        </is>
      </c>
      <c r="D92" s="0" t="inlineStr">
        <is>
          <t xml:space="preserve">PAYX</t>
        </is>
      </c>
      <c r="E92" s="0" t="inlineStr">
        <is>
          <t xml:space="preserve">industrials</t>
        </is>
      </c>
      <c r="F92" s="4">
        <v>91</v>
      </c>
    </row>
    <row r="93">
      <c r="A93" s="0" t="inlineStr">
        <is>
          <t xml:space="preserve">p01_attention_CWST</t>
        </is>
      </c>
      <c r="B93" s="0" t="inlineStr">
        <is>
          <t xml:space="preserve">p01_attention</t>
        </is>
      </c>
      <c r="C93" s="0" t="inlineStr">
        <is>
          <t xml:space="preserve">d20260923</t>
        </is>
      </c>
      <c r="D93" s="0" t="inlineStr">
        <is>
          <t xml:space="preserve">CWST</t>
        </is>
      </c>
      <c r="E93" s="0" t="inlineStr">
        <is>
          <t xml:space="preserve">industrials</t>
        </is>
      </c>
      <c r="F93" s="4">
        <v>92</v>
      </c>
    </row>
    <row r="94">
      <c r="A94" s="0" t="inlineStr">
        <is>
          <t xml:space="preserve">p01_attention_AXTA</t>
        </is>
      </c>
      <c r="B94" s="0" t="inlineStr">
        <is>
          <t xml:space="preserve">p01_attention</t>
        </is>
      </c>
      <c r="C94" s="0" t="inlineStr">
        <is>
          <t xml:space="preserve">d20260923</t>
        </is>
      </c>
      <c r="D94" s="0" t="inlineStr">
        <is>
          <t xml:space="preserve">AXTA</t>
        </is>
      </c>
      <c r="E94" s="0" t="inlineStr">
        <is>
          <t xml:space="preserve">basic_materials</t>
        </is>
      </c>
      <c r="F94" s="4">
        <v>93</v>
      </c>
    </row>
    <row r="95">
      <c r="A95" s="0" t="inlineStr">
        <is>
          <t xml:space="preserve">p01_attention_NEOG</t>
        </is>
      </c>
      <c r="B95" s="0" t="inlineStr">
        <is>
          <t xml:space="preserve">p01_attention</t>
        </is>
      </c>
      <c r="C95" s="0" t="inlineStr">
        <is>
          <t xml:space="preserve">d20260923</t>
        </is>
      </c>
      <c r="D95" s="0" t="inlineStr">
        <is>
          <t xml:space="preserve">NEOG</t>
        </is>
      </c>
      <c r="E95" s="0" t="inlineStr">
        <is>
          <t xml:space="preserve">healthcare</t>
        </is>
      </c>
      <c r="F95" s="4">
        <v>94</v>
      </c>
    </row>
    <row r="96">
      <c r="A96" s="0" t="inlineStr">
        <is>
          <t xml:space="preserve">p01_attention_LTH</t>
        </is>
      </c>
      <c r="B96" s="0" t="inlineStr">
        <is>
          <t xml:space="preserve">p01_attention</t>
        </is>
      </c>
      <c r="C96" s="0" t="inlineStr">
        <is>
          <t xml:space="preserve">d20260923</t>
        </is>
      </c>
      <c r="D96" s="0" t="inlineStr">
        <is>
          <t xml:space="preserve">LTH</t>
        </is>
      </c>
      <c r="E96" s="0" t="inlineStr">
        <is>
          <t xml:space="preserve">consumer_cyclical</t>
        </is>
      </c>
      <c r="F96" s="4">
        <v>95</v>
      </c>
    </row>
    <row r="97">
      <c r="A97" s="0" t="inlineStr">
        <is>
          <t xml:space="preserve">p01_attention_ALB</t>
        </is>
      </c>
      <c r="B97" s="0" t="inlineStr">
        <is>
          <t xml:space="preserve">p01_attention</t>
        </is>
      </c>
      <c r="C97" s="0" t="inlineStr">
        <is>
          <t xml:space="preserve">d20260923</t>
        </is>
      </c>
      <c r="D97" s="0" t="inlineStr">
        <is>
          <t xml:space="preserve">ALB</t>
        </is>
      </c>
      <c r="E97" s="0" t="inlineStr">
        <is>
          <t xml:space="preserve">basic_materials</t>
        </is>
      </c>
      <c r="F97" s="4">
        <v>96</v>
      </c>
    </row>
    <row r="98">
      <c r="A98" s="0" t="inlineStr">
        <is>
          <t xml:space="preserve">p01_attention_LFTO</t>
        </is>
      </c>
      <c r="B98" s="0" t="inlineStr">
        <is>
          <t xml:space="preserve">p01_attention</t>
        </is>
      </c>
      <c r="C98" s="0" t="inlineStr">
        <is>
          <t xml:space="preserve">d20260923</t>
        </is>
      </c>
      <c r="D98" s="0" t="inlineStr">
        <is>
          <t xml:space="preserve">LFTO</t>
        </is>
      </c>
      <c r="E98" s="0" t="inlineStr">
        <is>
          <t xml:space="preserve">communication_services</t>
        </is>
      </c>
      <c r="F98" s="4">
        <v>97</v>
      </c>
    </row>
    <row r="99">
      <c r="A99" s="0" t="inlineStr">
        <is>
          <t xml:space="preserve">p01_attention_UNP</t>
        </is>
      </c>
      <c r="B99" s="0" t="inlineStr">
        <is>
          <t xml:space="preserve">p01_attention</t>
        </is>
      </c>
      <c r="C99" s="0" t="inlineStr">
        <is>
          <t xml:space="preserve">d20260923</t>
        </is>
      </c>
      <c r="D99" s="0" t="inlineStr">
        <is>
          <t xml:space="preserve">UNP</t>
        </is>
      </c>
      <c r="E99" s="0" t="inlineStr">
        <is>
          <t xml:space="preserve">industrials</t>
        </is>
      </c>
      <c r="F99" s="4">
        <v>98</v>
      </c>
    </row>
    <row r="100">
      <c r="A100" s="0" t="inlineStr">
        <is>
          <t xml:space="preserve">p01_attention_BWA</t>
        </is>
      </c>
      <c r="B100" s="0" t="inlineStr">
        <is>
          <t xml:space="preserve">p01_attention</t>
        </is>
      </c>
      <c r="C100" s="0" t="inlineStr">
        <is>
          <t xml:space="preserve">d20260923</t>
        </is>
      </c>
      <c r="D100" s="0" t="inlineStr">
        <is>
          <t xml:space="preserve">BWA</t>
        </is>
      </c>
      <c r="E100" s="0" t="inlineStr">
        <is>
          <t xml:space="preserve">consumer_cyclical</t>
        </is>
      </c>
      <c r="F100" s="4">
        <v>99</v>
      </c>
    </row>
    <row r="101">
      <c r="A101" s="0" t="inlineStr">
        <is>
          <t xml:space="preserve">p01_attention_ACA</t>
        </is>
      </c>
      <c r="B101" s="0" t="inlineStr">
        <is>
          <t xml:space="preserve">p01_attention</t>
        </is>
      </c>
      <c r="C101" s="0" t="inlineStr">
        <is>
          <t xml:space="preserve">d20260923</t>
        </is>
      </c>
      <c r="D101" s="0" t="inlineStr">
        <is>
          <t xml:space="preserve">ACA</t>
        </is>
      </c>
      <c r="E101" s="0" t="inlineStr">
        <is>
          <t xml:space="preserve">basic_materials</t>
        </is>
      </c>
      <c r="F101" s="4">
        <v>100</v>
      </c>
    </row>
    <row r="102">
      <c r="A102" s="0" t="inlineStr">
        <is>
          <t xml:space="preserve">p02_earnings_drift_AVAV</t>
        </is>
      </c>
      <c r="B102" s="0" t="inlineStr">
        <is>
          <t xml:space="preserve">p02_earnings_drift</t>
        </is>
      </c>
      <c r="C102" s="0" t="inlineStr">
        <is>
          <t xml:space="preserve">d20260923</t>
        </is>
      </c>
      <c r="D102" s="0" t="inlineStr">
        <is>
          <t xml:space="preserve">AVAV</t>
        </is>
      </c>
      <c r="E102" s="0" t="inlineStr">
        <is>
          <t xml:space="preserve">industrials</t>
        </is>
      </c>
      <c r="F102" s="4">
        <v>1</v>
      </c>
    </row>
    <row r="103">
      <c r="A103" s="0" t="inlineStr">
        <is>
          <t xml:space="preserve">p02_earnings_drift_PL</t>
        </is>
      </c>
      <c r="B103" s="0" t="inlineStr">
        <is>
          <t xml:space="preserve">p02_earnings_drift</t>
        </is>
      </c>
      <c r="C103" s="0" t="inlineStr">
        <is>
          <t xml:space="preserve">d20260923</t>
        </is>
      </c>
      <c r="D103" s="0" t="inlineStr">
        <is>
          <t xml:space="preserve">PL</t>
        </is>
      </c>
      <c r="E103" s="0" t="inlineStr">
        <is>
          <t xml:space="preserve">industrials</t>
        </is>
      </c>
      <c r="F103" s="4">
        <v>2</v>
      </c>
    </row>
    <row r="104">
      <c r="A104" s="0" t="inlineStr">
        <is>
          <t xml:space="preserve">p02_earnings_drift_RH</t>
        </is>
      </c>
      <c r="B104" s="0" t="inlineStr">
        <is>
          <t xml:space="preserve">p02_earnings_drift</t>
        </is>
      </c>
      <c r="C104" s="0" t="inlineStr">
        <is>
          <t xml:space="preserve">d20260923</t>
        </is>
      </c>
      <c r="D104" s="0" t="inlineStr">
        <is>
          <t xml:space="preserve">RH</t>
        </is>
      </c>
      <c r="E104" s="0" t="inlineStr">
        <is>
          <t xml:space="preserve">consumer_cyclical</t>
        </is>
      </c>
      <c r="F104" s="4">
        <v>3</v>
      </c>
    </row>
    <row r="105">
      <c r="A105" s="0" t="inlineStr">
        <is>
          <t xml:space="preserve">p02_earnings_drift_AGX</t>
        </is>
      </c>
      <c r="B105" s="0" t="inlineStr">
        <is>
          <t xml:space="preserve">p02_earnings_drift</t>
        </is>
      </c>
      <c r="C105" s="0" t="inlineStr">
        <is>
          <t xml:space="preserve">d20260923</t>
        </is>
      </c>
      <c r="D105" s="0" t="inlineStr">
        <is>
          <t xml:space="preserve">AGX</t>
        </is>
      </c>
      <c r="E105" s="0" t="inlineStr">
        <is>
          <t xml:space="preserve">industrials</t>
        </is>
      </c>
      <c r="F105" s="4">
        <v>4</v>
      </c>
    </row>
    <row r="106">
      <c r="A106" s="0" t="inlineStr">
        <is>
          <t xml:space="preserve">p02_earnings_drift_M</t>
        </is>
      </c>
      <c r="B106" s="0" t="inlineStr">
        <is>
          <t xml:space="preserve">p02_earnings_drift</t>
        </is>
      </c>
      <c r="C106" s="0" t="inlineStr">
        <is>
          <t xml:space="preserve">d20260923</t>
        </is>
      </c>
      <c r="D106" s="0" t="inlineStr">
        <is>
          <t xml:space="preserve">M</t>
        </is>
      </c>
      <c r="E106" s="0" t="inlineStr">
        <is>
          <t xml:space="preserve">consumer_cyclical</t>
        </is>
      </c>
      <c r="F106" s="4">
        <v>5</v>
      </c>
    </row>
    <row r="107">
      <c r="A107" s="0" t="inlineStr">
        <is>
          <t xml:space="preserve">p02_earnings_drift_AEO</t>
        </is>
      </c>
      <c r="B107" s="0" t="inlineStr">
        <is>
          <t xml:space="preserve">p02_earnings_drift</t>
        </is>
      </c>
      <c r="C107" s="0" t="inlineStr">
        <is>
          <t xml:space="preserve">d20260923</t>
        </is>
      </c>
      <c r="D107" s="0" t="inlineStr">
        <is>
          <t xml:space="preserve">AEO</t>
        </is>
      </c>
      <c r="E107" s="0" t="inlineStr">
        <is>
          <t xml:space="preserve">consumer_cyclical</t>
        </is>
      </c>
      <c r="F107" s="4">
        <v>6</v>
      </c>
    </row>
    <row r="108">
      <c r="A108" s="0" t="inlineStr">
        <is>
          <t xml:space="preserve">p02_earnings_drift_DELL</t>
        </is>
      </c>
      <c r="B108" s="0" t="inlineStr">
        <is>
          <t xml:space="preserve">p02_earnings_drift</t>
        </is>
      </c>
      <c r="C108" s="0" t="inlineStr">
        <is>
          <t xml:space="preserve">d20260923</t>
        </is>
      </c>
      <c r="D108" s="0" t="inlineStr">
        <is>
          <t xml:space="preserve">DELL</t>
        </is>
      </c>
      <c r="E108" s="0" t="inlineStr">
        <is>
          <t xml:space="preserve">technology</t>
        </is>
      </c>
      <c r="F108" s="4">
        <v>7</v>
      </c>
    </row>
    <row r="109">
      <c r="A109" s="0" t="inlineStr">
        <is>
          <t xml:space="preserve">p02_earnings_drift_SNOW</t>
        </is>
      </c>
      <c r="B109" s="0" t="inlineStr">
        <is>
          <t xml:space="preserve">p02_earnings_drift</t>
        </is>
      </c>
      <c r="C109" s="0" t="inlineStr">
        <is>
          <t xml:space="preserve">d20260923</t>
        </is>
      </c>
      <c r="D109" s="0" t="inlineStr">
        <is>
          <t xml:space="preserve">SNOW</t>
        </is>
      </c>
      <c r="E109" s="0" t="inlineStr">
        <is>
          <t xml:space="preserve">technology</t>
        </is>
      </c>
      <c r="F109" s="4">
        <v>8</v>
      </c>
    </row>
    <row r="110">
      <c r="A110" s="0" t="inlineStr">
        <is>
          <t xml:space="preserve">p02_earnings_drift_NTSK</t>
        </is>
      </c>
      <c r="B110" s="0" t="inlineStr">
        <is>
          <t xml:space="preserve">p02_earnings_drift</t>
        </is>
      </c>
      <c r="C110" s="0" t="inlineStr">
        <is>
          <t xml:space="preserve">d20260923</t>
        </is>
      </c>
      <c r="D110" s="0" t="inlineStr">
        <is>
          <t xml:space="preserve">NTSK</t>
        </is>
      </c>
      <c r="E110" s="0" t="inlineStr">
        <is>
          <t xml:space="preserve">technology</t>
        </is>
      </c>
      <c r="F110" s="4">
        <v>9</v>
      </c>
    </row>
    <row r="111">
      <c r="A111" s="0" t="inlineStr">
        <is>
          <t xml:space="preserve">p02_earnings_drift_GTLB</t>
        </is>
      </c>
      <c r="B111" s="0" t="inlineStr">
        <is>
          <t xml:space="preserve">p02_earnings_drift</t>
        </is>
      </c>
      <c r="C111" s="0" t="inlineStr">
        <is>
          <t xml:space="preserve">d20260923</t>
        </is>
      </c>
      <c r="D111" s="0" t="inlineStr">
        <is>
          <t xml:space="preserve">GTLB</t>
        </is>
      </c>
      <c r="E111" s="0" t="inlineStr">
        <is>
          <t xml:space="preserve">technology</t>
        </is>
      </c>
      <c r="F111" s="4">
        <v>10</v>
      </c>
    </row>
    <row r="112">
      <c r="A112" s="0" t="inlineStr">
        <is>
          <t xml:space="preserve">p02_earnings_drift_NTAP</t>
        </is>
      </c>
      <c r="B112" s="0" t="inlineStr">
        <is>
          <t xml:space="preserve">p02_earnings_drift</t>
        </is>
      </c>
      <c r="C112" s="0" t="inlineStr">
        <is>
          <t xml:space="preserve">d20260923</t>
        </is>
      </c>
      <c r="D112" s="0" t="inlineStr">
        <is>
          <t xml:space="preserve">NTAP</t>
        </is>
      </c>
      <c r="E112" s="0" t="inlineStr">
        <is>
          <t xml:space="preserve">technology</t>
        </is>
      </c>
      <c r="F112" s="4">
        <v>11</v>
      </c>
    </row>
    <row r="113">
      <c r="A113" s="0" t="inlineStr">
        <is>
          <t xml:space="preserve">p02_earnings_drift_IOT</t>
        </is>
      </c>
      <c r="B113" s="0" t="inlineStr">
        <is>
          <t xml:space="preserve">p02_earnings_drift</t>
        </is>
      </c>
      <c r="C113" s="0" t="inlineStr">
        <is>
          <t xml:space="preserve">d20260923</t>
        </is>
      </c>
      <c r="D113" s="0" t="inlineStr">
        <is>
          <t xml:space="preserve">IOT</t>
        </is>
      </c>
      <c r="E113" s="0" t="inlineStr">
        <is>
          <t xml:space="preserve">technology</t>
        </is>
      </c>
      <c r="F113" s="4">
        <v>12</v>
      </c>
    </row>
    <row r="114">
      <c r="A114" s="0" t="inlineStr">
        <is>
          <t xml:space="preserve">p02_earnings_drift_FPS</t>
        </is>
      </c>
      <c r="B114" s="0" t="inlineStr">
        <is>
          <t xml:space="preserve">p02_earnings_drift</t>
        </is>
      </c>
      <c r="C114" s="0" t="inlineStr">
        <is>
          <t xml:space="preserve">d20260923</t>
        </is>
      </c>
      <c r="D114" s="0" t="inlineStr">
        <is>
          <t xml:space="preserve">FPS</t>
        </is>
      </c>
      <c r="E114" s="0" t="inlineStr">
        <is>
          <t xml:space="preserve">industrials</t>
        </is>
      </c>
      <c r="F114" s="4">
        <v>13</v>
      </c>
    </row>
    <row r="115">
      <c r="A115" s="0" t="inlineStr">
        <is>
          <t xml:space="preserve">p02_earnings_drift_HPE</t>
        </is>
      </c>
      <c r="B115" s="0" t="inlineStr">
        <is>
          <t xml:space="preserve">p02_earnings_drift</t>
        </is>
      </c>
      <c r="C115" s="0" t="inlineStr">
        <is>
          <t xml:space="preserve">d20260923</t>
        </is>
      </c>
      <c r="D115" s="0" t="inlineStr">
        <is>
          <t xml:space="preserve">HPE</t>
        </is>
      </c>
      <c r="E115" s="0" t="inlineStr">
        <is>
          <t xml:space="preserve">technology</t>
        </is>
      </c>
      <c r="F115" s="4">
        <v>14</v>
      </c>
    </row>
    <row r="116">
      <c r="A116" s="0" t="inlineStr">
        <is>
          <t xml:space="preserve">p02_earnings_drift_CIEN</t>
        </is>
      </c>
      <c r="B116" s="0" t="inlineStr">
        <is>
          <t xml:space="preserve">p02_earnings_drift</t>
        </is>
      </c>
      <c r="C116" s="0" t="inlineStr">
        <is>
          <t xml:space="preserve">d20260923</t>
        </is>
      </c>
      <c r="D116" s="0" t="inlineStr">
        <is>
          <t xml:space="preserve">CIEN</t>
        </is>
      </c>
      <c r="E116" s="0" t="inlineStr">
        <is>
          <t xml:space="preserve">technology</t>
        </is>
      </c>
      <c r="F116" s="4">
        <v>15</v>
      </c>
    </row>
    <row r="117">
      <c r="A117" s="0" t="inlineStr">
        <is>
          <t xml:space="preserve">p02_earnings_drift_OLLI</t>
        </is>
      </c>
      <c r="B117" s="0" t="inlineStr">
        <is>
          <t xml:space="preserve">p02_earnings_drift</t>
        </is>
      </c>
      <c r="C117" s="0" t="inlineStr">
        <is>
          <t xml:space="preserve">d20260923</t>
        </is>
      </c>
      <c r="D117" s="0" t="inlineStr">
        <is>
          <t xml:space="preserve">OLLI</t>
        </is>
      </c>
      <c r="E117" s="0" t="inlineStr">
        <is>
          <t xml:space="preserve">consumer_defensive</t>
        </is>
      </c>
      <c r="F117" s="4">
        <v>16</v>
      </c>
    </row>
    <row r="118">
      <c r="A118" s="0" t="inlineStr">
        <is>
          <t xml:space="preserve">p02_earnings_drift_VSXY</t>
        </is>
      </c>
      <c r="B118" s="0" t="inlineStr">
        <is>
          <t xml:space="preserve">p02_earnings_drift</t>
        </is>
      </c>
      <c r="C118" s="0" t="inlineStr">
        <is>
          <t xml:space="preserve">d20260923</t>
        </is>
      </c>
      <c r="D118" s="0" t="inlineStr">
        <is>
          <t xml:space="preserve">VSXY</t>
        </is>
      </c>
      <c r="E118" s="0" t="inlineStr">
        <is>
          <t xml:space="preserve">consumer_cyclical</t>
        </is>
      </c>
      <c r="F118" s="4">
        <v>17</v>
      </c>
    </row>
    <row r="119">
      <c r="A119" s="0" t="inlineStr">
        <is>
          <t xml:space="preserve">p02_earnings_drift_SUNB</t>
        </is>
      </c>
      <c r="B119" s="0" t="inlineStr">
        <is>
          <t xml:space="preserve">p02_earnings_drift</t>
        </is>
      </c>
      <c r="C119" s="0" t="inlineStr">
        <is>
          <t xml:space="preserve">d20260923</t>
        </is>
      </c>
      <c r="D119" s="0" t="inlineStr">
        <is>
          <t xml:space="preserve">SUNB</t>
        </is>
      </c>
      <c r="E119" s="0" t="inlineStr">
        <is>
          <t xml:space="preserve">industrials</t>
        </is>
      </c>
      <c r="F119" s="4">
        <v>18</v>
      </c>
    </row>
    <row r="120">
      <c r="A120" s="0" t="inlineStr">
        <is>
          <t xml:space="preserve">p02_earnings_drift_WMT</t>
        </is>
      </c>
      <c r="B120" s="0" t="inlineStr">
        <is>
          <t xml:space="preserve">p02_earnings_drift</t>
        </is>
      </c>
      <c r="C120" s="0" t="inlineStr">
        <is>
          <t xml:space="preserve">d20260923</t>
        </is>
      </c>
      <c r="D120" s="0" t="inlineStr">
        <is>
          <t xml:space="preserve">WMT</t>
        </is>
      </c>
      <c r="E120" s="0" t="inlineStr">
        <is>
          <t xml:space="preserve">consumer_defensive</t>
        </is>
      </c>
      <c r="F120" s="4">
        <v>19</v>
      </c>
    </row>
    <row r="121">
      <c r="A121" s="0" t="inlineStr">
        <is>
          <t xml:space="preserve">p02_earnings_drift_COST</t>
        </is>
      </c>
      <c r="B121" s="0" t="inlineStr">
        <is>
          <t xml:space="preserve">p02_earnings_drift</t>
        </is>
      </c>
      <c r="C121" s="0" t="inlineStr">
        <is>
          <t xml:space="preserve">d20260923</t>
        </is>
      </c>
      <c r="D121" s="0" t="inlineStr">
        <is>
          <t xml:space="preserve">COST</t>
        </is>
      </c>
      <c r="E121" s="0" t="inlineStr">
        <is>
          <t xml:space="preserve">consumer_defensive</t>
        </is>
      </c>
      <c r="F121" s="4">
        <v>20</v>
      </c>
    </row>
    <row r="122">
      <c r="A122" s="0" t="inlineStr">
        <is>
          <t xml:space="preserve">p02_earnings_drift_KO</t>
        </is>
      </c>
      <c r="B122" s="0" t="inlineStr">
        <is>
          <t xml:space="preserve">p02_earnings_drift</t>
        </is>
      </c>
      <c r="C122" s="0" t="inlineStr">
        <is>
          <t xml:space="preserve">d20260923</t>
        </is>
      </c>
      <c r="D122" s="0" t="inlineStr">
        <is>
          <t xml:space="preserve">KO</t>
        </is>
      </c>
      <c r="E122" s="0" t="inlineStr">
        <is>
          <t xml:space="preserve">consumer_defensive</t>
        </is>
      </c>
      <c r="F122" s="4">
        <v>21</v>
      </c>
    </row>
    <row r="123">
      <c r="A123" s="0" t="inlineStr">
        <is>
          <t xml:space="preserve">p02_earnings_drift_PG</t>
        </is>
      </c>
      <c r="B123" s="0" t="inlineStr">
        <is>
          <t xml:space="preserve">p02_earnings_drift</t>
        </is>
      </c>
      <c r="C123" s="0" t="inlineStr">
        <is>
          <t xml:space="preserve">d20260923</t>
        </is>
      </c>
      <c r="D123" s="0" t="inlineStr">
        <is>
          <t xml:space="preserve">PG</t>
        </is>
      </c>
      <c r="E123" s="0" t="inlineStr">
        <is>
          <t xml:space="preserve">consumer_defensive</t>
        </is>
      </c>
      <c r="F123" s="4">
        <v>22</v>
      </c>
    </row>
    <row r="124">
      <c r="A124" s="0" t="inlineStr">
        <is>
          <t xml:space="preserve">p02_earnings_drift_PM</t>
        </is>
      </c>
      <c r="B124" s="0" t="inlineStr">
        <is>
          <t xml:space="preserve">p02_earnings_drift</t>
        </is>
      </c>
      <c r="C124" s="0" t="inlineStr">
        <is>
          <t xml:space="preserve">d20260923</t>
        </is>
      </c>
      <c r="D124" s="0" t="inlineStr">
        <is>
          <t xml:space="preserve">PM</t>
        </is>
      </c>
      <c r="E124" s="0" t="inlineStr">
        <is>
          <t xml:space="preserve">consumer_defensive</t>
        </is>
      </c>
      <c r="F124" s="4">
        <v>23</v>
      </c>
    </row>
    <row r="125">
      <c r="A125" s="0" t="inlineStr">
        <is>
          <t xml:space="preserve">p02_earnings_drift_PEP</t>
        </is>
      </c>
      <c r="B125" s="0" t="inlineStr">
        <is>
          <t xml:space="preserve">p02_earnings_drift</t>
        </is>
      </c>
      <c r="C125" s="0" t="inlineStr">
        <is>
          <t xml:space="preserve">d20260923</t>
        </is>
      </c>
      <c r="D125" s="0" t="inlineStr">
        <is>
          <t xml:space="preserve">PEP</t>
        </is>
      </c>
      <c r="E125" s="0" t="inlineStr">
        <is>
          <t xml:space="preserve">consumer_defensive</t>
        </is>
      </c>
      <c r="F125" s="4">
        <v>24</v>
      </c>
    </row>
    <row r="126">
      <c r="A126" s="0" t="inlineStr">
        <is>
          <t xml:space="preserve">p02_earnings_drift_MO</t>
        </is>
      </c>
      <c r="B126" s="0" t="inlineStr">
        <is>
          <t xml:space="preserve">p02_earnings_drift</t>
        </is>
      </c>
      <c r="C126" s="0" t="inlineStr">
        <is>
          <t xml:space="preserve">d20260923</t>
        </is>
      </c>
      <c r="D126" s="0" t="inlineStr">
        <is>
          <t xml:space="preserve">MO</t>
        </is>
      </c>
      <c r="E126" s="0" t="inlineStr">
        <is>
          <t xml:space="preserve">consumer_defensive</t>
        </is>
      </c>
      <c r="F126" s="4">
        <v>25</v>
      </c>
    </row>
    <row r="127">
      <c r="A127" s="0" t="inlineStr">
        <is>
          <t xml:space="preserve">p02_earnings_drift_MNST</t>
        </is>
      </c>
      <c r="B127" s="0" t="inlineStr">
        <is>
          <t xml:space="preserve">p02_earnings_drift</t>
        </is>
      </c>
      <c r="C127" s="0" t="inlineStr">
        <is>
          <t xml:space="preserve">d20260923</t>
        </is>
      </c>
      <c r="D127" s="0" t="inlineStr">
        <is>
          <t xml:space="preserve">MNST</t>
        </is>
      </c>
      <c r="E127" s="0" t="inlineStr">
        <is>
          <t xml:space="preserve">consumer_defensive</t>
        </is>
      </c>
      <c r="F127" s="4">
        <v>26</v>
      </c>
    </row>
    <row r="128">
      <c r="A128" s="0" t="inlineStr">
        <is>
          <t xml:space="preserve">p02_earnings_drift_MDLZ</t>
        </is>
      </c>
      <c r="B128" s="0" t="inlineStr">
        <is>
          <t xml:space="preserve">p02_earnings_drift</t>
        </is>
      </c>
      <c r="C128" s="0" t="inlineStr">
        <is>
          <t xml:space="preserve">d20260923</t>
        </is>
      </c>
      <c r="D128" s="0" t="inlineStr">
        <is>
          <t xml:space="preserve">MDLZ</t>
        </is>
      </c>
      <c r="E128" s="0" t="inlineStr">
        <is>
          <t xml:space="preserve">consumer_defensive</t>
        </is>
      </c>
      <c r="F128" s="4">
        <v>27</v>
      </c>
    </row>
    <row r="129">
      <c r="A129" s="0" t="inlineStr">
        <is>
          <t xml:space="preserve">p02_earnings_drift_TGT</t>
        </is>
      </c>
      <c r="B129" s="0" t="inlineStr">
        <is>
          <t xml:space="preserve">p02_earnings_drift</t>
        </is>
      </c>
      <c r="C129" s="0" t="inlineStr">
        <is>
          <t xml:space="preserve">d20260923</t>
        </is>
      </c>
      <c r="D129" s="0" t="inlineStr">
        <is>
          <t xml:space="preserve">TGT</t>
        </is>
      </c>
      <c r="E129" s="0" t="inlineStr">
        <is>
          <t xml:space="preserve">consumer_defensive</t>
        </is>
      </c>
      <c r="F129" s="4">
        <v>28</v>
      </c>
    </row>
    <row r="130">
      <c r="A130" s="0" t="inlineStr">
        <is>
          <t xml:space="preserve">p02_earnings_drift_CL</t>
        </is>
      </c>
      <c r="B130" s="0" t="inlineStr">
        <is>
          <t xml:space="preserve">p02_earnings_drift</t>
        </is>
      </c>
      <c r="C130" s="0" t="inlineStr">
        <is>
          <t xml:space="preserve">d20260923</t>
        </is>
      </c>
      <c r="D130" s="0" t="inlineStr">
        <is>
          <t xml:space="preserve">CL</t>
        </is>
      </c>
      <c r="E130" s="0" t="inlineStr">
        <is>
          <t xml:space="preserve">consumer_defensive</t>
        </is>
      </c>
      <c r="F130" s="4">
        <v>29</v>
      </c>
    </row>
    <row r="131">
      <c r="A131" s="0" t="inlineStr">
        <is>
          <t xml:space="preserve">p02_earnings_drift_KDP</t>
        </is>
      </c>
      <c r="B131" s="0" t="inlineStr">
        <is>
          <t xml:space="preserve">p02_earnings_drift</t>
        </is>
      </c>
      <c r="C131" s="0" t="inlineStr">
        <is>
          <t xml:space="preserve">d20260923</t>
        </is>
      </c>
      <c r="D131" s="0" t="inlineStr">
        <is>
          <t xml:space="preserve">KDP</t>
        </is>
      </c>
      <c r="E131" s="0" t="inlineStr">
        <is>
          <t xml:space="preserve">consumer_defensive</t>
        </is>
      </c>
      <c r="F131" s="4">
        <v>30</v>
      </c>
    </row>
    <row r="132">
      <c r="A132" s="0" t="inlineStr">
        <is>
          <t xml:space="preserve">p02_earnings_drift_ADM</t>
        </is>
      </c>
      <c r="B132" s="0" t="inlineStr">
        <is>
          <t xml:space="preserve">p02_earnings_drift</t>
        </is>
      </c>
      <c r="C132" s="0" t="inlineStr">
        <is>
          <t xml:space="preserve">d20260923</t>
        </is>
      </c>
      <c r="D132" s="0" t="inlineStr">
        <is>
          <t xml:space="preserve">ADM</t>
        </is>
      </c>
      <c r="E132" s="0" t="inlineStr">
        <is>
          <t xml:space="preserve">consumer_defensive</t>
        </is>
      </c>
      <c r="F132" s="4">
        <v>31</v>
      </c>
    </row>
    <row r="133">
      <c r="A133" s="0" t="inlineStr">
        <is>
          <t xml:space="preserve">p02_earnings_drift_SYY</t>
        </is>
      </c>
      <c r="B133" s="0" t="inlineStr">
        <is>
          <t xml:space="preserve">p02_earnings_drift</t>
        </is>
      </c>
      <c r="C133" s="0" t="inlineStr">
        <is>
          <t xml:space="preserve">d20260923</t>
        </is>
      </c>
      <c r="D133" s="0" t="inlineStr">
        <is>
          <t xml:space="preserve">SYY</t>
        </is>
      </c>
      <c r="E133" s="0" t="inlineStr">
        <is>
          <t xml:space="preserve">consumer_defensive</t>
        </is>
      </c>
      <c r="F133" s="4">
        <v>32</v>
      </c>
    </row>
    <row r="134">
      <c r="A134" s="0" t="inlineStr">
        <is>
          <t xml:space="preserve">p02_earnings_drift_EL</t>
        </is>
      </c>
      <c r="B134" s="0" t="inlineStr">
        <is>
          <t xml:space="preserve">p02_earnings_drift</t>
        </is>
      </c>
      <c r="C134" s="0" t="inlineStr">
        <is>
          <t xml:space="preserve">d20260923</t>
        </is>
      </c>
      <c r="D134" s="0" t="inlineStr">
        <is>
          <t xml:space="preserve">EL</t>
        </is>
      </c>
      <c r="E134" s="0" t="inlineStr">
        <is>
          <t xml:space="preserve">consumer_defensive</t>
        </is>
      </c>
      <c r="F134" s="4">
        <v>33</v>
      </c>
    </row>
    <row r="135">
      <c r="A135" s="0" t="inlineStr">
        <is>
          <t xml:space="preserve">p02_earnings_drift_HSY</t>
        </is>
      </c>
      <c r="B135" s="0" t="inlineStr">
        <is>
          <t xml:space="preserve">p02_earnings_drift</t>
        </is>
      </c>
      <c r="C135" s="0" t="inlineStr">
        <is>
          <t xml:space="preserve">d20260923</t>
        </is>
      </c>
      <c r="D135" s="0" t="inlineStr">
        <is>
          <t xml:space="preserve">HSY</t>
        </is>
      </c>
      <c r="E135" s="0" t="inlineStr">
        <is>
          <t xml:space="preserve">consumer_defensive</t>
        </is>
      </c>
      <c r="F135" s="4">
        <v>34</v>
      </c>
    </row>
    <row r="136">
      <c r="A136" s="0" t="inlineStr">
        <is>
          <t xml:space="preserve">p02_earnings_drift_KVUE</t>
        </is>
      </c>
      <c r="B136" s="0" t="inlineStr">
        <is>
          <t xml:space="preserve">p02_earnings_drift</t>
        </is>
      </c>
      <c r="C136" s="0" t="inlineStr">
        <is>
          <t xml:space="preserve">d20260923</t>
        </is>
      </c>
      <c r="D136" s="0" t="inlineStr">
        <is>
          <t xml:space="preserve">KVUE</t>
        </is>
      </c>
      <c r="E136" s="0" t="inlineStr">
        <is>
          <t xml:space="preserve">consumer_defensive</t>
        </is>
      </c>
      <c r="F136" s="4">
        <v>35</v>
      </c>
    </row>
    <row r="137">
      <c r="A137" s="0" t="inlineStr">
        <is>
          <t xml:space="preserve">p02_earnings_drift_KMB</t>
        </is>
      </c>
      <c r="B137" s="0" t="inlineStr">
        <is>
          <t xml:space="preserve">p02_earnings_drift</t>
        </is>
      </c>
      <c r="C137" s="0" t="inlineStr">
        <is>
          <t xml:space="preserve">d20260923</t>
        </is>
      </c>
      <c r="D137" s="0" t="inlineStr">
        <is>
          <t xml:space="preserve">KMB</t>
        </is>
      </c>
      <c r="E137" s="0" t="inlineStr">
        <is>
          <t xml:space="preserve">consumer_defensive</t>
        </is>
      </c>
      <c r="F137" s="4">
        <v>36</v>
      </c>
    </row>
    <row r="138">
      <c r="A138" s="0" t="inlineStr">
        <is>
          <t xml:space="preserve">p02_earnings_drift_KHC</t>
        </is>
      </c>
      <c r="B138" s="0" t="inlineStr">
        <is>
          <t xml:space="preserve">p02_earnings_drift</t>
        </is>
      </c>
      <c r="C138" s="0" t="inlineStr">
        <is>
          <t xml:space="preserve">d20260923</t>
        </is>
      </c>
      <c r="D138" s="0" t="inlineStr">
        <is>
          <t xml:space="preserve">KHC</t>
        </is>
      </c>
      <c r="E138" s="0" t="inlineStr">
        <is>
          <t xml:space="preserve">consumer_defensive</t>
        </is>
      </c>
      <c r="F138" s="4">
        <v>37</v>
      </c>
    </row>
    <row r="139">
      <c r="A139" s="0" t="inlineStr">
        <is>
          <t xml:space="preserve">p02_earnings_drift_DG</t>
        </is>
      </c>
      <c r="B139" s="0" t="inlineStr">
        <is>
          <t xml:space="preserve">p02_earnings_drift</t>
        </is>
      </c>
      <c r="C139" s="0" t="inlineStr">
        <is>
          <t xml:space="preserve">d20260923</t>
        </is>
      </c>
      <c r="D139" s="0" t="inlineStr">
        <is>
          <t xml:space="preserve">DG</t>
        </is>
      </c>
      <c r="E139" s="0" t="inlineStr">
        <is>
          <t xml:space="preserve">consumer_defensive</t>
        </is>
      </c>
      <c r="F139" s="4">
        <v>38</v>
      </c>
    </row>
    <row r="140">
      <c r="A140" s="0" t="inlineStr">
        <is>
          <t xml:space="preserve">p02_earnings_drift_CHD</t>
        </is>
      </c>
      <c r="B140" s="0" t="inlineStr">
        <is>
          <t xml:space="preserve">p02_earnings_drift</t>
        </is>
      </c>
      <c r="C140" s="0" t="inlineStr">
        <is>
          <t xml:space="preserve">d20260923</t>
        </is>
      </c>
      <c r="D140" s="0" t="inlineStr">
        <is>
          <t xml:space="preserve">CHD</t>
        </is>
      </c>
      <c r="E140" s="0" t="inlineStr">
        <is>
          <t xml:space="preserve">consumer_defensive</t>
        </is>
      </c>
      <c r="F140" s="4">
        <v>39</v>
      </c>
    </row>
    <row r="141">
      <c r="A141" s="0" t="inlineStr">
        <is>
          <t xml:space="preserve">p02_earnings_drift_BG</t>
        </is>
      </c>
      <c r="B141" s="0" t="inlineStr">
        <is>
          <t xml:space="preserve">p02_earnings_drift</t>
        </is>
      </c>
      <c r="C141" s="0" t="inlineStr">
        <is>
          <t xml:space="preserve">d20260923</t>
        </is>
      </c>
      <c r="D141" s="0" t="inlineStr">
        <is>
          <t xml:space="preserve">BG</t>
        </is>
      </c>
      <c r="E141" s="0" t="inlineStr">
        <is>
          <t xml:space="preserve">consumer_defensive</t>
        </is>
      </c>
      <c r="F141" s="4">
        <v>40</v>
      </c>
    </row>
    <row r="142">
      <c r="A142" s="0" t="inlineStr">
        <is>
          <t xml:space="preserve">p02_earnings_drift_DLTR</t>
        </is>
      </c>
      <c r="B142" s="0" t="inlineStr">
        <is>
          <t xml:space="preserve">p02_earnings_drift</t>
        </is>
      </c>
      <c r="C142" s="0" t="inlineStr">
        <is>
          <t xml:space="preserve">d20260923</t>
        </is>
      </c>
      <c r="D142" s="0" t="inlineStr">
        <is>
          <t xml:space="preserve">DLTR</t>
        </is>
      </c>
      <c r="E142" s="0" t="inlineStr">
        <is>
          <t xml:space="preserve">consumer_defensive</t>
        </is>
      </c>
      <c r="F142" s="4">
        <v>41</v>
      </c>
    </row>
    <row r="143">
      <c r="A143" s="0" t="inlineStr">
        <is>
          <t xml:space="preserve">p02_earnings_drift_USFD</t>
        </is>
      </c>
      <c r="B143" s="0" t="inlineStr">
        <is>
          <t xml:space="preserve">p02_earnings_drift</t>
        </is>
      </c>
      <c r="C143" s="0" t="inlineStr">
        <is>
          <t xml:space="preserve">d20260923</t>
        </is>
      </c>
      <c r="D143" s="0" t="inlineStr">
        <is>
          <t xml:space="preserve">USFD</t>
        </is>
      </c>
      <c r="E143" s="0" t="inlineStr">
        <is>
          <t xml:space="preserve">consumer_defensive</t>
        </is>
      </c>
      <c r="F143" s="4">
        <v>42</v>
      </c>
    </row>
    <row r="144">
      <c r="A144" s="0" t="inlineStr">
        <is>
          <t xml:space="preserve">p02_earnings_drift_STZ</t>
        </is>
      </c>
      <c r="B144" s="0" t="inlineStr">
        <is>
          <t xml:space="preserve">p02_earnings_drift</t>
        </is>
      </c>
      <c r="C144" s="0" t="inlineStr">
        <is>
          <t xml:space="preserve">d20260923</t>
        </is>
      </c>
      <c r="D144" s="0" t="inlineStr">
        <is>
          <t xml:space="preserve">STZ</t>
        </is>
      </c>
      <c r="E144" s="0" t="inlineStr">
        <is>
          <t xml:space="preserve">consumer_defensive</t>
        </is>
      </c>
      <c r="F144" s="4">
        <v>43</v>
      </c>
    </row>
    <row r="145">
      <c r="A145" s="0" t="inlineStr">
        <is>
          <t xml:space="preserve">p02_earnings_drift_GIS</t>
        </is>
      </c>
      <c r="B145" s="0" t="inlineStr">
        <is>
          <t xml:space="preserve">p02_earnings_drift</t>
        </is>
      </c>
      <c r="C145" s="0" t="inlineStr">
        <is>
          <t xml:space="preserve">d20260923</t>
        </is>
      </c>
      <c r="D145" s="0" t="inlineStr">
        <is>
          <t xml:space="preserve">GIS</t>
        </is>
      </c>
      <c r="E145" s="0" t="inlineStr">
        <is>
          <t xml:space="preserve">consumer_defensive</t>
        </is>
      </c>
      <c r="F145" s="4">
        <v>44</v>
      </c>
    </row>
    <row r="146">
      <c r="A146" s="0" t="inlineStr">
        <is>
          <t xml:space="preserve">p02_earnings_drift_TSN</t>
        </is>
      </c>
      <c r="B146" s="0" t="inlineStr">
        <is>
          <t xml:space="preserve">p02_earnings_drift</t>
        </is>
      </c>
      <c r="C146" s="0" t="inlineStr">
        <is>
          <t xml:space="preserve">d20260923</t>
        </is>
      </c>
      <c r="D146" s="0" t="inlineStr">
        <is>
          <t xml:space="preserve">TSN</t>
        </is>
      </c>
      <c r="E146" s="0" t="inlineStr">
        <is>
          <t xml:space="preserve">consumer_defensive</t>
        </is>
      </c>
      <c r="F146" s="4">
        <v>45</v>
      </c>
    </row>
    <row r="147">
      <c r="A147" s="0" t="inlineStr">
        <is>
          <t xml:space="preserve">p02_earnings_drift_COKE</t>
        </is>
      </c>
      <c r="B147" s="0" t="inlineStr">
        <is>
          <t xml:space="preserve">p02_earnings_drift</t>
        </is>
      </c>
      <c r="C147" s="0" t="inlineStr">
        <is>
          <t xml:space="preserve">d20260923</t>
        </is>
      </c>
      <c r="D147" s="0" t="inlineStr">
        <is>
          <t xml:space="preserve">COKE</t>
        </is>
      </c>
      <c r="E147" s="0" t="inlineStr">
        <is>
          <t xml:space="preserve">consumer_defensive</t>
        </is>
      </c>
      <c r="F147" s="4">
        <v>46</v>
      </c>
    </row>
    <row r="148">
      <c r="A148" s="0" t="inlineStr">
        <is>
          <t xml:space="preserve">p02_earnings_drift_PFGC</t>
        </is>
      </c>
      <c r="B148" s="0" t="inlineStr">
        <is>
          <t xml:space="preserve">p02_earnings_drift</t>
        </is>
      </c>
      <c r="C148" s="0" t="inlineStr">
        <is>
          <t xml:space="preserve">d20260923</t>
        </is>
      </c>
      <c r="D148" s="0" t="inlineStr">
        <is>
          <t xml:space="preserve">PFGC</t>
        </is>
      </c>
      <c r="E148" s="0" t="inlineStr">
        <is>
          <t xml:space="preserve">consumer_defensive</t>
        </is>
      </c>
      <c r="F148" s="4">
        <v>47</v>
      </c>
    </row>
    <row r="149">
      <c r="A149" s="0" t="inlineStr">
        <is>
          <t xml:space="preserve">p02_earnings_drift_MKC</t>
        </is>
      </c>
      <c r="B149" s="0" t="inlineStr">
        <is>
          <t xml:space="preserve">p02_earnings_drift</t>
        </is>
      </c>
      <c r="C149" s="0" t="inlineStr">
        <is>
          <t xml:space="preserve">d20260923</t>
        </is>
      </c>
      <c r="D149" s="0" t="inlineStr">
        <is>
          <t xml:space="preserve">MKC</t>
        </is>
      </c>
      <c r="E149" s="0" t="inlineStr">
        <is>
          <t xml:space="preserve">consumer_defensive</t>
        </is>
      </c>
      <c r="F149" s="4">
        <v>48</v>
      </c>
    </row>
    <row r="150">
      <c r="A150" s="0" t="inlineStr">
        <is>
          <t xml:space="preserve">p02_earnings_drift_SJM</t>
        </is>
      </c>
      <c r="B150" s="0" t="inlineStr">
        <is>
          <t xml:space="preserve">p02_earnings_drift</t>
        </is>
      </c>
      <c r="C150" s="0" t="inlineStr">
        <is>
          <t xml:space="preserve">d20260923</t>
        </is>
      </c>
      <c r="D150" s="0" t="inlineStr">
        <is>
          <t xml:space="preserve">SJM</t>
        </is>
      </c>
      <c r="E150" s="0" t="inlineStr">
        <is>
          <t xml:space="preserve">consumer_defensive</t>
        </is>
      </c>
      <c r="F150" s="4">
        <v>49</v>
      </c>
    </row>
    <row r="151">
      <c r="A151" s="0" t="inlineStr">
        <is>
          <t xml:space="preserve">p02_earnings_drift_BJ</t>
        </is>
      </c>
      <c r="B151" s="0" t="inlineStr">
        <is>
          <t xml:space="preserve">p02_earnings_drift</t>
        </is>
      </c>
      <c r="C151" s="0" t="inlineStr">
        <is>
          <t xml:space="preserve">d20260923</t>
        </is>
      </c>
      <c r="D151" s="0" t="inlineStr">
        <is>
          <t xml:space="preserve">BJ</t>
        </is>
      </c>
      <c r="E151" s="0" t="inlineStr">
        <is>
          <t xml:space="preserve">consumer_defensive</t>
        </is>
      </c>
      <c r="F151" s="4">
        <v>50</v>
      </c>
    </row>
    <row r="152">
      <c r="A152" s="0" t="inlineStr">
        <is>
          <t xml:space="preserve">p02_earnings_drift_HRL</t>
        </is>
      </c>
      <c r="B152" s="0" t="inlineStr">
        <is>
          <t xml:space="preserve">p02_earnings_drift</t>
        </is>
      </c>
      <c r="C152" s="0" t="inlineStr">
        <is>
          <t xml:space="preserve">d20260923</t>
        </is>
      </c>
      <c r="D152" s="0" t="inlineStr">
        <is>
          <t xml:space="preserve">HRL</t>
        </is>
      </c>
      <c r="E152" s="0" t="inlineStr">
        <is>
          <t xml:space="preserve">consumer_defensive</t>
        </is>
      </c>
      <c r="F152" s="4">
        <v>51</v>
      </c>
    </row>
    <row r="153">
      <c r="A153" s="0" t="inlineStr">
        <is>
          <t xml:space="preserve">p02_earnings_drift_CLX</t>
        </is>
      </c>
      <c r="B153" s="0" t="inlineStr">
        <is>
          <t xml:space="preserve">p02_earnings_drift</t>
        </is>
      </c>
      <c r="C153" s="0" t="inlineStr">
        <is>
          <t xml:space="preserve">d20260923</t>
        </is>
      </c>
      <c r="D153" s="0" t="inlineStr">
        <is>
          <t xml:space="preserve">CLX</t>
        </is>
      </c>
      <c r="E153" s="0" t="inlineStr">
        <is>
          <t xml:space="preserve">consumer_defensive</t>
        </is>
      </c>
      <c r="F153" s="4">
        <v>52</v>
      </c>
    </row>
    <row r="154">
      <c r="A154" s="0" t="inlineStr">
        <is>
          <t xml:space="preserve">p02_earnings_drift_DAR</t>
        </is>
      </c>
      <c r="B154" s="0" t="inlineStr">
        <is>
          <t xml:space="preserve">p02_earnings_drift</t>
        </is>
      </c>
      <c r="C154" s="0" t="inlineStr">
        <is>
          <t xml:space="preserve">d20260923</t>
        </is>
      </c>
      <c r="D154" s="0" t="inlineStr">
        <is>
          <t xml:space="preserve">DAR</t>
        </is>
      </c>
      <c r="E154" s="0" t="inlineStr">
        <is>
          <t xml:space="preserve">consumer_defensive</t>
        </is>
      </c>
      <c r="F154" s="4">
        <v>53</v>
      </c>
    </row>
    <row r="155">
      <c r="A155" s="0" t="inlineStr">
        <is>
          <t xml:space="preserve">p02_earnings_drift_SFD</t>
        </is>
      </c>
      <c r="B155" s="0" t="inlineStr">
        <is>
          <t xml:space="preserve">p02_earnings_drift</t>
        </is>
      </c>
      <c r="C155" s="0" t="inlineStr">
        <is>
          <t xml:space="preserve">d20260923</t>
        </is>
      </c>
      <c r="D155" s="0" t="inlineStr">
        <is>
          <t xml:space="preserve">SFD</t>
        </is>
      </c>
      <c r="E155" s="0" t="inlineStr">
        <is>
          <t xml:space="preserve">consumer_defensive</t>
        </is>
      </c>
      <c r="F155" s="4">
        <v>54</v>
      </c>
    </row>
    <row r="156">
      <c r="A156" s="0" t="inlineStr">
        <is>
          <t xml:space="preserve">p02_earnings_drift_PRMB</t>
        </is>
      </c>
      <c r="B156" s="0" t="inlineStr">
        <is>
          <t xml:space="preserve">p02_earnings_drift</t>
        </is>
      </c>
      <c r="C156" s="0" t="inlineStr">
        <is>
          <t xml:space="preserve">d20260923</t>
        </is>
      </c>
      <c r="D156" s="0" t="inlineStr">
        <is>
          <t xml:space="preserve">PRMB</t>
        </is>
      </c>
      <c r="E156" s="0" t="inlineStr">
        <is>
          <t xml:space="preserve">consumer_defensive</t>
        </is>
      </c>
      <c r="F156" s="4">
        <v>55</v>
      </c>
    </row>
    <row r="157">
      <c r="A157" s="0" t="inlineStr">
        <is>
          <t xml:space="preserve">p02_earnings_drift_CELH</t>
        </is>
      </c>
      <c r="B157" s="0" t="inlineStr">
        <is>
          <t xml:space="preserve">p02_earnings_drift</t>
        </is>
      </c>
      <c r="C157" s="0" t="inlineStr">
        <is>
          <t xml:space="preserve">d20260923</t>
        </is>
      </c>
      <c r="D157" s="0" t="inlineStr">
        <is>
          <t xml:space="preserve">CELH</t>
        </is>
      </c>
      <c r="E157" s="0" t="inlineStr">
        <is>
          <t xml:space="preserve">consumer_defensive</t>
        </is>
      </c>
      <c r="F157" s="4">
        <v>56</v>
      </c>
    </row>
    <row r="158">
      <c r="A158" s="0" t="inlineStr">
        <is>
          <t xml:space="preserve">p02_earnings_drift_CAG</t>
        </is>
      </c>
      <c r="B158" s="0" t="inlineStr">
        <is>
          <t xml:space="preserve">p02_earnings_drift</t>
        </is>
      </c>
      <c r="C158" s="0" t="inlineStr">
        <is>
          <t xml:space="preserve">d20260923</t>
        </is>
      </c>
      <c r="D158" s="0" t="inlineStr">
        <is>
          <t xml:space="preserve">CAG</t>
        </is>
      </c>
      <c r="E158" s="0" t="inlineStr">
        <is>
          <t xml:space="preserve">consumer_defensive</t>
        </is>
      </c>
      <c r="F158" s="4">
        <v>57</v>
      </c>
    </row>
    <row r="159">
      <c r="A159" s="0" t="inlineStr">
        <is>
          <t xml:space="preserve">p02_earnings_drift_TAP</t>
        </is>
      </c>
      <c r="B159" s="0" t="inlineStr">
        <is>
          <t xml:space="preserve">p02_earnings_drift</t>
        </is>
      </c>
      <c r="C159" s="0" t="inlineStr">
        <is>
          <t xml:space="preserve">d20260923</t>
        </is>
      </c>
      <c r="D159" s="0" t="inlineStr">
        <is>
          <t xml:space="preserve">TAP</t>
        </is>
      </c>
      <c r="E159" s="0" t="inlineStr">
        <is>
          <t xml:space="preserve">consumer_defensive</t>
        </is>
      </c>
      <c r="F159" s="4">
        <v>58</v>
      </c>
    </row>
    <row r="160">
      <c r="A160" s="0" t="inlineStr">
        <is>
          <t xml:space="preserve">p02_earnings_drift_PPC</t>
        </is>
      </c>
      <c r="B160" s="0" t="inlineStr">
        <is>
          <t xml:space="preserve">p02_earnings_drift</t>
        </is>
      </c>
      <c r="C160" s="0" t="inlineStr">
        <is>
          <t xml:space="preserve">d20260923</t>
        </is>
      </c>
      <c r="D160" s="0" t="inlineStr">
        <is>
          <t xml:space="preserve">PPC</t>
        </is>
      </c>
      <c r="E160" s="0" t="inlineStr">
        <is>
          <t xml:space="preserve">consumer_defensive</t>
        </is>
      </c>
      <c r="F160" s="4">
        <v>59</v>
      </c>
    </row>
    <row r="161">
      <c r="A161" s="0" t="inlineStr">
        <is>
          <t xml:space="preserve">p02_earnings_drift_LW</t>
        </is>
      </c>
      <c r="B161" s="0" t="inlineStr">
        <is>
          <t xml:space="preserve">p02_earnings_drift</t>
        </is>
      </c>
      <c r="C161" s="0" t="inlineStr">
        <is>
          <t xml:space="preserve">d20260923</t>
        </is>
      </c>
      <c r="D161" s="0" t="inlineStr">
        <is>
          <t xml:space="preserve">LW</t>
        </is>
      </c>
      <c r="E161" s="0" t="inlineStr">
        <is>
          <t xml:space="preserve">consumer_defensive</t>
        </is>
      </c>
      <c r="F161" s="4">
        <v>60</v>
      </c>
    </row>
    <row r="162">
      <c r="A162" s="0" t="inlineStr">
        <is>
          <t xml:space="preserve">p02_earnings_drift_SFM</t>
        </is>
      </c>
      <c r="B162" s="0" t="inlineStr">
        <is>
          <t xml:space="preserve">p02_earnings_drift</t>
        </is>
      </c>
      <c r="C162" s="0" t="inlineStr">
        <is>
          <t xml:space="preserve">d20260923</t>
        </is>
      </c>
      <c r="D162" s="0" t="inlineStr">
        <is>
          <t xml:space="preserve">SFM</t>
        </is>
      </c>
      <c r="E162" s="0" t="inlineStr">
        <is>
          <t xml:space="preserve">consumer_defensive</t>
        </is>
      </c>
      <c r="F162" s="4">
        <v>61</v>
      </c>
    </row>
    <row r="163">
      <c r="A163" s="0" t="inlineStr">
        <is>
          <t xml:space="preserve">p02_earnings_drift_INGR</t>
        </is>
      </c>
      <c r="B163" s="0" t="inlineStr">
        <is>
          <t xml:space="preserve">p02_earnings_drift</t>
        </is>
      </c>
      <c r="C163" s="0" t="inlineStr">
        <is>
          <t xml:space="preserve">d20260923</t>
        </is>
      </c>
      <c r="D163" s="0" t="inlineStr">
        <is>
          <t xml:space="preserve">INGR</t>
        </is>
      </c>
      <c r="E163" s="0" t="inlineStr">
        <is>
          <t xml:space="preserve">consumer_defensive</t>
        </is>
      </c>
      <c r="F163" s="4">
        <v>62</v>
      </c>
    </row>
    <row r="164">
      <c r="A164" s="0" t="inlineStr">
        <is>
          <t xml:space="preserve">p02_earnings_drift_ACI</t>
        </is>
      </c>
      <c r="B164" s="0" t="inlineStr">
        <is>
          <t xml:space="preserve">p02_earnings_drift</t>
        </is>
      </c>
      <c r="C164" s="0" t="inlineStr">
        <is>
          <t xml:space="preserve">d20260923</t>
        </is>
      </c>
      <c r="D164" s="0" t="inlineStr">
        <is>
          <t xml:space="preserve">ACI</t>
        </is>
      </c>
      <c r="E164" s="0" t="inlineStr">
        <is>
          <t xml:space="preserve">consumer_defensive</t>
        </is>
      </c>
      <c r="F164" s="4">
        <v>63</v>
      </c>
    </row>
    <row r="165">
      <c r="A165" s="0" t="inlineStr">
        <is>
          <t xml:space="preserve">p02_earnings_drift_ELF</t>
        </is>
      </c>
      <c r="B165" s="0" t="inlineStr">
        <is>
          <t xml:space="preserve">p02_earnings_drift</t>
        </is>
      </c>
      <c r="C165" s="0" t="inlineStr">
        <is>
          <t xml:space="preserve">d20260923</t>
        </is>
      </c>
      <c r="D165" s="0" t="inlineStr">
        <is>
          <t xml:space="preserve">ELF</t>
        </is>
      </c>
      <c r="E165" s="0" t="inlineStr">
        <is>
          <t xml:space="preserve">consumer_defensive</t>
        </is>
      </c>
      <c r="F165" s="4">
        <v>64</v>
      </c>
    </row>
    <row r="166">
      <c r="A166" s="0" t="inlineStr">
        <is>
          <t xml:space="preserve">p02_earnings_drift_LAUR</t>
        </is>
      </c>
      <c r="B166" s="0" t="inlineStr">
        <is>
          <t xml:space="preserve">p02_earnings_drift</t>
        </is>
      </c>
      <c r="C166" s="0" t="inlineStr">
        <is>
          <t xml:space="preserve">d20260923</t>
        </is>
      </c>
      <c r="D166" s="0" t="inlineStr">
        <is>
          <t xml:space="preserve">LAUR</t>
        </is>
      </c>
      <c r="E166" s="0" t="inlineStr">
        <is>
          <t xml:space="preserve">consumer_defensive</t>
        </is>
      </c>
      <c r="F166" s="4">
        <v>65</v>
      </c>
    </row>
    <row r="167">
      <c r="A167" s="0" t="inlineStr">
        <is>
          <t xml:space="preserve">p02_earnings_drift_REYN</t>
        </is>
      </c>
      <c r="B167" s="0" t="inlineStr">
        <is>
          <t xml:space="preserve">p02_earnings_drift</t>
        </is>
      </c>
      <c r="C167" s="0" t="inlineStr">
        <is>
          <t xml:space="preserve">d20260923</t>
        </is>
      </c>
      <c r="D167" s="0" t="inlineStr">
        <is>
          <t xml:space="preserve">REYN</t>
        </is>
      </c>
      <c r="E167" s="0" t="inlineStr">
        <is>
          <t xml:space="preserve">consumer_defensive</t>
        </is>
      </c>
      <c r="F167" s="4">
        <v>66</v>
      </c>
    </row>
    <row r="168">
      <c r="A168" s="0" t="inlineStr">
        <is>
          <t xml:space="preserve">p02_earnings_drift_CHEF</t>
        </is>
      </c>
      <c r="B168" s="0" t="inlineStr">
        <is>
          <t xml:space="preserve">p02_earnings_drift</t>
        </is>
      </c>
      <c r="C168" s="0" t="inlineStr">
        <is>
          <t xml:space="preserve">d20260923</t>
        </is>
      </c>
      <c r="D168" s="0" t="inlineStr">
        <is>
          <t xml:space="preserve">CHEF</t>
        </is>
      </c>
      <c r="E168" s="0" t="inlineStr">
        <is>
          <t xml:space="preserve">consumer_defensive</t>
        </is>
      </c>
      <c r="F168" s="4">
        <v>67</v>
      </c>
    </row>
    <row r="169">
      <c r="A169" s="0" t="inlineStr">
        <is>
          <t xml:space="preserve">p02_earnings_drift_CVSA</t>
        </is>
      </c>
      <c r="B169" s="0" t="inlineStr">
        <is>
          <t xml:space="preserve">p02_earnings_drift</t>
        </is>
      </c>
      <c r="C169" s="0" t="inlineStr">
        <is>
          <t xml:space="preserve">d20260923</t>
        </is>
      </c>
      <c r="D169" s="0" t="inlineStr">
        <is>
          <t xml:space="preserve">CVSA</t>
        </is>
      </c>
      <c r="E169" s="0" t="inlineStr">
        <is>
          <t xml:space="preserve">consumer_defensive</t>
        </is>
      </c>
      <c r="F169" s="4">
        <v>68</v>
      </c>
    </row>
    <row r="170">
      <c r="A170" s="0" t="inlineStr">
        <is>
          <t xml:space="preserve">p02_earnings_drift_LOPE</t>
        </is>
      </c>
      <c r="B170" s="0" t="inlineStr">
        <is>
          <t xml:space="preserve">p02_earnings_drift</t>
        </is>
      </c>
      <c r="C170" s="0" t="inlineStr">
        <is>
          <t xml:space="preserve">d20260923</t>
        </is>
      </c>
      <c r="D170" s="0" t="inlineStr">
        <is>
          <t xml:space="preserve">LOPE</t>
        </is>
      </c>
      <c r="E170" s="0" t="inlineStr">
        <is>
          <t xml:space="preserve">consumer_defensive</t>
        </is>
      </c>
      <c r="F170" s="4">
        <v>69</v>
      </c>
    </row>
    <row r="171">
      <c r="A171" s="0" t="inlineStr">
        <is>
          <t xml:space="preserve">p02_earnings_drift_POST</t>
        </is>
      </c>
      <c r="B171" s="0" t="inlineStr">
        <is>
          <t xml:space="preserve">p02_earnings_drift</t>
        </is>
      </c>
      <c r="C171" s="0" t="inlineStr">
        <is>
          <t xml:space="preserve">d20260923</t>
        </is>
      </c>
      <c r="D171" s="0" t="inlineStr">
        <is>
          <t xml:space="preserve">POST</t>
        </is>
      </c>
      <c r="E171" s="0" t="inlineStr">
        <is>
          <t xml:space="preserve">consumer_defensive</t>
        </is>
      </c>
      <c r="F171" s="4">
        <v>70</v>
      </c>
    </row>
    <row r="172">
      <c r="A172" s="0" t="inlineStr">
        <is>
          <t xml:space="preserve">p02_earnings_drift_CALM</t>
        </is>
      </c>
      <c r="B172" s="0" t="inlineStr">
        <is>
          <t xml:space="preserve">p02_earnings_drift</t>
        </is>
      </c>
      <c r="C172" s="0" t="inlineStr">
        <is>
          <t xml:space="preserve">d20260923</t>
        </is>
      </c>
      <c r="D172" s="0" t="inlineStr">
        <is>
          <t xml:space="preserve">CALM</t>
        </is>
      </c>
      <c r="E172" s="0" t="inlineStr">
        <is>
          <t xml:space="preserve">consumer_defensive</t>
        </is>
      </c>
      <c r="F172" s="4">
        <v>71</v>
      </c>
    </row>
    <row r="173">
      <c r="A173" s="0" t="inlineStr">
        <is>
          <t xml:space="preserve">p02_earnings_drift_LRN</t>
        </is>
      </c>
      <c r="B173" s="0" t="inlineStr">
        <is>
          <t xml:space="preserve">p02_earnings_drift</t>
        </is>
      </c>
      <c r="C173" s="0" t="inlineStr">
        <is>
          <t xml:space="preserve">d20260923</t>
        </is>
      </c>
      <c r="D173" s="0" t="inlineStr">
        <is>
          <t xml:space="preserve">LRN</t>
        </is>
      </c>
      <c r="E173" s="0" t="inlineStr">
        <is>
          <t xml:space="preserve">consumer_defensive</t>
        </is>
      </c>
      <c r="F173" s="4">
        <v>72</v>
      </c>
    </row>
    <row r="174">
      <c r="A174" s="0" t="inlineStr">
        <is>
          <t xml:space="preserve">p02_earnings_drift_COCO</t>
        </is>
      </c>
      <c r="B174" s="0" t="inlineStr">
        <is>
          <t xml:space="preserve">p02_earnings_drift</t>
        </is>
      </c>
      <c r="C174" s="0" t="inlineStr">
        <is>
          <t xml:space="preserve">d20260923</t>
        </is>
      </c>
      <c r="D174" s="0" t="inlineStr">
        <is>
          <t xml:space="preserve">COCO</t>
        </is>
      </c>
      <c r="E174" s="0" t="inlineStr">
        <is>
          <t xml:space="preserve">consumer_defensive</t>
        </is>
      </c>
      <c r="F174" s="4">
        <v>73</v>
      </c>
    </row>
    <row r="175">
      <c r="A175" s="0" t="inlineStr">
        <is>
          <t xml:space="preserve">p02_earnings_drift_FRPT</t>
        </is>
      </c>
      <c r="B175" s="0" t="inlineStr">
        <is>
          <t xml:space="preserve">p02_earnings_drift</t>
        </is>
      </c>
      <c r="C175" s="0" t="inlineStr">
        <is>
          <t xml:space="preserve">d20260923</t>
        </is>
      </c>
      <c r="D175" s="0" t="inlineStr">
        <is>
          <t xml:space="preserve">FRPT</t>
        </is>
      </c>
      <c r="E175" s="0" t="inlineStr">
        <is>
          <t xml:space="preserve">consumer_defensive</t>
        </is>
      </c>
      <c r="F175" s="4">
        <v>74</v>
      </c>
    </row>
    <row r="176">
      <c r="A176" s="0" t="inlineStr">
        <is>
          <t xml:space="preserve">p02_earnings_drift_MZTI</t>
        </is>
      </c>
      <c r="B176" s="0" t="inlineStr">
        <is>
          <t xml:space="preserve">p02_earnings_drift</t>
        </is>
      </c>
      <c r="C176" s="0" t="inlineStr">
        <is>
          <t xml:space="preserve">d20260923</t>
        </is>
      </c>
      <c r="D176" s="0" t="inlineStr">
        <is>
          <t xml:space="preserve">MZTI</t>
        </is>
      </c>
      <c r="E176" s="0" t="inlineStr">
        <is>
          <t xml:space="preserve">consumer_defensive</t>
        </is>
      </c>
      <c r="F176" s="4">
        <v>75</v>
      </c>
    </row>
    <row r="177">
      <c r="A177" s="0" t="inlineStr">
        <is>
          <t xml:space="preserve">p02_earnings_drift_MH</t>
        </is>
      </c>
      <c r="B177" s="0" t="inlineStr">
        <is>
          <t xml:space="preserve">p02_earnings_drift</t>
        </is>
      </c>
      <c r="C177" s="0" t="inlineStr">
        <is>
          <t xml:space="preserve">d20260923</t>
        </is>
      </c>
      <c r="D177" s="0" t="inlineStr">
        <is>
          <t xml:space="preserve">MH</t>
        </is>
      </c>
      <c r="E177" s="0" t="inlineStr">
        <is>
          <t xml:space="preserve">consumer_defensive</t>
        </is>
      </c>
      <c r="F177" s="4">
        <v>76</v>
      </c>
    </row>
    <row r="178">
      <c r="A178" s="0" t="inlineStr">
        <is>
          <t xml:space="preserve">p02_earnings_drift_NWL</t>
        </is>
      </c>
      <c r="B178" s="0" t="inlineStr">
        <is>
          <t xml:space="preserve">p02_earnings_drift</t>
        </is>
      </c>
      <c r="C178" s="0" t="inlineStr">
        <is>
          <t xml:space="preserve">d20260923</t>
        </is>
      </c>
      <c r="D178" s="0" t="inlineStr">
        <is>
          <t xml:space="preserve">NWL</t>
        </is>
      </c>
      <c r="E178" s="0" t="inlineStr">
        <is>
          <t xml:space="preserve">consumer_defensive</t>
        </is>
      </c>
      <c r="F178" s="4">
        <v>77</v>
      </c>
    </row>
    <row r="179">
      <c r="A179" s="0" t="inlineStr">
        <is>
          <t xml:space="preserve">p02_earnings_drift_ANDE</t>
        </is>
      </c>
      <c r="B179" s="0" t="inlineStr">
        <is>
          <t xml:space="preserve">p02_earnings_drift</t>
        </is>
      </c>
      <c r="C179" s="0" t="inlineStr">
        <is>
          <t xml:space="preserve">d20260923</t>
        </is>
      </c>
      <c r="D179" s="0" t="inlineStr">
        <is>
          <t xml:space="preserve">ANDE</t>
        </is>
      </c>
      <c r="E179" s="0" t="inlineStr">
        <is>
          <t xml:space="preserve">consumer_defensive</t>
        </is>
      </c>
      <c r="F179" s="4">
        <v>78</v>
      </c>
    </row>
    <row r="180">
      <c r="A180" s="0" t="inlineStr">
        <is>
          <t xml:space="preserve">p02_earnings_drift_PRDO</t>
        </is>
      </c>
      <c r="B180" s="0" t="inlineStr">
        <is>
          <t xml:space="preserve">p02_earnings_drift</t>
        </is>
      </c>
      <c r="C180" s="0" t="inlineStr">
        <is>
          <t xml:space="preserve">d20260923</t>
        </is>
      </c>
      <c r="D180" s="0" t="inlineStr">
        <is>
          <t xml:space="preserve">PRDO</t>
        </is>
      </c>
      <c r="E180" s="0" t="inlineStr">
        <is>
          <t xml:space="preserve">consumer_defensive</t>
        </is>
      </c>
      <c r="F180" s="4">
        <v>79</v>
      </c>
    </row>
    <row r="181">
      <c r="A181" s="0" t="inlineStr">
        <is>
          <t xml:space="preserve">p02_earnings_drift_NVDA</t>
        </is>
      </c>
      <c r="B181" s="0" t="inlineStr">
        <is>
          <t xml:space="preserve">p02_earnings_drift</t>
        </is>
      </c>
      <c r="C181" s="0" t="inlineStr">
        <is>
          <t xml:space="preserve">d20260923</t>
        </is>
      </c>
      <c r="D181" s="0" t="inlineStr">
        <is>
          <t xml:space="preserve">NVDA</t>
        </is>
      </c>
      <c r="E181" s="0" t="inlineStr">
        <is>
          <t xml:space="preserve">technology</t>
        </is>
      </c>
      <c r="F181" s="4">
        <v>80</v>
      </c>
    </row>
    <row r="182">
      <c r="A182" s="0" t="inlineStr">
        <is>
          <t xml:space="preserve">p02_earnings_drift_AAPL</t>
        </is>
      </c>
      <c r="B182" s="0" t="inlineStr">
        <is>
          <t xml:space="preserve">p02_earnings_drift</t>
        </is>
      </c>
      <c r="C182" s="0" t="inlineStr">
        <is>
          <t xml:space="preserve">d20260923</t>
        </is>
      </c>
      <c r="D182" s="0" t="inlineStr">
        <is>
          <t xml:space="preserve">AAPL</t>
        </is>
      </c>
      <c r="E182" s="0" t="inlineStr">
        <is>
          <t xml:space="preserve">technology</t>
        </is>
      </c>
      <c r="F182" s="4">
        <v>81</v>
      </c>
    </row>
    <row r="183">
      <c r="A183" s="0" t="inlineStr">
        <is>
          <t xml:space="preserve">p02_earnings_drift_MSFT</t>
        </is>
      </c>
      <c r="B183" s="0" t="inlineStr">
        <is>
          <t xml:space="preserve">p02_earnings_drift</t>
        </is>
      </c>
      <c r="C183" s="0" t="inlineStr">
        <is>
          <t xml:space="preserve">d20260923</t>
        </is>
      </c>
      <c r="D183" s="0" t="inlineStr">
        <is>
          <t xml:space="preserve">MSFT</t>
        </is>
      </c>
      <c r="E183" s="0" t="inlineStr">
        <is>
          <t xml:space="preserve">technology</t>
        </is>
      </c>
      <c r="F183" s="4">
        <v>82</v>
      </c>
    </row>
    <row r="184">
      <c r="A184" s="0" t="inlineStr">
        <is>
          <t xml:space="preserve">p02_earnings_drift_MU</t>
        </is>
      </c>
      <c r="B184" s="0" t="inlineStr">
        <is>
          <t xml:space="preserve">p02_earnings_drift</t>
        </is>
      </c>
      <c r="C184" s="0" t="inlineStr">
        <is>
          <t xml:space="preserve">d20260923</t>
        </is>
      </c>
      <c r="D184" s="0" t="inlineStr">
        <is>
          <t xml:space="preserve">MU</t>
        </is>
      </c>
      <c r="E184" s="0" t="inlineStr">
        <is>
          <t xml:space="preserve">technology</t>
        </is>
      </c>
      <c r="F184" s="4">
        <v>83</v>
      </c>
    </row>
    <row r="185">
      <c r="A185" s="0" t="inlineStr">
        <is>
          <t xml:space="preserve">p02_earnings_drift_AMD</t>
        </is>
      </c>
      <c r="B185" s="0" t="inlineStr">
        <is>
          <t xml:space="preserve">p02_earnings_drift</t>
        </is>
      </c>
      <c r="C185" s="0" t="inlineStr">
        <is>
          <t xml:space="preserve">d20260923</t>
        </is>
      </c>
      <c r="D185" s="0" t="inlineStr">
        <is>
          <t xml:space="preserve">AMD</t>
        </is>
      </c>
      <c r="E185" s="0" t="inlineStr">
        <is>
          <t xml:space="preserve">technology</t>
        </is>
      </c>
      <c r="F185" s="4">
        <v>84</v>
      </c>
    </row>
    <row r="186">
      <c r="A186" s="0" t="inlineStr">
        <is>
          <t xml:space="preserve">p02_earnings_drift_INTC</t>
        </is>
      </c>
      <c r="B186" s="0" t="inlineStr">
        <is>
          <t xml:space="preserve">p02_earnings_drift</t>
        </is>
      </c>
      <c r="C186" s="0" t="inlineStr">
        <is>
          <t xml:space="preserve">d20260923</t>
        </is>
      </c>
      <c r="D186" s="0" t="inlineStr">
        <is>
          <t xml:space="preserve">INTC</t>
        </is>
      </c>
      <c r="E186" s="0" t="inlineStr">
        <is>
          <t xml:space="preserve">technology</t>
        </is>
      </c>
      <c r="F186" s="4">
        <v>85</v>
      </c>
    </row>
    <row r="187">
      <c r="A187" s="0" t="inlineStr">
        <is>
          <t xml:space="preserve">p02_earnings_drift_CSCO</t>
        </is>
      </c>
      <c r="B187" s="0" t="inlineStr">
        <is>
          <t xml:space="preserve">p02_earnings_drift</t>
        </is>
      </c>
      <c r="C187" s="0" t="inlineStr">
        <is>
          <t xml:space="preserve">d20260923</t>
        </is>
      </c>
      <c r="D187" s="0" t="inlineStr">
        <is>
          <t xml:space="preserve">CSCO</t>
        </is>
      </c>
      <c r="E187" s="0" t="inlineStr">
        <is>
          <t xml:space="preserve">technology</t>
        </is>
      </c>
      <c r="F187" s="4">
        <v>86</v>
      </c>
    </row>
    <row r="188">
      <c r="A188" s="0" t="inlineStr">
        <is>
          <t xml:space="preserve">p02_earnings_drift_PLTR</t>
        </is>
      </c>
      <c r="B188" s="0" t="inlineStr">
        <is>
          <t xml:space="preserve">p02_earnings_drift</t>
        </is>
      </c>
      <c r="C188" s="0" t="inlineStr">
        <is>
          <t xml:space="preserve">d20260923</t>
        </is>
      </c>
      <c r="D188" s="0" t="inlineStr">
        <is>
          <t xml:space="preserve">PLTR</t>
        </is>
      </c>
      <c r="E188" s="0" t="inlineStr">
        <is>
          <t xml:space="preserve">technology</t>
        </is>
      </c>
      <c r="F188" s="4">
        <v>87</v>
      </c>
    </row>
    <row r="189">
      <c r="A189" s="0" t="inlineStr">
        <is>
          <t xml:space="preserve">p02_earnings_drift_LRCX</t>
        </is>
      </c>
      <c r="B189" s="0" t="inlineStr">
        <is>
          <t xml:space="preserve">p02_earnings_drift</t>
        </is>
      </c>
      <c r="C189" s="0" t="inlineStr">
        <is>
          <t xml:space="preserve">d20260923</t>
        </is>
      </c>
      <c r="D189" s="0" t="inlineStr">
        <is>
          <t xml:space="preserve">LRCX</t>
        </is>
      </c>
      <c r="E189" s="0" t="inlineStr">
        <is>
          <t xml:space="preserve">technology</t>
        </is>
      </c>
      <c r="F189" s="4">
        <v>88</v>
      </c>
    </row>
    <row r="190">
      <c r="A190" s="0" t="inlineStr">
        <is>
          <t xml:space="preserve">p02_earnings_drift_AMAT</t>
        </is>
      </c>
      <c r="B190" s="0" t="inlineStr">
        <is>
          <t xml:space="preserve">p02_earnings_drift</t>
        </is>
      </c>
      <c r="C190" s="0" t="inlineStr">
        <is>
          <t xml:space="preserve">d20260923</t>
        </is>
      </c>
      <c r="D190" s="0" t="inlineStr">
        <is>
          <t xml:space="preserve">AMAT</t>
        </is>
      </c>
      <c r="E190" s="0" t="inlineStr">
        <is>
          <t xml:space="preserve">technology</t>
        </is>
      </c>
      <c r="F190" s="4">
        <v>89</v>
      </c>
    </row>
    <row r="191">
      <c r="A191" s="0" t="inlineStr">
        <is>
          <t xml:space="preserve">p02_earnings_drift_SNDK</t>
        </is>
      </c>
      <c r="B191" s="0" t="inlineStr">
        <is>
          <t xml:space="preserve">p02_earnings_drift</t>
        </is>
      </c>
      <c r="C191" s="0" t="inlineStr">
        <is>
          <t xml:space="preserve">d20260923</t>
        </is>
      </c>
      <c r="D191" s="0" t="inlineStr">
        <is>
          <t xml:space="preserve">SNDK</t>
        </is>
      </c>
      <c r="E191" s="0" t="inlineStr">
        <is>
          <t xml:space="preserve">technology</t>
        </is>
      </c>
      <c r="F191" s="4">
        <v>90</v>
      </c>
    </row>
    <row r="192">
      <c r="A192" s="0" t="inlineStr">
        <is>
          <t xml:space="preserve">p02_earnings_drift_ANET</t>
        </is>
      </c>
      <c r="B192" s="0" t="inlineStr">
        <is>
          <t xml:space="preserve">p02_earnings_drift</t>
        </is>
      </c>
      <c r="C192" s="0" t="inlineStr">
        <is>
          <t xml:space="preserve">d20260923</t>
        </is>
      </c>
      <c r="D192" s="0" t="inlineStr">
        <is>
          <t xml:space="preserve">ANET</t>
        </is>
      </c>
      <c r="E192" s="0" t="inlineStr">
        <is>
          <t xml:space="preserve">technology</t>
        </is>
      </c>
      <c r="F192" s="4">
        <v>91</v>
      </c>
    </row>
    <row r="193">
      <c r="A193" s="0" t="inlineStr">
        <is>
          <t xml:space="preserve">p02_earnings_drift_CRWD</t>
        </is>
      </c>
      <c r="B193" s="0" t="inlineStr">
        <is>
          <t xml:space="preserve">p02_earnings_drift</t>
        </is>
      </c>
      <c r="C193" s="0" t="inlineStr">
        <is>
          <t xml:space="preserve">d20260923</t>
        </is>
      </c>
      <c r="D193" s="0" t="inlineStr">
        <is>
          <t xml:space="preserve">CRWD</t>
        </is>
      </c>
      <c r="E193" s="0" t="inlineStr">
        <is>
          <t xml:space="preserve">technology</t>
        </is>
      </c>
      <c r="F193" s="4">
        <v>92</v>
      </c>
    </row>
    <row r="194">
      <c r="A194" s="0" t="inlineStr">
        <is>
          <t xml:space="preserve">p02_earnings_drift_TXN</t>
        </is>
      </c>
      <c r="B194" s="0" t="inlineStr">
        <is>
          <t xml:space="preserve">p02_earnings_drift</t>
        </is>
      </c>
      <c r="C194" s="0" t="inlineStr">
        <is>
          <t xml:space="preserve">d20260923</t>
        </is>
      </c>
      <c r="D194" s="0" t="inlineStr">
        <is>
          <t xml:space="preserve">TXN</t>
        </is>
      </c>
      <c r="E194" s="0" t="inlineStr">
        <is>
          <t xml:space="preserve">technology</t>
        </is>
      </c>
      <c r="F194" s="4">
        <v>93</v>
      </c>
    </row>
    <row r="195">
      <c r="A195" s="0" t="inlineStr">
        <is>
          <t xml:space="preserve">p02_earnings_drift_KLAC</t>
        </is>
      </c>
      <c r="B195" s="0" t="inlineStr">
        <is>
          <t xml:space="preserve">p02_earnings_drift</t>
        </is>
      </c>
      <c r="C195" s="0" t="inlineStr">
        <is>
          <t xml:space="preserve">d20260923</t>
        </is>
      </c>
      <c r="D195" s="0" t="inlineStr">
        <is>
          <t xml:space="preserve">KLAC</t>
        </is>
      </c>
      <c r="E195" s="0" t="inlineStr">
        <is>
          <t xml:space="preserve">technology</t>
        </is>
      </c>
      <c r="F195" s="4">
        <v>94</v>
      </c>
    </row>
    <row r="196">
      <c r="A196" s="0" t="inlineStr">
        <is>
          <t xml:space="preserve">p02_earnings_drift_MRVL</t>
        </is>
      </c>
      <c r="B196" s="0" t="inlineStr">
        <is>
          <t xml:space="preserve">p02_earnings_drift</t>
        </is>
      </c>
      <c r="C196" s="0" t="inlineStr">
        <is>
          <t xml:space="preserve">d20260923</t>
        </is>
      </c>
      <c r="D196" s="0" t="inlineStr">
        <is>
          <t xml:space="preserve">MRVL</t>
        </is>
      </c>
      <c r="E196" s="0" t="inlineStr">
        <is>
          <t xml:space="preserve">technology</t>
        </is>
      </c>
      <c r="F196" s="4">
        <v>95</v>
      </c>
    </row>
    <row r="197">
      <c r="A197" s="0" t="inlineStr">
        <is>
          <t xml:space="preserve">p02_earnings_drift_IBM</t>
        </is>
      </c>
      <c r="B197" s="0" t="inlineStr">
        <is>
          <t xml:space="preserve">p02_earnings_drift</t>
        </is>
      </c>
      <c r="C197" s="0" t="inlineStr">
        <is>
          <t xml:space="preserve">d20260923</t>
        </is>
      </c>
      <c r="D197" s="0" t="inlineStr">
        <is>
          <t xml:space="preserve">IBM</t>
        </is>
      </c>
      <c r="E197" s="0" t="inlineStr">
        <is>
          <t xml:space="preserve">technology</t>
        </is>
      </c>
      <c r="F197" s="4">
        <v>96</v>
      </c>
    </row>
    <row r="198">
      <c r="A198" s="0" t="inlineStr">
        <is>
          <t xml:space="preserve">p02_earnings_drift_QCOM</t>
        </is>
      </c>
      <c r="B198" s="0" t="inlineStr">
        <is>
          <t xml:space="preserve">p02_earnings_drift</t>
        </is>
      </c>
      <c r="C198" s="0" t="inlineStr">
        <is>
          <t xml:space="preserve">d20260923</t>
        </is>
      </c>
      <c r="D198" s="0" t="inlineStr">
        <is>
          <t xml:space="preserve">QCOM</t>
        </is>
      </c>
      <c r="E198" s="0" t="inlineStr">
        <is>
          <t xml:space="preserve">technology</t>
        </is>
      </c>
      <c r="F198" s="4">
        <v>97</v>
      </c>
    </row>
    <row r="199">
      <c r="A199" s="0" t="inlineStr">
        <is>
          <t xml:space="preserve">p02_earnings_drift_APH</t>
        </is>
      </c>
      <c r="B199" s="0" t="inlineStr">
        <is>
          <t xml:space="preserve">p02_earnings_drift</t>
        </is>
      </c>
      <c r="C199" s="0" t="inlineStr">
        <is>
          <t xml:space="preserve">d20260923</t>
        </is>
      </c>
      <c r="D199" s="0" t="inlineStr">
        <is>
          <t xml:space="preserve">APH</t>
        </is>
      </c>
      <c r="E199" s="0" t="inlineStr">
        <is>
          <t xml:space="preserve">technology</t>
        </is>
      </c>
      <c r="F199" s="4">
        <v>98</v>
      </c>
    </row>
    <row r="200">
      <c r="A200" s="0" t="inlineStr">
        <is>
          <t xml:space="preserve">p02_earnings_drift_CRM</t>
        </is>
      </c>
      <c r="B200" s="0" t="inlineStr">
        <is>
          <t xml:space="preserve">p02_earnings_drift</t>
        </is>
      </c>
      <c r="C200" s="0" t="inlineStr">
        <is>
          <t xml:space="preserve">d20260923</t>
        </is>
      </c>
      <c r="D200" s="0" t="inlineStr">
        <is>
          <t xml:space="preserve">CRM</t>
        </is>
      </c>
      <c r="E200" s="0" t="inlineStr">
        <is>
          <t xml:space="preserve">technology</t>
        </is>
      </c>
      <c r="F200" s="4">
        <v>99</v>
      </c>
    </row>
    <row r="201">
      <c r="A201" s="0" t="inlineStr">
        <is>
          <t xml:space="preserve">p02_earnings_drift_ADI</t>
        </is>
      </c>
      <c r="B201" s="0" t="inlineStr">
        <is>
          <t xml:space="preserve">p02_earnings_drift</t>
        </is>
      </c>
      <c r="C201" s="0" t="inlineStr">
        <is>
          <t xml:space="preserve">d20260923</t>
        </is>
      </c>
      <c r="D201" s="0" t="inlineStr">
        <is>
          <t xml:space="preserve">ADI</t>
        </is>
      </c>
      <c r="E201" s="0" t="inlineStr">
        <is>
          <t xml:space="preserve">technology</t>
        </is>
      </c>
      <c r="F201" s="4">
        <v>100</v>
      </c>
    </row>
    <row r="202">
      <c r="A202" s="0" t="inlineStr">
        <is>
          <t xml:space="preserve">p03_intraday_reversal_PLNT</t>
        </is>
      </c>
      <c r="B202" s="0" t="inlineStr">
        <is>
          <t xml:space="preserve">p03_intraday_reversal</t>
        </is>
      </c>
      <c r="C202" s="0" t="inlineStr">
        <is>
          <t xml:space="preserve">d20260923</t>
        </is>
      </c>
      <c r="D202" s="0" t="inlineStr">
        <is>
          <t xml:space="preserve">PLNT</t>
        </is>
      </c>
      <c r="E202" s="0" t="inlineStr">
        <is>
          <t xml:space="preserve">consumer_cyclical</t>
        </is>
      </c>
      <c r="F202" s="4">
        <v>1</v>
      </c>
    </row>
    <row r="203">
      <c r="A203" s="0" t="inlineStr">
        <is>
          <t xml:space="preserve">p03_intraday_reversal_CLDX</t>
        </is>
      </c>
      <c r="B203" s="0" t="inlineStr">
        <is>
          <t xml:space="preserve">p03_intraday_reversal</t>
        </is>
      </c>
      <c r="C203" s="0" t="inlineStr">
        <is>
          <t xml:space="preserve">d20260923</t>
        </is>
      </c>
      <c r="D203" s="0" t="inlineStr">
        <is>
          <t xml:space="preserve">CLDX</t>
        </is>
      </c>
      <c r="E203" s="0" t="inlineStr">
        <is>
          <t xml:space="preserve">healthcare</t>
        </is>
      </c>
      <c r="F203" s="4">
        <v>2</v>
      </c>
    </row>
    <row r="204">
      <c r="A204" s="0" t="inlineStr">
        <is>
          <t xml:space="preserve">p03_intraday_reversal_RCL</t>
        </is>
      </c>
      <c r="B204" s="0" t="inlineStr">
        <is>
          <t xml:space="preserve">p03_intraday_reversal</t>
        </is>
      </c>
      <c r="C204" s="0" t="inlineStr">
        <is>
          <t xml:space="preserve">d20260923</t>
        </is>
      </c>
      <c r="D204" s="0" t="inlineStr">
        <is>
          <t xml:space="preserve">RCL</t>
        </is>
      </c>
      <c r="E204" s="0" t="inlineStr">
        <is>
          <t xml:space="preserve">consumer_cyclical</t>
        </is>
      </c>
      <c r="F204" s="4">
        <v>3</v>
      </c>
    </row>
    <row r="205">
      <c r="A205" s="0" t="inlineStr">
        <is>
          <t xml:space="preserve">p03_intraday_reversal_ACA</t>
        </is>
      </c>
      <c r="B205" s="0" t="inlineStr">
        <is>
          <t xml:space="preserve">p03_intraday_reversal</t>
        </is>
      </c>
      <c r="C205" s="0" t="inlineStr">
        <is>
          <t xml:space="preserve">d20260923</t>
        </is>
      </c>
      <c r="D205" s="0" t="inlineStr">
        <is>
          <t xml:space="preserve">ACA</t>
        </is>
      </c>
      <c r="E205" s="0" t="inlineStr">
        <is>
          <t xml:space="preserve">basic_materials</t>
        </is>
      </c>
      <c r="F205" s="4">
        <v>4</v>
      </c>
    </row>
    <row r="206">
      <c r="A206" s="0" t="inlineStr">
        <is>
          <t xml:space="preserve">p03_intraday_reversal_GEN</t>
        </is>
      </c>
      <c r="B206" s="0" t="inlineStr">
        <is>
          <t xml:space="preserve">p03_intraday_reversal</t>
        </is>
      </c>
      <c r="C206" s="0" t="inlineStr">
        <is>
          <t xml:space="preserve">d20260923</t>
        </is>
      </c>
      <c r="D206" s="0" t="inlineStr">
        <is>
          <t xml:space="preserve">GEN</t>
        </is>
      </c>
      <c r="E206" s="0" t="inlineStr">
        <is>
          <t xml:space="preserve">technology</t>
        </is>
      </c>
      <c r="F206" s="4">
        <v>5</v>
      </c>
    </row>
    <row r="207">
      <c r="A207" s="0" t="inlineStr">
        <is>
          <t xml:space="preserve">p03_intraday_reversal_LPLA</t>
        </is>
      </c>
      <c r="B207" s="0" t="inlineStr">
        <is>
          <t xml:space="preserve">p03_intraday_reversal</t>
        </is>
      </c>
      <c r="C207" s="0" t="inlineStr">
        <is>
          <t xml:space="preserve">d20260923</t>
        </is>
      </c>
      <c r="D207" s="0" t="inlineStr">
        <is>
          <t xml:space="preserve">LPLA</t>
        </is>
      </c>
      <c r="E207" s="0" t="inlineStr">
        <is>
          <t xml:space="preserve">financial_services</t>
        </is>
      </c>
      <c r="F207" s="4">
        <v>6</v>
      </c>
    </row>
    <row r="208">
      <c r="A208" s="0" t="inlineStr">
        <is>
          <t xml:space="preserve">p03_intraday_reversal_DBX</t>
        </is>
      </c>
      <c r="B208" s="0" t="inlineStr">
        <is>
          <t xml:space="preserve">p03_intraday_reversal</t>
        </is>
      </c>
      <c r="C208" s="0" t="inlineStr">
        <is>
          <t xml:space="preserve">d20260923</t>
        </is>
      </c>
      <c r="D208" s="0" t="inlineStr">
        <is>
          <t xml:space="preserve">DBX</t>
        </is>
      </c>
      <c r="E208" s="0" t="inlineStr">
        <is>
          <t xml:space="preserve">technology</t>
        </is>
      </c>
      <c r="F208" s="4">
        <v>7</v>
      </c>
    </row>
    <row r="209">
      <c r="A209" s="0" t="inlineStr">
        <is>
          <t xml:space="preserve">p03_intraday_reversal_LTH</t>
        </is>
      </c>
      <c r="B209" s="0" t="inlineStr">
        <is>
          <t xml:space="preserve">p03_intraday_reversal</t>
        </is>
      </c>
      <c r="C209" s="0" t="inlineStr">
        <is>
          <t xml:space="preserve">d20260923</t>
        </is>
      </c>
      <c r="D209" s="0" t="inlineStr">
        <is>
          <t xml:space="preserve">LTH</t>
        </is>
      </c>
      <c r="E209" s="0" t="inlineStr">
        <is>
          <t xml:space="preserve">consumer_cyclical</t>
        </is>
      </c>
      <c r="F209" s="4">
        <v>8</v>
      </c>
    </row>
    <row r="210">
      <c r="A210" s="0" t="inlineStr">
        <is>
          <t xml:space="preserve">p03_intraday_reversal_NYT</t>
        </is>
      </c>
      <c r="B210" s="0" t="inlineStr">
        <is>
          <t xml:space="preserve">p03_intraday_reversal</t>
        </is>
      </c>
      <c r="C210" s="0" t="inlineStr">
        <is>
          <t xml:space="preserve">d20260923</t>
        </is>
      </c>
      <c r="D210" s="0" t="inlineStr">
        <is>
          <t xml:space="preserve">NYT</t>
        </is>
      </c>
      <c r="E210" s="0" t="inlineStr">
        <is>
          <t xml:space="preserve">communication_services</t>
        </is>
      </c>
      <c r="F210" s="4">
        <v>9</v>
      </c>
    </row>
    <row r="211">
      <c r="A211" s="0" t="inlineStr">
        <is>
          <t xml:space="preserve">p03_intraday_reversal_SCHW</t>
        </is>
      </c>
      <c r="B211" s="0" t="inlineStr">
        <is>
          <t xml:space="preserve">p03_intraday_reversal</t>
        </is>
      </c>
      <c r="C211" s="0" t="inlineStr">
        <is>
          <t xml:space="preserve">d20260923</t>
        </is>
      </c>
      <c r="D211" s="0" t="inlineStr">
        <is>
          <t xml:space="preserve">SCHW</t>
        </is>
      </c>
      <c r="E211" s="0" t="inlineStr">
        <is>
          <t xml:space="preserve">financial_services</t>
        </is>
      </c>
      <c r="F211" s="4">
        <v>10</v>
      </c>
    </row>
    <row r="212">
      <c r="A212" s="0" t="inlineStr">
        <is>
          <t xml:space="preserve">p03_intraday_reversal_HQY</t>
        </is>
      </c>
      <c r="B212" s="0" t="inlineStr">
        <is>
          <t xml:space="preserve">p03_intraday_reversal</t>
        </is>
      </c>
      <c r="C212" s="0" t="inlineStr">
        <is>
          <t xml:space="preserve">d20260923</t>
        </is>
      </c>
      <c r="D212" s="0" t="inlineStr">
        <is>
          <t xml:space="preserve">HQY</t>
        </is>
      </c>
      <c r="E212" s="0" t="inlineStr">
        <is>
          <t xml:space="preserve">healthcare</t>
        </is>
      </c>
      <c r="F212" s="4">
        <v>11</v>
      </c>
    </row>
    <row r="213">
      <c r="A213" s="0" t="inlineStr">
        <is>
          <t xml:space="preserve">p03_intraday_reversal_ALL</t>
        </is>
      </c>
      <c r="B213" s="0" t="inlineStr">
        <is>
          <t xml:space="preserve">p03_intraday_reversal</t>
        </is>
      </c>
      <c r="C213" s="0" t="inlineStr">
        <is>
          <t xml:space="preserve">d20260923</t>
        </is>
      </c>
      <c r="D213" s="0" t="inlineStr">
        <is>
          <t xml:space="preserve">ALL</t>
        </is>
      </c>
      <c r="E213" s="0" t="inlineStr">
        <is>
          <t xml:space="preserve">financial_services</t>
        </is>
      </c>
      <c r="F213" s="4">
        <v>12</v>
      </c>
    </row>
    <row r="214">
      <c r="A214" s="0" t="inlineStr">
        <is>
          <t xml:space="preserve">p03_intraday_reversal_CAR</t>
        </is>
      </c>
      <c r="B214" s="0" t="inlineStr">
        <is>
          <t xml:space="preserve">p03_intraday_reversal</t>
        </is>
      </c>
      <c r="C214" s="0" t="inlineStr">
        <is>
          <t xml:space="preserve">d20260923</t>
        </is>
      </c>
      <c r="D214" s="0" t="inlineStr">
        <is>
          <t xml:space="preserve">CAR</t>
        </is>
      </c>
      <c r="E214" s="0" t="inlineStr">
        <is>
          <t xml:space="preserve">industrials</t>
        </is>
      </c>
      <c r="F214" s="4">
        <v>13</v>
      </c>
    </row>
    <row r="215">
      <c r="A215" s="0" t="inlineStr">
        <is>
          <t xml:space="preserve">p03_intraday_reversal_FCN</t>
        </is>
      </c>
      <c r="B215" s="0" t="inlineStr">
        <is>
          <t xml:space="preserve">p03_intraday_reversal</t>
        </is>
      </c>
      <c r="C215" s="0" t="inlineStr">
        <is>
          <t xml:space="preserve">d20260923</t>
        </is>
      </c>
      <c r="D215" s="0" t="inlineStr">
        <is>
          <t xml:space="preserve">FCN</t>
        </is>
      </c>
      <c r="E215" s="0" t="inlineStr">
        <is>
          <t xml:space="preserve">industrials</t>
        </is>
      </c>
      <c r="F215" s="4">
        <v>14</v>
      </c>
    </row>
    <row r="216">
      <c r="A216" s="0" t="inlineStr">
        <is>
          <t xml:space="preserve">p03_intraday_reversal_PEN</t>
        </is>
      </c>
      <c r="B216" s="0" t="inlineStr">
        <is>
          <t xml:space="preserve">p03_intraday_reversal</t>
        </is>
      </c>
      <c r="C216" s="0" t="inlineStr">
        <is>
          <t xml:space="preserve">d20260923</t>
        </is>
      </c>
      <c r="D216" s="0" t="inlineStr">
        <is>
          <t xml:space="preserve">PEN</t>
        </is>
      </c>
      <c r="E216" s="0" t="inlineStr">
        <is>
          <t xml:space="preserve">healthcare</t>
        </is>
      </c>
      <c r="F216" s="4">
        <v>15</v>
      </c>
    </row>
    <row r="217">
      <c r="A217" s="0" t="inlineStr">
        <is>
          <t xml:space="preserve">p03_intraday_reversal_GDDY</t>
        </is>
      </c>
      <c r="B217" s="0" t="inlineStr">
        <is>
          <t xml:space="preserve">p03_intraday_reversal</t>
        </is>
      </c>
      <c r="C217" s="0" t="inlineStr">
        <is>
          <t xml:space="preserve">d20260923</t>
        </is>
      </c>
      <c r="D217" s="0" t="inlineStr">
        <is>
          <t xml:space="preserve">GDDY</t>
        </is>
      </c>
      <c r="E217" s="0" t="inlineStr">
        <is>
          <t xml:space="preserve">technology</t>
        </is>
      </c>
      <c r="F217" s="4">
        <v>16</v>
      </c>
    </row>
    <row r="218">
      <c r="A218" s="0" t="inlineStr">
        <is>
          <t xml:space="preserve">p03_intraday_reversal_PRMB</t>
        </is>
      </c>
      <c r="B218" s="0" t="inlineStr">
        <is>
          <t xml:space="preserve">p03_intraday_reversal</t>
        </is>
      </c>
      <c r="C218" s="0" t="inlineStr">
        <is>
          <t xml:space="preserve">d20260923</t>
        </is>
      </c>
      <c r="D218" s="0" t="inlineStr">
        <is>
          <t xml:space="preserve">PRMB</t>
        </is>
      </c>
      <c r="E218" s="0" t="inlineStr">
        <is>
          <t xml:space="preserve">consumer_defensive</t>
        </is>
      </c>
      <c r="F218" s="4">
        <v>17</v>
      </c>
    </row>
    <row r="219">
      <c r="A219" s="0" t="inlineStr">
        <is>
          <t xml:space="preserve">p03_intraday_reversal_ADBE</t>
        </is>
      </c>
      <c r="B219" s="0" t="inlineStr">
        <is>
          <t xml:space="preserve">p03_intraday_reversal</t>
        </is>
      </c>
      <c r="C219" s="0" t="inlineStr">
        <is>
          <t xml:space="preserve">d20260923</t>
        </is>
      </c>
      <c r="D219" s="0" t="inlineStr">
        <is>
          <t xml:space="preserve">ADBE</t>
        </is>
      </c>
      <c r="E219" s="0" t="inlineStr">
        <is>
          <t xml:space="preserve">technology</t>
        </is>
      </c>
      <c r="F219" s="4">
        <v>18</v>
      </c>
    </row>
    <row r="220">
      <c r="A220" s="0" t="inlineStr">
        <is>
          <t xml:space="preserve">p03_intraday_reversal_SPXC</t>
        </is>
      </c>
      <c r="B220" s="0" t="inlineStr">
        <is>
          <t xml:space="preserve">p03_intraday_reversal</t>
        </is>
      </c>
      <c r="C220" s="0" t="inlineStr">
        <is>
          <t xml:space="preserve">d20260923</t>
        </is>
      </c>
      <c r="D220" s="0" t="inlineStr">
        <is>
          <t xml:space="preserve">SPXC</t>
        </is>
      </c>
      <c r="E220" s="0" t="inlineStr">
        <is>
          <t xml:space="preserve">basic_materials</t>
        </is>
      </c>
      <c r="F220" s="4">
        <v>19</v>
      </c>
    </row>
    <row r="221">
      <c r="A221" s="0" t="inlineStr">
        <is>
          <t xml:space="preserve">p03_intraday_reversal_TECH</t>
        </is>
      </c>
      <c r="B221" s="0" t="inlineStr">
        <is>
          <t xml:space="preserve">p03_intraday_reversal</t>
        </is>
      </c>
      <c r="C221" s="0" t="inlineStr">
        <is>
          <t xml:space="preserve">d20260923</t>
        </is>
      </c>
      <c r="D221" s="0" t="inlineStr">
        <is>
          <t xml:space="preserve">TECH</t>
        </is>
      </c>
      <c r="E221" s="0" t="inlineStr">
        <is>
          <t xml:space="preserve">healthcare</t>
        </is>
      </c>
      <c r="F221" s="4">
        <v>20</v>
      </c>
    </row>
    <row r="222">
      <c r="A222" s="0" t="inlineStr">
        <is>
          <t xml:space="preserve">p03_intraday_reversal_CUBE</t>
        </is>
      </c>
      <c r="B222" s="0" t="inlineStr">
        <is>
          <t xml:space="preserve">p03_intraday_reversal</t>
        </is>
      </c>
      <c r="C222" s="0" t="inlineStr">
        <is>
          <t xml:space="preserve">d20260923</t>
        </is>
      </c>
      <c r="D222" s="0" t="inlineStr">
        <is>
          <t xml:space="preserve">CUBE</t>
        </is>
      </c>
      <c r="E222" s="0" t="inlineStr">
        <is>
          <t xml:space="preserve">real_estate</t>
        </is>
      </c>
      <c r="F222" s="4">
        <v>21</v>
      </c>
    </row>
    <row r="223">
      <c r="A223" s="0" t="inlineStr">
        <is>
          <t xml:space="preserve">p03_intraday_reversal_OGN</t>
        </is>
      </c>
      <c r="B223" s="0" t="inlineStr">
        <is>
          <t xml:space="preserve">p03_intraday_reversal</t>
        </is>
      </c>
      <c r="C223" s="0" t="inlineStr">
        <is>
          <t xml:space="preserve">d20260923</t>
        </is>
      </c>
      <c r="D223" s="0" t="inlineStr">
        <is>
          <t xml:space="preserve">OGN</t>
        </is>
      </c>
      <c r="E223" s="0" t="inlineStr">
        <is>
          <t xml:space="preserve">healthcare</t>
        </is>
      </c>
      <c r="F223" s="4">
        <v>22</v>
      </c>
    </row>
    <row r="224">
      <c r="A224" s="0" t="inlineStr">
        <is>
          <t xml:space="preserve">p03_intraday_reversal_CAH</t>
        </is>
      </c>
      <c r="B224" s="0" t="inlineStr">
        <is>
          <t xml:space="preserve">p03_intraday_reversal</t>
        </is>
      </c>
      <c r="C224" s="0" t="inlineStr">
        <is>
          <t xml:space="preserve">d20260923</t>
        </is>
      </c>
      <c r="D224" s="0" t="inlineStr">
        <is>
          <t xml:space="preserve">CAH</t>
        </is>
      </c>
      <c r="E224" s="0" t="inlineStr">
        <is>
          <t xml:space="preserve">healthcare</t>
        </is>
      </c>
      <c r="F224" s="4">
        <v>23</v>
      </c>
    </row>
    <row r="225">
      <c r="A225" s="0" t="inlineStr">
        <is>
          <t xml:space="preserve">p03_intraday_reversal_RRR</t>
        </is>
      </c>
      <c r="B225" s="0" t="inlineStr">
        <is>
          <t xml:space="preserve">p03_intraday_reversal</t>
        </is>
      </c>
      <c r="C225" s="0" t="inlineStr">
        <is>
          <t xml:space="preserve">d20260923</t>
        </is>
      </c>
      <c r="D225" s="0" t="inlineStr">
        <is>
          <t xml:space="preserve">RRR</t>
        </is>
      </c>
      <c r="E225" s="0" t="inlineStr">
        <is>
          <t xml:space="preserve">consumer_cyclical</t>
        </is>
      </c>
      <c r="F225" s="4">
        <v>24</v>
      </c>
    </row>
    <row r="226">
      <c r="A226" s="0" t="inlineStr">
        <is>
          <t xml:space="preserve">p03_intraday_reversal_CGNX</t>
        </is>
      </c>
      <c r="B226" s="0" t="inlineStr">
        <is>
          <t xml:space="preserve">p03_intraday_reversal</t>
        </is>
      </c>
      <c r="C226" s="0" t="inlineStr">
        <is>
          <t xml:space="preserve">d20260923</t>
        </is>
      </c>
      <c r="D226" s="0" t="inlineStr">
        <is>
          <t xml:space="preserve">CGNX</t>
        </is>
      </c>
      <c r="E226" s="0" t="inlineStr">
        <is>
          <t xml:space="preserve">technology</t>
        </is>
      </c>
      <c r="F226" s="4">
        <v>25</v>
      </c>
    </row>
    <row r="227">
      <c r="A227" s="0" t="inlineStr">
        <is>
          <t xml:space="preserve">p03_intraday_reversal_CCL</t>
        </is>
      </c>
      <c r="B227" s="0" t="inlineStr">
        <is>
          <t xml:space="preserve">p03_intraday_reversal</t>
        </is>
      </c>
      <c r="C227" s="0" t="inlineStr">
        <is>
          <t xml:space="preserve">d20260923</t>
        </is>
      </c>
      <c r="D227" s="0" t="inlineStr">
        <is>
          <t xml:space="preserve">CCL</t>
        </is>
      </c>
      <c r="E227" s="0" t="inlineStr">
        <is>
          <t xml:space="preserve">consumer_cyclical</t>
        </is>
      </c>
      <c r="F227" s="4">
        <v>26</v>
      </c>
    </row>
    <row r="228">
      <c r="A228" s="0" t="inlineStr">
        <is>
          <t xml:space="preserve">p03_intraday_reversal_CSCO</t>
        </is>
      </c>
      <c r="B228" s="0" t="inlineStr">
        <is>
          <t xml:space="preserve">p03_intraday_reversal</t>
        </is>
      </c>
      <c r="C228" s="0" t="inlineStr">
        <is>
          <t xml:space="preserve">d20260923</t>
        </is>
      </c>
      <c r="D228" s="0" t="inlineStr">
        <is>
          <t xml:space="preserve">CSCO</t>
        </is>
      </c>
      <c r="E228" s="0" t="inlineStr">
        <is>
          <t xml:space="preserve">technology</t>
        </is>
      </c>
      <c r="F228" s="4">
        <v>27</v>
      </c>
    </row>
    <row r="229">
      <c r="A229" s="0" t="inlineStr">
        <is>
          <t xml:space="preserve">p03_intraday_reversal_COMP</t>
        </is>
      </c>
      <c r="B229" s="0" t="inlineStr">
        <is>
          <t xml:space="preserve">p03_intraday_reversal</t>
        </is>
      </c>
      <c r="C229" s="0" t="inlineStr">
        <is>
          <t xml:space="preserve">d20260923</t>
        </is>
      </c>
      <c r="D229" s="0" t="inlineStr">
        <is>
          <t xml:space="preserve">COMP</t>
        </is>
      </c>
      <c r="E229" s="0" t="inlineStr">
        <is>
          <t xml:space="preserve">real_estate</t>
        </is>
      </c>
      <c r="F229" s="4">
        <v>28</v>
      </c>
    </row>
    <row r="230">
      <c r="A230" s="0" t="inlineStr">
        <is>
          <t xml:space="preserve">p03_intraday_reversal_OSK</t>
        </is>
      </c>
      <c r="B230" s="0" t="inlineStr">
        <is>
          <t xml:space="preserve">p03_intraday_reversal</t>
        </is>
      </c>
      <c r="C230" s="0" t="inlineStr">
        <is>
          <t xml:space="preserve">d20260923</t>
        </is>
      </c>
      <c r="D230" s="0" t="inlineStr">
        <is>
          <t xml:space="preserve">OSK</t>
        </is>
      </c>
      <c r="E230" s="0" t="inlineStr">
        <is>
          <t xml:space="preserve">industrials</t>
        </is>
      </c>
      <c r="F230" s="4">
        <v>29</v>
      </c>
    </row>
    <row r="231">
      <c r="A231" s="0" t="inlineStr">
        <is>
          <t xml:space="preserve">p03_intraday_reversal_BKNG</t>
        </is>
      </c>
      <c r="B231" s="0" t="inlineStr">
        <is>
          <t xml:space="preserve">p03_intraday_reversal</t>
        </is>
      </c>
      <c r="C231" s="0" t="inlineStr">
        <is>
          <t xml:space="preserve">d20260923</t>
        </is>
      </c>
      <c r="D231" s="0" t="inlineStr">
        <is>
          <t xml:space="preserve">BKNG</t>
        </is>
      </c>
      <c r="E231" s="0" t="inlineStr">
        <is>
          <t xml:space="preserve">consumer_cyclical</t>
        </is>
      </c>
      <c r="F231" s="4">
        <v>30</v>
      </c>
    </row>
    <row r="232">
      <c r="A232" s="0" t="inlineStr">
        <is>
          <t xml:space="preserve">p03_intraday_reversal_INSP</t>
        </is>
      </c>
      <c r="B232" s="0" t="inlineStr">
        <is>
          <t xml:space="preserve">p03_intraday_reversal</t>
        </is>
      </c>
      <c r="C232" s="0" t="inlineStr">
        <is>
          <t xml:space="preserve">d20260923</t>
        </is>
      </c>
      <c r="D232" s="0" t="inlineStr">
        <is>
          <t xml:space="preserve">INSP</t>
        </is>
      </c>
      <c r="E232" s="0" t="inlineStr">
        <is>
          <t xml:space="preserve">healthcare</t>
        </is>
      </c>
      <c r="F232" s="4">
        <v>31</v>
      </c>
    </row>
    <row r="233">
      <c r="A233" s="0" t="inlineStr">
        <is>
          <t xml:space="preserve">p03_intraday_reversal_PAY</t>
        </is>
      </c>
      <c r="B233" s="0" t="inlineStr">
        <is>
          <t xml:space="preserve">p03_intraday_reversal</t>
        </is>
      </c>
      <c r="C233" s="0" t="inlineStr">
        <is>
          <t xml:space="preserve">d20260923</t>
        </is>
      </c>
      <c r="D233" s="0" t="inlineStr">
        <is>
          <t xml:space="preserve">PAY</t>
        </is>
      </c>
      <c r="E233" s="0" t="inlineStr">
        <is>
          <t xml:space="preserve">technology</t>
        </is>
      </c>
      <c r="F233" s="4">
        <v>32</v>
      </c>
    </row>
    <row r="234">
      <c r="A234" s="0" t="inlineStr">
        <is>
          <t xml:space="preserve">p03_intraday_reversal_LHX</t>
        </is>
      </c>
      <c r="B234" s="0" t="inlineStr">
        <is>
          <t xml:space="preserve">p03_intraday_reversal</t>
        </is>
      </c>
      <c r="C234" s="0" t="inlineStr">
        <is>
          <t xml:space="preserve">d20260923</t>
        </is>
      </c>
      <c r="D234" s="0" t="inlineStr">
        <is>
          <t xml:space="preserve">LHX</t>
        </is>
      </c>
      <c r="E234" s="0" t="inlineStr">
        <is>
          <t xml:space="preserve">industrials</t>
        </is>
      </c>
      <c r="F234" s="4">
        <v>33</v>
      </c>
    </row>
    <row r="235">
      <c r="A235" s="0" t="inlineStr">
        <is>
          <t xml:space="preserve">p03_intraday_reversal_AMP</t>
        </is>
      </c>
      <c r="B235" s="0" t="inlineStr">
        <is>
          <t xml:space="preserve">p03_intraday_reversal</t>
        </is>
      </c>
      <c r="C235" s="0" t="inlineStr">
        <is>
          <t xml:space="preserve">d20260923</t>
        </is>
      </c>
      <c r="D235" s="0" t="inlineStr">
        <is>
          <t xml:space="preserve">AMP</t>
        </is>
      </c>
      <c r="E235" s="0" t="inlineStr">
        <is>
          <t xml:space="preserve">financial_services</t>
        </is>
      </c>
      <c r="F235" s="4">
        <v>34</v>
      </c>
    </row>
    <row r="236">
      <c r="A236" s="0" t="inlineStr">
        <is>
          <t xml:space="preserve">p03_intraday_reversal_INTU</t>
        </is>
      </c>
      <c r="B236" s="0" t="inlineStr">
        <is>
          <t xml:space="preserve">p03_intraday_reversal</t>
        </is>
      </c>
      <c r="C236" s="0" t="inlineStr">
        <is>
          <t xml:space="preserve">d20260923</t>
        </is>
      </c>
      <c r="D236" s="0" t="inlineStr">
        <is>
          <t xml:space="preserve">INTU</t>
        </is>
      </c>
      <c r="E236" s="0" t="inlineStr">
        <is>
          <t xml:space="preserve">technology</t>
        </is>
      </c>
      <c r="F236" s="4">
        <v>35</v>
      </c>
    </row>
    <row r="237">
      <c r="A237" s="0" t="inlineStr">
        <is>
          <t xml:space="preserve">p03_intraday_reversal_BFH</t>
        </is>
      </c>
      <c r="B237" s="0" t="inlineStr">
        <is>
          <t xml:space="preserve">p03_intraday_reversal</t>
        </is>
      </c>
      <c r="C237" s="0" t="inlineStr">
        <is>
          <t xml:space="preserve">d20260923</t>
        </is>
      </c>
      <c r="D237" s="0" t="inlineStr">
        <is>
          <t xml:space="preserve">BFH</t>
        </is>
      </c>
      <c r="E237" s="0" t="inlineStr">
        <is>
          <t xml:space="preserve">financial_services</t>
        </is>
      </c>
      <c r="F237" s="4">
        <v>36</v>
      </c>
    </row>
    <row r="238">
      <c r="A238" s="0" t="inlineStr">
        <is>
          <t xml:space="preserve">p03_intraday_reversal_GD</t>
        </is>
      </c>
      <c r="B238" s="0" t="inlineStr">
        <is>
          <t xml:space="preserve">p03_intraday_reversal</t>
        </is>
      </c>
      <c r="C238" s="0" t="inlineStr">
        <is>
          <t xml:space="preserve">d20260923</t>
        </is>
      </c>
      <c r="D238" s="0" t="inlineStr">
        <is>
          <t xml:space="preserve">GD</t>
        </is>
      </c>
      <c r="E238" s="0" t="inlineStr">
        <is>
          <t xml:space="preserve">industrials</t>
        </is>
      </c>
      <c r="F238" s="4">
        <v>37</v>
      </c>
    </row>
    <row r="239">
      <c r="A239" s="0" t="inlineStr">
        <is>
          <t xml:space="preserve">p03_intraday_reversal_VVX</t>
        </is>
      </c>
      <c r="B239" s="0" t="inlineStr">
        <is>
          <t xml:space="preserve">p03_intraday_reversal</t>
        </is>
      </c>
      <c r="C239" s="0" t="inlineStr">
        <is>
          <t xml:space="preserve">d20260923</t>
        </is>
      </c>
      <c r="D239" s="0" t="inlineStr">
        <is>
          <t xml:space="preserve">VVX</t>
        </is>
      </c>
      <c r="E239" s="0" t="inlineStr">
        <is>
          <t xml:space="preserve">industrials</t>
        </is>
      </c>
      <c r="F239" s="4">
        <v>38</v>
      </c>
    </row>
    <row r="240">
      <c r="A240" s="0" t="inlineStr">
        <is>
          <t xml:space="preserve">p03_intraday_reversal_CHWY</t>
        </is>
      </c>
      <c r="B240" s="0" t="inlineStr">
        <is>
          <t xml:space="preserve">p03_intraday_reversal</t>
        </is>
      </c>
      <c r="C240" s="0" t="inlineStr">
        <is>
          <t xml:space="preserve">d20260923</t>
        </is>
      </c>
      <c r="D240" s="0" t="inlineStr">
        <is>
          <t xml:space="preserve">CHWY</t>
        </is>
      </c>
      <c r="E240" s="0" t="inlineStr">
        <is>
          <t xml:space="preserve">consumer_cyclical</t>
        </is>
      </c>
      <c r="F240" s="4">
        <v>39</v>
      </c>
    </row>
    <row r="241">
      <c r="A241" s="0" t="inlineStr">
        <is>
          <t xml:space="preserve">p03_intraday_reversal_CART</t>
        </is>
      </c>
      <c r="B241" s="0" t="inlineStr">
        <is>
          <t xml:space="preserve">p03_intraday_reversal</t>
        </is>
      </c>
      <c r="C241" s="0" t="inlineStr">
        <is>
          <t xml:space="preserve">d20260923</t>
        </is>
      </c>
      <c r="D241" s="0" t="inlineStr">
        <is>
          <t xml:space="preserve">CART</t>
        </is>
      </c>
      <c r="E241" s="0" t="inlineStr">
        <is>
          <t xml:space="preserve">technology</t>
        </is>
      </c>
      <c r="F241" s="4">
        <v>40</v>
      </c>
    </row>
    <row r="242">
      <c r="A242" s="0" t="inlineStr">
        <is>
          <t xml:space="preserve">p03_intraday_reversal_DAR</t>
        </is>
      </c>
      <c r="B242" s="0" t="inlineStr">
        <is>
          <t xml:space="preserve">p03_intraday_reversal</t>
        </is>
      </c>
      <c r="C242" s="0" t="inlineStr">
        <is>
          <t xml:space="preserve">d20260923</t>
        </is>
      </c>
      <c r="D242" s="0" t="inlineStr">
        <is>
          <t xml:space="preserve">DAR</t>
        </is>
      </c>
      <c r="E242" s="0" t="inlineStr">
        <is>
          <t xml:space="preserve">consumer_defensive</t>
        </is>
      </c>
      <c r="F242" s="4">
        <v>41</v>
      </c>
    </row>
    <row r="243">
      <c r="A243" s="0" t="inlineStr">
        <is>
          <t xml:space="preserve">p03_intraday_reversal_PINS</t>
        </is>
      </c>
      <c r="B243" s="0" t="inlineStr">
        <is>
          <t xml:space="preserve">p03_intraday_reversal</t>
        </is>
      </c>
      <c r="C243" s="0" t="inlineStr">
        <is>
          <t xml:space="preserve">d20260923</t>
        </is>
      </c>
      <c r="D243" s="0" t="inlineStr">
        <is>
          <t xml:space="preserve">PINS</t>
        </is>
      </c>
      <c r="E243" s="0" t="inlineStr">
        <is>
          <t xml:space="preserve">communication_services</t>
        </is>
      </c>
      <c r="F243" s="4">
        <v>42</v>
      </c>
    </row>
    <row r="244">
      <c r="A244" s="0" t="inlineStr">
        <is>
          <t xml:space="preserve">p03_intraday_reversal_VAC</t>
        </is>
      </c>
      <c r="B244" s="0" t="inlineStr">
        <is>
          <t xml:space="preserve">p03_intraday_reversal</t>
        </is>
      </c>
      <c r="C244" s="0" t="inlineStr">
        <is>
          <t xml:space="preserve">d20260923</t>
        </is>
      </c>
      <c r="D244" s="0" t="inlineStr">
        <is>
          <t xml:space="preserve">VAC</t>
        </is>
      </c>
      <c r="E244" s="0" t="inlineStr">
        <is>
          <t xml:space="preserve">consumer_cyclical</t>
        </is>
      </c>
      <c r="F244" s="4">
        <v>43</v>
      </c>
    </row>
    <row r="245">
      <c r="A245" s="0" t="inlineStr">
        <is>
          <t xml:space="preserve">p03_intraday_reversal_CARG</t>
        </is>
      </c>
      <c r="B245" s="0" t="inlineStr">
        <is>
          <t xml:space="preserve">p03_intraday_reversal</t>
        </is>
      </c>
      <c r="C245" s="0" t="inlineStr">
        <is>
          <t xml:space="preserve">d20260923</t>
        </is>
      </c>
      <c r="D245" s="0" t="inlineStr">
        <is>
          <t xml:space="preserve">CARG</t>
        </is>
      </c>
      <c r="E245" s="0" t="inlineStr">
        <is>
          <t xml:space="preserve">communication_services</t>
        </is>
      </c>
      <c r="F245" s="4">
        <v>44</v>
      </c>
    </row>
    <row r="246">
      <c r="A246" s="0" t="inlineStr">
        <is>
          <t xml:space="preserve">p03_intraday_reversal_PRM</t>
        </is>
      </c>
      <c r="B246" s="0" t="inlineStr">
        <is>
          <t xml:space="preserve">p03_intraday_reversal</t>
        </is>
      </c>
      <c r="C246" s="0" t="inlineStr">
        <is>
          <t xml:space="preserve">d20260923</t>
        </is>
      </c>
      <c r="D246" s="0" t="inlineStr">
        <is>
          <t xml:space="preserve">PRM</t>
        </is>
      </c>
      <c r="E246" s="0" t="inlineStr">
        <is>
          <t xml:space="preserve">basic_materials</t>
        </is>
      </c>
      <c r="F246" s="4">
        <v>45</v>
      </c>
    </row>
    <row r="247">
      <c r="A247" s="0" t="inlineStr">
        <is>
          <t xml:space="preserve">p03_intraday_reversal_BWA</t>
        </is>
      </c>
      <c r="B247" s="0" t="inlineStr">
        <is>
          <t xml:space="preserve">p03_intraday_reversal</t>
        </is>
      </c>
      <c r="C247" s="0" t="inlineStr">
        <is>
          <t xml:space="preserve">d20260923</t>
        </is>
      </c>
      <c r="D247" s="0" t="inlineStr">
        <is>
          <t xml:space="preserve">BWA</t>
        </is>
      </c>
      <c r="E247" s="0" t="inlineStr">
        <is>
          <t xml:space="preserve">consumer_cyclical</t>
        </is>
      </c>
      <c r="F247" s="4">
        <v>46</v>
      </c>
    </row>
    <row r="248">
      <c r="A248" s="0" t="inlineStr">
        <is>
          <t xml:space="preserve">p03_intraday_reversal_RSI</t>
        </is>
      </c>
      <c r="B248" s="0" t="inlineStr">
        <is>
          <t xml:space="preserve">p03_intraday_reversal</t>
        </is>
      </c>
      <c r="C248" s="0" t="inlineStr">
        <is>
          <t xml:space="preserve">d20260923</t>
        </is>
      </c>
      <c r="D248" s="0" t="inlineStr">
        <is>
          <t xml:space="preserve">RSI</t>
        </is>
      </c>
      <c r="E248" s="0" t="inlineStr">
        <is>
          <t xml:space="preserve">consumer_cyclical</t>
        </is>
      </c>
      <c r="F248" s="4">
        <v>47</v>
      </c>
    </row>
    <row r="249">
      <c r="A249" s="0" t="inlineStr">
        <is>
          <t xml:space="preserve">p03_intraday_reversal_HRB</t>
        </is>
      </c>
      <c r="B249" s="0" t="inlineStr">
        <is>
          <t xml:space="preserve">p03_intraday_reversal</t>
        </is>
      </c>
      <c r="C249" s="0" t="inlineStr">
        <is>
          <t xml:space="preserve">d20260923</t>
        </is>
      </c>
      <c r="D249" s="0" t="inlineStr">
        <is>
          <t xml:space="preserve">HRB</t>
        </is>
      </c>
      <c r="E249" s="0" t="inlineStr">
        <is>
          <t xml:space="preserve">consumer_cyclical</t>
        </is>
      </c>
      <c r="F249" s="4">
        <v>48</v>
      </c>
    </row>
    <row r="250">
      <c r="A250" s="0" t="inlineStr">
        <is>
          <t xml:space="preserve">p03_intraday_reversal_TNL</t>
        </is>
      </c>
      <c r="B250" s="0" t="inlineStr">
        <is>
          <t xml:space="preserve">p03_intraday_reversal</t>
        </is>
      </c>
      <c r="C250" s="0" t="inlineStr">
        <is>
          <t xml:space="preserve">d20260923</t>
        </is>
      </c>
      <c r="D250" s="0" t="inlineStr">
        <is>
          <t xml:space="preserve">TNL</t>
        </is>
      </c>
      <c r="E250" s="0" t="inlineStr">
        <is>
          <t xml:space="preserve">consumer_cyclical</t>
        </is>
      </c>
      <c r="F250" s="4">
        <v>49</v>
      </c>
    </row>
    <row r="251">
      <c r="A251" s="0" t="inlineStr">
        <is>
          <t xml:space="preserve">p03_intraday_reversal_ET</t>
        </is>
      </c>
      <c r="B251" s="0" t="inlineStr">
        <is>
          <t xml:space="preserve">p03_intraday_reversal</t>
        </is>
      </c>
      <c r="C251" s="0" t="inlineStr">
        <is>
          <t xml:space="preserve">d20260923</t>
        </is>
      </c>
      <c r="D251" s="0" t="inlineStr">
        <is>
          <t xml:space="preserve">ET</t>
        </is>
      </c>
      <c r="E251" s="0" t="inlineStr">
        <is>
          <t xml:space="preserve">energy</t>
        </is>
      </c>
      <c r="F251" s="4">
        <v>50</v>
      </c>
    </row>
    <row r="252">
      <c r="A252" s="0" t="inlineStr">
        <is>
          <t xml:space="preserve">p03_intraday_reversal_NCNO</t>
        </is>
      </c>
      <c r="B252" s="0" t="inlineStr">
        <is>
          <t xml:space="preserve">p03_intraday_reversal</t>
        </is>
      </c>
      <c r="C252" s="0" t="inlineStr">
        <is>
          <t xml:space="preserve">d20260923</t>
        </is>
      </c>
      <c r="D252" s="0" t="inlineStr">
        <is>
          <t xml:space="preserve">NCNO</t>
        </is>
      </c>
      <c r="E252" s="0" t="inlineStr">
        <is>
          <t xml:space="preserve">technology</t>
        </is>
      </c>
      <c r="F252" s="4">
        <v>51</v>
      </c>
    </row>
    <row r="253">
      <c r="A253" s="0" t="inlineStr">
        <is>
          <t xml:space="preserve">p03_intraday_reversal_WK</t>
        </is>
      </c>
      <c r="B253" s="0" t="inlineStr">
        <is>
          <t xml:space="preserve">p03_intraday_reversal</t>
        </is>
      </c>
      <c r="C253" s="0" t="inlineStr">
        <is>
          <t xml:space="preserve">d20260923</t>
        </is>
      </c>
      <c r="D253" s="0" t="inlineStr">
        <is>
          <t xml:space="preserve">WK</t>
        </is>
      </c>
      <c r="E253" s="0" t="inlineStr">
        <is>
          <t xml:space="preserve">technology</t>
        </is>
      </c>
      <c r="F253" s="4">
        <v>52</v>
      </c>
    </row>
    <row r="254">
      <c r="A254" s="0" t="inlineStr">
        <is>
          <t xml:space="preserve">p03_intraday_reversal_PSA</t>
        </is>
      </c>
      <c r="B254" s="0" t="inlineStr">
        <is>
          <t xml:space="preserve">p03_intraday_reversal</t>
        </is>
      </c>
      <c r="C254" s="0" t="inlineStr">
        <is>
          <t xml:space="preserve">d20260923</t>
        </is>
      </c>
      <c r="D254" s="0" t="inlineStr">
        <is>
          <t xml:space="preserve">PSA</t>
        </is>
      </c>
      <c r="E254" s="0" t="inlineStr">
        <is>
          <t xml:space="preserve">real_estate</t>
        </is>
      </c>
      <c r="F254" s="4">
        <v>53</v>
      </c>
    </row>
    <row r="255">
      <c r="A255" s="0" t="inlineStr">
        <is>
          <t xml:space="preserve">p03_intraday_reversal_APPN</t>
        </is>
      </c>
      <c r="B255" s="0" t="inlineStr">
        <is>
          <t xml:space="preserve">p03_intraday_reversal</t>
        </is>
      </c>
      <c r="C255" s="0" t="inlineStr">
        <is>
          <t xml:space="preserve">d20260923</t>
        </is>
      </c>
      <c r="D255" s="0" t="inlineStr">
        <is>
          <t xml:space="preserve">APPN</t>
        </is>
      </c>
      <c r="E255" s="0" t="inlineStr">
        <is>
          <t xml:space="preserve">technology</t>
        </is>
      </c>
      <c r="F255" s="4">
        <v>54</v>
      </c>
    </row>
    <row r="256">
      <c r="A256" s="0" t="inlineStr">
        <is>
          <t xml:space="preserve">p03_intraday_reversal_NOC</t>
        </is>
      </c>
      <c r="B256" s="0" t="inlineStr">
        <is>
          <t xml:space="preserve">p03_intraday_reversal</t>
        </is>
      </c>
      <c r="C256" s="0" t="inlineStr">
        <is>
          <t xml:space="preserve">d20260923</t>
        </is>
      </c>
      <c r="D256" s="0" t="inlineStr">
        <is>
          <t xml:space="preserve">NOC</t>
        </is>
      </c>
      <c r="E256" s="0" t="inlineStr">
        <is>
          <t xml:space="preserve">industrials</t>
        </is>
      </c>
      <c r="F256" s="4">
        <v>55</v>
      </c>
    </row>
    <row r="257">
      <c r="A257" s="0" t="inlineStr">
        <is>
          <t xml:space="preserve">p03_intraday_reversal_LDOS</t>
        </is>
      </c>
      <c r="B257" s="0" t="inlineStr">
        <is>
          <t xml:space="preserve">p03_intraday_reversal</t>
        </is>
      </c>
      <c r="C257" s="0" t="inlineStr">
        <is>
          <t xml:space="preserve">d20260923</t>
        </is>
      </c>
      <c r="D257" s="0" t="inlineStr">
        <is>
          <t xml:space="preserve">LDOS</t>
        </is>
      </c>
      <c r="E257" s="0" t="inlineStr">
        <is>
          <t xml:space="preserve">technology</t>
        </is>
      </c>
      <c r="F257" s="4">
        <v>56</v>
      </c>
    </row>
    <row r="258">
      <c r="A258" s="0" t="inlineStr">
        <is>
          <t xml:space="preserve">p03_intraday_reversal_MLM</t>
        </is>
      </c>
      <c r="B258" s="0" t="inlineStr">
        <is>
          <t xml:space="preserve">p03_intraday_reversal</t>
        </is>
      </c>
      <c r="C258" s="0" t="inlineStr">
        <is>
          <t xml:space="preserve">d20260923</t>
        </is>
      </c>
      <c r="D258" s="0" t="inlineStr">
        <is>
          <t xml:space="preserve">MLM</t>
        </is>
      </c>
      <c r="E258" s="0" t="inlineStr">
        <is>
          <t xml:space="preserve">basic_materials</t>
        </is>
      </c>
      <c r="F258" s="4">
        <v>57</v>
      </c>
    </row>
    <row r="259">
      <c r="A259" s="0" t="inlineStr">
        <is>
          <t xml:space="preserve">p03_intraday_reversal_AXP</t>
        </is>
      </c>
      <c r="B259" s="0" t="inlineStr">
        <is>
          <t xml:space="preserve">p03_intraday_reversal</t>
        </is>
      </c>
      <c r="C259" s="0" t="inlineStr">
        <is>
          <t xml:space="preserve">d20260923</t>
        </is>
      </c>
      <c r="D259" s="0" t="inlineStr">
        <is>
          <t xml:space="preserve">AXP</t>
        </is>
      </c>
      <c r="E259" s="0" t="inlineStr">
        <is>
          <t xml:space="preserve">financial_services</t>
        </is>
      </c>
      <c r="F259" s="4">
        <v>58</v>
      </c>
    </row>
    <row r="260">
      <c r="A260" s="0" t="inlineStr">
        <is>
          <t xml:space="preserve">p03_intraday_reversal_WGS</t>
        </is>
      </c>
      <c r="B260" s="0" t="inlineStr">
        <is>
          <t xml:space="preserve">p03_intraday_reversal</t>
        </is>
      </c>
      <c r="C260" s="0" t="inlineStr">
        <is>
          <t xml:space="preserve">d20260923</t>
        </is>
      </c>
      <c r="D260" s="0" t="inlineStr">
        <is>
          <t xml:space="preserve">WGS</t>
        </is>
      </c>
      <c r="E260" s="0" t="inlineStr">
        <is>
          <t xml:space="preserve">healthcare</t>
        </is>
      </c>
      <c r="F260" s="4">
        <v>59</v>
      </c>
    </row>
    <row r="261">
      <c r="A261" s="0" t="inlineStr">
        <is>
          <t xml:space="preserve">p03_intraday_reversal_GKOS</t>
        </is>
      </c>
      <c r="B261" s="0" t="inlineStr">
        <is>
          <t xml:space="preserve">p03_intraday_reversal</t>
        </is>
      </c>
      <c r="C261" s="0" t="inlineStr">
        <is>
          <t xml:space="preserve">d20260923</t>
        </is>
      </c>
      <c r="D261" s="0" t="inlineStr">
        <is>
          <t xml:space="preserve">GKOS</t>
        </is>
      </c>
      <c r="E261" s="0" t="inlineStr">
        <is>
          <t xml:space="preserve">healthcare</t>
        </is>
      </c>
      <c r="F261" s="4">
        <v>60</v>
      </c>
    </row>
    <row r="262">
      <c r="A262" s="0" t="inlineStr">
        <is>
          <t xml:space="preserve">p03_intraday_reversal_SEZL</t>
        </is>
      </c>
      <c r="B262" s="0" t="inlineStr">
        <is>
          <t xml:space="preserve">p03_intraday_reversal</t>
        </is>
      </c>
      <c r="C262" s="0" t="inlineStr">
        <is>
          <t xml:space="preserve">d20260923</t>
        </is>
      </c>
      <c r="D262" s="0" t="inlineStr">
        <is>
          <t xml:space="preserve">SEZL</t>
        </is>
      </c>
      <c r="E262" s="0" t="inlineStr">
        <is>
          <t xml:space="preserve">financial_services</t>
        </is>
      </c>
      <c r="F262" s="4">
        <v>61</v>
      </c>
    </row>
    <row r="263">
      <c r="A263" s="0" t="inlineStr">
        <is>
          <t xml:space="preserve">p03_intraday_reversal_FSLY</t>
        </is>
      </c>
      <c r="B263" s="0" t="inlineStr">
        <is>
          <t xml:space="preserve">p03_intraday_reversal</t>
        </is>
      </c>
      <c r="C263" s="0" t="inlineStr">
        <is>
          <t xml:space="preserve">d20260923</t>
        </is>
      </c>
      <c r="D263" s="0" t="inlineStr">
        <is>
          <t xml:space="preserve">FSLY</t>
        </is>
      </c>
      <c r="E263" s="0" t="inlineStr">
        <is>
          <t xml:space="preserve">technology</t>
        </is>
      </c>
      <c r="F263" s="4">
        <v>62</v>
      </c>
    </row>
    <row r="264">
      <c r="A264" s="0" t="inlineStr">
        <is>
          <t xml:space="preserve">p03_intraday_reversal_PRDO</t>
        </is>
      </c>
      <c r="B264" s="0" t="inlineStr">
        <is>
          <t xml:space="preserve">p03_intraday_reversal</t>
        </is>
      </c>
      <c r="C264" s="0" t="inlineStr">
        <is>
          <t xml:space="preserve">d20260923</t>
        </is>
      </c>
      <c r="D264" s="0" t="inlineStr">
        <is>
          <t xml:space="preserve">PRDO</t>
        </is>
      </c>
      <c r="E264" s="0" t="inlineStr">
        <is>
          <t xml:space="preserve">consumer_defensive</t>
        </is>
      </c>
      <c r="F264" s="4">
        <v>63</v>
      </c>
    </row>
    <row r="265">
      <c r="A265" s="0" t="inlineStr">
        <is>
          <t xml:space="preserve">p03_intraday_reversal_WEX</t>
        </is>
      </c>
      <c r="B265" s="0" t="inlineStr">
        <is>
          <t xml:space="preserve">p03_intraday_reversal</t>
        </is>
      </c>
      <c r="C265" s="0" t="inlineStr">
        <is>
          <t xml:space="preserve">d20260923</t>
        </is>
      </c>
      <c r="D265" s="0" t="inlineStr">
        <is>
          <t xml:space="preserve">WEX</t>
        </is>
      </c>
      <c r="E265" s="0" t="inlineStr">
        <is>
          <t xml:space="preserve">technology</t>
        </is>
      </c>
      <c r="F265" s="4">
        <v>64</v>
      </c>
    </row>
    <row r="266">
      <c r="A266" s="0" t="inlineStr">
        <is>
          <t xml:space="preserve">p03_intraday_reversal_EXR</t>
        </is>
      </c>
      <c r="B266" s="0" t="inlineStr">
        <is>
          <t xml:space="preserve">p03_intraday_reversal</t>
        </is>
      </c>
      <c r="C266" s="0" t="inlineStr">
        <is>
          <t xml:space="preserve">d20260923</t>
        </is>
      </c>
      <c r="D266" s="0" t="inlineStr">
        <is>
          <t xml:space="preserve">EXR</t>
        </is>
      </c>
      <c r="E266" s="0" t="inlineStr">
        <is>
          <t xml:space="preserve">real_estate</t>
        </is>
      </c>
      <c r="F266" s="4">
        <v>65</v>
      </c>
    </row>
    <row r="267">
      <c r="A267" s="0" t="inlineStr">
        <is>
          <t xml:space="preserve">p03_intraday_reversal_ASAN</t>
        </is>
      </c>
      <c r="B267" s="0" t="inlineStr">
        <is>
          <t xml:space="preserve">p03_intraday_reversal</t>
        </is>
      </c>
      <c r="C267" s="0" t="inlineStr">
        <is>
          <t xml:space="preserve">d20260923</t>
        </is>
      </c>
      <c r="D267" s="0" t="inlineStr">
        <is>
          <t xml:space="preserve">ASAN</t>
        </is>
      </c>
      <c r="E267" s="0" t="inlineStr">
        <is>
          <t xml:space="preserve">technology</t>
        </is>
      </c>
      <c r="F267" s="4">
        <v>66</v>
      </c>
    </row>
    <row r="268">
      <c r="A268" s="0" t="inlineStr">
        <is>
          <t xml:space="preserve">p03_intraday_reversal_DECK</t>
        </is>
      </c>
      <c r="B268" s="0" t="inlineStr">
        <is>
          <t xml:space="preserve">p03_intraday_reversal</t>
        </is>
      </c>
      <c r="C268" s="0" t="inlineStr">
        <is>
          <t xml:space="preserve">d20260923</t>
        </is>
      </c>
      <c r="D268" s="0" t="inlineStr">
        <is>
          <t xml:space="preserve">DECK</t>
        </is>
      </c>
      <c r="E268" s="0" t="inlineStr">
        <is>
          <t xml:space="preserve">consumer_cyclical</t>
        </is>
      </c>
      <c r="F268" s="4">
        <v>67</v>
      </c>
    </row>
    <row r="269">
      <c r="A269" s="0" t="inlineStr">
        <is>
          <t xml:space="preserve">p03_intraday_reversal_RJF</t>
        </is>
      </c>
      <c r="B269" s="0" t="inlineStr">
        <is>
          <t xml:space="preserve">p03_intraday_reversal</t>
        </is>
      </c>
      <c r="C269" s="0" t="inlineStr">
        <is>
          <t xml:space="preserve">d20260923</t>
        </is>
      </c>
      <c r="D269" s="0" t="inlineStr">
        <is>
          <t xml:space="preserve">RJF</t>
        </is>
      </c>
      <c r="E269" s="0" t="inlineStr">
        <is>
          <t xml:space="preserve">financial_services</t>
        </is>
      </c>
      <c r="F269" s="4">
        <v>68</v>
      </c>
    </row>
    <row r="270">
      <c r="A270" s="0" t="inlineStr">
        <is>
          <t xml:space="preserve">p03_intraday_reversal_WING</t>
        </is>
      </c>
      <c r="B270" s="0" t="inlineStr">
        <is>
          <t xml:space="preserve">p03_intraday_reversal</t>
        </is>
      </c>
      <c r="C270" s="0" t="inlineStr">
        <is>
          <t xml:space="preserve">d20260923</t>
        </is>
      </c>
      <c r="D270" s="0" t="inlineStr">
        <is>
          <t xml:space="preserve">WING</t>
        </is>
      </c>
      <c r="E270" s="0" t="inlineStr">
        <is>
          <t xml:space="preserve">consumer_cyclical</t>
        </is>
      </c>
      <c r="F270" s="4">
        <v>69</v>
      </c>
    </row>
    <row r="271">
      <c r="A271" s="0" t="inlineStr">
        <is>
          <t xml:space="preserve">p03_intraday_reversal_TW</t>
        </is>
      </c>
      <c r="B271" s="0" t="inlineStr">
        <is>
          <t xml:space="preserve">p03_intraday_reversal</t>
        </is>
      </c>
      <c r="C271" s="0" t="inlineStr">
        <is>
          <t xml:space="preserve">d20260923</t>
        </is>
      </c>
      <c r="D271" s="0" t="inlineStr">
        <is>
          <t xml:space="preserve">TW</t>
        </is>
      </c>
      <c r="E271" s="0" t="inlineStr">
        <is>
          <t xml:space="preserve">financial_services</t>
        </is>
      </c>
      <c r="F271" s="4">
        <v>70</v>
      </c>
    </row>
    <row r="272">
      <c r="A272" s="0" t="inlineStr">
        <is>
          <t xml:space="preserve">p03_intraday_reversal_VRSN</t>
        </is>
      </c>
      <c r="B272" s="0" t="inlineStr">
        <is>
          <t xml:space="preserve">p03_intraday_reversal</t>
        </is>
      </c>
      <c r="C272" s="0" t="inlineStr">
        <is>
          <t xml:space="preserve">d20260923</t>
        </is>
      </c>
      <c r="D272" s="0" t="inlineStr">
        <is>
          <t xml:space="preserve">VRSN</t>
        </is>
      </c>
      <c r="E272" s="0" t="inlineStr">
        <is>
          <t xml:space="preserve">technology</t>
        </is>
      </c>
      <c r="F272" s="4">
        <v>71</v>
      </c>
    </row>
    <row r="273">
      <c r="A273" s="0" t="inlineStr">
        <is>
          <t xml:space="preserve">p03_intraday_reversal_ABNB</t>
        </is>
      </c>
      <c r="B273" s="0" t="inlineStr">
        <is>
          <t xml:space="preserve">p03_intraday_reversal</t>
        </is>
      </c>
      <c r="C273" s="0" t="inlineStr">
        <is>
          <t xml:space="preserve">d20260923</t>
        </is>
      </c>
      <c r="D273" s="0" t="inlineStr">
        <is>
          <t xml:space="preserve">ABNB</t>
        </is>
      </c>
      <c r="E273" s="0" t="inlineStr">
        <is>
          <t xml:space="preserve">consumer_cyclical</t>
        </is>
      </c>
      <c r="F273" s="4">
        <v>72</v>
      </c>
    </row>
    <row r="274">
      <c r="A274" s="0" t="inlineStr">
        <is>
          <t xml:space="preserve">p03_intraday_reversal_UNH</t>
        </is>
      </c>
      <c r="B274" s="0" t="inlineStr">
        <is>
          <t xml:space="preserve">p03_intraday_reversal</t>
        </is>
      </c>
      <c r="C274" s="0" t="inlineStr">
        <is>
          <t xml:space="preserve">d20260923</t>
        </is>
      </c>
      <c r="D274" s="0" t="inlineStr">
        <is>
          <t xml:space="preserve">UNH</t>
        </is>
      </c>
      <c r="E274" s="0" t="inlineStr">
        <is>
          <t xml:space="preserve">healthcare</t>
        </is>
      </c>
      <c r="F274" s="4">
        <v>73</v>
      </c>
    </row>
    <row r="275">
      <c r="A275" s="0" t="inlineStr">
        <is>
          <t xml:space="preserve">p03_intraday_reversal_BOX</t>
        </is>
      </c>
      <c r="B275" s="0" t="inlineStr">
        <is>
          <t xml:space="preserve">p03_intraday_reversal</t>
        </is>
      </c>
      <c r="C275" s="0" t="inlineStr">
        <is>
          <t xml:space="preserve">d20260923</t>
        </is>
      </c>
      <c r="D275" s="0" t="inlineStr">
        <is>
          <t xml:space="preserve">BOX</t>
        </is>
      </c>
      <c r="E275" s="0" t="inlineStr">
        <is>
          <t xml:space="preserve">technology</t>
        </is>
      </c>
      <c r="F275" s="4">
        <v>74</v>
      </c>
    </row>
    <row r="276">
      <c r="A276" s="0" t="inlineStr">
        <is>
          <t xml:space="preserve">p03_intraday_reversal_DOCU</t>
        </is>
      </c>
      <c r="B276" s="0" t="inlineStr">
        <is>
          <t xml:space="preserve">p03_intraday_reversal</t>
        </is>
      </c>
      <c r="C276" s="0" t="inlineStr">
        <is>
          <t xml:space="preserve">d20260923</t>
        </is>
      </c>
      <c r="D276" s="0" t="inlineStr">
        <is>
          <t xml:space="preserve">DOCU</t>
        </is>
      </c>
      <c r="E276" s="0" t="inlineStr">
        <is>
          <t xml:space="preserve">technology</t>
        </is>
      </c>
      <c r="F276" s="4">
        <v>75</v>
      </c>
    </row>
    <row r="277">
      <c r="A277" s="0" t="inlineStr">
        <is>
          <t xml:space="preserve">p03_intraday_reversal_CHYM</t>
        </is>
      </c>
      <c r="B277" s="0" t="inlineStr">
        <is>
          <t xml:space="preserve">p03_intraday_reversal</t>
        </is>
      </c>
      <c r="C277" s="0" t="inlineStr">
        <is>
          <t xml:space="preserve">d20260923</t>
        </is>
      </c>
      <c r="D277" s="0" t="inlineStr">
        <is>
          <t xml:space="preserve">CHYM</t>
        </is>
      </c>
      <c r="E277" s="0" t="inlineStr">
        <is>
          <t xml:space="preserve">technology</t>
        </is>
      </c>
      <c r="F277" s="4">
        <v>76</v>
      </c>
    </row>
    <row r="278">
      <c r="A278" s="0" t="inlineStr">
        <is>
          <t xml:space="preserve">p03_intraday_reversal_FTDR</t>
        </is>
      </c>
      <c r="B278" s="0" t="inlineStr">
        <is>
          <t xml:space="preserve">p03_intraday_reversal</t>
        </is>
      </c>
      <c r="C278" s="0" t="inlineStr">
        <is>
          <t xml:space="preserve">d20260923</t>
        </is>
      </c>
      <c r="D278" s="0" t="inlineStr">
        <is>
          <t xml:space="preserve">FTDR</t>
        </is>
      </c>
      <c r="E278" s="0" t="inlineStr">
        <is>
          <t xml:space="preserve">consumer_cyclical</t>
        </is>
      </c>
      <c r="F278" s="4">
        <v>77</v>
      </c>
    </row>
    <row r="279">
      <c r="A279" s="0" t="inlineStr">
        <is>
          <t xml:space="preserve">p03_intraday_reversal_TXT</t>
        </is>
      </c>
      <c r="B279" s="0" t="inlineStr">
        <is>
          <t xml:space="preserve">p03_intraday_reversal</t>
        </is>
      </c>
      <c r="C279" s="0" t="inlineStr">
        <is>
          <t xml:space="preserve">d20260923</t>
        </is>
      </c>
      <c r="D279" s="0" t="inlineStr">
        <is>
          <t xml:space="preserve">TXT</t>
        </is>
      </c>
      <c r="E279" s="0" t="inlineStr">
        <is>
          <t xml:space="preserve">industrials</t>
        </is>
      </c>
      <c r="F279" s="4">
        <v>78</v>
      </c>
    </row>
    <row r="280">
      <c r="A280" s="0" t="inlineStr">
        <is>
          <t xml:space="preserve">p03_intraday_reversal_KTOS</t>
        </is>
      </c>
      <c r="B280" s="0" t="inlineStr">
        <is>
          <t xml:space="preserve">p03_intraday_reversal</t>
        </is>
      </c>
      <c r="C280" s="0" t="inlineStr">
        <is>
          <t xml:space="preserve">d20260923</t>
        </is>
      </c>
      <c r="D280" s="0" t="inlineStr">
        <is>
          <t xml:space="preserve">KTOS</t>
        </is>
      </c>
      <c r="E280" s="0" t="inlineStr">
        <is>
          <t xml:space="preserve">industrials</t>
        </is>
      </c>
      <c r="F280" s="4">
        <v>79</v>
      </c>
    </row>
    <row r="281">
      <c r="A281" s="0" t="inlineStr">
        <is>
          <t xml:space="preserve">p03_intraday_reversal_LOPE</t>
        </is>
      </c>
      <c r="B281" s="0" t="inlineStr">
        <is>
          <t xml:space="preserve">p03_intraday_reversal</t>
        </is>
      </c>
      <c r="C281" s="0" t="inlineStr">
        <is>
          <t xml:space="preserve">d20260923</t>
        </is>
      </c>
      <c r="D281" s="0" t="inlineStr">
        <is>
          <t xml:space="preserve">LOPE</t>
        </is>
      </c>
      <c r="E281" s="0" t="inlineStr">
        <is>
          <t xml:space="preserve">consumer_defensive</t>
        </is>
      </c>
      <c r="F281" s="4">
        <v>80</v>
      </c>
    </row>
    <row r="282">
      <c r="A282" s="0" t="inlineStr">
        <is>
          <t xml:space="preserve">p03_intraday_reversal_WFC</t>
        </is>
      </c>
      <c r="B282" s="0" t="inlineStr">
        <is>
          <t xml:space="preserve">p03_intraday_reversal</t>
        </is>
      </c>
      <c r="C282" s="0" t="inlineStr">
        <is>
          <t xml:space="preserve">d20260923</t>
        </is>
      </c>
      <c r="D282" s="0" t="inlineStr">
        <is>
          <t xml:space="preserve">WFC</t>
        </is>
      </c>
      <c r="E282" s="0" t="inlineStr">
        <is>
          <t xml:space="preserve">financial_services</t>
        </is>
      </c>
      <c r="F282" s="4">
        <v>81</v>
      </c>
    </row>
    <row r="283">
      <c r="A283" s="0" t="inlineStr">
        <is>
          <t xml:space="preserve">p03_intraday_reversal_VIRT</t>
        </is>
      </c>
      <c r="B283" s="0" t="inlineStr">
        <is>
          <t xml:space="preserve">p03_intraday_reversal</t>
        </is>
      </c>
      <c r="C283" s="0" t="inlineStr">
        <is>
          <t xml:space="preserve">d20260923</t>
        </is>
      </c>
      <c r="D283" s="0" t="inlineStr">
        <is>
          <t xml:space="preserve">VIRT</t>
        </is>
      </c>
      <c r="E283" s="0" t="inlineStr">
        <is>
          <t xml:space="preserve">financial_services</t>
        </is>
      </c>
      <c r="F283" s="4">
        <v>82</v>
      </c>
    </row>
    <row r="284">
      <c r="A284" s="0" t="inlineStr">
        <is>
          <t xml:space="preserve">p03_intraday_reversal_USAC</t>
        </is>
      </c>
      <c r="B284" s="0" t="inlineStr">
        <is>
          <t xml:space="preserve">p03_intraday_reversal</t>
        </is>
      </c>
      <c r="C284" s="0" t="inlineStr">
        <is>
          <t xml:space="preserve">d20260923</t>
        </is>
      </c>
      <c r="D284" s="0" t="inlineStr">
        <is>
          <t xml:space="preserve">USAC</t>
        </is>
      </c>
      <c r="E284" s="0" t="inlineStr">
        <is>
          <t xml:space="preserve">energy</t>
        </is>
      </c>
      <c r="F284" s="4">
        <v>83</v>
      </c>
    </row>
    <row r="285">
      <c r="A285" s="0" t="inlineStr">
        <is>
          <t xml:space="preserve">p03_intraday_reversal_ELV</t>
        </is>
      </c>
      <c r="B285" s="0" t="inlineStr">
        <is>
          <t xml:space="preserve">p03_intraday_reversal</t>
        </is>
      </c>
      <c r="C285" s="0" t="inlineStr">
        <is>
          <t xml:space="preserve">d20260923</t>
        </is>
      </c>
      <c r="D285" s="0" t="inlineStr">
        <is>
          <t xml:space="preserve">ELV</t>
        </is>
      </c>
      <c r="E285" s="0" t="inlineStr">
        <is>
          <t xml:space="preserve">healthcare</t>
        </is>
      </c>
      <c r="F285" s="4">
        <v>84</v>
      </c>
    </row>
    <row r="286">
      <c r="A286" s="0" t="inlineStr">
        <is>
          <t xml:space="preserve">p03_intraday_reversal_JPM</t>
        </is>
      </c>
      <c r="B286" s="0" t="inlineStr">
        <is>
          <t xml:space="preserve">p03_intraday_reversal</t>
        </is>
      </c>
      <c r="C286" s="0" t="inlineStr">
        <is>
          <t xml:space="preserve">d20260923</t>
        </is>
      </c>
      <c r="D286" s="0" t="inlineStr">
        <is>
          <t xml:space="preserve">JPM</t>
        </is>
      </c>
      <c r="E286" s="0" t="inlineStr">
        <is>
          <t xml:space="preserve">financial_services</t>
        </is>
      </c>
      <c r="F286" s="4">
        <v>85</v>
      </c>
    </row>
    <row r="287">
      <c r="A287" s="0" t="inlineStr">
        <is>
          <t xml:space="preserve">p03_intraday_reversal_GNW</t>
        </is>
      </c>
      <c r="B287" s="0" t="inlineStr">
        <is>
          <t xml:space="preserve">p03_intraday_reversal</t>
        </is>
      </c>
      <c r="C287" s="0" t="inlineStr">
        <is>
          <t xml:space="preserve">d20260923</t>
        </is>
      </c>
      <c r="D287" s="0" t="inlineStr">
        <is>
          <t xml:space="preserve">GNW</t>
        </is>
      </c>
      <c r="E287" s="0" t="inlineStr">
        <is>
          <t xml:space="preserve">financial_services</t>
        </is>
      </c>
      <c r="F287" s="4">
        <v>86</v>
      </c>
    </row>
    <row r="288">
      <c r="A288" s="0" t="inlineStr">
        <is>
          <t xml:space="preserve">p03_intraday_reversal_RYAN</t>
        </is>
      </c>
      <c r="B288" s="0" t="inlineStr">
        <is>
          <t xml:space="preserve">p03_intraday_reversal</t>
        </is>
      </c>
      <c r="C288" s="0" t="inlineStr">
        <is>
          <t xml:space="preserve">d20260923</t>
        </is>
      </c>
      <c r="D288" s="0" t="inlineStr">
        <is>
          <t xml:space="preserve">RYAN</t>
        </is>
      </c>
      <c r="E288" s="0" t="inlineStr">
        <is>
          <t xml:space="preserve">financial_services</t>
        </is>
      </c>
      <c r="F288" s="4">
        <v>87</v>
      </c>
    </row>
    <row r="289">
      <c r="A289" s="0" t="inlineStr">
        <is>
          <t xml:space="preserve">p03_intraday_reversal_ZETA</t>
        </is>
      </c>
      <c r="B289" s="0" t="inlineStr">
        <is>
          <t xml:space="preserve">p03_intraday_reversal</t>
        </is>
      </c>
      <c r="C289" s="0" t="inlineStr">
        <is>
          <t xml:space="preserve">d20260923</t>
        </is>
      </c>
      <c r="D289" s="0" t="inlineStr">
        <is>
          <t xml:space="preserve">ZETA</t>
        </is>
      </c>
      <c r="E289" s="0" t="inlineStr">
        <is>
          <t xml:space="preserve">technology</t>
        </is>
      </c>
      <c r="F289" s="4">
        <v>88</v>
      </c>
    </row>
    <row r="290">
      <c r="A290" s="0" t="inlineStr">
        <is>
          <t xml:space="preserve">p03_intraday_reversal_SAIC</t>
        </is>
      </c>
      <c r="B290" s="0" t="inlineStr">
        <is>
          <t xml:space="preserve">p03_intraday_reversal</t>
        </is>
      </c>
      <c r="C290" s="0" t="inlineStr">
        <is>
          <t xml:space="preserve">d20260923</t>
        </is>
      </c>
      <c r="D290" s="0" t="inlineStr">
        <is>
          <t xml:space="preserve">SAIC</t>
        </is>
      </c>
      <c r="E290" s="0" t="inlineStr">
        <is>
          <t xml:space="preserve">technology</t>
        </is>
      </c>
      <c r="F290" s="4">
        <v>89</v>
      </c>
    </row>
    <row r="291">
      <c r="A291" s="0" t="inlineStr">
        <is>
          <t xml:space="preserve">p03_intraday_reversal_ALK</t>
        </is>
      </c>
      <c r="B291" s="0" t="inlineStr">
        <is>
          <t xml:space="preserve">p03_intraday_reversal</t>
        </is>
      </c>
      <c r="C291" s="0" t="inlineStr">
        <is>
          <t xml:space="preserve">d20260923</t>
        </is>
      </c>
      <c r="D291" s="0" t="inlineStr">
        <is>
          <t xml:space="preserve">ALK</t>
        </is>
      </c>
      <c r="E291" s="0" t="inlineStr">
        <is>
          <t xml:space="preserve">industrials</t>
        </is>
      </c>
      <c r="F291" s="4">
        <v>90</v>
      </c>
    </row>
    <row r="292">
      <c r="A292" s="0" t="inlineStr">
        <is>
          <t xml:space="preserve">p03_intraday_reversal_SIRI</t>
        </is>
      </c>
      <c r="B292" s="0" t="inlineStr">
        <is>
          <t xml:space="preserve">p03_intraday_reversal</t>
        </is>
      </c>
      <c r="C292" s="0" t="inlineStr">
        <is>
          <t xml:space="preserve">d20260923</t>
        </is>
      </c>
      <c r="D292" s="0" t="inlineStr">
        <is>
          <t xml:space="preserve">SIRI</t>
        </is>
      </c>
      <c r="E292" s="0" t="inlineStr">
        <is>
          <t xml:space="preserve">communication_services</t>
        </is>
      </c>
      <c r="F292" s="4">
        <v>91</v>
      </c>
    </row>
    <row r="293">
      <c r="A293" s="0" t="inlineStr">
        <is>
          <t xml:space="preserve">p03_intraday_reversal_SSNC</t>
        </is>
      </c>
      <c r="B293" s="0" t="inlineStr">
        <is>
          <t xml:space="preserve">p03_intraday_reversal</t>
        </is>
      </c>
      <c r="C293" s="0" t="inlineStr">
        <is>
          <t xml:space="preserve">d20260923</t>
        </is>
      </c>
      <c r="D293" s="0" t="inlineStr">
        <is>
          <t xml:space="preserve">SSNC</t>
        </is>
      </c>
      <c r="E293" s="0" t="inlineStr">
        <is>
          <t xml:space="preserve">technology</t>
        </is>
      </c>
      <c r="F293" s="4">
        <v>92</v>
      </c>
    </row>
    <row r="294">
      <c r="A294" s="0" t="inlineStr">
        <is>
          <t xml:space="preserve">p03_intraday_reversal_LYFT</t>
        </is>
      </c>
      <c r="B294" s="0" t="inlineStr">
        <is>
          <t xml:space="preserve">p03_intraday_reversal</t>
        </is>
      </c>
      <c r="C294" s="0" t="inlineStr">
        <is>
          <t xml:space="preserve">d20260923</t>
        </is>
      </c>
      <c r="D294" s="0" t="inlineStr">
        <is>
          <t xml:space="preserve">LYFT</t>
        </is>
      </c>
      <c r="E294" s="0" t="inlineStr">
        <is>
          <t xml:space="preserve">technology</t>
        </is>
      </c>
      <c r="F294" s="4">
        <v>93</v>
      </c>
    </row>
    <row r="295">
      <c r="A295" s="0" t="inlineStr">
        <is>
          <t xml:space="preserve">p03_intraday_reversal_NP</t>
        </is>
      </c>
      <c r="B295" s="0" t="inlineStr">
        <is>
          <t xml:space="preserve">p03_intraday_reversal</t>
        </is>
      </c>
      <c r="C295" s="0" t="inlineStr">
        <is>
          <t xml:space="preserve">d20260923</t>
        </is>
      </c>
      <c r="D295" s="0" t="inlineStr">
        <is>
          <t xml:space="preserve">NP</t>
        </is>
      </c>
      <c r="E295" s="0" t="inlineStr">
        <is>
          <t xml:space="preserve">financial_services</t>
        </is>
      </c>
      <c r="F295" s="4">
        <v>94</v>
      </c>
    </row>
    <row r="296">
      <c r="A296" s="0" t="inlineStr">
        <is>
          <t xml:space="preserve">p03_intraday_reversal_LPG</t>
        </is>
      </c>
      <c r="B296" s="0" t="inlineStr">
        <is>
          <t xml:space="preserve">p03_intraday_reversal</t>
        </is>
      </c>
      <c r="C296" s="0" t="inlineStr">
        <is>
          <t xml:space="preserve">d20260923</t>
        </is>
      </c>
      <c r="D296" s="0" t="inlineStr">
        <is>
          <t xml:space="preserve">LPG</t>
        </is>
      </c>
      <c r="E296" s="0" t="inlineStr">
        <is>
          <t xml:space="preserve">energy</t>
        </is>
      </c>
      <c r="F296" s="4">
        <v>95</v>
      </c>
    </row>
    <row r="297">
      <c r="A297" s="0" t="inlineStr">
        <is>
          <t xml:space="preserve">p03_intraday_reversal_CNC</t>
        </is>
      </c>
      <c r="B297" s="0" t="inlineStr">
        <is>
          <t xml:space="preserve">p03_intraday_reversal</t>
        </is>
      </c>
      <c r="C297" s="0" t="inlineStr">
        <is>
          <t xml:space="preserve">d20260923</t>
        </is>
      </c>
      <c r="D297" s="0" t="inlineStr">
        <is>
          <t xml:space="preserve">CNC</t>
        </is>
      </c>
      <c r="E297" s="0" t="inlineStr">
        <is>
          <t xml:space="preserve">healthcare</t>
        </is>
      </c>
      <c r="F297" s="4">
        <v>96</v>
      </c>
    </row>
    <row r="298">
      <c r="A298" s="0" t="inlineStr">
        <is>
          <t xml:space="preserve">p03_intraday_reversal_KRMN</t>
        </is>
      </c>
      <c r="B298" s="0" t="inlineStr">
        <is>
          <t xml:space="preserve">p03_intraday_reversal</t>
        </is>
      </c>
      <c r="C298" s="0" t="inlineStr">
        <is>
          <t xml:space="preserve">d20260923</t>
        </is>
      </c>
      <c r="D298" s="0" t="inlineStr">
        <is>
          <t xml:space="preserve">KRMN</t>
        </is>
      </c>
      <c r="E298" s="0" t="inlineStr">
        <is>
          <t xml:space="preserve">industrials</t>
        </is>
      </c>
      <c r="F298" s="4">
        <v>97</v>
      </c>
    </row>
    <row r="299">
      <c r="A299" s="0" t="inlineStr">
        <is>
          <t xml:space="preserve">p03_intraday_reversal_TTWO</t>
        </is>
      </c>
      <c r="B299" s="0" t="inlineStr">
        <is>
          <t xml:space="preserve">p03_intraday_reversal</t>
        </is>
      </c>
      <c r="C299" s="0" t="inlineStr">
        <is>
          <t xml:space="preserve">d20260923</t>
        </is>
      </c>
      <c r="D299" s="0" t="inlineStr">
        <is>
          <t xml:space="preserve">TTWO</t>
        </is>
      </c>
      <c r="E299" s="0" t="inlineStr">
        <is>
          <t xml:space="preserve">technology</t>
        </is>
      </c>
      <c r="F299" s="4">
        <v>98</v>
      </c>
    </row>
    <row r="300">
      <c r="A300" s="0" t="inlineStr">
        <is>
          <t xml:space="preserve">p03_intraday_reversal_GEO</t>
        </is>
      </c>
      <c r="B300" s="0" t="inlineStr">
        <is>
          <t xml:space="preserve">p03_intraday_reversal</t>
        </is>
      </c>
      <c r="C300" s="0" t="inlineStr">
        <is>
          <t xml:space="preserve">d20260923</t>
        </is>
      </c>
      <c r="D300" s="0" t="inlineStr">
        <is>
          <t xml:space="preserve">GEO</t>
        </is>
      </c>
      <c r="E300" s="0" t="inlineStr">
        <is>
          <t xml:space="preserve">industrials</t>
        </is>
      </c>
      <c r="F300" s="4">
        <v>99</v>
      </c>
    </row>
    <row r="301">
      <c r="A301" s="0" t="inlineStr">
        <is>
          <t xml:space="preserve">p03_intraday_reversal_CHTR</t>
        </is>
      </c>
      <c r="B301" s="0" t="inlineStr">
        <is>
          <t xml:space="preserve">p03_intraday_reversal</t>
        </is>
      </c>
      <c r="C301" s="0" t="inlineStr">
        <is>
          <t xml:space="preserve">d20260923</t>
        </is>
      </c>
      <c r="D301" s="0" t="inlineStr">
        <is>
          <t xml:space="preserve">CHTR</t>
        </is>
      </c>
      <c r="E301" s="0" t="inlineStr">
        <is>
          <t xml:space="preserve">communication_services</t>
        </is>
      </c>
      <c r="F301" s="4">
        <v>100</v>
      </c>
    </row>
    <row r="302">
      <c r="A302" s="0" t="inlineStr">
        <is>
          <t xml:space="preserve">p04_analyst_revisions_CPRT</t>
        </is>
      </c>
      <c r="B302" s="0" t="inlineStr">
        <is>
          <t xml:space="preserve">p04_analyst_revisions</t>
        </is>
      </c>
      <c r="C302" s="0" t="inlineStr">
        <is>
          <t xml:space="preserve">d20260923</t>
        </is>
      </c>
      <c r="D302" s="0" t="inlineStr">
        <is>
          <t xml:space="preserve">CPRT</t>
        </is>
      </c>
      <c r="E302" s="0" t="inlineStr">
        <is>
          <t xml:space="preserve">industrials</t>
        </is>
      </c>
      <c r="F302" s="4">
        <v>1</v>
      </c>
    </row>
    <row r="303">
      <c r="A303" s="0" t="inlineStr">
        <is>
          <t xml:space="preserve">p04_analyst_revisions_MRNA</t>
        </is>
      </c>
      <c r="B303" s="0" t="inlineStr">
        <is>
          <t xml:space="preserve">p04_analyst_revisions</t>
        </is>
      </c>
      <c r="C303" s="0" t="inlineStr">
        <is>
          <t xml:space="preserve">d20260923</t>
        </is>
      </c>
      <c r="D303" s="0" t="inlineStr">
        <is>
          <t xml:space="preserve">MRNA</t>
        </is>
      </c>
      <c r="E303" s="0" t="inlineStr">
        <is>
          <t xml:space="preserve">healthcare</t>
        </is>
      </c>
      <c r="F303" s="4">
        <v>2</v>
      </c>
    </row>
    <row r="304">
      <c r="A304" s="0" t="inlineStr">
        <is>
          <t xml:space="preserve">p04_analyst_revisions_SFNC</t>
        </is>
      </c>
      <c r="B304" s="0" t="inlineStr">
        <is>
          <t xml:space="preserve">p04_analyst_revisions</t>
        </is>
      </c>
      <c r="C304" s="0" t="inlineStr">
        <is>
          <t xml:space="preserve">d20260923</t>
        </is>
      </c>
      <c r="D304" s="0" t="inlineStr">
        <is>
          <t xml:space="preserve">SFNC</t>
        </is>
      </c>
      <c r="E304" s="0" t="inlineStr">
        <is>
          <t xml:space="preserve">financial_services</t>
        </is>
      </c>
      <c r="F304" s="4">
        <v>3</v>
      </c>
    </row>
    <row r="305">
      <c r="A305" s="0" t="inlineStr">
        <is>
          <t xml:space="preserve">p04_analyst_revisions_EQPT</t>
        </is>
      </c>
      <c r="B305" s="0" t="inlineStr">
        <is>
          <t xml:space="preserve">p04_analyst_revisions</t>
        </is>
      </c>
      <c r="C305" s="0" t="inlineStr">
        <is>
          <t xml:space="preserve">d20260923</t>
        </is>
      </c>
      <c r="D305" s="0" t="inlineStr">
        <is>
          <t xml:space="preserve">EQPT</t>
        </is>
      </c>
      <c r="E305" s="0" t="inlineStr">
        <is>
          <t xml:space="preserve">industrials</t>
        </is>
      </c>
      <c r="F305" s="4">
        <v>4</v>
      </c>
    </row>
    <row r="306">
      <c r="A306" s="0" t="inlineStr">
        <is>
          <t xml:space="preserve">p04_analyst_revisions_AADX</t>
        </is>
      </c>
      <c r="B306" s="0" t="inlineStr">
        <is>
          <t xml:space="preserve">p04_analyst_revisions</t>
        </is>
      </c>
      <c r="C306" s="0" t="inlineStr">
        <is>
          <t xml:space="preserve">d20260923</t>
        </is>
      </c>
      <c r="D306" s="0" t="inlineStr">
        <is>
          <t xml:space="preserve">AADX</t>
        </is>
      </c>
      <c r="E306" s="0" t="inlineStr">
        <is>
          <t xml:space="preserve">industrials</t>
        </is>
      </c>
      <c r="F306" s="4">
        <v>5</v>
      </c>
    </row>
    <row r="307">
      <c r="A307" s="0" t="inlineStr">
        <is>
          <t xml:space="preserve">p04_analyst_revisions_QXO</t>
        </is>
      </c>
      <c r="B307" s="0" t="inlineStr">
        <is>
          <t xml:space="preserve">p04_analyst_revisions</t>
        </is>
      </c>
      <c r="C307" s="0" t="inlineStr">
        <is>
          <t xml:space="preserve">d20260923</t>
        </is>
      </c>
      <c r="D307" s="0" t="inlineStr">
        <is>
          <t xml:space="preserve">QXO</t>
        </is>
      </c>
      <c r="E307" s="0" t="inlineStr">
        <is>
          <t xml:space="preserve">industrials</t>
        </is>
      </c>
      <c r="F307" s="4">
        <v>6</v>
      </c>
    </row>
    <row r="308">
      <c r="A308" s="0" t="inlineStr">
        <is>
          <t xml:space="preserve">p04_analyst_revisions_CXT</t>
        </is>
      </c>
      <c r="B308" s="0" t="inlineStr">
        <is>
          <t xml:space="preserve">p04_analyst_revisions</t>
        </is>
      </c>
      <c r="C308" s="0" t="inlineStr">
        <is>
          <t xml:space="preserve">d20260923</t>
        </is>
      </c>
      <c r="D308" s="0" t="inlineStr">
        <is>
          <t xml:space="preserve">CXT</t>
        </is>
      </c>
      <c r="E308" s="0" t="inlineStr">
        <is>
          <t xml:space="preserve">industrials</t>
        </is>
      </c>
      <c r="F308" s="4">
        <v>7</v>
      </c>
    </row>
    <row r="309">
      <c r="A309" s="0" t="inlineStr">
        <is>
          <t xml:space="preserve">p04_analyst_revisions_BE</t>
        </is>
      </c>
      <c r="B309" s="0" t="inlineStr">
        <is>
          <t xml:space="preserve">p04_analyst_revisions</t>
        </is>
      </c>
      <c r="C309" s="0" t="inlineStr">
        <is>
          <t xml:space="preserve">d20260923</t>
        </is>
      </c>
      <c r="D309" s="0" t="inlineStr">
        <is>
          <t xml:space="preserve">BE</t>
        </is>
      </c>
      <c r="E309" s="0" t="inlineStr">
        <is>
          <t xml:space="preserve">industrials</t>
        </is>
      </c>
      <c r="F309" s="4">
        <v>8</v>
      </c>
    </row>
    <row r="310">
      <c r="A310" s="0" t="inlineStr">
        <is>
          <t xml:space="preserve">p04_analyst_revisions_EFX</t>
        </is>
      </c>
      <c r="B310" s="0" t="inlineStr">
        <is>
          <t xml:space="preserve">p04_analyst_revisions</t>
        </is>
      </c>
      <c r="C310" s="0" t="inlineStr">
        <is>
          <t xml:space="preserve">d20260923</t>
        </is>
      </c>
      <c r="D310" s="0" t="inlineStr">
        <is>
          <t xml:space="preserve">EFX</t>
        </is>
      </c>
      <c r="E310" s="0" t="inlineStr">
        <is>
          <t xml:space="preserve">industrials</t>
        </is>
      </c>
      <c r="F310" s="4">
        <v>9</v>
      </c>
    </row>
    <row r="311">
      <c r="A311" s="0" t="inlineStr">
        <is>
          <t xml:space="preserve">p04_analyst_revisions_TSLA</t>
        </is>
      </c>
      <c r="B311" s="0" t="inlineStr">
        <is>
          <t xml:space="preserve">p04_analyst_revisions</t>
        </is>
      </c>
      <c r="C311" s="0" t="inlineStr">
        <is>
          <t xml:space="preserve">d20260923</t>
        </is>
      </c>
      <c r="D311" s="0" t="inlineStr">
        <is>
          <t xml:space="preserve">TSLA</t>
        </is>
      </c>
      <c r="E311" s="0" t="inlineStr">
        <is>
          <t xml:space="preserve">consumer_cyclical</t>
        </is>
      </c>
      <c r="F311" s="4">
        <v>10</v>
      </c>
    </row>
    <row r="312">
      <c r="A312" s="0" t="inlineStr">
        <is>
          <t xml:space="preserve">p04_analyst_revisions_DKNG</t>
        </is>
      </c>
      <c r="B312" s="0" t="inlineStr">
        <is>
          <t xml:space="preserve">p04_analyst_revisions</t>
        </is>
      </c>
      <c r="C312" s="0" t="inlineStr">
        <is>
          <t xml:space="preserve">d20260923</t>
        </is>
      </c>
      <c r="D312" s="0" t="inlineStr">
        <is>
          <t xml:space="preserve">DKNG</t>
        </is>
      </c>
      <c r="E312" s="0" t="inlineStr">
        <is>
          <t xml:space="preserve">consumer_cyclical</t>
        </is>
      </c>
      <c r="F312" s="4">
        <v>11</v>
      </c>
    </row>
    <row r="313">
      <c r="A313" s="0" t="inlineStr">
        <is>
          <t xml:space="preserve">p04_analyst_revisions_RIVN</t>
        </is>
      </c>
      <c r="B313" s="0" t="inlineStr">
        <is>
          <t xml:space="preserve">p04_analyst_revisions</t>
        </is>
      </c>
      <c r="C313" s="0" t="inlineStr">
        <is>
          <t xml:space="preserve">d20260923</t>
        </is>
      </c>
      <c r="D313" s="0" t="inlineStr">
        <is>
          <t xml:space="preserve">RIVN</t>
        </is>
      </c>
      <c r="E313" s="0" t="inlineStr">
        <is>
          <t xml:space="preserve">consumer_cyclical</t>
        </is>
      </c>
      <c r="F313" s="4">
        <v>12</v>
      </c>
    </row>
    <row r="314">
      <c r="A314" s="0" t="inlineStr">
        <is>
          <t xml:space="preserve">p04_analyst_revisions_EVR</t>
        </is>
      </c>
      <c r="B314" s="0" t="inlineStr">
        <is>
          <t xml:space="preserve">p04_analyst_revisions</t>
        </is>
      </c>
      <c r="C314" s="0" t="inlineStr">
        <is>
          <t xml:space="preserve">d20260923</t>
        </is>
      </c>
      <c r="D314" s="0" t="inlineStr">
        <is>
          <t xml:space="preserve">EVR</t>
        </is>
      </c>
      <c r="E314" s="0" t="inlineStr">
        <is>
          <t xml:space="preserve">financial_services</t>
        </is>
      </c>
      <c r="F314" s="4">
        <v>13</v>
      </c>
    </row>
    <row r="315">
      <c r="A315" s="0" t="inlineStr">
        <is>
          <t xml:space="preserve">p04_analyst_revisions_AU</t>
        </is>
      </c>
      <c r="B315" s="0" t="inlineStr">
        <is>
          <t xml:space="preserve">p04_analyst_revisions</t>
        </is>
      </c>
      <c r="C315" s="0" t="inlineStr">
        <is>
          <t xml:space="preserve">d20260923</t>
        </is>
      </c>
      <c r="D315" s="0" t="inlineStr">
        <is>
          <t xml:space="preserve">AU</t>
        </is>
      </c>
      <c r="E315" s="0" t="inlineStr">
        <is>
          <t xml:space="preserve">basic_materials</t>
        </is>
      </c>
      <c r="F315" s="4">
        <v>14</v>
      </c>
    </row>
    <row r="316">
      <c r="A316" s="0" t="inlineStr">
        <is>
          <t xml:space="preserve">p04_analyst_revisions_BMNR</t>
        </is>
      </c>
      <c r="B316" s="0" t="inlineStr">
        <is>
          <t xml:space="preserve">p04_analyst_revisions</t>
        </is>
      </c>
      <c r="C316" s="0" t="inlineStr">
        <is>
          <t xml:space="preserve">d20260923</t>
        </is>
      </c>
      <c r="D316" s="0" t="inlineStr">
        <is>
          <t xml:space="preserve">BMNR</t>
        </is>
      </c>
      <c r="E316" s="0" t="inlineStr">
        <is>
          <t xml:space="preserve">financial_services</t>
        </is>
      </c>
      <c r="F316" s="4">
        <v>15</v>
      </c>
    </row>
    <row r="317">
      <c r="A317" s="0" t="inlineStr">
        <is>
          <t xml:space="preserve">p04_analyst_revisions_CENX</t>
        </is>
      </c>
      <c r="B317" s="0" t="inlineStr">
        <is>
          <t xml:space="preserve">p04_analyst_revisions</t>
        </is>
      </c>
      <c r="C317" s="0" t="inlineStr">
        <is>
          <t xml:space="preserve">d20260923</t>
        </is>
      </c>
      <c r="D317" s="0" t="inlineStr">
        <is>
          <t xml:space="preserve">CENX</t>
        </is>
      </c>
      <c r="E317" s="0" t="inlineStr">
        <is>
          <t xml:space="preserve">basic_materials</t>
        </is>
      </c>
      <c r="F317" s="4">
        <v>16</v>
      </c>
    </row>
    <row r="318">
      <c r="A318" s="0" t="inlineStr">
        <is>
          <t xml:space="preserve">p04_analyst_revisions_FLYW</t>
        </is>
      </c>
      <c r="B318" s="0" t="inlineStr">
        <is>
          <t xml:space="preserve">p04_analyst_revisions</t>
        </is>
      </c>
      <c r="C318" s="0" t="inlineStr">
        <is>
          <t xml:space="preserve">d20260923</t>
        </is>
      </c>
      <c r="D318" s="0" t="inlineStr">
        <is>
          <t xml:space="preserve">FLYW</t>
        </is>
      </c>
      <c r="E318" s="0" t="inlineStr">
        <is>
          <t xml:space="preserve">industrials</t>
        </is>
      </c>
      <c r="F318" s="4">
        <v>17</v>
      </c>
    </row>
    <row r="319">
      <c r="A319" s="0" t="inlineStr">
        <is>
          <t xml:space="preserve">p04_analyst_revisions_KHC</t>
        </is>
      </c>
      <c r="B319" s="0" t="inlineStr">
        <is>
          <t xml:space="preserve">p04_analyst_revisions</t>
        </is>
      </c>
      <c r="C319" s="0" t="inlineStr">
        <is>
          <t xml:space="preserve">d20260923</t>
        </is>
      </c>
      <c r="D319" s="0" t="inlineStr">
        <is>
          <t xml:space="preserve">KHC</t>
        </is>
      </c>
      <c r="E319" s="0" t="inlineStr">
        <is>
          <t xml:space="preserve">consumer_defensive</t>
        </is>
      </c>
      <c r="F319" s="4">
        <v>18</v>
      </c>
    </row>
    <row r="320">
      <c r="A320" s="0" t="inlineStr">
        <is>
          <t xml:space="preserve">p04_analyst_revisions_CLF</t>
        </is>
      </c>
      <c r="B320" s="0" t="inlineStr">
        <is>
          <t xml:space="preserve">p04_analyst_revisions</t>
        </is>
      </c>
      <c r="C320" s="0" t="inlineStr">
        <is>
          <t xml:space="preserve">d20260923</t>
        </is>
      </c>
      <c r="D320" s="0" t="inlineStr">
        <is>
          <t xml:space="preserve">CLF</t>
        </is>
      </c>
      <c r="E320" s="0" t="inlineStr">
        <is>
          <t xml:space="preserve">basic_materials</t>
        </is>
      </c>
      <c r="F320" s="4">
        <v>19</v>
      </c>
    </row>
    <row r="321">
      <c r="A321" s="0" t="inlineStr">
        <is>
          <t xml:space="preserve">p04_analyst_revisions_PATK</t>
        </is>
      </c>
      <c r="B321" s="0" t="inlineStr">
        <is>
          <t xml:space="preserve">p04_analyst_revisions</t>
        </is>
      </c>
      <c r="C321" s="0" t="inlineStr">
        <is>
          <t xml:space="preserve">d20260923</t>
        </is>
      </c>
      <c r="D321" s="0" t="inlineStr">
        <is>
          <t xml:space="preserve">PATK</t>
        </is>
      </c>
      <c r="E321" s="0" t="inlineStr">
        <is>
          <t xml:space="preserve">consumer_cyclical</t>
        </is>
      </c>
      <c r="F321" s="4">
        <v>20</v>
      </c>
    </row>
    <row r="322">
      <c r="A322" s="0" t="inlineStr">
        <is>
          <t xml:space="preserve">p04_analyst_revisions_GLXY</t>
        </is>
      </c>
      <c r="B322" s="0" t="inlineStr">
        <is>
          <t xml:space="preserve">p04_analyst_revisions</t>
        </is>
      </c>
      <c r="C322" s="0" t="inlineStr">
        <is>
          <t xml:space="preserve">d20260923</t>
        </is>
      </c>
      <c r="D322" s="0" t="inlineStr">
        <is>
          <t xml:space="preserve">GLXY</t>
        </is>
      </c>
      <c r="E322" s="0" t="inlineStr">
        <is>
          <t xml:space="preserve">financial_services</t>
        </is>
      </c>
      <c r="F322" s="4">
        <v>21</v>
      </c>
    </row>
    <row r="323">
      <c r="A323" s="0" t="inlineStr">
        <is>
          <t xml:space="preserve">p04_analyst_revisions_AVAV</t>
        </is>
      </c>
      <c r="B323" s="0" t="inlineStr">
        <is>
          <t xml:space="preserve">p04_analyst_revisions</t>
        </is>
      </c>
      <c r="C323" s="0" t="inlineStr">
        <is>
          <t xml:space="preserve">d20260923</t>
        </is>
      </c>
      <c r="D323" s="0" t="inlineStr">
        <is>
          <t xml:space="preserve">AVAV</t>
        </is>
      </c>
      <c r="E323" s="0" t="inlineStr">
        <is>
          <t xml:space="preserve">industrials</t>
        </is>
      </c>
      <c r="F323" s="4">
        <v>22</v>
      </c>
    </row>
    <row r="324">
      <c r="A324" s="0" t="inlineStr">
        <is>
          <t xml:space="preserve">p04_analyst_revisions_VAC</t>
        </is>
      </c>
      <c r="B324" s="0" t="inlineStr">
        <is>
          <t xml:space="preserve">p04_analyst_revisions</t>
        </is>
      </c>
      <c r="C324" s="0" t="inlineStr">
        <is>
          <t xml:space="preserve">d20260923</t>
        </is>
      </c>
      <c r="D324" s="0" t="inlineStr">
        <is>
          <t xml:space="preserve">VAC</t>
        </is>
      </c>
      <c r="E324" s="0" t="inlineStr">
        <is>
          <t xml:space="preserve">consumer_cyclical</t>
        </is>
      </c>
      <c r="F324" s="4">
        <v>23</v>
      </c>
    </row>
    <row r="325">
      <c r="A325" s="0" t="inlineStr">
        <is>
          <t xml:space="preserve">p04_analyst_revisions_AXTA</t>
        </is>
      </c>
      <c r="B325" s="0" t="inlineStr">
        <is>
          <t xml:space="preserve">p04_analyst_revisions</t>
        </is>
      </c>
      <c r="C325" s="0" t="inlineStr">
        <is>
          <t xml:space="preserve">d20260923</t>
        </is>
      </c>
      <c r="D325" s="0" t="inlineStr">
        <is>
          <t xml:space="preserve">AXTA</t>
        </is>
      </c>
      <c r="E325" s="0" t="inlineStr">
        <is>
          <t xml:space="preserve">basic_materials</t>
        </is>
      </c>
      <c r="F325" s="4">
        <v>24</v>
      </c>
    </row>
    <row r="326">
      <c r="A326" s="0" t="inlineStr">
        <is>
          <t xml:space="preserve">p04_analyst_revisions_XMTR</t>
        </is>
      </c>
      <c r="B326" s="0" t="inlineStr">
        <is>
          <t xml:space="preserve">p04_analyst_revisions</t>
        </is>
      </c>
      <c r="C326" s="0" t="inlineStr">
        <is>
          <t xml:space="preserve">d20260923</t>
        </is>
      </c>
      <c r="D326" s="0" t="inlineStr">
        <is>
          <t xml:space="preserve">XMTR</t>
        </is>
      </c>
      <c r="E326" s="0" t="inlineStr">
        <is>
          <t xml:space="preserve">industrials</t>
        </is>
      </c>
      <c r="F326" s="4">
        <v>25</v>
      </c>
    </row>
    <row r="327">
      <c r="A327" s="0" t="inlineStr">
        <is>
          <t xml:space="preserve">p04_analyst_revisions_AGCO</t>
        </is>
      </c>
      <c r="B327" s="0" t="inlineStr">
        <is>
          <t xml:space="preserve">p04_analyst_revisions</t>
        </is>
      </c>
      <c r="C327" s="0" t="inlineStr">
        <is>
          <t xml:space="preserve">d20260923</t>
        </is>
      </c>
      <c r="D327" s="0" t="inlineStr">
        <is>
          <t xml:space="preserve">AGCO</t>
        </is>
      </c>
      <c r="E327" s="0" t="inlineStr">
        <is>
          <t xml:space="preserve">industrials</t>
        </is>
      </c>
      <c r="F327" s="4">
        <v>26</v>
      </c>
    </row>
    <row r="328">
      <c r="A328" s="0" t="inlineStr">
        <is>
          <t xml:space="preserve">p04_analyst_revisions_ELF</t>
        </is>
      </c>
      <c r="B328" s="0" t="inlineStr">
        <is>
          <t xml:space="preserve">p04_analyst_revisions</t>
        </is>
      </c>
      <c r="C328" s="0" t="inlineStr">
        <is>
          <t xml:space="preserve">d20260923</t>
        </is>
      </c>
      <c r="D328" s="0" t="inlineStr">
        <is>
          <t xml:space="preserve">ELF</t>
        </is>
      </c>
      <c r="E328" s="0" t="inlineStr">
        <is>
          <t xml:space="preserve">consumer_defensive</t>
        </is>
      </c>
      <c r="F328" s="4">
        <v>27</v>
      </c>
    </row>
    <row r="329">
      <c r="A329" s="0" t="inlineStr">
        <is>
          <t xml:space="preserve">p04_analyst_revisions_ZG</t>
        </is>
      </c>
      <c r="B329" s="0" t="inlineStr">
        <is>
          <t xml:space="preserve">p04_analyst_revisions</t>
        </is>
      </c>
      <c r="C329" s="0" t="inlineStr">
        <is>
          <t xml:space="preserve">d20260923</t>
        </is>
      </c>
      <c r="D329" s="0" t="inlineStr">
        <is>
          <t xml:space="preserve">ZG</t>
        </is>
      </c>
      <c r="E329" s="0" t="inlineStr">
        <is>
          <t xml:space="preserve">communication_services</t>
        </is>
      </c>
      <c r="F329" s="4">
        <v>28</v>
      </c>
    </row>
    <row r="330">
      <c r="A330" s="0" t="inlineStr">
        <is>
          <t xml:space="preserve">p04_analyst_revisions_DUOL</t>
        </is>
      </c>
      <c r="B330" s="0" t="inlineStr">
        <is>
          <t xml:space="preserve">p04_analyst_revisions</t>
        </is>
      </c>
      <c r="C330" s="0" t="inlineStr">
        <is>
          <t xml:space="preserve">d20260923</t>
        </is>
      </c>
      <c r="D330" s="0" t="inlineStr">
        <is>
          <t xml:space="preserve">DUOL</t>
        </is>
      </c>
      <c r="E330" s="0" t="inlineStr">
        <is>
          <t xml:space="preserve">technology</t>
        </is>
      </c>
      <c r="F330" s="4">
        <v>29</v>
      </c>
    </row>
    <row r="331">
      <c r="A331" s="0" t="inlineStr">
        <is>
          <t xml:space="preserve">p04_analyst_revisions_SHAK</t>
        </is>
      </c>
      <c r="B331" s="0" t="inlineStr">
        <is>
          <t xml:space="preserve">p04_analyst_revisions</t>
        </is>
      </c>
      <c r="C331" s="0" t="inlineStr">
        <is>
          <t xml:space="preserve">d20260923</t>
        </is>
      </c>
      <c r="D331" s="0" t="inlineStr">
        <is>
          <t xml:space="preserve">SHAK</t>
        </is>
      </c>
      <c r="E331" s="0" t="inlineStr">
        <is>
          <t xml:space="preserve">consumer_cyclical</t>
        </is>
      </c>
      <c r="F331" s="4">
        <v>30</v>
      </c>
    </row>
    <row r="332">
      <c r="A332" s="0" t="inlineStr">
        <is>
          <t xml:space="preserve">p04_analyst_revisions_CFR</t>
        </is>
      </c>
      <c r="B332" s="0" t="inlineStr">
        <is>
          <t xml:space="preserve">p04_analyst_revisions</t>
        </is>
      </c>
      <c r="C332" s="0" t="inlineStr">
        <is>
          <t xml:space="preserve">d20260923</t>
        </is>
      </c>
      <c r="D332" s="0" t="inlineStr">
        <is>
          <t xml:space="preserve">CFR</t>
        </is>
      </c>
      <c r="E332" s="0" t="inlineStr">
        <is>
          <t xml:space="preserve">financial_services</t>
        </is>
      </c>
      <c r="F332" s="4">
        <v>31</v>
      </c>
    </row>
    <row r="333">
      <c r="A333" s="0" t="inlineStr">
        <is>
          <t xml:space="preserve">p04_analyst_revisions_PLTR</t>
        </is>
      </c>
      <c r="B333" s="0" t="inlineStr">
        <is>
          <t xml:space="preserve">p04_analyst_revisions</t>
        </is>
      </c>
      <c r="C333" s="0" t="inlineStr">
        <is>
          <t xml:space="preserve">d20260923</t>
        </is>
      </c>
      <c r="D333" s="0" t="inlineStr">
        <is>
          <t xml:space="preserve">PLTR</t>
        </is>
      </c>
      <c r="E333" s="0" t="inlineStr">
        <is>
          <t xml:space="preserve">technology</t>
        </is>
      </c>
      <c r="F333" s="4">
        <v>32</v>
      </c>
    </row>
    <row r="334">
      <c r="A334" s="0" t="inlineStr">
        <is>
          <t xml:space="preserve">p04_analyst_revisions_LFTO</t>
        </is>
      </c>
      <c r="B334" s="0" t="inlineStr">
        <is>
          <t xml:space="preserve">p04_analyst_revisions</t>
        </is>
      </c>
      <c r="C334" s="0" t="inlineStr">
        <is>
          <t xml:space="preserve">d20260923</t>
        </is>
      </c>
      <c r="D334" s="0" t="inlineStr">
        <is>
          <t xml:space="preserve">LFTO</t>
        </is>
      </c>
      <c r="E334" s="0" t="inlineStr">
        <is>
          <t xml:space="preserve">communication_services</t>
        </is>
      </c>
      <c r="F334" s="4">
        <v>33</v>
      </c>
    </row>
    <row r="335">
      <c r="A335" s="0" t="inlineStr">
        <is>
          <t xml:space="preserve">p04_analyst_revisions_GM</t>
        </is>
      </c>
      <c r="B335" s="0" t="inlineStr">
        <is>
          <t xml:space="preserve">p04_analyst_revisions</t>
        </is>
      </c>
      <c r="C335" s="0" t="inlineStr">
        <is>
          <t xml:space="preserve">d20260923</t>
        </is>
      </c>
      <c r="D335" s="0" t="inlineStr">
        <is>
          <t xml:space="preserve">GM</t>
        </is>
      </c>
      <c r="E335" s="0" t="inlineStr">
        <is>
          <t xml:space="preserve">consumer_cyclical</t>
        </is>
      </c>
      <c r="F335" s="4">
        <v>34</v>
      </c>
    </row>
    <row r="336">
      <c r="A336" s="0" t="inlineStr">
        <is>
          <t xml:space="preserve">p04_analyst_revisions_CLMT</t>
        </is>
      </c>
      <c r="B336" s="0" t="inlineStr">
        <is>
          <t xml:space="preserve">p04_analyst_revisions</t>
        </is>
      </c>
      <c r="C336" s="0" t="inlineStr">
        <is>
          <t xml:space="preserve">d20260923</t>
        </is>
      </c>
      <c r="D336" s="0" t="inlineStr">
        <is>
          <t xml:space="preserve">CLMT</t>
        </is>
      </c>
      <c r="E336" s="0" t="inlineStr">
        <is>
          <t xml:space="preserve">basic_materials</t>
        </is>
      </c>
      <c r="F336" s="4">
        <v>35</v>
      </c>
    </row>
    <row r="337">
      <c r="A337" s="0" t="inlineStr">
        <is>
          <t xml:space="preserve">p04_analyst_revisions_MTB</t>
        </is>
      </c>
      <c r="B337" s="0" t="inlineStr">
        <is>
          <t xml:space="preserve">p04_analyst_revisions</t>
        </is>
      </c>
      <c r="C337" s="0" t="inlineStr">
        <is>
          <t xml:space="preserve">d20260923</t>
        </is>
      </c>
      <c r="D337" s="0" t="inlineStr">
        <is>
          <t xml:space="preserve">MTB</t>
        </is>
      </c>
      <c r="E337" s="0" t="inlineStr">
        <is>
          <t xml:space="preserve">financial_services</t>
        </is>
      </c>
      <c r="F337" s="4">
        <v>36</v>
      </c>
    </row>
    <row r="338">
      <c r="A338" s="0" t="inlineStr">
        <is>
          <t xml:space="preserve">p04_analyst_revisions_CAKE</t>
        </is>
      </c>
      <c r="B338" s="0" t="inlineStr">
        <is>
          <t xml:space="preserve">p04_analyst_revisions</t>
        </is>
      </c>
      <c r="C338" s="0" t="inlineStr">
        <is>
          <t xml:space="preserve">d20260923</t>
        </is>
      </c>
      <c r="D338" s="0" t="inlineStr">
        <is>
          <t xml:space="preserve">CAKE</t>
        </is>
      </c>
      <c r="E338" s="0" t="inlineStr">
        <is>
          <t xml:space="preserve">consumer_cyclical</t>
        </is>
      </c>
      <c r="F338" s="4">
        <v>37</v>
      </c>
    </row>
    <row r="339">
      <c r="A339" s="0" t="inlineStr">
        <is>
          <t xml:space="preserve">p04_analyst_revisions_SYM</t>
        </is>
      </c>
      <c r="B339" s="0" t="inlineStr">
        <is>
          <t xml:space="preserve">p04_analyst_revisions</t>
        </is>
      </c>
      <c r="C339" s="0" t="inlineStr">
        <is>
          <t xml:space="preserve">d20260923</t>
        </is>
      </c>
      <c r="D339" s="0" t="inlineStr">
        <is>
          <t xml:space="preserve">SYM</t>
        </is>
      </c>
      <c r="E339" s="0" t="inlineStr">
        <is>
          <t xml:space="preserve">industrials</t>
        </is>
      </c>
      <c r="F339" s="4">
        <v>38</v>
      </c>
    </row>
    <row r="340">
      <c r="A340" s="0" t="inlineStr">
        <is>
          <t xml:space="preserve">p04_analyst_revisions_CBSH</t>
        </is>
      </c>
      <c r="B340" s="0" t="inlineStr">
        <is>
          <t xml:space="preserve">p04_analyst_revisions</t>
        </is>
      </c>
      <c r="C340" s="0" t="inlineStr">
        <is>
          <t xml:space="preserve">d20260923</t>
        </is>
      </c>
      <c r="D340" s="0" t="inlineStr">
        <is>
          <t xml:space="preserve">CBSH</t>
        </is>
      </c>
      <c r="E340" s="0" t="inlineStr">
        <is>
          <t xml:space="preserve">financial_services</t>
        </is>
      </c>
      <c r="F340" s="4">
        <v>39</v>
      </c>
    </row>
    <row r="341">
      <c r="A341" s="0" t="inlineStr">
        <is>
          <t xml:space="preserve">p04_analyst_revisions_ICE</t>
        </is>
      </c>
      <c r="B341" s="0" t="inlineStr">
        <is>
          <t xml:space="preserve">p04_analyst_revisions</t>
        </is>
      </c>
      <c r="C341" s="0" t="inlineStr">
        <is>
          <t xml:space="preserve">d20260923</t>
        </is>
      </c>
      <c r="D341" s="0" t="inlineStr">
        <is>
          <t xml:space="preserve">ICE</t>
        </is>
      </c>
      <c r="E341" s="0" t="inlineStr">
        <is>
          <t xml:space="preserve">financial_services</t>
        </is>
      </c>
      <c r="F341" s="4">
        <v>40</v>
      </c>
    </row>
    <row r="342">
      <c r="A342" s="0" t="inlineStr">
        <is>
          <t xml:space="preserve">p04_analyst_revisions_FOXA</t>
        </is>
      </c>
      <c r="B342" s="0" t="inlineStr">
        <is>
          <t xml:space="preserve">p04_analyst_revisions</t>
        </is>
      </c>
      <c r="C342" s="0" t="inlineStr">
        <is>
          <t xml:space="preserve">d20260923</t>
        </is>
      </c>
      <c r="D342" s="0" t="inlineStr">
        <is>
          <t xml:space="preserve">FOXA</t>
        </is>
      </c>
      <c r="E342" s="0" t="inlineStr">
        <is>
          <t xml:space="preserve">communication_services</t>
        </is>
      </c>
      <c r="F342" s="4">
        <v>41</v>
      </c>
    </row>
    <row r="343">
      <c r="A343" s="0" t="inlineStr">
        <is>
          <t xml:space="preserve">p04_analyst_revisions_PAYC</t>
        </is>
      </c>
      <c r="B343" s="0" t="inlineStr">
        <is>
          <t xml:space="preserve">p04_analyst_revisions</t>
        </is>
      </c>
      <c r="C343" s="0" t="inlineStr">
        <is>
          <t xml:space="preserve">d20260923</t>
        </is>
      </c>
      <c r="D343" s="0" t="inlineStr">
        <is>
          <t xml:space="preserve">PAYC</t>
        </is>
      </c>
      <c r="E343" s="0" t="inlineStr">
        <is>
          <t xml:space="preserve">technology</t>
        </is>
      </c>
      <c r="F343" s="4">
        <v>42</v>
      </c>
    </row>
    <row r="344">
      <c r="A344" s="0" t="inlineStr">
        <is>
          <t xml:space="preserve">p04_analyst_revisions_MXL</t>
        </is>
      </c>
      <c r="B344" s="0" t="inlineStr">
        <is>
          <t xml:space="preserve">p04_analyst_revisions</t>
        </is>
      </c>
      <c r="C344" s="0" t="inlineStr">
        <is>
          <t xml:space="preserve">d20260923</t>
        </is>
      </c>
      <c r="D344" s="0" t="inlineStr">
        <is>
          <t xml:space="preserve">MXL</t>
        </is>
      </c>
      <c r="E344" s="0" t="inlineStr">
        <is>
          <t xml:space="preserve">technology</t>
        </is>
      </c>
      <c r="F344" s="4">
        <v>43</v>
      </c>
    </row>
    <row r="345">
      <c r="A345" s="0" t="inlineStr">
        <is>
          <t xml:space="preserve">p04_analyst_revisions_LEGN</t>
        </is>
      </c>
      <c r="B345" s="0" t="inlineStr">
        <is>
          <t xml:space="preserve">p04_analyst_revisions</t>
        </is>
      </c>
      <c r="C345" s="0" t="inlineStr">
        <is>
          <t xml:space="preserve">d20260923</t>
        </is>
      </c>
      <c r="D345" s="0" t="inlineStr">
        <is>
          <t xml:space="preserve">LEGN</t>
        </is>
      </c>
      <c r="E345" s="0" t="inlineStr">
        <is>
          <t xml:space="preserve">healthcare</t>
        </is>
      </c>
      <c r="F345" s="4">
        <v>44</v>
      </c>
    </row>
    <row r="346">
      <c r="A346" s="0" t="inlineStr">
        <is>
          <t xml:space="preserve">p04_analyst_revisions_IOVA</t>
        </is>
      </c>
      <c r="B346" s="0" t="inlineStr">
        <is>
          <t xml:space="preserve">p04_analyst_revisions</t>
        </is>
      </c>
      <c r="C346" s="0" t="inlineStr">
        <is>
          <t xml:space="preserve">d20260923</t>
        </is>
      </c>
      <c r="D346" s="0" t="inlineStr">
        <is>
          <t xml:space="preserve">IOVA</t>
        </is>
      </c>
      <c r="E346" s="0" t="inlineStr">
        <is>
          <t xml:space="preserve">healthcare</t>
        </is>
      </c>
      <c r="F346" s="4">
        <v>45</v>
      </c>
    </row>
    <row r="347">
      <c r="A347" s="0" t="inlineStr">
        <is>
          <t xml:space="preserve">p04_analyst_revisions_NIQ</t>
        </is>
      </c>
      <c r="B347" s="0" t="inlineStr">
        <is>
          <t xml:space="preserve">p04_analyst_revisions</t>
        </is>
      </c>
      <c r="C347" s="0" t="inlineStr">
        <is>
          <t xml:space="preserve">d20260923</t>
        </is>
      </c>
      <c r="D347" s="0" t="inlineStr">
        <is>
          <t xml:space="preserve">NIQ</t>
        </is>
      </c>
      <c r="E347" s="0" t="inlineStr">
        <is>
          <t xml:space="preserve">technology</t>
        </is>
      </c>
      <c r="F347" s="4">
        <v>46</v>
      </c>
    </row>
    <row r="348">
      <c r="A348" s="0" t="inlineStr">
        <is>
          <t xml:space="preserve">p04_analyst_revisions_HXL</t>
        </is>
      </c>
      <c r="B348" s="0" t="inlineStr">
        <is>
          <t xml:space="preserve">p04_analyst_revisions</t>
        </is>
      </c>
      <c r="C348" s="0" t="inlineStr">
        <is>
          <t xml:space="preserve">d20260923</t>
        </is>
      </c>
      <c r="D348" s="0" t="inlineStr">
        <is>
          <t xml:space="preserve">HXL</t>
        </is>
      </c>
      <c r="E348" s="0" t="inlineStr">
        <is>
          <t xml:space="preserve">industrials</t>
        </is>
      </c>
      <c r="F348" s="4">
        <v>47</v>
      </c>
    </row>
    <row r="349">
      <c r="A349" s="0" t="inlineStr">
        <is>
          <t xml:space="preserve">p04_analyst_revisions_AMLX</t>
        </is>
      </c>
      <c r="B349" s="0" t="inlineStr">
        <is>
          <t xml:space="preserve">p04_analyst_revisions</t>
        </is>
      </c>
      <c r="C349" s="0" t="inlineStr">
        <is>
          <t xml:space="preserve">d20260923</t>
        </is>
      </c>
      <c r="D349" s="0" t="inlineStr">
        <is>
          <t xml:space="preserve">AMLX</t>
        </is>
      </c>
      <c r="E349" s="0" t="inlineStr">
        <is>
          <t xml:space="preserve">healthcare</t>
        </is>
      </c>
      <c r="F349" s="4">
        <v>48</v>
      </c>
    </row>
    <row r="350">
      <c r="A350" s="0" t="inlineStr">
        <is>
          <t xml:space="preserve">p04_analyst_revisions_HGV</t>
        </is>
      </c>
      <c r="B350" s="0" t="inlineStr">
        <is>
          <t xml:space="preserve">p04_analyst_revisions</t>
        </is>
      </c>
      <c r="C350" s="0" t="inlineStr">
        <is>
          <t xml:space="preserve">d20260923</t>
        </is>
      </c>
      <c r="D350" s="0" t="inlineStr">
        <is>
          <t xml:space="preserve">HGV</t>
        </is>
      </c>
      <c r="E350" s="0" t="inlineStr">
        <is>
          <t xml:space="preserve">real_estate</t>
        </is>
      </c>
      <c r="F350" s="4">
        <v>49</v>
      </c>
    </row>
    <row r="351">
      <c r="A351" s="0" t="inlineStr">
        <is>
          <t xml:space="preserve">p04_analyst_revisions_SIRI</t>
        </is>
      </c>
      <c r="B351" s="0" t="inlineStr">
        <is>
          <t xml:space="preserve">p04_analyst_revisions</t>
        </is>
      </c>
      <c r="C351" s="0" t="inlineStr">
        <is>
          <t xml:space="preserve">d20260923</t>
        </is>
      </c>
      <c r="D351" s="0" t="inlineStr">
        <is>
          <t xml:space="preserve">SIRI</t>
        </is>
      </c>
      <c r="E351" s="0" t="inlineStr">
        <is>
          <t xml:space="preserve">communication_services</t>
        </is>
      </c>
      <c r="F351" s="4">
        <v>50</v>
      </c>
    </row>
    <row r="352">
      <c r="A352" s="0" t="inlineStr">
        <is>
          <t xml:space="preserve">p04_analyst_revisions_FRSH</t>
        </is>
      </c>
      <c r="B352" s="0" t="inlineStr">
        <is>
          <t xml:space="preserve">p04_analyst_revisions</t>
        </is>
      </c>
      <c r="C352" s="0" t="inlineStr">
        <is>
          <t xml:space="preserve">d20260923</t>
        </is>
      </c>
      <c r="D352" s="0" t="inlineStr">
        <is>
          <t xml:space="preserve">FRSH</t>
        </is>
      </c>
      <c r="E352" s="0" t="inlineStr">
        <is>
          <t xml:space="preserve">technology</t>
        </is>
      </c>
      <c r="F352" s="4">
        <v>51</v>
      </c>
    </row>
    <row r="353">
      <c r="A353" s="0" t="inlineStr">
        <is>
          <t xml:space="preserve">p04_analyst_revisions_AWK</t>
        </is>
      </c>
      <c r="B353" s="0" t="inlineStr">
        <is>
          <t xml:space="preserve">p04_analyst_revisions</t>
        </is>
      </c>
      <c r="C353" s="0" t="inlineStr">
        <is>
          <t xml:space="preserve">d20260923</t>
        </is>
      </c>
      <c r="D353" s="0" t="inlineStr">
        <is>
          <t xml:space="preserve">AWK</t>
        </is>
      </c>
      <c r="E353" s="0" t="inlineStr">
        <is>
          <t xml:space="preserve">utilities</t>
        </is>
      </c>
      <c r="F353" s="4">
        <v>52</v>
      </c>
    </row>
    <row r="354">
      <c r="A354" s="0" t="inlineStr">
        <is>
          <t xml:space="preserve">p04_analyst_revisions_XPO</t>
        </is>
      </c>
      <c r="B354" s="0" t="inlineStr">
        <is>
          <t xml:space="preserve">p04_analyst_revisions</t>
        </is>
      </c>
      <c r="C354" s="0" t="inlineStr">
        <is>
          <t xml:space="preserve">d20260923</t>
        </is>
      </c>
      <c r="D354" s="0" t="inlineStr">
        <is>
          <t xml:space="preserve">XPO</t>
        </is>
      </c>
      <c r="E354" s="0" t="inlineStr">
        <is>
          <t xml:space="preserve">industrials</t>
        </is>
      </c>
      <c r="F354" s="4">
        <v>53</v>
      </c>
    </row>
    <row r="355">
      <c r="A355" s="0" t="inlineStr">
        <is>
          <t xml:space="preserve">p04_analyst_revisions_MDLN</t>
        </is>
      </c>
      <c r="B355" s="0" t="inlineStr">
        <is>
          <t xml:space="preserve">p04_analyst_revisions</t>
        </is>
      </c>
      <c r="C355" s="0" t="inlineStr">
        <is>
          <t xml:space="preserve">d20260923</t>
        </is>
      </c>
      <c r="D355" s="0" t="inlineStr">
        <is>
          <t xml:space="preserve">MDLN</t>
        </is>
      </c>
      <c r="E355" s="0" t="inlineStr">
        <is>
          <t xml:space="preserve">healthcare</t>
        </is>
      </c>
      <c r="F355" s="4">
        <v>54</v>
      </c>
    </row>
    <row r="356">
      <c r="A356" s="0" t="inlineStr">
        <is>
          <t xml:space="preserve">p04_analyst_revisions_HRMY</t>
        </is>
      </c>
      <c r="B356" s="0" t="inlineStr">
        <is>
          <t xml:space="preserve">p04_analyst_revisions</t>
        </is>
      </c>
      <c r="C356" s="0" t="inlineStr">
        <is>
          <t xml:space="preserve">d20260923</t>
        </is>
      </c>
      <c r="D356" s="0" t="inlineStr">
        <is>
          <t xml:space="preserve">HRMY</t>
        </is>
      </c>
      <c r="E356" s="0" t="inlineStr">
        <is>
          <t xml:space="preserve">healthcare</t>
        </is>
      </c>
      <c r="F356" s="4">
        <v>55</v>
      </c>
    </row>
    <row r="357">
      <c r="A357" s="0" t="inlineStr">
        <is>
          <t xml:space="preserve">p04_analyst_revisions_FIVN</t>
        </is>
      </c>
      <c r="B357" s="0" t="inlineStr">
        <is>
          <t xml:space="preserve">p04_analyst_revisions</t>
        </is>
      </c>
      <c r="C357" s="0" t="inlineStr">
        <is>
          <t xml:space="preserve">d20260923</t>
        </is>
      </c>
      <c r="D357" s="0" t="inlineStr">
        <is>
          <t xml:space="preserve">FIVN</t>
        </is>
      </c>
      <c r="E357" s="0" t="inlineStr">
        <is>
          <t xml:space="preserve">technology</t>
        </is>
      </c>
      <c r="F357" s="4">
        <v>56</v>
      </c>
    </row>
    <row r="358">
      <c r="A358" s="0" t="inlineStr">
        <is>
          <t xml:space="preserve">p04_analyst_revisions_SHOO</t>
        </is>
      </c>
      <c r="B358" s="0" t="inlineStr">
        <is>
          <t xml:space="preserve">p04_analyst_revisions</t>
        </is>
      </c>
      <c r="C358" s="0" t="inlineStr">
        <is>
          <t xml:space="preserve">d20260923</t>
        </is>
      </c>
      <c r="D358" s="0" t="inlineStr">
        <is>
          <t xml:space="preserve">SHOO</t>
        </is>
      </c>
      <c r="E358" s="0" t="inlineStr">
        <is>
          <t xml:space="preserve">consumer_cyclical</t>
        </is>
      </c>
      <c r="F358" s="4">
        <v>57</v>
      </c>
    </row>
    <row r="359">
      <c r="A359" s="0" t="inlineStr">
        <is>
          <t xml:space="preserve">p04_analyst_revisions_ADPT</t>
        </is>
      </c>
      <c r="B359" s="0" t="inlineStr">
        <is>
          <t xml:space="preserve">p04_analyst_revisions</t>
        </is>
      </c>
      <c r="C359" s="0" t="inlineStr">
        <is>
          <t xml:space="preserve">d20260923</t>
        </is>
      </c>
      <c r="D359" s="0" t="inlineStr">
        <is>
          <t xml:space="preserve">ADPT</t>
        </is>
      </c>
      <c r="E359" s="0" t="inlineStr">
        <is>
          <t xml:space="preserve">healthcare</t>
        </is>
      </c>
      <c r="F359" s="4">
        <v>58</v>
      </c>
    </row>
    <row r="360">
      <c r="A360" s="0" t="inlineStr">
        <is>
          <t xml:space="preserve">p04_analyst_revisions_KYMR</t>
        </is>
      </c>
      <c r="B360" s="0" t="inlineStr">
        <is>
          <t xml:space="preserve">p04_analyst_revisions</t>
        </is>
      </c>
      <c r="C360" s="0" t="inlineStr">
        <is>
          <t xml:space="preserve">d20260923</t>
        </is>
      </c>
      <c r="D360" s="0" t="inlineStr">
        <is>
          <t xml:space="preserve">KYMR</t>
        </is>
      </c>
      <c r="E360" s="0" t="inlineStr">
        <is>
          <t xml:space="preserve">healthcare</t>
        </is>
      </c>
      <c r="F360" s="4">
        <v>59</v>
      </c>
    </row>
    <row r="361">
      <c r="A361" s="0" t="inlineStr">
        <is>
          <t xml:space="preserve">p04_analyst_revisions_LMT</t>
        </is>
      </c>
      <c r="B361" s="0" t="inlineStr">
        <is>
          <t xml:space="preserve">p04_analyst_revisions</t>
        </is>
      </c>
      <c r="C361" s="0" t="inlineStr">
        <is>
          <t xml:space="preserve">d20260923</t>
        </is>
      </c>
      <c r="D361" s="0" t="inlineStr">
        <is>
          <t xml:space="preserve">LMT</t>
        </is>
      </c>
      <c r="E361" s="0" t="inlineStr">
        <is>
          <t xml:space="preserve">industrials</t>
        </is>
      </c>
      <c r="F361" s="4">
        <v>60</v>
      </c>
    </row>
    <row r="362">
      <c r="A362" s="0" t="inlineStr">
        <is>
          <t xml:space="preserve">p04_analyst_revisions_VVV</t>
        </is>
      </c>
      <c r="B362" s="0" t="inlineStr">
        <is>
          <t xml:space="preserve">p04_analyst_revisions</t>
        </is>
      </c>
      <c r="C362" s="0" t="inlineStr">
        <is>
          <t xml:space="preserve">d20260923</t>
        </is>
      </c>
      <c r="D362" s="0" t="inlineStr">
        <is>
          <t xml:space="preserve">VVV</t>
        </is>
      </c>
      <c r="E362" s="0" t="inlineStr">
        <is>
          <t xml:space="preserve">consumer_cyclical</t>
        </is>
      </c>
      <c r="F362" s="4">
        <v>61</v>
      </c>
    </row>
    <row r="363">
      <c r="A363" s="0" t="inlineStr">
        <is>
          <t xml:space="preserve">p04_analyst_revisions_ANF</t>
        </is>
      </c>
      <c r="B363" s="0" t="inlineStr">
        <is>
          <t xml:space="preserve">p04_analyst_revisions</t>
        </is>
      </c>
      <c r="C363" s="0" t="inlineStr">
        <is>
          <t xml:space="preserve">d20260923</t>
        </is>
      </c>
      <c r="D363" s="0" t="inlineStr">
        <is>
          <t xml:space="preserve">ANF</t>
        </is>
      </c>
      <c r="E363" s="0" t="inlineStr">
        <is>
          <t xml:space="preserve">consumer_cyclical</t>
        </is>
      </c>
      <c r="F363" s="4">
        <v>62</v>
      </c>
    </row>
    <row r="364">
      <c r="A364" s="0" t="inlineStr">
        <is>
          <t xml:space="preserve">p04_analyst_revisions_PL</t>
        </is>
      </c>
      <c r="B364" s="0" t="inlineStr">
        <is>
          <t xml:space="preserve">p04_analyst_revisions</t>
        </is>
      </c>
      <c r="C364" s="0" t="inlineStr">
        <is>
          <t xml:space="preserve">d20260923</t>
        </is>
      </c>
      <c r="D364" s="0" t="inlineStr">
        <is>
          <t xml:space="preserve">PL</t>
        </is>
      </c>
      <c r="E364" s="0" t="inlineStr">
        <is>
          <t xml:space="preserve">industrials</t>
        </is>
      </c>
      <c r="F364" s="4">
        <v>63</v>
      </c>
    </row>
    <row r="365">
      <c r="A365" s="0" t="inlineStr">
        <is>
          <t xml:space="preserve">p04_analyst_revisions_ROK</t>
        </is>
      </c>
      <c r="B365" s="0" t="inlineStr">
        <is>
          <t xml:space="preserve">p04_analyst_revisions</t>
        </is>
      </c>
      <c r="C365" s="0" t="inlineStr">
        <is>
          <t xml:space="preserve">d20260923</t>
        </is>
      </c>
      <c r="D365" s="0" t="inlineStr">
        <is>
          <t xml:space="preserve">ROK</t>
        </is>
      </c>
      <c r="E365" s="0" t="inlineStr">
        <is>
          <t xml:space="preserve">industrials</t>
        </is>
      </c>
      <c r="F365" s="4">
        <v>64</v>
      </c>
    </row>
    <row r="366">
      <c r="A366" s="0" t="inlineStr">
        <is>
          <t xml:space="preserve">p04_analyst_revisions_MANH</t>
        </is>
      </c>
      <c r="B366" s="0" t="inlineStr">
        <is>
          <t xml:space="preserve">p04_analyst_revisions</t>
        </is>
      </c>
      <c r="C366" s="0" t="inlineStr">
        <is>
          <t xml:space="preserve">d20260923</t>
        </is>
      </c>
      <c r="D366" s="0" t="inlineStr">
        <is>
          <t xml:space="preserve">MANH</t>
        </is>
      </c>
      <c r="E366" s="0" t="inlineStr">
        <is>
          <t xml:space="preserve">technology</t>
        </is>
      </c>
      <c r="F366" s="4">
        <v>65</v>
      </c>
    </row>
    <row r="367">
      <c r="A367" s="0" t="inlineStr">
        <is>
          <t xml:space="preserve">p04_analyst_revisions_DFTX</t>
        </is>
      </c>
      <c r="B367" s="0" t="inlineStr">
        <is>
          <t xml:space="preserve">p04_analyst_revisions</t>
        </is>
      </c>
      <c r="C367" s="0" t="inlineStr">
        <is>
          <t xml:space="preserve">d20260923</t>
        </is>
      </c>
      <c r="D367" s="0" t="inlineStr">
        <is>
          <t xml:space="preserve">DFTX</t>
        </is>
      </c>
      <c r="E367" s="0" t="inlineStr">
        <is>
          <t xml:space="preserve">healthcare</t>
        </is>
      </c>
      <c r="F367" s="4">
        <v>66</v>
      </c>
    </row>
    <row r="368">
      <c r="A368" s="0" t="inlineStr">
        <is>
          <t xml:space="preserve">p04_analyst_revisions_CFG</t>
        </is>
      </c>
      <c r="B368" s="0" t="inlineStr">
        <is>
          <t xml:space="preserve">p04_analyst_revisions</t>
        </is>
      </c>
      <c r="C368" s="0" t="inlineStr">
        <is>
          <t xml:space="preserve">d20260923</t>
        </is>
      </c>
      <c r="D368" s="0" t="inlineStr">
        <is>
          <t xml:space="preserve">CFG</t>
        </is>
      </c>
      <c r="E368" s="0" t="inlineStr">
        <is>
          <t xml:space="preserve">financial_services</t>
        </is>
      </c>
      <c r="F368" s="4">
        <v>67</v>
      </c>
    </row>
    <row r="369">
      <c r="A369" s="0" t="inlineStr">
        <is>
          <t xml:space="preserve">p04_analyst_revisions_INSP</t>
        </is>
      </c>
      <c r="B369" s="0" t="inlineStr">
        <is>
          <t xml:space="preserve">p04_analyst_revisions</t>
        </is>
      </c>
      <c r="C369" s="0" t="inlineStr">
        <is>
          <t xml:space="preserve">d20260923</t>
        </is>
      </c>
      <c r="D369" s="0" t="inlineStr">
        <is>
          <t xml:space="preserve">INSP</t>
        </is>
      </c>
      <c r="E369" s="0" t="inlineStr">
        <is>
          <t xml:space="preserve">healthcare</t>
        </is>
      </c>
      <c r="F369" s="4">
        <v>68</v>
      </c>
    </row>
    <row r="370">
      <c r="A370" s="0" t="inlineStr">
        <is>
          <t xml:space="preserve">p04_analyst_revisions_WH</t>
        </is>
      </c>
      <c r="B370" s="0" t="inlineStr">
        <is>
          <t xml:space="preserve">p04_analyst_revisions</t>
        </is>
      </c>
      <c r="C370" s="0" t="inlineStr">
        <is>
          <t xml:space="preserve">d20260923</t>
        </is>
      </c>
      <c r="D370" s="0" t="inlineStr">
        <is>
          <t xml:space="preserve">WH</t>
        </is>
      </c>
      <c r="E370" s="0" t="inlineStr">
        <is>
          <t xml:space="preserve">consumer_cyclical</t>
        </is>
      </c>
      <c r="F370" s="4">
        <v>69</v>
      </c>
    </row>
    <row r="371">
      <c r="A371" s="0" t="inlineStr">
        <is>
          <t xml:space="preserve">p04_analyst_revisions_WT</t>
        </is>
      </c>
      <c r="B371" s="0" t="inlineStr">
        <is>
          <t xml:space="preserve">p04_analyst_revisions</t>
        </is>
      </c>
      <c r="C371" s="0" t="inlineStr">
        <is>
          <t xml:space="preserve">d20260923</t>
        </is>
      </c>
      <c r="D371" s="0" t="inlineStr">
        <is>
          <t xml:space="preserve">WT</t>
        </is>
      </c>
      <c r="E371" s="0" t="inlineStr">
        <is>
          <t xml:space="preserve">financial_services</t>
        </is>
      </c>
      <c r="F371" s="4">
        <v>70</v>
      </c>
    </row>
    <row r="372">
      <c r="A372" s="0" t="inlineStr">
        <is>
          <t xml:space="preserve">p04_analyst_revisions_AVTR</t>
        </is>
      </c>
      <c r="B372" s="0" t="inlineStr">
        <is>
          <t xml:space="preserve">p04_analyst_revisions</t>
        </is>
      </c>
      <c r="C372" s="0" t="inlineStr">
        <is>
          <t xml:space="preserve">d20260923</t>
        </is>
      </c>
      <c r="D372" s="0" t="inlineStr">
        <is>
          <t xml:space="preserve">AVTR</t>
        </is>
      </c>
      <c r="E372" s="0" t="inlineStr">
        <is>
          <t xml:space="preserve">healthcare</t>
        </is>
      </c>
      <c r="F372" s="4">
        <v>71</v>
      </c>
    </row>
    <row r="373">
      <c r="A373" s="0" t="inlineStr">
        <is>
          <t xml:space="preserve">p04_analyst_revisions_ACMR</t>
        </is>
      </c>
      <c r="B373" s="0" t="inlineStr">
        <is>
          <t xml:space="preserve">p04_analyst_revisions</t>
        </is>
      </c>
      <c r="C373" s="0" t="inlineStr">
        <is>
          <t xml:space="preserve">d20260923</t>
        </is>
      </c>
      <c r="D373" s="0" t="inlineStr">
        <is>
          <t xml:space="preserve">ACMR</t>
        </is>
      </c>
      <c r="E373" s="0" t="inlineStr">
        <is>
          <t xml:space="preserve">technology</t>
        </is>
      </c>
      <c r="F373" s="4">
        <v>72</v>
      </c>
    </row>
    <row r="374">
      <c r="A374" s="0" t="inlineStr">
        <is>
          <t xml:space="preserve">p04_analyst_revisions_SOFI</t>
        </is>
      </c>
      <c r="B374" s="0" t="inlineStr">
        <is>
          <t xml:space="preserve">p04_analyst_revisions</t>
        </is>
      </c>
      <c r="C374" s="0" t="inlineStr">
        <is>
          <t xml:space="preserve">d20260923</t>
        </is>
      </c>
      <c r="D374" s="0" t="inlineStr">
        <is>
          <t xml:space="preserve">SOFI</t>
        </is>
      </c>
      <c r="E374" s="0" t="inlineStr">
        <is>
          <t xml:space="preserve">financial_services</t>
        </is>
      </c>
      <c r="F374" s="4">
        <v>73</v>
      </c>
    </row>
    <row r="375">
      <c r="A375" s="0" t="inlineStr">
        <is>
          <t xml:space="preserve">p04_analyst_revisions_DASH</t>
        </is>
      </c>
      <c r="B375" s="0" t="inlineStr">
        <is>
          <t xml:space="preserve">p04_analyst_revisions</t>
        </is>
      </c>
      <c r="C375" s="0" t="inlineStr">
        <is>
          <t xml:space="preserve">d20260923</t>
        </is>
      </c>
      <c r="D375" s="0" t="inlineStr">
        <is>
          <t xml:space="preserve">DASH</t>
        </is>
      </c>
      <c r="E375" s="0" t="inlineStr">
        <is>
          <t xml:space="preserve">communication_services</t>
        </is>
      </c>
      <c r="F375" s="4">
        <v>74</v>
      </c>
    </row>
    <row r="376">
      <c r="A376" s="0" t="inlineStr">
        <is>
          <t xml:space="preserve">p04_analyst_revisions_ZBRA</t>
        </is>
      </c>
      <c r="B376" s="0" t="inlineStr">
        <is>
          <t xml:space="preserve">p04_analyst_revisions</t>
        </is>
      </c>
      <c r="C376" s="0" t="inlineStr">
        <is>
          <t xml:space="preserve">d20260923</t>
        </is>
      </c>
      <c r="D376" s="0" t="inlineStr">
        <is>
          <t xml:space="preserve">ZBRA</t>
        </is>
      </c>
      <c r="E376" s="0" t="inlineStr">
        <is>
          <t xml:space="preserve">technology</t>
        </is>
      </c>
      <c r="F376" s="4">
        <v>75</v>
      </c>
    </row>
    <row r="377">
      <c r="A377" s="0" t="inlineStr">
        <is>
          <t xml:space="preserve">p04_analyst_revisions_CNO</t>
        </is>
      </c>
      <c r="B377" s="0" t="inlineStr">
        <is>
          <t xml:space="preserve">p04_analyst_revisions</t>
        </is>
      </c>
      <c r="C377" s="0" t="inlineStr">
        <is>
          <t xml:space="preserve">d20260923</t>
        </is>
      </c>
      <c r="D377" s="0" t="inlineStr">
        <is>
          <t xml:space="preserve">CNO</t>
        </is>
      </c>
      <c r="E377" s="0" t="inlineStr">
        <is>
          <t xml:space="preserve">financial_services</t>
        </is>
      </c>
      <c r="F377" s="4">
        <v>76</v>
      </c>
    </row>
    <row r="378">
      <c r="A378" s="0" t="inlineStr">
        <is>
          <t xml:space="preserve">p04_analyst_revisions_BHVN</t>
        </is>
      </c>
      <c r="B378" s="0" t="inlineStr">
        <is>
          <t xml:space="preserve">p04_analyst_revisions</t>
        </is>
      </c>
      <c r="C378" s="0" t="inlineStr">
        <is>
          <t xml:space="preserve">d20260923</t>
        </is>
      </c>
      <c r="D378" s="0" t="inlineStr">
        <is>
          <t xml:space="preserve">BHVN</t>
        </is>
      </c>
      <c r="E378" s="0" t="inlineStr">
        <is>
          <t xml:space="preserve">healthcare</t>
        </is>
      </c>
      <c r="F378" s="4">
        <v>77</v>
      </c>
    </row>
    <row r="379">
      <c r="A379" s="0" t="inlineStr">
        <is>
          <t xml:space="preserve">p04_analyst_revisions_CDNA</t>
        </is>
      </c>
      <c r="B379" s="0" t="inlineStr">
        <is>
          <t xml:space="preserve">p04_analyst_revisions</t>
        </is>
      </c>
      <c r="C379" s="0" t="inlineStr">
        <is>
          <t xml:space="preserve">d20260923</t>
        </is>
      </c>
      <c r="D379" s="0" t="inlineStr">
        <is>
          <t xml:space="preserve">CDNA</t>
        </is>
      </c>
      <c r="E379" s="0" t="inlineStr">
        <is>
          <t xml:space="preserve">healthcare</t>
        </is>
      </c>
      <c r="F379" s="4">
        <v>78</v>
      </c>
    </row>
    <row r="380">
      <c r="A380" s="0" t="inlineStr">
        <is>
          <t xml:space="preserve">p04_analyst_revisions_SOLS</t>
        </is>
      </c>
      <c r="B380" s="0" t="inlineStr">
        <is>
          <t xml:space="preserve">p04_analyst_revisions</t>
        </is>
      </c>
      <c r="C380" s="0" t="inlineStr">
        <is>
          <t xml:space="preserve">d20260923</t>
        </is>
      </c>
      <c r="D380" s="0" t="inlineStr">
        <is>
          <t xml:space="preserve">SOLS</t>
        </is>
      </c>
      <c r="E380" s="0" t="inlineStr">
        <is>
          <t xml:space="preserve">basic_materials</t>
        </is>
      </c>
      <c r="F380" s="4">
        <v>79</v>
      </c>
    </row>
    <row r="381">
      <c r="A381" s="0" t="inlineStr">
        <is>
          <t xml:space="preserve">p04_analyst_revisions_HTFL</t>
        </is>
      </c>
      <c r="B381" s="0" t="inlineStr">
        <is>
          <t xml:space="preserve">p04_analyst_revisions</t>
        </is>
      </c>
      <c r="C381" s="0" t="inlineStr">
        <is>
          <t xml:space="preserve">d20260923</t>
        </is>
      </c>
      <c r="D381" s="0" t="inlineStr">
        <is>
          <t xml:space="preserve">HTFL</t>
        </is>
      </c>
      <c r="E381" s="0" t="inlineStr">
        <is>
          <t xml:space="preserve">healthcare</t>
        </is>
      </c>
      <c r="F381" s="4">
        <v>80</v>
      </c>
    </row>
    <row r="382">
      <c r="A382" s="0" t="inlineStr">
        <is>
          <t xml:space="preserve">p04_analyst_revisions_TXG</t>
        </is>
      </c>
      <c r="B382" s="0" t="inlineStr">
        <is>
          <t xml:space="preserve">p04_analyst_revisions</t>
        </is>
      </c>
      <c r="C382" s="0" t="inlineStr">
        <is>
          <t xml:space="preserve">d20260923</t>
        </is>
      </c>
      <c r="D382" s="0" t="inlineStr">
        <is>
          <t xml:space="preserve">TXG</t>
        </is>
      </c>
      <c r="E382" s="0" t="inlineStr">
        <is>
          <t xml:space="preserve">healthcare</t>
        </is>
      </c>
      <c r="F382" s="4">
        <v>81</v>
      </c>
    </row>
    <row r="383">
      <c r="A383" s="0" t="inlineStr">
        <is>
          <t xml:space="preserve">p04_analyst_revisions_ADI</t>
        </is>
      </c>
      <c r="B383" s="0" t="inlineStr">
        <is>
          <t xml:space="preserve">p04_analyst_revisions</t>
        </is>
      </c>
      <c r="C383" s="0" t="inlineStr">
        <is>
          <t xml:space="preserve">d20260923</t>
        </is>
      </c>
      <c r="D383" s="0" t="inlineStr">
        <is>
          <t xml:space="preserve">ADI</t>
        </is>
      </c>
      <c r="E383" s="0" t="inlineStr">
        <is>
          <t xml:space="preserve">technology</t>
        </is>
      </c>
      <c r="F383" s="4">
        <v>82</v>
      </c>
    </row>
    <row r="384">
      <c r="A384" s="0" t="inlineStr">
        <is>
          <t xml:space="preserve">p04_analyst_revisions_FOX</t>
        </is>
      </c>
      <c r="B384" s="0" t="inlineStr">
        <is>
          <t xml:space="preserve">p04_analyst_revisions</t>
        </is>
      </c>
      <c r="C384" s="0" t="inlineStr">
        <is>
          <t xml:space="preserve">d20260923</t>
        </is>
      </c>
      <c r="D384" s="0" t="inlineStr">
        <is>
          <t xml:space="preserve">FOX</t>
        </is>
      </c>
      <c r="E384" s="0" t="inlineStr">
        <is>
          <t xml:space="preserve">communication_services</t>
        </is>
      </c>
      <c r="F384" s="4">
        <v>83</v>
      </c>
    </row>
    <row r="385">
      <c r="A385" s="0" t="inlineStr">
        <is>
          <t xml:space="preserve">p04_analyst_revisions_NTRA</t>
        </is>
      </c>
      <c r="B385" s="0" t="inlineStr">
        <is>
          <t xml:space="preserve">p04_analyst_revisions</t>
        </is>
      </c>
      <c r="C385" s="0" t="inlineStr">
        <is>
          <t xml:space="preserve">d20260923</t>
        </is>
      </c>
      <c r="D385" s="0" t="inlineStr">
        <is>
          <t xml:space="preserve">NTRA</t>
        </is>
      </c>
      <c r="E385" s="0" t="inlineStr">
        <is>
          <t xml:space="preserve">healthcare</t>
        </is>
      </c>
      <c r="F385" s="4">
        <v>84</v>
      </c>
    </row>
    <row r="386">
      <c r="A386" s="0" t="inlineStr">
        <is>
          <t xml:space="preserve">p04_analyst_revisions_T</t>
        </is>
      </c>
      <c r="B386" s="0" t="inlineStr">
        <is>
          <t xml:space="preserve">p04_analyst_revisions</t>
        </is>
      </c>
      <c r="C386" s="0" t="inlineStr">
        <is>
          <t xml:space="preserve">d20260923</t>
        </is>
      </c>
      <c r="D386" s="0" t="inlineStr">
        <is>
          <t xml:space="preserve">T</t>
        </is>
      </c>
      <c r="E386" s="0" t="inlineStr">
        <is>
          <t xml:space="preserve">communication_services</t>
        </is>
      </c>
      <c r="F386" s="4">
        <v>85</v>
      </c>
    </row>
    <row r="387">
      <c r="A387" s="0" t="inlineStr">
        <is>
          <t xml:space="preserve">p04_analyst_revisions_TWST</t>
        </is>
      </c>
      <c r="B387" s="0" t="inlineStr">
        <is>
          <t xml:space="preserve">p04_analyst_revisions</t>
        </is>
      </c>
      <c r="C387" s="0" t="inlineStr">
        <is>
          <t xml:space="preserve">d20260923</t>
        </is>
      </c>
      <c r="D387" s="0" t="inlineStr">
        <is>
          <t xml:space="preserve">TWST</t>
        </is>
      </c>
      <c r="E387" s="0" t="inlineStr">
        <is>
          <t xml:space="preserve">healthcare</t>
        </is>
      </c>
      <c r="F387" s="4">
        <v>86</v>
      </c>
    </row>
    <row r="388">
      <c r="A388" s="0" t="inlineStr">
        <is>
          <t xml:space="preserve">p04_analyst_revisions_THO</t>
        </is>
      </c>
      <c r="B388" s="0" t="inlineStr">
        <is>
          <t xml:space="preserve">p04_analyst_revisions</t>
        </is>
      </c>
      <c r="C388" s="0" t="inlineStr">
        <is>
          <t xml:space="preserve">d20260923</t>
        </is>
      </c>
      <c r="D388" s="0" t="inlineStr">
        <is>
          <t xml:space="preserve">THO</t>
        </is>
      </c>
      <c r="E388" s="0" t="inlineStr">
        <is>
          <t xml:space="preserve">consumer_cyclical</t>
        </is>
      </c>
      <c r="F388" s="4">
        <v>87</v>
      </c>
    </row>
    <row r="389">
      <c r="A389" s="0" t="inlineStr">
        <is>
          <t xml:space="preserve">p04_analyst_revisions_ORCL</t>
        </is>
      </c>
      <c r="B389" s="0" t="inlineStr">
        <is>
          <t xml:space="preserve">p04_analyst_revisions</t>
        </is>
      </c>
      <c r="C389" s="0" t="inlineStr">
        <is>
          <t xml:space="preserve">d20260923</t>
        </is>
      </c>
      <c r="D389" s="0" t="inlineStr">
        <is>
          <t xml:space="preserve">ORCL</t>
        </is>
      </c>
      <c r="E389" s="0" t="inlineStr">
        <is>
          <t xml:space="preserve">technology</t>
        </is>
      </c>
      <c r="F389" s="4">
        <v>88</v>
      </c>
    </row>
    <row r="390">
      <c r="A390" s="0" t="inlineStr">
        <is>
          <t xml:space="preserve">p04_analyst_revisions_NOC</t>
        </is>
      </c>
      <c r="B390" s="0" t="inlineStr">
        <is>
          <t xml:space="preserve">p04_analyst_revisions</t>
        </is>
      </c>
      <c r="C390" s="0" t="inlineStr">
        <is>
          <t xml:space="preserve">d20260923</t>
        </is>
      </c>
      <c r="D390" s="0" t="inlineStr">
        <is>
          <t xml:space="preserve">NOC</t>
        </is>
      </c>
      <c r="E390" s="0" t="inlineStr">
        <is>
          <t xml:space="preserve">industrials</t>
        </is>
      </c>
      <c r="F390" s="4">
        <v>89</v>
      </c>
    </row>
    <row r="391">
      <c r="A391" s="0" t="inlineStr">
        <is>
          <t xml:space="preserve">p04_analyst_revisions_COF</t>
        </is>
      </c>
      <c r="B391" s="0" t="inlineStr">
        <is>
          <t xml:space="preserve">p04_analyst_revisions</t>
        </is>
      </c>
      <c r="C391" s="0" t="inlineStr">
        <is>
          <t xml:space="preserve">d20260923</t>
        </is>
      </c>
      <c r="D391" s="0" t="inlineStr">
        <is>
          <t xml:space="preserve">COF</t>
        </is>
      </c>
      <c r="E391" s="0" t="inlineStr">
        <is>
          <t xml:space="preserve">financial_services</t>
        </is>
      </c>
      <c r="F391" s="4">
        <v>90</v>
      </c>
    </row>
    <row r="392">
      <c r="A392" s="0" t="inlineStr">
        <is>
          <t xml:space="preserve">p04_analyst_revisions_VRTX</t>
        </is>
      </c>
      <c r="B392" s="0" t="inlineStr">
        <is>
          <t xml:space="preserve">p04_analyst_revisions</t>
        </is>
      </c>
      <c r="C392" s="0" t="inlineStr">
        <is>
          <t xml:space="preserve">d20260923</t>
        </is>
      </c>
      <c r="D392" s="0" t="inlineStr">
        <is>
          <t xml:space="preserve">VRTX</t>
        </is>
      </c>
      <c r="E392" s="0" t="inlineStr">
        <is>
          <t xml:space="preserve">healthcare</t>
        </is>
      </c>
      <c r="F392" s="4">
        <v>91</v>
      </c>
    </row>
    <row r="393">
      <c r="A393" s="0" t="inlineStr">
        <is>
          <t xml:space="preserve">p04_analyst_revisions_WTRG</t>
        </is>
      </c>
      <c r="B393" s="0" t="inlineStr">
        <is>
          <t xml:space="preserve">p04_analyst_revisions</t>
        </is>
      </c>
      <c r="C393" s="0" t="inlineStr">
        <is>
          <t xml:space="preserve">d20260923</t>
        </is>
      </c>
      <c r="D393" s="0" t="inlineStr">
        <is>
          <t xml:space="preserve">WTRG</t>
        </is>
      </c>
      <c r="E393" s="0" t="inlineStr">
        <is>
          <t xml:space="preserve">utilities</t>
        </is>
      </c>
      <c r="F393" s="4">
        <v>92</v>
      </c>
    </row>
    <row r="394">
      <c r="A394" s="0" t="inlineStr">
        <is>
          <t xml:space="preserve">p04_analyst_revisions_DE</t>
        </is>
      </c>
      <c r="B394" s="0" t="inlineStr">
        <is>
          <t xml:space="preserve">p04_analyst_revisions</t>
        </is>
      </c>
      <c r="C394" s="0" t="inlineStr">
        <is>
          <t xml:space="preserve">d20260923</t>
        </is>
      </c>
      <c r="D394" s="0" t="inlineStr">
        <is>
          <t xml:space="preserve">DE</t>
        </is>
      </c>
      <c r="E394" s="0" t="inlineStr">
        <is>
          <t xml:space="preserve">industrials</t>
        </is>
      </c>
      <c r="F394" s="4">
        <v>93</v>
      </c>
    </row>
    <row r="395">
      <c r="A395" s="0" t="inlineStr">
        <is>
          <t xml:space="preserve">p04_analyst_revisions_APPF</t>
        </is>
      </c>
      <c r="B395" s="0" t="inlineStr">
        <is>
          <t xml:space="preserve">p04_analyst_revisions</t>
        </is>
      </c>
      <c r="C395" s="0" t="inlineStr">
        <is>
          <t xml:space="preserve">d20260923</t>
        </is>
      </c>
      <c r="D395" s="0" t="inlineStr">
        <is>
          <t xml:space="preserve">APPF</t>
        </is>
      </c>
      <c r="E395" s="0" t="inlineStr">
        <is>
          <t xml:space="preserve">technology</t>
        </is>
      </c>
      <c r="F395" s="4">
        <v>94</v>
      </c>
    </row>
    <row r="396">
      <c r="A396" s="0" t="inlineStr">
        <is>
          <t xml:space="preserve">p04_analyst_revisions_FDS</t>
        </is>
      </c>
      <c r="B396" s="0" t="inlineStr">
        <is>
          <t xml:space="preserve">p04_analyst_revisions</t>
        </is>
      </c>
      <c r="C396" s="0" t="inlineStr">
        <is>
          <t xml:space="preserve">d20260923</t>
        </is>
      </c>
      <c r="D396" s="0" t="inlineStr">
        <is>
          <t xml:space="preserve">FDS</t>
        </is>
      </c>
      <c r="E396" s="0" t="inlineStr">
        <is>
          <t xml:space="preserve">financial_services</t>
        </is>
      </c>
      <c r="F396" s="4">
        <v>95</v>
      </c>
    </row>
    <row r="397">
      <c r="A397" s="0" t="inlineStr">
        <is>
          <t xml:space="preserve">p04_analyst_revisions_FOUR</t>
        </is>
      </c>
      <c r="B397" s="0" t="inlineStr">
        <is>
          <t xml:space="preserve">p04_analyst_revisions</t>
        </is>
      </c>
      <c r="C397" s="0" t="inlineStr">
        <is>
          <t xml:space="preserve">d20260923</t>
        </is>
      </c>
      <c r="D397" s="0" t="inlineStr">
        <is>
          <t xml:space="preserve">FOUR</t>
        </is>
      </c>
      <c r="E397" s="0" t="inlineStr">
        <is>
          <t xml:space="preserve">technology</t>
        </is>
      </c>
      <c r="F397" s="4">
        <v>96</v>
      </c>
    </row>
    <row r="398">
      <c r="A398" s="0" t="inlineStr">
        <is>
          <t xml:space="preserve">p04_analyst_revisions_V</t>
        </is>
      </c>
      <c r="B398" s="0" t="inlineStr">
        <is>
          <t xml:space="preserve">p04_analyst_revisions</t>
        </is>
      </c>
      <c r="C398" s="0" t="inlineStr">
        <is>
          <t xml:space="preserve">d20260923</t>
        </is>
      </c>
      <c r="D398" s="0" t="inlineStr">
        <is>
          <t xml:space="preserve">V</t>
        </is>
      </c>
      <c r="E398" s="0" t="inlineStr">
        <is>
          <t xml:space="preserve">financial_services</t>
        </is>
      </c>
      <c r="F398" s="4">
        <v>97</v>
      </c>
    </row>
    <row r="399">
      <c r="A399" s="0" t="inlineStr">
        <is>
          <t xml:space="preserve">p04_analyst_revisions_VCTR</t>
        </is>
      </c>
      <c r="B399" s="0" t="inlineStr">
        <is>
          <t xml:space="preserve">p04_analyst_revisions</t>
        </is>
      </c>
      <c r="C399" s="0" t="inlineStr">
        <is>
          <t xml:space="preserve">d20260923</t>
        </is>
      </c>
      <c r="D399" s="0" t="inlineStr">
        <is>
          <t xml:space="preserve">VCTR</t>
        </is>
      </c>
      <c r="E399" s="0" t="inlineStr">
        <is>
          <t xml:space="preserve">financial_services</t>
        </is>
      </c>
      <c r="F399" s="4">
        <v>98</v>
      </c>
    </row>
    <row r="400">
      <c r="A400" s="0" t="inlineStr">
        <is>
          <t xml:space="preserve">p04_analyst_revisions_GILD</t>
        </is>
      </c>
      <c r="B400" s="0" t="inlineStr">
        <is>
          <t xml:space="preserve">p04_analyst_revisions</t>
        </is>
      </c>
      <c r="C400" s="0" t="inlineStr">
        <is>
          <t xml:space="preserve">d20260923</t>
        </is>
      </c>
      <c r="D400" s="0" t="inlineStr">
        <is>
          <t xml:space="preserve">GILD</t>
        </is>
      </c>
      <c r="E400" s="0" t="inlineStr">
        <is>
          <t xml:space="preserve">healthcare</t>
        </is>
      </c>
      <c r="F400" s="4">
        <v>99</v>
      </c>
    </row>
    <row r="401">
      <c r="A401" s="0" t="inlineStr">
        <is>
          <t xml:space="preserve">p04_analyst_revisions_MARA</t>
        </is>
      </c>
      <c r="B401" s="0" t="inlineStr">
        <is>
          <t xml:space="preserve">p04_analyst_revisions</t>
        </is>
      </c>
      <c r="C401" s="0" t="inlineStr">
        <is>
          <t xml:space="preserve">d20260923</t>
        </is>
      </c>
      <c r="D401" s="0" t="inlineStr">
        <is>
          <t xml:space="preserve">MARA</t>
        </is>
      </c>
      <c r="E401" s="0" t="inlineStr">
        <is>
          <t xml:space="preserve">financial_services</t>
        </is>
      </c>
      <c r="F401" s="4">
        <v>100</v>
      </c>
    </row>
    <row r="402">
      <c r="A402" s="0" t="inlineStr">
        <is>
          <t xml:space="preserve">p05_insider_clusters_SNAP</t>
        </is>
      </c>
      <c r="B402" s="0" t="inlineStr">
        <is>
          <t xml:space="preserve">p05_insider_clusters</t>
        </is>
      </c>
      <c r="C402" s="0" t="inlineStr">
        <is>
          <t xml:space="preserve">d20260923</t>
        </is>
      </c>
      <c r="D402" s="0" t="inlineStr">
        <is>
          <t xml:space="preserve">SNAP</t>
        </is>
      </c>
      <c r="E402" s="0" t="inlineStr">
        <is>
          <t xml:space="preserve">communication_services</t>
        </is>
      </c>
      <c r="F402" s="4">
        <v>1</v>
      </c>
    </row>
    <row r="403">
      <c r="A403" s="0" t="inlineStr">
        <is>
          <t xml:space="preserve">p05_insider_clusters_ASTS</t>
        </is>
      </c>
      <c r="B403" s="0" t="inlineStr">
        <is>
          <t xml:space="preserve">p05_insider_clusters</t>
        </is>
      </c>
      <c r="C403" s="0" t="inlineStr">
        <is>
          <t xml:space="preserve">d20260923</t>
        </is>
      </c>
      <c r="D403" s="0" t="inlineStr">
        <is>
          <t xml:space="preserve">ASTS</t>
        </is>
      </c>
      <c r="E403" s="0" t="inlineStr">
        <is>
          <t xml:space="preserve">communication_services</t>
        </is>
      </c>
      <c r="F403" s="4">
        <v>2</v>
      </c>
    </row>
    <row r="404">
      <c r="A404" s="0" t="inlineStr">
        <is>
          <t xml:space="preserve">p05_insider_clusters_CRWD</t>
        </is>
      </c>
      <c r="B404" s="0" t="inlineStr">
        <is>
          <t xml:space="preserve">p05_insider_clusters</t>
        </is>
      </c>
      <c r="C404" s="0" t="inlineStr">
        <is>
          <t xml:space="preserve">d20260923</t>
        </is>
      </c>
      <c r="D404" s="0" t="inlineStr">
        <is>
          <t xml:space="preserve">CRWD</t>
        </is>
      </c>
      <c r="E404" s="0" t="inlineStr">
        <is>
          <t xml:space="preserve">technology</t>
        </is>
      </c>
      <c r="F404" s="4">
        <v>3</v>
      </c>
    </row>
    <row r="405">
      <c r="A405" s="0" t="inlineStr">
        <is>
          <t xml:space="preserve">p05_insider_clusters_BOX</t>
        </is>
      </c>
      <c r="B405" s="0" t="inlineStr">
        <is>
          <t xml:space="preserve">p05_insider_clusters</t>
        </is>
      </c>
      <c r="C405" s="0" t="inlineStr">
        <is>
          <t xml:space="preserve">d20260923</t>
        </is>
      </c>
      <c r="D405" s="0" t="inlineStr">
        <is>
          <t xml:space="preserve">BOX</t>
        </is>
      </c>
      <c r="E405" s="0" t="inlineStr">
        <is>
          <t xml:space="preserve">technology</t>
        </is>
      </c>
      <c r="F405" s="4">
        <v>4</v>
      </c>
    </row>
    <row r="406">
      <c r="A406" s="0" t="inlineStr">
        <is>
          <t xml:space="preserve">p05_insider_clusters_CRWV</t>
        </is>
      </c>
      <c r="B406" s="0" t="inlineStr">
        <is>
          <t xml:space="preserve">p05_insider_clusters</t>
        </is>
      </c>
      <c r="C406" s="0" t="inlineStr">
        <is>
          <t xml:space="preserve">d20260923</t>
        </is>
      </c>
      <c r="D406" s="0" t="inlineStr">
        <is>
          <t xml:space="preserve">CRWV</t>
        </is>
      </c>
      <c r="E406" s="0" t="inlineStr">
        <is>
          <t xml:space="preserve">technology</t>
        </is>
      </c>
      <c r="F406" s="4">
        <v>5</v>
      </c>
    </row>
    <row r="407">
      <c r="A407" s="0" t="inlineStr">
        <is>
          <t xml:space="preserve">p05_insider_clusters_BATRK</t>
        </is>
      </c>
      <c r="B407" s="0" t="inlineStr">
        <is>
          <t xml:space="preserve">p05_insider_clusters</t>
        </is>
      </c>
      <c r="C407" s="0" t="inlineStr">
        <is>
          <t xml:space="preserve">d20260923</t>
        </is>
      </c>
      <c r="D407" s="0" t="inlineStr">
        <is>
          <t xml:space="preserve">BATRK</t>
        </is>
      </c>
      <c r="E407" s="0" t="inlineStr">
        <is>
          <t xml:space="preserve">communication_services</t>
        </is>
      </c>
      <c r="F407" s="4">
        <v>6</v>
      </c>
    </row>
    <row r="408">
      <c r="A408" s="0" t="inlineStr">
        <is>
          <t xml:space="preserve">p05_insider_clusters_SNOW</t>
        </is>
      </c>
      <c r="B408" s="0" t="inlineStr">
        <is>
          <t xml:space="preserve">p05_insider_clusters</t>
        </is>
      </c>
      <c r="C408" s="0" t="inlineStr">
        <is>
          <t xml:space="preserve">d20260923</t>
        </is>
      </c>
      <c r="D408" s="0" t="inlineStr">
        <is>
          <t xml:space="preserve">SNOW</t>
        </is>
      </c>
      <c r="E408" s="0" t="inlineStr">
        <is>
          <t xml:space="preserve">technology</t>
        </is>
      </c>
      <c r="F408" s="4">
        <v>7</v>
      </c>
    </row>
    <row r="409">
      <c r="A409" s="0" t="inlineStr">
        <is>
          <t xml:space="preserve">p05_insider_clusters_AAOI</t>
        </is>
      </c>
      <c r="B409" s="0" t="inlineStr">
        <is>
          <t xml:space="preserve">p05_insider_clusters</t>
        </is>
      </c>
      <c r="C409" s="0" t="inlineStr">
        <is>
          <t xml:space="preserve">d20260923</t>
        </is>
      </c>
      <c r="D409" s="0" t="inlineStr">
        <is>
          <t xml:space="preserve">AAOI</t>
        </is>
      </c>
      <c r="E409" s="0" t="inlineStr">
        <is>
          <t xml:space="preserve">technology</t>
        </is>
      </c>
      <c r="F409" s="4">
        <v>8</v>
      </c>
    </row>
    <row r="410">
      <c r="A410" s="0" t="inlineStr">
        <is>
          <t xml:space="preserve">p05_insider_clusters_AM</t>
        </is>
      </c>
      <c r="B410" s="0" t="inlineStr">
        <is>
          <t xml:space="preserve">p05_insider_clusters</t>
        </is>
      </c>
      <c r="C410" s="0" t="inlineStr">
        <is>
          <t xml:space="preserve">d20260923</t>
        </is>
      </c>
      <c r="D410" s="0" t="inlineStr">
        <is>
          <t xml:space="preserve">AM</t>
        </is>
      </c>
      <c r="E410" s="0" t="inlineStr">
        <is>
          <t xml:space="preserve">energy</t>
        </is>
      </c>
      <c r="F410" s="4">
        <v>9</v>
      </c>
    </row>
    <row r="411">
      <c r="A411" s="0" t="inlineStr">
        <is>
          <t xml:space="preserve">p05_insider_clusters_AAP</t>
        </is>
      </c>
      <c r="B411" s="0" t="inlineStr">
        <is>
          <t xml:space="preserve">p05_insider_clusters</t>
        </is>
      </c>
      <c r="C411" s="0" t="inlineStr">
        <is>
          <t xml:space="preserve">d20260923</t>
        </is>
      </c>
      <c r="D411" s="0" t="inlineStr">
        <is>
          <t xml:space="preserve">AAP</t>
        </is>
      </c>
      <c r="E411" s="0" t="inlineStr">
        <is>
          <t xml:space="preserve">consumer_cyclical</t>
        </is>
      </c>
      <c r="F411" s="4">
        <v>10</v>
      </c>
    </row>
    <row r="412">
      <c r="A412" s="0" t="inlineStr">
        <is>
          <t xml:space="preserve">p05_insider_clusters_AAPL</t>
        </is>
      </c>
      <c r="B412" s="0" t="inlineStr">
        <is>
          <t xml:space="preserve">p05_insider_clusters</t>
        </is>
      </c>
      <c r="C412" s="0" t="inlineStr">
        <is>
          <t xml:space="preserve">d20260923</t>
        </is>
      </c>
      <c r="D412" s="0" t="inlineStr">
        <is>
          <t xml:space="preserve">AAPL</t>
        </is>
      </c>
      <c r="E412" s="0" t="inlineStr">
        <is>
          <t xml:space="preserve">technology</t>
        </is>
      </c>
      <c r="F412" s="4">
        <v>11</v>
      </c>
    </row>
    <row r="413">
      <c r="A413" s="0" t="inlineStr">
        <is>
          <t xml:space="preserve">p05_insider_clusters_AAMI</t>
        </is>
      </c>
      <c r="B413" s="0" t="inlineStr">
        <is>
          <t xml:space="preserve">p05_insider_clusters</t>
        </is>
      </c>
      <c r="C413" s="0" t="inlineStr">
        <is>
          <t xml:space="preserve">d20260923</t>
        </is>
      </c>
      <c r="D413" s="0" t="inlineStr">
        <is>
          <t xml:space="preserve">AAMI</t>
        </is>
      </c>
      <c r="E413" s="0" t="inlineStr">
        <is>
          <t xml:space="preserve">financial_services</t>
        </is>
      </c>
      <c r="F413" s="4">
        <v>12</v>
      </c>
    </row>
    <row r="414">
      <c r="A414" s="0" t="inlineStr">
        <is>
          <t xml:space="preserve">p05_insider_clusters_ABNB</t>
        </is>
      </c>
      <c r="B414" s="0" t="inlineStr">
        <is>
          <t xml:space="preserve">p05_insider_clusters</t>
        </is>
      </c>
      <c r="C414" s="0" t="inlineStr">
        <is>
          <t xml:space="preserve">d20260923</t>
        </is>
      </c>
      <c r="D414" s="0" t="inlineStr">
        <is>
          <t xml:space="preserve">ABNB</t>
        </is>
      </c>
      <c r="E414" s="0" t="inlineStr">
        <is>
          <t xml:space="preserve">consumer_cyclical</t>
        </is>
      </c>
      <c r="F414" s="4">
        <v>13</v>
      </c>
    </row>
    <row r="415">
      <c r="A415" s="0" t="inlineStr">
        <is>
          <t xml:space="preserve">p05_insider_clusters_A</t>
        </is>
      </c>
      <c r="B415" s="0" t="inlineStr">
        <is>
          <t xml:space="preserve">p05_insider_clusters</t>
        </is>
      </c>
      <c r="C415" s="0" t="inlineStr">
        <is>
          <t xml:space="preserve">d20260923</t>
        </is>
      </c>
      <c r="D415" s="0" t="inlineStr">
        <is>
          <t xml:space="preserve">A</t>
        </is>
      </c>
      <c r="E415" s="0" t="inlineStr">
        <is>
          <t xml:space="preserve">healthcare</t>
        </is>
      </c>
      <c r="F415" s="4">
        <v>14</v>
      </c>
    </row>
    <row r="416">
      <c r="A416" s="0" t="inlineStr">
        <is>
          <t xml:space="preserve">p05_insider_clusters_AMR</t>
        </is>
      </c>
      <c r="B416" s="0" t="inlineStr">
        <is>
          <t xml:space="preserve">p05_insider_clusters</t>
        </is>
      </c>
      <c r="C416" s="0" t="inlineStr">
        <is>
          <t xml:space="preserve">d20260923</t>
        </is>
      </c>
      <c r="D416" s="0" t="inlineStr">
        <is>
          <t xml:space="preserve">AMR</t>
        </is>
      </c>
      <c r="E416" s="0" t="inlineStr">
        <is>
          <t xml:space="preserve">energy</t>
        </is>
      </c>
      <c r="F416" s="4">
        <v>15</v>
      </c>
    </row>
    <row r="417">
      <c r="A417" s="0" t="inlineStr">
        <is>
          <t xml:space="preserve">p05_insider_clusters_ABCB</t>
        </is>
      </c>
      <c r="B417" s="0" t="inlineStr">
        <is>
          <t xml:space="preserve">p05_insider_clusters</t>
        </is>
      </c>
      <c r="C417" s="0" t="inlineStr">
        <is>
          <t xml:space="preserve">d20260923</t>
        </is>
      </c>
      <c r="D417" s="0" t="inlineStr">
        <is>
          <t xml:space="preserve">ABCB</t>
        </is>
      </c>
      <c r="E417" s="0" t="inlineStr">
        <is>
          <t xml:space="preserve">financial_services</t>
        </is>
      </c>
      <c r="F417" s="4">
        <v>16</v>
      </c>
    </row>
    <row r="418">
      <c r="A418" s="0" t="inlineStr">
        <is>
          <t xml:space="preserve">p05_insider_clusters_TDG</t>
        </is>
      </c>
      <c r="B418" s="0" t="inlineStr">
        <is>
          <t xml:space="preserve">p05_insider_clusters</t>
        </is>
      </c>
      <c r="C418" s="0" t="inlineStr">
        <is>
          <t xml:space="preserve">d20260923</t>
        </is>
      </c>
      <c r="D418" s="0" t="inlineStr">
        <is>
          <t xml:space="preserve">TDG</t>
        </is>
      </c>
      <c r="E418" s="0" t="inlineStr">
        <is>
          <t xml:space="preserve">industrials</t>
        </is>
      </c>
      <c r="F418" s="4">
        <v>17</v>
      </c>
    </row>
    <row r="419">
      <c r="A419" s="0" t="inlineStr">
        <is>
          <t xml:space="preserve">p05_insider_clusters_ACIW</t>
        </is>
      </c>
      <c r="B419" s="0" t="inlineStr">
        <is>
          <t xml:space="preserve">p05_insider_clusters</t>
        </is>
      </c>
      <c r="C419" s="0" t="inlineStr">
        <is>
          <t xml:space="preserve">d20260923</t>
        </is>
      </c>
      <c r="D419" s="0" t="inlineStr">
        <is>
          <t xml:space="preserve">ACIW</t>
        </is>
      </c>
      <c r="E419" s="0" t="inlineStr">
        <is>
          <t xml:space="preserve">technology</t>
        </is>
      </c>
      <c r="F419" s="4">
        <v>18</v>
      </c>
    </row>
    <row r="420">
      <c r="A420" s="0" t="inlineStr">
        <is>
          <t xml:space="preserve">p05_insider_clusters_ACLS</t>
        </is>
      </c>
      <c r="B420" s="0" t="inlineStr">
        <is>
          <t xml:space="preserve">p05_insider_clusters</t>
        </is>
      </c>
      <c r="C420" s="0" t="inlineStr">
        <is>
          <t xml:space="preserve">d20260923</t>
        </is>
      </c>
      <c r="D420" s="0" t="inlineStr">
        <is>
          <t xml:space="preserve">ACLS</t>
        </is>
      </c>
      <c r="E420" s="0" t="inlineStr">
        <is>
          <t xml:space="preserve">technology</t>
        </is>
      </c>
      <c r="F420" s="4">
        <v>19</v>
      </c>
    </row>
    <row r="421">
      <c r="A421" s="0" t="inlineStr">
        <is>
          <t xml:space="preserve">p05_insider_clusters_AADX</t>
        </is>
      </c>
      <c r="B421" s="0" t="inlineStr">
        <is>
          <t xml:space="preserve">p05_insider_clusters</t>
        </is>
      </c>
      <c r="C421" s="0" t="inlineStr">
        <is>
          <t xml:space="preserve">d20260923</t>
        </is>
      </c>
      <c r="D421" s="0" t="inlineStr">
        <is>
          <t xml:space="preserve">AADX</t>
        </is>
      </c>
      <c r="E421" s="0" t="inlineStr">
        <is>
          <t xml:space="preserve">industrials</t>
        </is>
      </c>
      <c r="F421" s="4">
        <v>20</v>
      </c>
    </row>
    <row r="422">
      <c r="A422" s="0" t="inlineStr">
        <is>
          <t xml:space="preserve">p05_insider_clusters_ACMR</t>
        </is>
      </c>
      <c r="B422" s="0" t="inlineStr">
        <is>
          <t xml:space="preserve">p05_insider_clusters</t>
        </is>
      </c>
      <c r="C422" s="0" t="inlineStr">
        <is>
          <t xml:space="preserve">d20260923</t>
        </is>
      </c>
      <c r="D422" s="0" t="inlineStr">
        <is>
          <t xml:space="preserve">ACMR</t>
        </is>
      </c>
      <c r="E422" s="0" t="inlineStr">
        <is>
          <t xml:space="preserve">technology</t>
        </is>
      </c>
      <c r="F422" s="4">
        <v>21</v>
      </c>
    </row>
    <row r="423">
      <c r="A423" s="0" t="inlineStr">
        <is>
          <t xml:space="preserve">p05_insider_clusters_AAL</t>
        </is>
      </c>
      <c r="B423" s="0" t="inlineStr">
        <is>
          <t xml:space="preserve">p05_insider_clusters</t>
        </is>
      </c>
      <c r="C423" s="0" t="inlineStr">
        <is>
          <t xml:space="preserve">d20260923</t>
        </is>
      </c>
      <c r="D423" s="0" t="inlineStr">
        <is>
          <t xml:space="preserve">AAL</t>
        </is>
      </c>
      <c r="E423" s="0" t="inlineStr">
        <is>
          <t xml:space="preserve">industrials</t>
        </is>
      </c>
      <c r="F423" s="4">
        <v>22</v>
      </c>
    </row>
    <row r="424">
      <c r="A424" s="0" t="inlineStr">
        <is>
          <t xml:space="preserve">p05_insider_clusters_ABBV</t>
        </is>
      </c>
      <c r="B424" s="0" t="inlineStr">
        <is>
          <t xml:space="preserve">p05_insider_clusters</t>
        </is>
      </c>
      <c r="C424" s="0" t="inlineStr">
        <is>
          <t xml:space="preserve">d20260923</t>
        </is>
      </c>
      <c r="D424" s="0" t="inlineStr">
        <is>
          <t xml:space="preserve">ABBV</t>
        </is>
      </c>
      <c r="E424" s="0" t="inlineStr">
        <is>
          <t xml:space="preserve">healthcare</t>
        </is>
      </c>
      <c r="F424" s="4">
        <v>23</v>
      </c>
    </row>
    <row r="425">
      <c r="A425" s="0" t="inlineStr">
        <is>
          <t xml:space="preserve">p05_insider_clusters_ADBE</t>
        </is>
      </c>
      <c r="B425" s="0" t="inlineStr">
        <is>
          <t xml:space="preserve">p05_insider_clusters</t>
        </is>
      </c>
      <c r="C425" s="0" t="inlineStr">
        <is>
          <t xml:space="preserve">d20260923</t>
        </is>
      </c>
      <c r="D425" s="0" t="inlineStr">
        <is>
          <t xml:space="preserve">ADBE</t>
        </is>
      </c>
      <c r="E425" s="0" t="inlineStr">
        <is>
          <t xml:space="preserve">technology</t>
        </is>
      </c>
      <c r="F425" s="4">
        <v>24</v>
      </c>
    </row>
    <row r="426">
      <c r="A426" s="0" t="inlineStr">
        <is>
          <t xml:space="preserve">p05_insider_clusters_AAON</t>
        </is>
      </c>
      <c r="B426" s="0" t="inlineStr">
        <is>
          <t xml:space="preserve">p05_insider_clusters</t>
        </is>
      </c>
      <c r="C426" s="0" t="inlineStr">
        <is>
          <t xml:space="preserve">d20260923</t>
        </is>
      </c>
      <c r="D426" s="0" t="inlineStr">
        <is>
          <t xml:space="preserve">AAON</t>
        </is>
      </c>
      <c r="E426" s="0" t="inlineStr">
        <is>
          <t xml:space="preserve">industrials</t>
        </is>
      </c>
      <c r="F426" s="4">
        <v>25</v>
      </c>
    </row>
    <row r="427">
      <c r="A427" s="0" t="inlineStr">
        <is>
          <t xml:space="preserve">p05_insider_clusters_ADEA</t>
        </is>
      </c>
      <c r="B427" s="0" t="inlineStr">
        <is>
          <t xml:space="preserve">p05_insider_clusters</t>
        </is>
      </c>
      <c r="C427" s="0" t="inlineStr">
        <is>
          <t xml:space="preserve">d20260923</t>
        </is>
      </c>
      <c r="D427" s="0" t="inlineStr">
        <is>
          <t xml:space="preserve">ADEA</t>
        </is>
      </c>
      <c r="E427" s="0" t="inlineStr">
        <is>
          <t xml:space="preserve">technology</t>
        </is>
      </c>
      <c r="F427" s="4">
        <v>26</v>
      </c>
    </row>
    <row r="428">
      <c r="A428" s="0" t="inlineStr">
        <is>
          <t xml:space="preserve">p05_insider_clusters_ADI</t>
        </is>
      </c>
      <c r="B428" s="0" t="inlineStr">
        <is>
          <t xml:space="preserve">p05_insider_clusters</t>
        </is>
      </c>
      <c r="C428" s="0" t="inlineStr">
        <is>
          <t xml:space="preserve">d20260923</t>
        </is>
      </c>
      <c r="D428" s="0" t="inlineStr">
        <is>
          <t xml:space="preserve">ADI</t>
        </is>
      </c>
      <c r="E428" s="0" t="inlineStr">
        <is>
          <t xml:space="preserve">technology</t>
        </is>
      </c>
      <c r="F428" s="4">
        <v>27</v>
      </c>
    </row>
    <row r="429">
      <c r="A429" s="0" t="inlineStr">
        <is>
          <t xml:space="preserve">p05_insider_clusters_APA</t>
        </is>
      </c>
      <c r="B429" s="0" t="inlineStr">
        <is>
          <t xml:space="preserve">p05_insider_clusters</t>
        </is>
      </c>
      <c r="C429" s="0" t="inlineStr">
        <is>
          <t xml:space="preserve">d20260923</t>
        </is>
      </c>
      <c r="D429" s="0" t="inlineStr">
        <is>
          <t xml:space="preserve">APA</t>
        </is>
      </c>
      <c r="E429" s="0" t="inlineStr">
        <is>
          <t xml:space="preserve">energy</t>
        </is>
      </c>
      <c r="F429" s="4">
        <v>28</v>
      </c>
    </row>
    <row r="430">
      <c r="A430" s="0" t="inlineStr">
        <is>
          <t xml:space="preserve">p05_insider_clusters_ABT</t>
        </is>
      </c>
      <c r="B430" s="0" t="inlineStr">
        <is>
          <t xml:space="preserve">p05_insider_clusters</t>
        </is>
      </c>
      <c r="C430" s="0" t="inlineStr">
        <is>
          <t xml:space="preserve">d20260923</t>
        </is>
      </c>
      <c r="D430" s="0" t="inlineStr">
        <is>
          <t xml:space="preserve">ABT</t>
        </is>
      </c>
      <c r="E430" s="0" t="inlineStr">
        <is>
          <t xml:space="preserve">healthcare</t>
        </is>
      </c>
      <c r="F430" s="4">
        <v>29</v>
      </c>
    </row>
    <row r="431">
      <c r="A431" s="0" t="inlineStr">
        <is>
          <t xml:space="preserve">p05_insider_clusters_ACT</t>
        </is>
      </c>
      <c r="B431" s="0" t="inlineStr">
        <is>
          <t xml:space="preserve">p05_insider_clusters</t>
        </is>
      </c>
      <c r="C431" s="0" t="inlineStr">
        <is>
          <t xml:space="preserve">d20260923</t>
        </is>
      </c>
      <c r="D431" s="0" t="inlineStr">
        <is>
          <t xml:space="preserve">ACT</t>
        </is>
      </c>
      <c r="E431" s="0" t="inlineStr">
        <is>
          <t xml:space="preserve">financial_services</t>
        </is>
      </c>
      <c r="F431" s="4">
        <v>30</v>
      </c>
    </row>
    <row r="432">
      <c r="A432" s="0" t="inlineStr">
        <is>
          <t xml:space="preserve">p05_insider_clusters_ACAD</t>
        </is>
      </c>
      <c r="B432" s="0" t="inlineStr">
        <is>
          <t xml:space="preserve">p05_insider_clusters</t>
        </is>
      </c>
      <c r="C432" s="0" t="inlineStr">
        <is>
          <t xml:space="preserve">d20260923</t>
        </is>
      </c>
      <c r="D432" s="0" t="inlineStr">
        <is>
          <t xml:space="preserve">ACAD</t>
        </is>
      </c>
      <c r="E432" s="0" t="inlineStr">
        <is>
          <t xml:space="preserve">healthcare</t>
        </is>
      </c>
      <c r="F432" s="4">
        <v>31</v>
      </c>
    </row>
    <row r="433">
      <c r="A433" s="0" t="inlineStr">
        <is>
          <t xml:space="preserve">p05_insider_clusters_ADP</t>
        </is>
      </c>
      <c r="B433" s="0" t="inlineStr">
        <is>
          <t xml:space="preserve">p05_insider_clusters</t>
        </is>
      </c>
      <c r="C433" s="0" t="inlineStr">
        <is>
          <t xml:space="preserve">d20260923</t>
        </is>
      </c>
      <c r="D433" s="0" t="inlineStr">
        <is>
          <t xml:space="preserve">ADP</t>
        </is>
      </c>
      <c r="E433" s="0" t="inlineStr">
        <is>
          <t xml:space="preserve">technology</t>
        </is>
      </c>
      <c r="F433" s="4">
        <v>32</v>
      </c>
    </row>
    <row r="434">
      <c r="A434" s="0" t="inlineStr">
        <is>
          <t xml:space="preserve">p05_insider_clusters_ACHC</t>
        </is>
      </c>
      <c r="B434" s="0" t="inlineStr">
        <is>
          <t xml:space="preserve">p05_insider_clusters</t>
        </is>
      </c>
      <c r="C434" s="0" t="inlineStr">
        <is>
          <t xml:space="preserve">d20260923</t>
        </is>
      </c>
      <c r="D434" s="0" t="inlineStr">
        <is>
          <t xml:space="preserve">ACHC</t>
        </is>
      </c>
      <c r="E434" s="0" t="inlineStr">
        <is>
          <t xml:space="preserve">healthcare</t>
        </is>
      </c>
      <c r="F434" s="4">
        <v>33</v>
      </c>
    </row>
    <row r="435">
      <c r="A435" s="0" t="inlineStr">
        <is>
          <t xml:space="preserve">p05_insider_clusters_ABM</t>
        </is>
      </c>
      <c r="B435" s="0" t="inlineStr">
        <is>
          <t xml:space="preserve">p05_insider_clusters</t>
        </is>
      </c>
      <c r="C435" s="0" t="inlineStr">
        <is>
          <t xml:space="preserve">d20260923</t>
        </is>
      </c>
      <c r="D435" s="0" t="inlineStr">
        <is>
          <t xml:space="preserve">ABM</t>
        </is>
      </c>
      <c r="E435" s="0" t="inlineStr">
        <is>
          <t xml:space="preserve">industrials</t>
        </is>
      </c>
      <c r="F435" s="4">
        <v>34</v>
      </c>
    </row>
    <row r="436">
      <c r="A436" s="0" t="inlineStr">
        <is>
          <t xml:space="preserve">p05_insider_clusters_ADSK</t>
        </is>
      </c>
      <c r="B436" s="0" t="inlineStr">
        <is>
          <t xml:space="preserve">p05_insider_clusters</t>
        </is>
      </c>
      <c r="C436" s="0" t="inlineStr">
        <is>
          <t xml:space="preserve">d20260923</t>
        </is>
      </c>
      <c r="D436" s="0" t="inlineStr">
        <is>
          <t xml:space="preserve">ADSK</t>
        </is>
      </c>
      <c r="E436" s="0" t="inlineStr">
        <is>
          <t xml:space="preserve">technology</t>
        </is>
      </c>
      <c r="F436" s="4">
        <v>35</v>
      </c>
    </row>
    <row r="437">
      <c r="A437" s="0" t="inlineStr">
        <is>
          <t xml:space="preserve">p05_insider_clusters_ACI</t>
        </is>
      </c>
      <c r="B437" s="0" t="inlineStr">
        <is>
          <t xml:space="preserve">p05_insider_clusters</t>
        </is>
      </c>
      <c r="C437" s="0" t="inlineStr">
        <is>
          <t xml:space="preserve">d20260923</t>
        </is>
      </c>
      <c r="D437" s="0" t="inlineStr">
        <is>
          <t xml:space="preserve">ACI</t>
        </is>
      </c>
      <c r="E437" s="0" t="inlineStr">
        <is>
          <t xml:space="preserve">consumer_defensive</t>
        </is>
      </c>
      <c r="F437" s="4">
        <v>36</v>
      </c>
    </row>
    <row r="438">
      <c r="A438" s="0" t="inlineStr">
        <is>
          <t xml:space="preserve">p05_insider_clusters_AEHR</t>
        </is>
      </c>
      <c r="B438" s="0" t="inlineStr">
        <is>
          <t xml:space="preserve">p05_insider_clusters</t>
        </is>
      </c>
      <c r="C438" s="0" t="inlineStr">
        <is>
          <t xml:space="preserve">d20260923</t>
        </is>
      </c>
      <c r="D438" s="0" t="inlineStr">
        <is>
          <t xml:space="preserve">AEHR</t>
        </is>
      </c>
      <c r="E438" s="0" t="inlineStr">
        <is>
          <t xml:space="preserve">technology</t>
        </is>
      </c>
      <c r="F438" s="4">
        <v>37</v>
      </c>
    </row>
    <row r="439">
      <c r="A439" s="0" t="inlineStr">
        <is>
          <t xml:space="preserve">p05_insider_clusters_AEIS</t>
        </is>
      </c>
      <c r="B439" s="0" t="inlineStr">
        <is>
          <t xml:space="preserve">p05_insider_clusters</t>
        </is>
      </c>
      <c r="C439" s="0" t="inlineStr">
        <is>
          <t xml:space="preserve">d20260923</t>
        </is>
      </c>
      <c r="D439" s="0" t="inlineStr">
        <is>
          <t xml:space="preserve">AEIS</t>
        </is>
      </c>
      <c r="E439" s="0" t="inlineStr">
        <is>
          <t xml:space="preserve">technology</t>
        </is>
      </c>
      <c r="F439" s="4">
        <v>38</v>
      </c>
    </row>
    <row r="440">
      <c r="A440" s="0" t="inlineStr">
        <is>
          <t xml:space="preserve">p05_insider_clusters_ACHR</t>
        </is>
      </c>
      <c r="B440" s="0" t="inlineStr">
        <is>
          <t xml:space="preserve">p05_insider_clusters</t>
        </is>
      </c>
      <c r="C440" s="0" t="inlineStr">
        <is>
          <t xml:space="preserve">d20260923</t>
        </is>
      </c>
      <c r="D440" s="0" t="inlineStr">
        <is>
          <t xml:space="preserve">ACHR</t>
        </is>
      </c>
      <c r="E440" s="0" t="inlineStr">
        <is>
          <t xml:space="preserve">industrials</t>
        </is>
      </c>
      <c r="F440" s="4">
        <v>39</v>
      </c>
    </row>
    <row r="441">
      <c r="A441" s="0" t="inlineStr">
        <is>
          <t xml:space="preserve">p05_insider_clusters_AEO</t>
        </is>
      </c>
      <c r="B441" s="0" t="inlineStr">
        <is>
          <t xml:space="preserve">p05_insider_clusters</t>
        </is>
      </c>
      <c r="C441" s="0" t="inlineStr">
        <is>
          <t xml:space="preserve">d20260923</t>
        </is>
      </c>
      <c r="D441" s="0" t="inlineStr">
        <is>
          <t xml:space="preserve">AEO</t>
        </is>
      </c>
      <c r="E441" s="0" t="inlineStr">
        <is>
          <t xml:space="preserve">consumer_cyclical</t>
        </is>
      </c>
      <c r="F441" s="4">
        <v>40</v>
      </c>
    </row>
    <row r="442">
      <c r="A442" s="0" t="inlineStr">
        <is>
          <t xml:space="preserve">p05_insider_clusters_AR</t>
        </is>
      </c>
      <c r="B442" s="0" t="inlineStr">
        <is>
          <t xml:space="preserve">p05_insider_clusters</t>
        </is>
      </c>
      <c r="C442" s="0" t="inlineStr">
        <is>
          <t xml:space="preserve">d20260923</t>
        </is>
      </c>
      <c r="D442" s="0" t="inlineStr">
        <is>
          <t xml:space="preserve">AR</t>
        </is>
      </c>
      <c r="E442" s="0" t="inlineStr">
        <is>
          <t xml:space="preserve">energy</t>
        </is>
      </c>
      <c r="F442" s="4">
        <v>41</v>
      </c>
    </row>
    <row r="443">
      <c r="A443" s="0" t="inlineStr">
        <is>
          <t xml:space="preserve">p05_insider_clusters_ACM</t>
        </is>
      </c>
      <c r="B443" s="0" t="inlineStr">
        <is>
          <t xml:space="preserve">p05_insider_clusters</t>
        </is>
      </c>
      <c r="C443" s="0" t="inlineStr">
        <is>
          <t xml:space="preserve">d20260923</t>
        </is>
      </c>
      <c r="D443" s="0" t="inlineStr">
        <is>
          <t xml:space="preserve">ACM</t>
        </is>
      </c>
      <c r="E443" s="0" t="inlineStr">
        <is>
          <t xml:space="preserve">industrials</t>
        </is>
      </c>
      <c r="F443" s="4">
        <v>42</v>
      </c>
    </row>
    <row r="444">
      <c r="A444" s="0" t="inlineStr">
        <is>
          <t xml:space="preserve">p05_insider_clusters_ADC</t>
        </is>
      </c>
      <c r="B444" s="0" t="inlineStr">
        <is>
          <t xml:space="preserve">p05_insider_clusters</t>
        </is>
      </c>
      <c r="C444" s="0" t="inlineStr">
        <is>
          <t xml:space="preserve">d20260923</t>
        </is>
      </c>
      <c r="D444" s="0" t="inlineStr">
        <is>
          <t xml:space="preserve">ADC</t>
        </is>
      </c>
      <c r="E444" s="0" t="inlineStr">
        <is>
          <t xml:space="preserve">real_estate</t>
        </is>
      </c>
      <c r="F444" s="4">
        <v>43</v>
      </c>
    </row>
    <row r="445">
      <c r="A445" s="0" t="inlineStr">
        <is>
          <t xml:space="preserve">p05_insider_clusters_ADM</t>
        </is>
      </c>
      <c r="B445" s="0" t="inlineStr">
        <is>
          <t xml:space="preserve">p05_insider_clusters</t>
        </is>
      </c>
      <c r="C445" s="0" t="inlineStr">
        <is>
          <t xml:space="preserve">d20260923</t>
        </is>
      </c>
      <c r="D445" s="0" t="inlineStr">
        <is>
          <t xml:space="preserve">ADM</t>
        </is>
      </c>
      <c r="E445" s="0" t="inlineStr">
        <is>
          <t xml:space="preserve">consumer_defensive</t>
        </is>
      </c>
      <c r="F445" s="4">
        <v>44</v>
      </c>
    </row>
    <row r="446">
      <c r="A446" s="0" t="inlineStr">
        <is>
          <t xml:space="preserve">p05_insider_clusters_ADMA</t>
        </is>
      </c>
      <c r="B446" s="0" t="inlineStr">
        <is>
          <t xml:space="preserve">p05_insider_clusters</t>
        </is>
      </c>
      <c r="C446" s="0" t="inlineStr">
        <is>
          <t xml:space="preserve">d20260923</t>
        </is>
      </c>
      <c r="D446" s="0" t="inlineStr">
        <is>
          <t xml:space="preserve">ADMA</t>
        </is>
      </c>
      <c r="E446" s="0" t="inlineStr">
        <is>
          <t xml:space="preserve">healthcare</t>
        </is>
      </c>
      <c r="F446" s="4">
        <v>45</v>
      </c>
    </row>
    <row r="447">
      <c r="A447" s="0" t="inlineStr">
        <is>
          <t xml:space="preserve">p05_insider_clusters_AROC</t>
        </is>
      </c>
      <c r="B447" s="0" t="inlineStr">
        <is>
          <t xml:space="preserve">p05_insider_clusters</t>
        </is>
      </c>
      <c r="C447" s="0" t="inlineStr">
        <is>
          <t xml:space="preserve">d20260923</t>
        </is>
      </c>
      <c r="D447" s="0" t="inlineStr">
        <is>
          <t xml:space="preserve">AROC</t>
        </is>
      </c>
      <c r="E447" s="0" t="inlineStr">
        <is>
          <t xml:space="preserve">energy</t>
        </is>
      </c>
      <c r="F447" s="4">
        <v>46</v>
      </c>
    </row>
    <row r="448">
      <c r="A448" s="0" t="inlineStr">
        <is>
          <t xml:space="preserve">p05_insider_clusters_ADPT</t>
        </is>
      </c>
      <c r="B448" s="0" t="inlineStr">
        <is>
          <t xml:space="preserve">p05_insider_clusters</t>
        </is>
      </c>
      <c r="C448" s="0" t="inlineStr">
        <is>
          <t xml:space="preserve">d20260923</t>
        </is>
      </c>
      <c r="D448" s="0" t="inlineStr">
        <is>
          <t xml:space="preserve">ADPT</t>
        </is>
      </c>
      <c r="E448" s="0" t="inlineStr">
        <is>
          <t xml:space="preserve">healthcare</t>
        </is>
      </c>
      <c r="F448" s="4">
        <v>47</v>
      </c>
    </row>
    <row r="449">
      <c r="A449" s="0" t="inlineStr">
        <is>
          <t xml:space="preserve">p05_insider_clusters_AFG</t>
        </is>
      </c>
      <c r="B449" s="0" t="inlineStr">
        <is>
          <t xml:space="preserve">p05_insider_clusters</t>
        </is>
      </c>
      <c r="C449" s="0" t="inlineStr">
        <is>
          <t xml:space="preserve">d20260923</t>
        </is>
      </c>
      <c r="D449" s="0" t="inlineStr">
        <is>
          <t xml:space="preserve">AFG</t>
        </is>
      </c>
      <c r="E449" s="0" t="inlineStr">
        <is>
          <t xml:space="preserve">financial_services</t>
        </is>
      </c>
      <c r="F449" s="4">
        <v>48</v>
      </c>
    </row>
    <row r="450">
      <c r="A450" s="0" t="inlineStr">
        <is>
          <t xml:space="preserve">p05_insider_clusters_AGYS</t>
        </is>
      </c>
      <c r="B450" s="0" t="inlineStr">
        <is>
          <t xml:space="preserve">p05_insider_clusters</t>
        </is>
      </c>
      <c r="C450" s="0" t="inlineStr">
        <is>
          <t xml:space="preserve">d20260923</t>
        </is>
      </c>
      <c r="D450" s="0" t="inlineStr">
        <is>
          <t xml:space="preserve">AGYS</t>
        </is>
      </c>
      <c r="E450" s="0" t="inlineStr">
        <is>
          <t xml:space="preserve">technology</t>
        </is>
      </c>
      <c r="F450" s="4">
        <v>49</v>
      </c>
    </row>
    <row r="451">
      <c r="A451" s="0" t="inlineStr">
        <is>
          <t xml:space="preserve">p05_insider_clusters_AFL</t>
        </is>
      </c>
      <c r="B451" s="0" t="inlineStr">
        <is>
          <t xml:space="preserve">p05_insider_clusters</t>
        </is>
      </c>
      <c r="C451" s="0" t="inlineStr">
        <is>
          <t xml:space="preserve">d20260923</t>
        </is>
      </c>
      <c r="D451" s="0" t="inlineStr">
        <is>
          <t xml:space="preserve">AFL</t>
        </is>
      </c>
      <c r="E451" s="0" t="inlineStr">
        <is>
          <t xml:space="preserve">financial_services</t>
        </is>
      </c>
      <c r="F451" s="4">
        <v>50</v>
      </c>
    </row>
    <row r="452">
      <c r="A452" s="0" t="inlineStr">
        <is>
          <t xml:space="preserve">p05_insider_clusters_AFRM</t>
        </is>
      </c>
      <c r="B452" s="0" t="inlineStr">
        <is>
          <t xml:space="preserve">p05_insider_clusters</t>
        </is>
      </c>
      <c r="C452" s="0" t="inlineStr">
        <is>
          <t xml:space="preserve">d20260923</t>
        </is>
      </c>
      <c r="D452" s="0" t="inlineStr">
        <is>
          <t xml:space="preserve">AFRM</t>
        </is>
      </c>
      <c r="E452" s="0" t="inlineStr">
        <is>
          <t xml:space="preserve">financial_services</t>
        </is>
      </c>
      <c r="F452" s="4">
        <v>51</v>
      </c>
    </row>
    <row r="453">
      <c r="A453" s="0" t="inlineStr">
        <is>
          <t xml:space="preserve">p05_insider_clusters_ADT</t>
        </is>
      </c>
      <c r="B453" s="0" t="inlineStr">
        <is>
          <t xml:space="preserve">p05_insider_clusters</t>
        </is>
      </c>
      <c r="C453" s="0" t="inlineStr">
        <is>
          <t xml:space="preserve">d20260923</t>
        </is>
      </c>
      <c r="D453" s="0" t="inlineStr">
        <is>
          <t xml:space="preserve">ADT</t>
        </is>
      </c>
      <c r="E453" s="0" t="inlineStr">
        <is>
          <t xml:space="preserve">industrials</t>
        </is>
      </c>
      <c r="F453" s="4">
        <v>52</v>
      </c>
    </row>
    <row r="454">
      <c r="A454" s="0" t="inlineStr">
        <is>
          <t xml:space="preserve">p05_insider_clusters_AKAM</t>
        </is>
      </c>
      <c r="B454" s="0" t="inlineStr">
        <is>
          <t xml:space="preserve">p05_insider_clusters</t>
        </is>
      </c>
      <c r="C454" s="0" t="inlineStr">
        <is>
          <t xml:space="preserve">d20260923</t>
        </is>
      </c>
      <c r="D454" s="0" t="inlineStr">
        <is>
          <t xml:space="preserve">AKAM</t>
        </is>
      </c>
      <c r="E454" s="0" t="inlineStr">
        <is>
          <t xml:space="preserve">technology</t>
        </is>
      </c>
      <c r="F454" s="4">
        <v>53</v>
      </c>
    </row>
    <row r="455">
      <c r="A455" s="0" t="inlineStr">
        <is>
          <t xml:space="preserve">p05_insider_clusters_ALAB</t>
        </is>
      </c>
      <c r="B455" s="0" t="inlineStr">
        <is>
          <t xml:space="preserve">p05_insider_clusters</t>
        </is>
      </c>
      <c r="C455" s="0" t="inlineStr">
        <is>
          <t xml:space="preserve">d20260923</t>
        </is>
      </c>
      <c r="D455" s="0" t="inlineStr">
        <is>
          <t xml:space="preserve">ALAB</t>
        </is>
      </c>
      <c r="E455" s="0" t="inlineStr">
        <is>
          <t xml:space="preserve">technology</t>
        </is>
      </c>
      <c r="F455" s="4">
        <v>54</v>
      </c>
    </row>
    <row r="456">
      <c r="A456" s="0" t="inlineStr">
        <is>
          <t xml:space="preserve">p05_insider_clusters_AIG</t>
        </is>
      </c>
      <c r="B456" s="0" t="inlineStr">
        <is>
          <t xml:space="preserve">p05_insider_clusters</t>
        </is>
      </c>
      <c r="C456" s="0" t="inlineStr">
        <is>
          <t xml:space="preserve">d20260923</t>
        </is>
      </c>
      <c r="D456" s="0" t="inlineStr">
        <is>
          <t xml:space="preserve">AIG</t>
        </is>
      </c>
      <c r="E456" s="0" t="inlineStr">
        <is>
          <t xml:space="preserve">financial_services</t>
        </is>
      </c>
      <c r="F456" s="4">
        <v>55</v>
      </c>
    </row>
    <row r="457">
      <c r="A457" s="0" t="inlineStr">
        <is>
          <t xml:space="preserve">p05_insider_clusters_AEE</t>
        </is>
      </c>
      <c r="B457" s="0" t="inlineStr">
        <is>
          <t xml:space="preserve">p05_insider_clusters</t>
        </is>
      </c>
      <c r="C457" s="0" t="inlineStr">
        <is>
          <t xml:space="preserve">d20260923</t>
        </is>
      </c>
      <c r="D457" s="0" t="inlineStr">
        <is>
          <t xml:space="preserve">AEE</t>
        </is>
      </c>
      <c r="E457" s="0" t="inlineStr">
        <is>
          <t xml:space="preserve">utilities</t>
        </is>
      </c>
      <c r="F457" s="4">
        <v>56</v>
      </c>
    </row>
    <row r="458">
      <c r="A458" s="0" t="inlineStr">
        <is>
          <t xml:space="preserve">p05_insider_clusters_ALGM</t>
        </is>
      </c>
      <c r="B458" s="0" t="inlineStr">
        <is>
          <t xml:space="preserve">p05_insider_clusters</t>
        </is>
      </c>
      <c r="C458" s="0" t="inlineStr">
        <is>
          <t xml:space="preserve">d20260923</t>
        </is>
      </c>
      <c r="D458" s="0" t="inlineStr">
        <is>
          <t xml:space="preserve">ALGM</t>
        </is>
      </c>
      <c r="E458" s="0" t="inlineStr">
        <is>
          <t xml:space="preserve">technology</t>
        </is>
      </c>
      <c r="F458" s="4">
        <v>57</v>
      </c>
    </row>
    <row r="459">
      <c r="A459" s="0" t="inlineStr">
        <is>
          <t xml:space="preserve">p05_insider_clusters_AIZ</t>
        </is>
      </c>
      <c r="B459" s="0" t="inlineStr">
        <is>
          <t xml:space="preserve">p05_insider_clusters</t>
        </is>
      </c>
      <c r="C459" s="0" t="inlineStr">
        <is>
          <t xml:space="preserve">d20260923</t>
        </is>
      </c>
      <c r="D459" s="0" t="inlineStr">
        <is>
          <t xml:space="preserve">AIZ</t>
        </is>
      </c>
      <c r="E459" s="0" t="inlineStr">
        <is>
          <t xml:space="preserve">financial_services</t>
        </is>
      </c>
      <c r="F459" s="4">
        <v>58</v>
      </c>
    </row>
    <row r="460">
      <c r="A460" s="0" t="inlineStr">
        <is>
          <t xml:space="preserve">p05_insider_clusters_AJG</t>
        </is>
      </c>
      <c r="B460" s="0" t="inlineStr">
        <is>
          <t xml:space="preserve">p05_insider_clusters</t>
        </is>
      </c>
      <c r="C460" s="0" t="inlineStr">
        <is>
          <t xml:space="preserve">d20260923</t>
        </is>
      </c>
      <c r="D460" s="0" t="inlineStr">
        <is>
          <t xml:space="preserve">AJG</t>
        </is>
      </c>
      <c r="E460" s="0" t="inlineStr">
        <is>
          <t xml:space="preserve">financial_services</t>
        </is>
      </c>
      <c r="F460" s="4">
        <v>59</v>
      </c>
    </row>
    <row r="461">
      <c r="A461" s="0" t="inlineStr">
        <is>
          <t xml:space="preserve">p05_insider_clusters_AGIO</t>
        </is>
      </c>
      <c r="B461" s="0" t="inlineStr">
        <is>
          <t xml:space="preserve">p05_insider_clusters</t>
        </is>
      </c>
      <c r="C461" s="0" t="inlineStr">
        <is>
          <t xml:space="preserve">d20260923</t>
        </is>
      </c>
      <c r="D461" s="0" t="inlineStr">
        <is>
          <t xml:space="preserve">AGIO</t>
        </is>
      </c>
      <c r="E461" s="0" t="inlineStr">
        <is>
          <t xml:space="preserve">healthcare</t>
        </is>
      </c>
      <c r="F461" s="4">
        <v>60</v>
      </c>
    </row>
    <row r="462">
      <c r="A462" s="0" t="inlineStr">
        <is>
          <t xml:space="preserve">p05_insider_clusters_AEP</t>
        </is>
      </c>
      <c r="B462" s="0" t="inlineStr">
        <is>
          <t xml:space="preserve">p05_insider_clusters</t>
        </is>
      </c>
      <c r="C462" s="0" t="inlineStr">
        <is>
          <t xml:space="preserve">d20260923</t>
        </is>
      </c>
      <c r="D462" s="0" t="inlineStr">
        <is>
          <t xml:space="preserve">AEP</t>
        </is>
      </c>
      <c r="E462" s="0" t="inlineStr">
        <is>
          <t xml:space="preserve">utilities</t>
        </is>
      </c>
      <c r="F462" s="4">
        <v>61</v>
      </c>
    </row>
    <row r="463">
      <c r="A463" s="0" t="inlineStr">
        <is>
          <t xml:space="preserve">p05_insider_clusters_AES</t>
        </is>
      </c>
      <c r="B463" s="0" t="inlineStr">
        <is>
          <t xml:space="preserve">p05_insider_clusters</t>
        </is>
      </c>
      <c r="C463" s="0" t="inlineStr">
        <is>
          <t xml:space="preserve">d20260923</t>
        </is>
      </c>
      <c r="D463" s="0" t="inlineStr">
        <is>
          <t xml:space="preserve">AES</t>
        </is>
      </c>
      <c r="E463" s="0" t="inlineStr">
        <is>
          <t xml:space="preserve">utilities</t>
        </is>
      </c>
      <c r="F463" s="4">
        <v>62</v>
      </c>
    </row>
    <row r="464">
      <c r="A464" s="0" t="inlineStr">
        <is>
          <t xml:space="preserve">p05_insider_clusters_AGNC</t>
        </is>
      </c>
      <c r="B464" s="0" t="inlineStr">
        <is>
          <t xml:space="preserve">p05_insider_clusters</t>
        </is>
      </c>
      <c r="C464" s="0" t="inlineStr">
        <is>
          <t xml:space="preserve">d20260923</t>
        </is>
      </c>
      <c r="D464" s="0" t="inlineStr">
        <is>
          <t xml:space="preserve">AGNC</t>
        </is>
      </c>
      <c r="E464" s="0" t="inlineStr">
        <is>
          <t xml:space="preserve">real_estate</t>
        </is>
      </c>
      <c r="F464" s="4">
        <v>63</v>
      </c>
    </row>
    <row r="465">
      <c r="A465" s="0" t="inlineStr">
        <is>
          <t xml:space="preserve">p05_insider_clusters_AGCO</t>
        </is>
      </c>
      <c r="B465" s="0" t="inlineStr">
        <is>
          <t xml:space="preserve">p05_insider_clusters</t>
        </is>
      </c>
      <c r="C465" s="0" t="inlineStr">
        <is>
          <t xml:space="preserve">d20260923</t>
        </is>
      </c>
      <c r="D465" s="0" t="inlineStr">
        <is>
          <t xml:space="preserve">AGCO</t>
        </is>
      </c>
      <c r="E465" s="0" t="inlineStr">
        <is>
          <t xml:space="preserve">industrials</t>
        </is>
      </c>
      <c r="F465" s="4">
        <v>64</v>
      </c>
    </row>
    <row r="466">
      <c r="A466" s="0" t="inlineStr">
        <is>
          <t xml:space="preserve">p05_insider_clusters_AHR</t>
        </is>
      </c>
      <c r="B466" s="0" t="inlineStr">
        <is>
          <t xml:space="preserve">p05_insider_clusters</t>
        </is>
      </c>
      <c r="C466" s="0" t="inlineStr">
        <is>
          <t xml:space="preserve">d20260923</t>
        </is>
      </c>
      <c r="D466" s="0" t="inlineStr">
        <is>
          <t xml:space="preserve">AHR</t>
        </is>
      </c>
      <c r="E466" s="0" t="inlineStr">
        <is>
          <t xml:space="preserve">real_estate</t>
        </is>
      </c>
      <c r="F466" s="4">
        <v>65</v>
      </c>
    </row>
    <row r="467">
      <c r="A467" s="0" t="inlineStr">
        <is>
          <t xml:space="preserve">p05_insider_clusters_AGX</t>
        </is>
      </c>
      <c r="B467" s="0" t="inlineStr">
        <is>
          <t xml:space="preserve">p05_insider_clusters</t>
        </is>
      </c>
      <c r="C467" s="0" t="inlineStr">
        <is>
          <t xml:space="preserve">d20260923</t>
        </is>
      </c>
      <c r="D467" s="0" t="inlineStr">
        <is>
          <t xml:space="preserve">AGX</t>
        </is>
      </c>
      <c r="E467" s="0" t="inlineStr">
        <is>
          <t xml:space="preserve">industrials</t>
        </is>
      </c>
      <c r="F467" s="4">
        <v>66</v>
      </c>
    </row>
    <row r="468">
      <c r="A468" s="0" t="inlineStr">
        <is>
          <t xml:space="preserve">p05_insider_clusters_AA</t>
        </is>
      </c>
      <c r="B468" s="0" t="inlineStr">
        <is>
          <t xml:space="preserve">p05_insider_clusters</t>
        </is>
      </c>
      <c r="C468" s="0" t="inlineStr">
        <is>
          <t xml:space="preserve">d20260923</t>
        </is>
      </c>
      <c r="D468" s="0" t="inlineStr">
        <is>
          <t xml:space="preserve">AA</t>
        </is>
      </c>
      <c r="E468" s="0" t="inlineStr">
        <is>
          <t xml:space="preserve">basic_materials</t>
        </is>
      </c>
      <c r="F468" s="4">
        <v>67</v>
      </c>
    </row>
    <row r="469">
      <c r="A469" s="0" t="inlineStr">
        <is>
          <t xml:space="preserve">p05_insider_clusters_ALRM</t>
        </is>
      </c>
      <c r="B469" s="0" t="inlineStr">
        <is>
          <t xml:space="preserve">p05_insider_clusters</t>
        </is>
      </c>
      <c r="C469" s="0" t="inlineStr">
        <is>
          <t xml:space="preserve">d20260923</t>
        </is>
      </c>
      <c r="D469" s="0" t="inlineStr">
        <is>
          <t xml:space="preserve">ALRM</t>
        </is>
      </c>
      <c r="E469" s="0" t="inlineStr">
        <is>
          <t xml:space="preserve">technology</t>
        </is>
      </c>
      <c r="F469" s="4">
        <v>68</v>
      </c>
    </row>
    <row r="470">
      <c r="A470" s="0" t="inlineStr">
        <is>
          <t xml:space="preserve">p05_insider_clusters_ALSN</t>
        </is>
      </c>
      <c r="B470" s="0" t="inlineStr">
        <is>
          <t xml:space="preserve">p05_insider_clusters</t>
        </is>
      </c>
      <c r="C470" s="0" t="inlineStr">
        <is>
          <t xml:space="preserve">d20260923</t>
        </is>
      </c>
      <c r="D470" s="0" t="inlineStr">
        <is>
          <t xml:space="preserve">ALSN</t>
        </is>
      </c>
      <c r="E470" s="0" t="inlineStr">
        <is>
          <t xml:space="preserve">consumer_cyclical</t>
        </is>
      </c>
      <c r="F470" s="4">
        <v>69</v>
      </c>
    </row>
    <row r="471">
      <c r="A471" s="0" t="inlineStr">
        <is>
          <t xml:space="preserve">p05_insider_clusters_ALL</t>
        </is>
      </c>
      <c r="B471" s="0" t="inlineStr">
        <is>
          <t xml:space="preserve">p05_insider_clusters</t>
        </is>
      </c>
      <c r="C471" s="0" t="inlineStr">
        <is>
          <t xml:space="preserve">d20260923</t>
        </is>
      </c>
      <c r="D471" s="0" t="inlineStr">
        <is>
          <t xml:space="preserve">ALL</t>
        </is>
      </c>
      <c r="E471" s="0" t="inlineStr">
        <is>
          <t xml:space="preserve">financial_services</t>
        </is>
      </c>
      <c r="F471" s="4">
        <v>70</v>
      </c>
    </row>
    <row r="472">
      <c r="A472" s="0" t="inlineStr">
        <is>
          <t xml:space="preserve">p05_insider_clusters_ALLY</t>
        </is>
      </c>
      <c r="B472" s="0" t="inlineStr">
        <is>
          <t xml:space="preserve">p05_insider_clusters</t>
        </is>
      </c>
      <c r="C472" s="0" t="inlineStr">
        <is>
          <t xml:space="preserve">d20260923</t>
        </is>
      </c>
      <c r="D472" s="0" t="inlineStr">
        <is>
          <t xml:space="preserve">ALLY</t>
        </is>
      </c>
      <c r="E472" s="0" t="inlineStr">
        <is>
          <t xml:space="preserve">financial_services</t>
        </is>
      </c>
      <c r="F472" s="4">
        <v>71</v>
      </c>
    </row>
    <row r="473">
      <c r="A473" s="0" t="inlineStr">
        <is>
          <t xml:space="preserve">p05_insider_clusters_AIR</t>
        </is>
      </c>
      <c r="B473" s="0" t="inlineStr">
        <is>
          <t xml:space="preserve">p05_insider_clusters</t>
        </is>
      </c>
      <c r="C473" s="0" t="inlineStr">
        <is>
          <t xml:space="preserve">d20260923</t>
        </is>
      </c>
      <c r="D473" s="0" t="inlineStr">
        <is>
          <t xml:space="preserve">AIR</t>
        </is>
      </c>
      <c r="E473" s="0" t="inlineStr">
        <is>
          <t xml:space="preserve">industrials</t>
        </is>
      </c>
      <c r="F473" s="4">
        <v>72</v>
      </c>
    </row>
    <row r="474">
      <c r="A474" s="0" t="inlineStr">
        <is>
          <t xml:space="preserve">p05_insider_clusters_AMAT</t>
        </is>
      </c>
      <c r="B474" s="0" t="inlineStr">
        <is>
          <t xml:space="preserve">p05_insider_clusters</t>
        </is>
      </c>
      <c r="C474" s="0" t="inlineStr">
        <is>
          <t xml:space="preserve">d20260923</t>
        </is>
      </c>
      <c r="D474" s="0" t="inlineStr">
        <is>
          <t xml:space="preserve">AMAT</t>
        </is>
      </c>
      <c r="E474" s="0" t="inlineStr">
        <is>
          <t xml:space="preserve">technology</t>
        </is>
      </c>
      <c r="F474" s="4">
        <v>73</v>
      </c>
    </row>
    <row r="475">
      <c r="A475" s="0" t="inlineStr">
        <is>
          <t xml:space="preserve">p05_insider_clusters_AMBA</t>
        </is>
      </c>
      <c r="B475" s="0" t="inlineStr">
        <is>
          <t xml:space="preserve">p05_insider_clusters</t>
        </is>
      </c>
      <c r="C475" s="0" t="inlineStr">
        <is>
          <t xml:space="preserve">d20260923</t>
        </is>
      </c>
      <c r="D475" s="0" t="inlineStr">
        <is>
          <t xml:space="preserve">AMBA</t>
        </is>
      </c>
      <c r="E475" s="0" t="inlineStr">
        <is>
          <t xml:space="preserve">technology</t>
        </is>
      </c>
      <c r="F475" s="4">
        <v>74</v>
      </c>
    </row>
    <row r="476">
      <c r="A476" s="0" t="inlineStr">
        <is>
          <t xml:space="preserve">p05_insider_clusters_AKR</t>
        </is>
      </c>
      <c r="B476" s="0" t="inlineStr">
        <is>
          <t xml:space="preserve">p05_insider_clusters</t>
        </is>
      </c>
      <c r="C476" s="0" t="inlineStr">
        <is>
          <t xml:space="preserve">d20260923</t>
        </is>
      </c>
      <c r="D476" s="0" t="inlineStr">
        <is>
          <t xml:space="preserve">AKR</t>
        </is>
      </c>
      <c r="E476" s="0" t="inlineStr">
        <is>
          <t xml:space="preserve">real_estate</t>
        </is>
      </c>
      <c r="F476" s="4">
        <v>75</v>
      </c>
    </row>
    <row r="477">
      <c r="A477" s="0" t="inlineStr">
        <is>
          <t xml:space="preserve">p05_insider_clusters_AMD</t>
        </is>
      </c>
      <c r="B477" s="0" t="inlineStr">
        <is>
          <t xml:space="preserve">p05_insider_clusters</t>
        </is>
      </c>
      <c r="C477" s="0" t="inlineStr">
        <is>
          <t xml:space="preserve">d20260923</t>
        </is>
      </c>
      <c r="D477" s="0" t="inlineStr">
        <is>
          <t xml:space="preserve">AMD</t>
        </is>
      </c>
      <c r="E477" s="0" t="inlineStr">
        <is>
          <t xml:space="preserve">technology</t>
        </is>
      </c>
      <c r="F477" s="4">
        <v>76</v>
      </c>
    </row>
    <row r="478">
      <c r="A478" s="0" t="inlineStr">
        <is>
          <t xml:space="preserve">p05_insider_clusters_ALGN</t>
        </is>
      </c>
      <c r="B478" s="0" t="inlineStr">
        <is>
          <t xml:space="preserve">p05_insider_clusters</t>
        </is>
      </c>
      <c r="C478" s="0" t="inlineStr">
        <is>
          <t xml:space="preserve">d20260923</t>
        </is>
      </c>
      <c r="D478" s="0" t="inlineStr">
        <is>
          <t xml:space="preserve">ALGN</t>
        </is>
      </c>
      <c r="E478" s="0" t="inlineStr">
        <is>
          <t xml:space="preserve">healthcare</t>
        </is>
      </c>
      <c r="F478" s="4">
        <v>77</v>
      </c>
    </row>
    <row r="479">
      <c r="A479" s="0" t="inlineStr">
        <is>
          <t xml:space="preserve">p05_insider_clusters_CARG</t>
        </is>
      </c>
      <c r="B479" s="0" t="inlineStr">
        <is>
          <t xml:space="preserve">p05_insider_clusters</t>
        </is>
      </c>
      <c r="C479" s="0" t="inlineStr">
        <is>
          <t xml:space="preserve">d20260923</t>
        </is>
      </c>
      <c r="D479" s="0" t="inlineStr">
        <is>
          <t xml:space="preserve">CARG</t>
        </is>
      </c>
      <c r="E479" s="0" t="inlineStr">
        <is>
          <t xml:space="preserve">communication_services</t>
        </is>
      </c>
      <c r="F479" s="4">
        <v>78</v>
      </c>
    </row>
    <row r="480">
      <c r="A480" s="0" t="inlineStr">
        <is>
          <t xml:space="preserve">p05_insider_clusters_AMKR</t>
        </is>
      </c>
      <c r="B480" s="0" t="inlineStr">
        <is>
          <t xml:space="preserve">p05_insider_clusters</t>
        </is>
      </c>
      <c r="C480" s="0" t="inlineStr">
        <is>
          <t xml:space="preserve">d20260923</t>
        </is>
      </c>
      <c r="D480" s="0" t="inlineStr">
        <is>
          <t xml:space="preserve">AMKR</t>
        </is>
      </c>
      <c r="E480" s="0" t="inlineStr">
        <is>
          <t xml:space="preserve">technology</t>
        </is>
      </c>
      <c r="F480" s="4">
        <v>79</v>
      </c>
    </row>
    <row r="481">
      <c r="A481" s="0" t="inlineStr">
        <is>
          <t xml:space="preserve">p05_insider_clusters_ALGT</t>
        </is>
      </c>
      <c r="B481" s="0" t="inlineStr">
        <is>
          <t xml:space="preserve">p05_insider_clusters</t>
        </is>
      </c>
      <c r="C481" s="0" t="inlineStr">
        <is>
          <t xml:space="preserve">d20260923</t>
        </is>
      </c>
      <c r="D481" s="0" t="inlineStr">
        <is>
          <t xml:space="preserve">ALGT</t>
        </is>
      </c>
      <c r="E481" s="0" t="inlineStr">
        <is>
          <t xml:space="preserve">industrials</t>
        </is>
      </c>
      <c r="F481" s="4">
        <v>80</v>
      </c>
    </row>
    <row r="482">
      <c r="A482" s="0" t="inlineStr">
        <is>
          <t xml:space="preserve">p05_insider_clusters_ACA</t>
        </is>
      </c>
      <c r="B482" s="0" t="inlineStr">
        <is>
          <t xml:space="preserve">p05_insider_clusters</t>
        </is>
      </c>
      <c r="C482" s="0" t="inlineStr">
        <is>
          <t xml:space="preserve">d20260923</t>
        </is>
      </c>
      <c r="D482" s="0" t="inlineStr">
        <is>
          <t xml:space="preserve">ACA</t>
        </is>
      </c>
      <c r="E482" s="0" t="inlineStr">
        <is>
          <t xml:space="preserve">basic_materials</t>
        </is>
      </c>
      <c r="F482" s="4">
        <v>81</v>
      </c>
    </row>
    <row r="483">
      <c r="A483" s="0" t="inlineStr">
        <is>
          <t xml:space="preserve">p05_insider_clusters_ALMR</t>
        </is>
      </c>
      <c r="B483" s="0" t="inlineStr">
        <is>
          <t xml:space="preserve">p05_insider_clusters</t>
        </is>
      </c>
      <c r="C483" s="0" t="inlineStr">
        <is>
          <t xml:space="preserve">d20260923</t>
        </is>
      </c>
      <c r="D483" s="0" t="inlineStr">
        <is>
          <t xml:space="preserve">ALMR</t>
        </is>
      </c>
      <c r="E483" s="0" t="inlineStr">
        <is>
          <t xml:space="preserve">healthcare</t>
        </is>
      </c>
      <c r="F483" s="4">
        <v>82</v>
      </c>
    </row>
    <row r="484">
      <c r="A484" s="0" t="inlineStr">
        <is>
          <t xml:space="preserve">p05_insider_clusters_ALH</t>
        </is>
      </c>
      <c r="B484" s="0" t="inlineStr">
        <is>
          <t xml:space="preserve">p05_insider_clusters</t>
        </is>
      </c>
      <c r="C484" s="0" t="inlineStr">
        <is>
          <t xml:space="preserve">d20260923</t>
        </is>
      </c>
      <c r="D484" s="0" t="inlineStr">
        <is>
          <t xml:space="preserve">ALH</t>
        </is>
      </c>
      <c r="E484" s="0" t="inlineStr">
        <is>
          <t xml:space="preserve">industrials</t>
        </is>
      </c>
      <c r="F484" s="4">
        <v>83</v>
      </c>
    </row>
    <row r="485">
      <c r="A485" s="0" t="inlineStr">
        <is>
          <t xml:space="preserve">p05_insider_clusters_ALNY</t>
        </is>
      </c>
      <c r="B485" s="0" t="inlineStr">
        <is>
          <t xml:space="preserve">p05_insider_clusters</t>
        </is>
      </c>
      <c r="C485" s="0" t="inlineStr">
        <is>
          <t xml:space="preserve">d20260923</t>
        </is>
      </c>
      <c r="D485" s="0" t="inlineStr">
        <is>
          <t xml:space="preserve">ALNY</t>
        </is>
      </c>
      <c r="E485" s="0" t="inlineStr">
        <is>
          <t xml:space="preserve">healthcare</t>
        </is>
      </c>
      <c r="F485" s="4">
        <v>84</v>
      </c>
    </row>
    <row r="486">
      <c r="A486" s="0" t="inlineStr">
        <is>
          <t xml:space="preserve">p05_insider_clusters_ALK</t>
        </is>
      </c>
      <c r="B486" s="0" t="inlineStr">
        <is>
          <t xml:space="preserve">p05_insider_clusters</t>
        </is>
      </c>
      <c r="C486" s="0" t="inlineStr">
        <is>
          <t xml:space="preserve">d20260923</t>
        </is>
      </c>
      <c r="D486" s="0" t="inlineStr">
        <is>
          <t xml:space="preserve">ALK</t>
        </is>
      </c>
      <c r="E486" s="0" t="inlineStr">
        <is>
          <t xml:space="preserve">industrials</t>
        </is>
      </c>
      <c r="F486" s="4">
        <v>85</v>
      </c>
    </row>
    <row r="487">
      <c r="A487" s="0" t="inlineStr">
        <is>
          <t xml:space="preserve">p05_insider_clusters_AMZN</t>
        </is>
      </c>
      <c r="B487" s="0" t="inlineStr">
        <is>
          <t xml:space="preserve">p05_insider_clusters</t>
        </is>
      </c>
      <c r="C487" s="0" t="inlineStr">
        <is>
          <t xml:space="preserve">d20260923</t>
        </is>
      </c>
      <c r="D487" s="0" t="inlineStr">
        <is>
          <t xml:space="preserve">AMZN</t>
        </is>
      </c>
      <c r="E487" s="0" t="inlineStr">
        <is>
          <t xml:space="preserve">consumer_cyclical</t>
        </is>
      </c>
      <c r="F487" s="4">
        <v>86</v>
      </c>
    </row>
    <row r="488">
      <c r="A488" s="0" t="inlineStr">
        <is>
          <t xml:space="preserve">p05_insider_clusters_AN</t>
        </is>
      </c>
      <c r="B488" s="0" t="inlineStr">
        <is>
          <t xml:space="preserve">p05_insider_clusters</t>
        </is>
      </c>
      <c r="C488" s="0" t="inlineStr">
        <is>
          <t xml:space="preserve">d20260923</t>
        </is>
      </c>
      <c r="D488" s="0" t="inlineStr">
        <is>
          <t xml:space="preserve">AN</t>
        </is>
      </c>
      <c r="E488" s="0" t="inlineStr">
        <is>
          <t xml:space="preserve">consumer_cyclical</t>
        </is>
      </c>
      <c r="F488" s="4">
        <v>87</v>
      </c>
    </row>
    <row r="489">
      <c r="A489" s="0" t="inlineStr">
        <is>
          <t xml:space="preserve">p05_insider_clusters_AMP</t>
        </is>
      </c>
      <c r="B489" s="0" t="inlineStr">
        <is>
          <t xml:space="preserve">p05_insider_clusters</t>
        </is>
      </c>
      <c r="C489" s="0" t="inlineStr">
        <is>
          <t xml:space="preserve">d20260923</t>
        </is>
      </c>
      <c r="D489" s="0" t="inlineStr">
        <is>
          <t xml:space="preserve">AMP</t>
        </is>
      </c>
      <c r="E489" s="0" t="inlineStr">
        <is>
          <t xml:space="preserve">financial_services</t>
        </is>
      </c>
      <c r="F489" s="4">
        <v>88</v>
      </c>
    </row>
    <row r="490">
      <c r="A490" s="0" t="inlineStr">
        <is>
          <t xml:space="preserve">p05_insider_clusters_ANDG</t>
        </is>
      </c>
      <c r="B490" s="0" t="inlineStr">
        <is>
          <t xml:space="preserve">p05_insider_clusters</t>
        </is>
      </c>
      <c r="C490" s="0" t="inlineStr">
        <is>
          <t xml:space="preserve">d20260923</t>
        </is>
      </c>
      <c r="D490" s="0" t="inlineStr">
        <is>
          <t xml:space="preserve">ANDG</t>
        </is>
      </c>
      <c r="E490" s="0" t="inlineStr">
        <is>
          <t xml:space="preserve">consumer_cyclical</t>
        </is>
      </c>
      <c r="F490" s="4">
        <v>89</v>
      </c>
    </row>
    <row r="491">
      <c r="A491" s="0" t="inlineStr">
        <is>
          <t xml:space="preserve">p05_insider_clusters_ANET</t>
        </is>
      </c>
      <c r="B491" s="0" t="inlineStr">
        <is>
          <t xml:space="preserve">p05_insider_clusters</t>
        </is>
      </c>
      <c r="C491" s="0" t="inlineStr">
        <is>
          <t xml:space="preserve">d20260923</t>
        </is>
      </c>
      <c r="D491" s="0" t="inlineStr">
        <is>
          <t xml:space="preserve">ANET</t>
        </is>
      </c>
      <c r="E491" s="0" t="inlineStr">
        <is>
          <t xml:space="preserve">technology</t>
        </is>
      </c>
      <c r="F491" s="4">
        <v>90</v>
      </c>
    </row>
    <row r="492">
      <c r="A492" s="0" t="inlineStr">
        <is>
          <t xml:space="preserve">p05_insider_clusters_ANF</t>
        </is>
      </c>
      <c r="B492" s="0" t="inlineStr">
        <is>
          <t xml:space="preserve">p05_insider_clusters</t>
        </is>
      </c>
      <c r="C492" s="0" t="inlineStr">
        <is>
          <t xml:space="preserve">d20260923</t>
        </is>
      </c>
      <c r="D492" s="0" t="inlineStr">
        <is>
          <t xml:space="preserve">ANF</t>
        </is>
      </c>
      <c r="E492" s="0" t="inlineStr">
        <is>
          <t xml:space="preserve">consumer_cyclical</t>
        </is>
      </c>
      <c r="F492" s="4">
        <v>91</v>
      </c>
    </row>
    <row r="493">
      <c r="A493" s="0" t="inlineStr">
        <is>
          <t xml:space="preserve">p05_insider_clusters_AMGN</t>
        </is>
      </c>
      <c r="B493" s="0" t="inlineStr">
        <is>
          <t xml:space="preserve">p05_insider_clusters</t>
        </is>
      </c>
      <c r="C493" s="0" t="inlineStr">
        <is>
          <t xml:space="preserve">d20260923</t>
        </is>
      </c>
      <c r="D493" s="0" t="inlineStr">
        <is>
          <t xml:space="preserve">AMGN</t>
        </is>
      </c>
      <c r="E493" s="0" t="inlineStr">
        <is>
          <t xml:space="preserve">healthcare</t>
        </is>
      </c>
      <c r="F493" s="4">
        <v>92</v>
      </c>
    </row>
    <row r="494">
      <c r="A494" s="0" t="inlineStr">
        <is>
          <t xml:space="preserve">p05_insider_clusters_AMLX</t>
        </is>
      </c>
      <c r="B494" s="0" t="inlineStr">
        <is>
          <t xml:space="preserve">p05_insider_clusters</t>
        </is>
      </c>
      <c r="C494" s="0" t="inlineStr">
        <is>
          <t xml:space="preserve">d20260923</t>
        </is>
      </c>
      <c r="D494" s="0" t="inlineStr">
        <is>
          <t xml:space="preserve">AMLX</t>
        </is>
      </c>
      <c r="E494" s="0" t="inlineStr">
        <is>
          <t xml:space="preserve">healthcare</t>
        </is>
      </c>
      <c r="F494" s="4">
        <v>93</v>
      </c>
    </row>
    <row r="495">
      <c r="A495" s="0" t="inlineStr">
        <is>
          <t xml:space="preserve">p05_insider_clusters_AMH</t>
        </is>
      </c>
      <c r="B495" s="0" t="inlineStr">
        <is>
          <t xml:space="preserve">p05_insider_clusters</t>
        </is>
      </c>
      <c r="C495" s="0" t="inlineStr">
        <is>
          <t xml:space="preserve">d20260923</t>
        </is>
      </c>
      <c r="D495" s="0" t="inlineStr">
        <is>
          <t xml:space="preserve">AMH</t>
        </is>
      </c>
      <c r="E495" s="0" t="inlineStr">
        <is>
          <t xml:space="preserve">real_estate</t>
        </is>
      </c>
      <c r="F495" s="4">
        <v>94</v>
      </c>
    </row>
    <row r="496">
      <c r="A496" s="0" t="inlineStr">
        <is>
          <t xml:space="preserve">p05_insider_clusters_AME</t>
        </is>
      </c>
      <c r="B496" s="0" t="inlineStr">
        <is>
          <t xml:space="preserve">p05_insider_clusters</t>
        </is>
      </c>
      <c r="C496" s="0" t="inlineStr">
        <is>
          <t xml:space="preserve">d20260923</t>
        </is>
      </c>
      <c r="D496" s="0" t="inlineStr">
        <is>
          <t xml:space="preserve">AME</t>
        </is>
      </c>
      <c r="E496" s="0" t="inlineStr">
        <is>
          <t xml:space="preserve">industrials</t>
        </is>
      </c>
      <c r="F496" s="4">
        <v>95</v>
      </c>
    </row>
    <row r="497">
      <c r="A497" s="0" t="inlineStr">
        <is>
          <t xml:space="preserve">p05_insider_clusters_APH</t>
        </is>
      </c>
      <c r="B497" s="0" t="inlineStr">
        <is>
          <t xml:space="preserve">p05_insider_clusters</t>
        </is>
      </c>
      <c r="C497" s="0" t="inlineStr">
        <is>
          <t xml:space="preserve">d20260923</t>
        </is>
      </c>
      <c r="D497" s="0" t="inlineStr">
        <is>
          <t xml:space="preserve">APH</t>
        </is>
      </c>
      <c r="E497" s="0" t="inlineStr">
        <is>
          <t xml:space="preserve">technology</t>
        </is>
      </c>
      <c r="F497" s="4">
        <v>96</v>
      </c>
    </row>
    <row r="498">
      <c r="A498" s="0" t="inlineStr">
        <is>
          <t xml:space="preserve">p05_insider_clusters_AMRX</t>
        </is>
      </c>
      <c r="B498" s="0" t="inlineStr">
        <is>
          <t xml:space="preserve">p05_insider_clusters</t>
        </is>
      </c>
      <c r="C498" s="0" t="inlineStr">
        <is>
          <t xml:space="preserve">d20260923</t>
        </is>
      </c>
      <c r="D498" s="0" t="inlineStr">
        <is>
          <t xml:space="preserve">AMRX</t>
        </is>
      </c>
      <c r="E498" s="0" t="inlineStr">
        <is>
          <t xml:space="preserve">healthcare</t>
        </is>
      </c>
      <c r="F498" s="4">
        <v>97</v>
      </c>
    </row>
    <row r="499">
      <c r="A499" s="0" t="inlineStr">
        <is>
          <t xml:space="preserve">p05_insider_clusters_APLD</t>
        </is>
      </c>
      <c r="B499" s="0" t="inlineStr">
        <is>
          <t xml:space="preserve">p05_insider_clusters</t>
        </is>
      </c>
      <c r="C499" s="0" t="inlineStr">
        <is>
          <t xml:space="preserve">d20260923</t>
        </is>
      </c>
      <c r="D499" s="0" t="inlineStr">
        <is>
          <t xml:space="preserve">APLD</t>
        </is>
      </c>
      <c r="E499" s="0" t="inlineStr">
        <is>
          <t xml:space="preserve">technology</t>
        </is>
      </c>
      <c r="F499" s="4">
        <v>98</v>
      </c>
    </row>
    <row r="500">
      <c r="A500" s="0" t="inlineStr">
        <is>
          <t xml:space="preserve">p05_insider_clusters_APAM</t>
        </is>
      </c>
      <c r="B500" s="0" t="inlineStr">
        <is>
          <t xml:space="preserve">p05_insider_clusters</t>
        </is>
      </c>
      <c r="C500" s="0" t="inlineStr">
        <is>
          <t xml:space="preserve">d20260923</t>
        </is>
      </c>
      <c r="D500" s="0" t="inlineStr">
        <is>
          <t xml:space="preserve">APAM</t>
        </is>
      </c>
      <c r="E500" s="0" t="inlineStr">
        <is>
          <t xml:space="preserve">financial_services</t>
        </is>
      </c>
      <c r="F500" s="4">
        <v>99</v>
      </c>
    </row>
    <row r="501">
      <c r="A501" s="0" t="inlineStr">
        <is>
          <t xml:space="preserve">p05_insider_clusters_APP</t>
        </is>
      </c>
      <c r="B501" s="0" t="inlineStr">
        <is>
          <t xml:space="preserve">p05_insider_clusters</t>
        </is>
      </c>
      <c r="C501" s="0" t="inlineStr">
        <is>
          <t xml:space="preserve">d20260923</t>
        </is>
      </c>
      <c r="D501" s="0" t="inlineStr">
        <is>
          <t xml:space="preserve">APP</t>
        </is>
      </c>
      <c r="E501" s="0" t="inlineStr">
        <is>
          <t xml:space="preserve">technology</t>
        </is>
      </c>
      <c r="F501" s="4">
        <v>100</v>
      </c>
    </row>
    <row r="502">
      <c r="A502" s="0" t="inlineStr">
        <is>
          <t xml:space="preserve">p06_seasonality_GNRC</t>
        </is>
      </c>
      <c r="B502" s="0" t="inlineStr">
        <is>
          <t xml:space="preserve">p06_seasonality</t>
        </is>
      </c>
      <c r="C502" s="0" t="inlineStr">
        <is>
          <t xml:space="preserve">d20260923</t>
        </is>
      </c>
      <c r="D502" s="0" t="inlineStr">
        <is>
          <t xml:space="preserve">GNRC</t>
        </is>
      </c>
      <c r="E502" s="0" t="inlineStr">
        <is>
          <t xml:space="preserve">industrials</t>
        </is>
      </c>
      <c r="F502" s="4">
        <v>1</v>
      </c>
    </row>
    <row r="503">
      <c r="A503" s="0" t="inlineStr">
        <is>
          <t xml:space="preserve">p06_seasonality_VKTX</t>
        </is>
      </c>
      <c r="B503" s="0" t="inlineStr">
        <is>
          <t xml:space="preserve">p06_seasonality</t>
        </is>
      </c>
      <c r="C503" s="0" t="inlineStr">
        <is>
          <t xml:space="preserve">d20260923</t>
        </is>
      </c>
      <c r="D503" s="0" t="inlineStr">
        <is>
          <t xml:space="preserve">VKTX</t>
        </is>
      </c>
      <c r="E503" s="0" t="inlineStr">
        <is>
          <t xml:space="preserve">healthcare</t>
        </is>
      </c>
      <c r="F503" s="4">
        <v>2</v>
      </c>
    </row>
    <row r="504">
      <c r="A504" s="0" t="inlineStr">
        <is>
          <t xml:space="preserve">p06_seasonality_VICR</t>
        </is>
      </c>
      <c r="B504" s="0" t="inlineStr">
        <is>
          <t xml:space="preserve">p06_seasonality</t>
        </is>
      </c>
      <c r="C504" s="0" t="inlineStr">
        <is>
          <t xml:space="preserve">d20260923</t>
        </is>
      </c>
      <c r="D504" s="0" t="inlineStr">
        <is>
          <t xml:space="preserve">VICR</t>
        </is>
      </c>
      <c r="E504" s="0" t="inlineStr">
        <is>
          <t xml:space="preserve">technology</t>
        </is>
      </c>
      <c r="F504" s="4">
        <v>3</v>
      </c>
    </row>
    <row r="505">
      <c r="A505" s="0" t="inlineStr">
        <is>
          <t xml:space="preserve">p06_seasonality_FPS</t>
        </is>
      </c>
      <c r="B505" s="0" t="inlineStr">
        <is>
          <t xml:space="preserve">p06_seasonality</t>
        </is>
      </c>
      <c r="C505" s="0" t="inlineStr">
        <is>
          <t xml:space="preserve">d20260923</t>
        </is>
      </c>
      <c r="D505" s="0" t="inlineStr">
        <is>
          <t xml:space="preserve">FPS</t>
        </is>
      </c>
      <c r="E505" s="0" t="inlineStr">
        <is>
          <t xml:space="preserve">industrials</t>
        </is>
      </c>
      <c r="F505" s="4">
        <v>4</v>
      </c>
    </row>
    <row r="506">
      <c r="A506" s="0" t="inlineStr">
        <is>
          <t xml:space="preserve">p06_seasonality_DFTX</t>
        </is>
      </c>
      <c r="B506" s="0" t="inlineStr">
        <is>
          <t xml:space="preserve">p06_seasonality</t>
        </is>
      </c>
      <c r="C506" s="0" t="inlineStr">
        <is>
          <t xml:space="preserve">d20260923</t>
        </is>
      </c>
      <c r="D506" s="0" t="inlineStr">
        <is>
          <t xml:space="preserve">DFTX</t>
        </is>
      </c>
      <c r="E506" s="0" t="inlineStr">
        <is>
          <t xml:space="preserve">healthcare</t>
        </is>
      </c>
      <c r="F506" s="4">
        <v>5</v>
      </c>
    </row>
    <row r="507">
      <c r="A507" s="0" t="inlineStr">
        <is>
          <t xml:space="preserve">p06_seasonality_RBLX</t>
        </is>
      </c>
      <c r="B507" s="0" t="inlineStr">
        <is>
          <t xml:space="preserve">p06_seasonality</t>
        </is>
      </c>
      <c r="C507" s="0" t="inlineStr">
        <is>
          <t xml:space="preserve">d20260923</t>
        </is>
      </c>
      <c r="D507" s="0" t="inlineStr">
        <is>
          <t xml:space="preserve">RBLX</t>
        </is>
      </c>
      <c r="E507" s="0" t="inlineStr">
        <is>
          <t xml:space="preserve">technology</t>
        </is>
      </c>
      <c r="F507" s="4">
        <v>6</v>
      </c>
    </row>
    <row r="508">
      <c r="A508" s="0" t="inlineStr">
        <is>
          <t xml:space="preserve">p06_seasonality_SMMT</t>
        </is>
      </c>
      <c r="B508" s="0" t="inlineStr">
        <is>
          <t xml:space="preserve">p06_seasonality</t>
        </is>
      </c>
      <c r="C508" s="0" t="inlineStr">
        <is>
          <t xml:space="preserve">d20260923</t>
        </is>
      </c>
      <c r="D508" s="0" t="inlineStr">
        <is>
          <t xml:space="preserve">SMMT</t>
        </is>
      </c>
      <c r="E508" s="0" t="inlineStr">
        <is>
          <t xml:space="preserve">healthcare</t>
        </is>
      </c>
      <c r="F508" s="4">
        <v>7</v>
      </c>
    </row>
    <row r="509">
      <c r="A509" s="0" t="inlineStr">
        <is>
          <t xml:space="preserve">p06_seasonality_MGNI</t>
        </is>
      </c>
      <c r="B509" s="0" t="inlineStr">
        <is>
          <t xml:space="preserve">p06_seasonality</t>
        </is>
      </c>
      <c r="C509" s="0" t="inlineStr">
        <is>
          <t xml:space="preserve">d20260923</t>
        </is>
      </c>
      <c r="D509" s="0" t="inlineStr">
        <is>
          <t xml:space="preserve">MGNI</t>
        </is>
      </c>
      <c r="E509" s="0" t="inlineStr">
        <is>
          <t xml:space="preserve">communication_services</t>
        </is>
      </c>
      <c r="F509" s="4">
        <v>8</v>
      </c>
    </row>
    <row r="510">
      <c r="A510" s="0" t="inlineStr">
        <is>
          <t xml:space="preserve">p06_seasonality_CHYM</t>
        </is>
      </c>
      <c r="B510" s="0" t="inlineStr">
        <is>
          <t xml:space="preserve">p06_seasonality</t>
        </is>
      </c>
      <c r="C510" s="0" t="inlineStr">
        <is>
          <t xml:space="preserve">d20260923</t>
        </is>
      </c>
      <c r="D510" s="0" t="inlineStr">
        <is>
          <t xml:space="preserve">CHYM</t>
        </is>
      </c>
      <c r="E510" s="0" t="inlineStr">
        <is>
          <t xml:space="preserve">technology</t>
        </is>
      </c>
      <c r="F510" s="4">
        <v>9</v>
      </c>
    </row>
    <row r="511">
      <c r="A511" s="0" t="inlineStr">
        <is>
          <t xml:space="preserve">p06_seasonality_GRAL</t>
        </is>
      </c>
      <c r="B511" s="0" t="inlineStr">
        <is>
          <t xml:space="preserve">p06_seasonality</t>
        </is>
      </c>
      <c r="C511" s="0" t="inlineStr">
        <is>
          <t xml:space="preserve">d20260923</t>
        </is>
      </c>
      <c r="D511" s="0" t="inlineStr">
        <is>
          <t xml:space="preserve">GRAL</t>
        </is>
      </c>
      <c r="E511" s="0" t="inlineStr">
        <is>
          <t xml:space="preserve">healthcare</t>
        </is>
      </c>
      <c r="F511" s="4">
        <v>10</v>
      </c>
    </row>
    <row r="512">
      <c r="A512" s="0" t="inlineStr">
        <is>
          <t xml:space="preserve">p06_seasonality_CRCL</t>
        </is>
      </c>
      <c r="B512" s="0" t="inlineStr">
        <is>
          <t xml:space="preserve">p06_seasonality</t>
        </is>
      </c>
      <c r="C512" s="0" t="inlineStr">
        <is>
          <t xml:space="preserve">d20260923</t>
        </is>
      </c>
      <c r="D512" s="0" t="inlineStr">
        <is>
          <t xml:space="preserve">CRCL</t>
        </is>
      </c>
      <c r="E512" s="0" t="inlineStr">
        <is>
          <t xml:space="preserve">financial_services</t>
        </is>
      </c>
      <c r="F512" s="4">
        <v>11</v>
      </c>
    </row>
    <row r="513">
      <c r="A513" s="0" t="inlineStr">
        <is>
          <t xml:space="preserve">p06_seasonality_VERA</t>
        </is>
      </c>
      <c r="B513" s="0" t="inlineStr">
        <is>
          <t xml:space="preserve">p06_seasonality</t>
        </is>
      </c>
      <c r="C513" s="0" t="inlineStr">
        <is>
          <t xml:space="preserve">d20260923</t>
        </is>
      </c>
      <c r="D513" s="0" t="inlineStr">
        <is>
          <t xml:space="preserve">VERA</t>
        </is>
      </c>
      <c r="E513" s="0" t="inlineStr">
        <is>
          <t xml:space="preserve">healthcare</t>
        </is>
      </c>
      <c r="F513" s="4">
        <v>12</v>
      </c>
    </row>
    <row r="514">
      <c r="A514" s="0" t="inlineStr">
        <is>
          <t xml:space="preserve">p06_seasonality_YETI</t>
        </is>
      </c>
      <c r="B514" s="0" t="inlineStr">
        <is>
          <t xml:space="preserve">p06_seasonality</t>
        </is>
      </c>
      <c r="C514" s="0" t="inlineStr">
        <is>
          <t xml:space="preserve">d20260923</t>
        </is>
      </c>
      <c r="D514" s="0" t="inlineStr">
        <is>
          <t xml:space="preserve">YETI</t>
        </is>
      </c>
      <c r="E514" s="0" t="inlineStr">
        <is>
          <t xml:space="preserve">consumer_cyclical</t>
        </is>
      </c>
      <c r="F514" s="4">
        <v>13</v>
      </c>
    </row>
    <row r="515">
      <c r="A515" s="0" t="inlineStr">
        <is>
          <t xml:space="preserve">p06_seasonality_MSTR</t>
        </is>
      </c>
      <c r="B515" s="0" t="inlineStr">
        <is>
          <t xml:space="preserve">p06_seasonality</t>
        </is>
      </c>
      <c r="C515" s="0" t="inlineStr">
        <is>
          <t xml:space="preserve">d20260923</t>
        </is>
      </c>
      <c r="D515" s="0" t="inlineStr">
        <is>
          <t xml:space="preserve">MSTR</t>
        </is>
      </c>
      <c r="E515" s="0" t="inlineStr">
        <is>
          <t xml:space="preserve">technology</t>
        </is>
      </c>
      <c r="F515" s="4">
        <v>14</v>
      </c>
    </row>
    <row r="516">
      <c r="A516" s="0" t="inlineStr">
        <is>
          <t xml:space="preserve">p06_seasonality_STUB</t>
        </is>
      </c>
      <c r="B516" s="0" t="inlineStr">
        <is>
          <t xml:space="preserve">p06_seasonality</t>
        </is>
      </c>
      <c r="C516" s="0" t="inlineStr">
        <is>
          <t xml:space="preserve">d20260923</t>
        </is>
      </c>
      <c r="D516" s="0" t="inlineStr">
        <is>
          <t xml:space="preserve">STUB</t>
        </is>
      </c>
      <c r="E516" s="0" t="inlineStr">
        <is>
          <t xml:space="preserve">communication_services</t>
        </is>
      </c>
      <c r="F516" s="4">
        <v>15</v>
      </c>
    </row>
    <row r="517">
      <c r="A517" s="0" t="inlineStr">
        <is>
          <t xml:space="preserve">p06_seasonality_ALM</t>
        </is>
      </c>
      <c r="B517" s="0" t="inlineStr">
        <is>
          <t xml:space="preserve">p06_seasonality</t>
        </is>
      </c>
      <c r="C517" s="0" t="inlineStr">
        <is>
          <t xml:space="preserve">d20260923</t>
        </is>
      </c>
      <c r="D517" s="0" t="inlineStr">
        <is>
          <t xml:space="preserve">ALM</t>
        </is>
      </c>
      <c r="E517" s="0" t="inlineStr">
        <is>
          <t xml:space="preserve">basic_materials</t>
        </is>
      </c>
      <c r="F517" s="4">
        <v>16</v>
      </c>
    </row>
    <row r="518">
      <c r="A518" s="0" t="inlineStr">
        <is>
          <t xml:space="preserve">p06_seasonality_CELH</t>
        </is>
      </c>
      <c r="B518" s="0" t="inlineStr">
        <is>
          <t xml:space="preserve">p06_seasonality</t>
        </is>
      </c>
      <c r="C518" s="0" t="inlineStr">
        <is>
          <t xml:space="preserve">d20260923</t>
        </is>
      </c>
      <c r="D518" s="0" t="inlineStr">
        <is>
          <t xml:space="preserve">CELH</t>
        </is>
      </c>
      <c r="E518" s="0" t="inlineStr">
        <is>
          <t xml:space="preserve">consumer_defensive</t>
        </is>
      </c>
      <c r="F518" s="4">
        <v>17</v>
      </c>
    </row>
    <row r="519">
      <c r="A519" s="0" t="inlineStr">
        <is>
          <t xml:space="preserve">p06_seasonality_META</t>
        </is>
      </c>
      <c r="B519" s="0" t="inlineStr">
        <is>
          <t xml:space="preserve">p06_seasonality</t>
        </is>
      </c>
      <c r="C519" s="0" t="inlineStr">
        <is>
          <t xml:space="preserve">d20260923</t>
        </is>
      </c>
      <c r="D519" s="0" t="inlineStr">
        <is>
          <t xml:space="preserve">META</t>
        </is>
      </c>
      <c r="E519" s="0" t="inlineStr">
        <is>
          <t xml:space="preserve">communication_services</t>
        </is>
      </c>
      <c r="F519" s="4">
        <v>18</v>
      </c>
    </row>
    <row r="520">
      <c r="A520" s="0" t="inlineStr">
        <is>
          <t xml:space="preserve">p06_seasonality_COIN</t>
        </is>
      </c>
      <c r="B520" s="0" t="inlineStr">
        <is>
          <t xml:space="preserve">p06_seasonality</t>
        </is>
      </c>
      <c r="C520" s="0" t="inlineStr">
        <is>
          <t xml:space="preserve">d20260923</t>
        </is>
      </c>
      <c r="D520" s="0" t="inlineStr">
        <is>
          <t xml:space="preserve">COIN</t>
        </is>
      </c>
      <c r="E520" s="0" t="inlineStr">
        <is>
          <t xml:space="preserve">financial_services</t>
        </is>
      </c>
      <c r="F520" s="4">
        <v>19</v>
      </c>
    </row>
    <row r="521">
      <c r="A521" s="0" t="inlineStr">
        <is>
          <t xml:space="preserve">p06_seasonality_AADX</t>
        </is>
      </c>
      <c r="B521" s="0" t="inlineStr">
        <is>
          <t xml:space="preserve">p06_seasonality</t>
        </is>
      </c>
      <c r="C521" s="0" t="inlineStr">
        <is>
          <t xml:space="preserve">d20260923</t>
        </is>
      </c>
      <c r="D521" s="0" t="inlineStr">
        <is>
          <t xml:space="preserve">AADX</t>
        </is>
      </c>
      <c r="E521" s="0" t="inlineStr">
        <is>
          <t xml:space="preserve">industrials</t>
        </is>
      </c>
      <c r="F521" s="4">
        <v>20</v>
      </c>
    </row>
    <row r="522">
      <c r="A522" s="0" t="inlineStr">
        <is>
          <t xml:space="preserve">p06_seasonality_WAY</t>
        </is>
      </c>
      <c r="B522" s="0" t="inlineStr">
        <is>
          <t xml:space="preserve">p06_seasonality</t>
        </is>
      </c>
      <c r="C522" s="0" t="inlineStr">
        <is>
          <t xml:space="preserve">d20260923</t>
        </is>
      </c>
      <c r="D522" s="0" t="inlineStr">
        <is>
          <t xml:space="preserve">WAY</t>
        </is>
      </c>
      <c r="E522" s="0" t="inlineStr">
        <is>
          <t xml:space="preserve">healthcare</t>
        </is>
      </c>
      <c r="F522" s="4">
        <v>21</v>
      </c>
    </row>
    <row r="523">
      <c r="A523" s="0" t="inlineStr">
        <is>
          <t xml:space="preserve">p06_seasonality_USAR</t>
        </is>
      </c>
      <c r="B523" s="0" t="inlineStr">
        <is>
          <t xml:space="preserve">p06_seasonality</t>
        </is>
      </c>
      <c r="C523" s="0" t="inlineStr">
        <is>
          <t xml:space="preserve">d20260923</t>
        </is>
      </c>
      <c r="D523" s="0" t="inlineStr">
        <is>
          <t xml:space="preserve">USAR</t>
        </is>
      </c>
      <c r="E523" s="0" t="inlineStr">
        <is>
          <t xml:space="preserve">basic_materials</t>
        </is>
      </c>
      <c r="F523" s="4">
        <v>22</v>
      </c>
    </row>
    <row r="524">
      <c r="A524" s="0" t="inlineStr">
        <is>
          <t xml:space="preserve">p06_seasonality_RUM</t>
        </is>
      </c>
      <c r="B524" s="0" t="inlineStr">
        <is>
          <t xml:space="preserve">p06_seasonality</t>
        </is>
      </c>
      <c r="C524" s="0" t="inlineStr">
        <is>
          <t xml:space="preserve">d20260923</t>
        </is>
      </c>
      <c r="D524" s="0" t="inlineStr">
        <is>
          <t xml:space="preserve">RUM</t>
        </is>
      </c>
      <c r="E524" s="0" t="inlineStr">
        <is>
          <t xml:space="preserve">communication_services</t>
        </is>
      </c>
      <c r="F524" s="4">
        <v>23</v>
      </c>
    </row>
    <row r="525">
      <c r="A525" s="0" t="inlineStr">
        <is>
          <t xml:space="preserve">p06_seasonality_HOOD</t>
        </is>
      </c>
      <c r="B525" s="0" t="inlineStr">
        <is>
          <t xml:space="preserve">p06_seasonality</t>
        </is>
      </c>
      <c r="C525" s="0" t="inlineStr">
        <is>
          <t xml:space="preserve">d20260923</t>
        </is>
      </c>
      <c r="D525" s="0" t="inlineStr">
        <is>
          <t xml:space="preserve">HOOD</t>
        </is>
      </c>
      <c r="E525" s="0" t="inlineStr">
        <is>
          <t xml:space="preserve">financial_services</t>
        </is>
      </c>
      <c r="F525" s="4">
        <v>24</v>
      </c>
    </row>
    <row r="526">
      <c r="A526" s="0" t="inlineStr">
        <is>
          <t xml:space="preserve">p06_seasonality_CIEN</t>
        </is>
      </c>
      <c r="B526" s="0" t="inlineStr">
        <is>
          <t xml:space="preserve">p06_seasonality</t>
        </is>
      </c>
      <c r="C526" s="0" t="inlineStr">
        <is>
          <t xml:space="preserve">d20260923</t>
        </is>
      </c>
      <c r="D526" s="0" t="inlineStr">
        <is>
          <t xml:space="preserve">CIEN</t>
        </is>
      </c>
      <c r="E526" s="0" t="inlineStr">
        <is>
          <t xml:space="preserve">technology</t>
        </is>
      </c>
      <c r="F526" s="4">
        <v>25</v>
      </c>
    </row>
    <row r="527">
      <c r="A527" s="0" t="inlineStr">
        <is>
          <t xml:space="preserve">p06_seasonality_UPST</t>
        </is>
      </c>
      <c r="B527" s="0" t="inlineStr">
        <is>
          <t xml:space="preserve">p06_seasonality</t>
        </is>
      </c>
      <c r="C527" s="0" t="inlineStr">
        <is>
          <t xml:space="preserve">d20260923</t>
        </is>
      </c>
      <c r="D527" s="0" t="inlineStr">
        <is>
          <t xml:space="preserve">UPST</t>
        </is>
      </c>
      <c r="E527" s="0" t="inlineStr">
        <is>
          <t xml:space="preserve">financial_services</t>
        </is>
      </c>
      <c r="F527" s="4">
        <v>26</v>
      </c>
    </row>
    <row r="528">
      <c r="A528" s="0" t="inlineStr">
        <is>
          <t xml:space="preserve">p06_seasonality_SEZL</t>
        </is>
      </c>
      <c r="B528" s="0" t="inlineStr">
        <is>
          <t xml:space="preserve">p06_seasonality</t>
        </is>
      </c>
      <c r="C528" s="0" t="inlineStr">
        <is>
          <t xml:space="preserve">d20260923</t>
        </is>
      </c>
      <c r="D528" s="0" t="inlineStr">
        <is>
          <t xml:space="preserve">SEZL</t>
        </is>
      </c>
      <c r="E528" s="0" t="inlineStr">
        <is>
          <t xml:space="preserve">financial_services</t>
        </is>
      </c>
      <c r="F528" s="4">
        <v>27</v>
      </c>
    </row>
    <row r="529">
      <c r="A529" s="0" t="inlineStr">
        <is>
          <t xml:space="preserve">p06_seasonality_AUR</t>
        </is>
      </c>
      <c r="B529" s="0" t="inlineStr">
        <is>
          <t xml:space="preserve">p06_seasonality</t>
        </is>
      </c>
      <c r="C529" s="0" t="inlineStr">
        <is>
          <t xml:space="preserve">d20260923</t>
        </is>
      </c>
      <c r="D529" s="0" t="inlineStr">
        <is>
          <t xml:space="preserve">AUR</t>
        </is>
      </c>
      <c r="E529" s="0" t="inlineStr">
        <is>
          <t xml:space="preserve">technology</t>
        </is>
      </c>
      <c r="F529" s="4">
        <v>28</v>
      </c>
    </row>
    <row r="530">
      <c r="A530" s="0" t="inlineStr">
        <is>
          <t xml:space="preserve">p06_seasonality_DAVE</t>
        </is>
      </c>
      <c r="B530" s="0" t="inlineStr">
        <is>
          <t xml:space="preserve">p06_seasonality</t>
        </is>
      </c>
      <c r="C530" s="0" t="inlineStr">
        <is>
          <t xml:space="preserve">d20260923</t>
        </is>
      </c>
      <c r="D530" s="0" t="inlineStr">
        <is>
          <t xml:space="preserve">DAVE</t>
        </is>
      </c>
      <c r="E530" s="0" t="inlineStr">
        <is>
          <t xml:space="preserve">technology</t>
        </is>
      </c>
      <c r="F530" s="4">
        <v>29</v>
      </c>
    </row>
    <row r="531">
      <c r="A531" s="0" t="inlineStr">
        <is>
          <t xml:space="preserve">p06_seasonality_UEC</t>
        </is>
      </c>
      <c r="B531" s="0" t="inlineStr">
        <is>
          <t xml:space="preserve">p06_seasonality</t>
        </is>
      </c>
      <c r="C531" s="0" t="inlineStr">
        <is>
          <t xml:space="preserve">d20260923</t>
        </is>
      </c>
      <c r="D531" s="0" t="inlineStr">
        <is>
          <t xml:space="preserve">UEC</t>
        </is>
      </c>
      <c r="E531" s="0" t="inlineStr">
        <is>
          <t xml:space="preserve">energy</t>
        </is>
      </c>
      <c r="F531" s="4">
        <v>30</v>
      </c>
    </row>
    <row r="532">
      <c r="A532" s="0" t="inlineStr">
        <is>
          <t xml:space="preserve">p06_seasonality_KRMN</t>
        </is>
      </c>
      <c r="B532" s="0" t="inlineStr">
        <is>
          <t xml:space="preserve">p06_seasonality</t>
        </is>
      </c>
      <c r="C532" s="0" t="inlineStr">
        <is>
          <t xml:space="preserve">d20260923</t>
        </is>
      </c>
      <c r="D532" s="0" t="inlineStr">
        <is>
          <t xml:space="preserve">KRMN</t>
        </is>
      </c>
      <c r="E532" s="0" t="inlineStr">
        <is>
          <t xml:space="preserve">industrials</t>
        </is>
      </c>
      <c r="F532" s="4">
        <v>31</v>
      </c>
    </row>
    <row r="533">
      <c r="A533" s="0" t="inlineStr">
        <is>
          <t xml:space="preserve">p06_seasonality_URGN</t>
        </is>
      </c>
      <c r="B533" s="0" t="inlineStr">
        <is>
          <t xml:space="preserve">p06_seasonality</t>
        </is>
      </c>
      <c r="C533" s="0" t="inlineStr">
        <is>
          <t xml:space="preserve">d20260923</t>
        </is>
      </c>
      <c r="D533" s="0" t="inlineStr">
        <is>
          <t xml:space="preserve">URGN</t>
        </is>
      </c>
      <c r="E533" s="0" t="inlineStr">
        <is>
          <t xml:space="preserve">healthcare</t>
        </is>
      </c>
      <c r="F533" s="4">
        <v>32</v>
      </c>
    </row>
    <row r="534">
      <c r="A534" s="0" t="inlineStr">
        <is>
          <t xml:space="preserve">p06_seasonality_ALK</t>
        </is>
      </c>
      <c r="B534" s="0" t="inlineStr">
        <is>
          <t xml:space="preserve">p06_seasonality</t>
        </is>
      </c>
      <c r="C534" s="0" t="inlineStr">
        <is>
          <t xml:space="preserve">d20260923</t>
        </is>
      </c>
      <c r="D534" s="0" t="inlineStr">
        <is>
          <t xml:space="preserve">ALK</t>
        </is>
      </c>
      <c r="E534" s="0" t="inlineStr">
        <is>
          <t xml:space="preserve">industrials</t>
        </is>
      </c>
      <c r="F534" s="4">
        <v>33</v>
      </c>
    </row>
    <row r="535">
      <c r="A535" s="0" t="inlineStr">
        <is>
          <t xml:space="preserve">p06_seasonality_WING</t>
        </is>
      </c>
      <c r="B535" s="0" t="inlineStr">
        <is>
          <t xml:space="preserve">p06_seasonality</t>
        </is>
      </c>
      <c r="C535" s="0" t="inlineStr">
        <is>
          <t xml:space="preserve">d20260923</t>
        </is>
      </c>
      <c r="D535" s="0" t="inlineStr">
        <is>
          <t xml:space="preserve">WING</t>
        </is>
      </c>
      <c r="E535" s="0" t="inlineStr">
        <is>
          <t xml:space="preserve">consumer_cyclical</t>
        </is>
      </c>
      <c r="F535" s="4">
        <v>34</v>
      </c>
    </row>
    <row r="536">
      <c r="A536" s="0" t="inlineStr">
        <is>
          <t xml:space="preserve">p06_seasonality_GRND</t>
        </is>
      </c>
      <c r="B536" s="0" t="inlineStr">
        <is>
          <t xml:space="preserve">p06_seasonality</t>
        </is>
      </c>
      <c r="C536" s="0" t="inlineStr">
        <is>
          <t xml:space="preserve">d20260923</t>
        </is>
      </c>
      <c r="D536" s="0" t="inlineStr">
        <is>
          <t xml:space="preserve">GRND</t>
        </is>
      </c>
      <c r="E536" s="0" t="inlineStr">
        <is>
          <t xml:space="preserve">technology</t>
        </is>
      </c>
      <c r="F536" s="4">
        <v>35</v>
      </c>
    </row>
    <row r="537">
      <c r="A537" s="0" t="inlineStr">
        <is>
          <t xml:space="preserve">p06_seasonality_SDRL</t>
        </is>
      </c>
      <c r="B537" s="0" t="inlineStr">
        <is>
          <t xml:space="preserve">p06_seasonality</t>
        </is>
      </c>
      <c r="C537" s="0" t="inlineStr">
        <is>
          <t xml:space="preserve">d20260923</t>
        </is>
      </c>
      <c r="D537" s="0" t="inlineStr">
        <is>
          <t xml:space="preserve">SDRL</t>
        </is>
      </c>
      <c r="E537" s="0" t="inlineStr">
        <is>
          <t xml:space="preserve">energy</t>
        </is>
      </c>
      <c r="F537" s="4">
        <v>36</v>
      </c>
    </row>
    <row r="538">
      <c r="A538" s="0" t="inlineStr">
        <is>
          <t xml:space="preserve">p06_seasonality_JMKE</t>
        </is>
      </c>
      <c r="B538" s="0" t="inlineStr">
        <is>
          <t xml:space="preserve">p06_seasonality</t>
        </is>
      </c>
      <c r="C538" s="0" t="inlineStr">
        <is>
          <t xml:space="preserve">d20260923</t>
        </is>
      </c>
      <c r="D538" s="0" t="inlineStr">
        <is>
          <t xml:space="preserve">JMKE</t>
        </is>
      </c>
      <c r="E538" s="0" t="inlineStr">
        <is>
          <t xml:space="preserve">consumer_cyclical</t>
        </is>
      </c>
      <c r="F538" s="4">
        <v>37</v>
      </c>
    </row>
    <row r="539">
      <c r="A539" s="0" t="inlineStr">
        <is>
          <t xml:space="preserve">p06_seasonality_AFRM</t>
        </is>
      </c>
      <c r="B539" s="0" t="inlineStr">
        <is>
          <t xml:space="preserve">p06_seasonality</t>
        </is>
      </c>
      <c r="C539" s="0" t="inlineStr">
        <is>
          <t xml:space="preserve">d20260923</t>
        </is>
      </c>
      <c r="D539" s="0" t="inlineStr">
        <is>
          <t xml:space="preserve">AFRM</t>
        </is>
      </c>
      <c r="E539" s="0" t="inlineStr">
        <is>
          <t xml:space="preserve">financial_services</t>
        </is>
      </c>
      <c r="F539" s="4">
        <v>38</v>
      </c>
    </row>
    <row r="540">
      <c r="A540" s="0" t="inlineStr">
        <is>
          <t xml:space="preserve">p06_seasonality_TTMI</t>
        </is>
      </c>
      <c r="B540" s="0" t="inlineStr">
        <is>
          <t xml:space="preserve">p06_seasonality</t>
        </is>
      </c>
      <c r="C540" s="0" t="inlineStr">
        <is>
          <t xml:space="preserve">d20260923</t>
        </is>
      </c>
      <c r="D540" s="0" t="inlineStr">
        <is>
          <t xml:space="preserve">TTMI</t>
        </is>
      </c>
      <c r="E540" s="0" t="inlineStr">
        <is>
          <t xml:space="preserve">technology</t>
        </is>
      </c>
      <c r="F540" s="4">
        <v>39</v>
      </c>
    </row>
    <row r="541">
      <c r="A541" s="0" t="inlineStr">
        <is>
          <t xml:space="preserve">p06_seasonality_BFLY</t>
        </is>
      </c>
      <c r="B541" s="0" t="inlineStr">
        <is>
          <t xml:space="preserve">p06_seasonality</t>
        </is>
      </c>
      <c r="C541" s="0" t="inlineStr">
        <is>
          <t xml:space="preserve">d20260923</t>
        </is>
      </c>
      <c r="D541" s="0" t="inlineStr">
        <is>
          <t xml:space="preserve">BFLY</t>
        </is>
      </c>
      <c r="E541" s="0" t="inlineStr">
        <is>
          <t xml:space="preserve">healthcare</t>
        </is>
      </c>
      <c r="F541" s="4">
        <v>40</v>
      </c>
    </row>
    <row r="542">
      <c r="A542" s="0" t="inlineStr">
        <is>
          <t xml:space="preserve">p06_seasonality_SOFI</t>
        </is>
      </c>
      <c r="B542" s="0" t="inlineStr">
        <is>
          <t xml:space="preserve">p06_seasonality</t>
        </is>
      </c>
      <c r="C542" s="0" t="inlineStr">
        <is>
          <t xml:space="preserve">d20260923</t>
        </is>
      </c>
      <c r="D542" s="0" t="inlineStr">
        <is>
          <t xml:space="preserve">SOFI</t>
        </is>
      </c>
      <c r="E542" s="0" t="inlineStr">
        <is>
          <t xml:space="preserve">financial_services</t>
        </is>
      </c>
      <c r="F542" s="4">
        <v>41</v>
      </c>
    </row>
    <row r="543">
      <c r="A543" s="0" t="inlineStr">
        <is>
          <t xml:space="preserve">p06_seasonality_LPX</t>
        </is>
      </c>
      <c r="B543" s="0" t="inlineStr">
        <is>
          <t xml:space="preserve">p06_seasonality</t>
        </is>
      </c>
      <c r="C543" s="0" t="inlineStr">
        <is>
          <t xml:space="preserve">d20260923</t>
        </is>
      </c>
      <c r="D543" s="0" t="inlineStr">
        <is>
          <t xml:space="preserve">LPX</t>
        </is>
      </c>
      <c r="E543" s="0" t="inlineStr">
        <is>
          <t xml:space="preserve">basic_materials</t>
        </is>
      </c>
      <c r="F543" s="4">
        <v>42</v>
      </c>
    </row>
    <row r="544">
      <c r="A544" s="0" t="inlineStr">
        <is>
          <t xml:space="preserve">p06_seasonality_CLDX</t>
        </is>
      </c>
      <c r="B544" s="0" t="inlineStr">
        <is>
          <t xml:space="preserve">p06_seasonality</t>
        </is>
      </c>
      <c r="C544" s="0" t="inlineStr">
        <is>
          <t xml:space="preserve">d20260923</t>
        </is>
      </c>
      <c r="D544" s="0" t="inlineStr">
        <is>
          <t xml:space="preserve">CLDX</t>
        </is>
      </c>
      <c r="E544" s="0" t="inlineStr">
        <is>
          <t xml:space="preserve">healthcare</t>
        </is>
      </c>
      <c r="F544" s="4">
        <v>43</v>
      </c>
    </row>
    <row r="545">
      <c r="A545" s="0" t="inlineStr">
        <is>
          <t xml:space="preserve">p06_seasonality_MRNA</t>
        </is>
      </c>
      <c r="B545" s="0" t="inlineStr">
        <is>
          <t xml:space="preserve">p06_seasonality</t>
        </is>
      </c>
      <c r="C545" s="0" t="inlineStr">
        <is>
          <t xml:space="preserve">d20260923</t>
        </is>
      </c>
      <c r="D545" s="0" t="inlineStr">
        <is>
          <t xml:space="preserve">MRNA</t>
        </is>
      </c>
      <c r="E545" s="0" t="inlineStr">
        <is>
          <t xml:space="preserve">healthcare</t>
        </is>
      </c>
      <c r="F545" s="4">
        <v>44</v>
      </c>
    </row>
    <row r="546">
      <c r="A546" s="0" t="inlineStr">
        <is>
          <t xml:space="preserve">p06_seasonality_ARWR</t>
        </is>
      </c>
      <c r="B546" s="0" t="inlineStr">
        <is>
          <t xml:space="preserve">p06_seasonality</t>
        </is>
      </c>
      <c r="C546" s="0" t="inlineStr">
        <is>
          <t xml:space="preserve">d20260923</t>
        </is>
      </c>
      <c r="D546" s="0" t="inlineStr">
        <is>
          <t xml:space="preserve">ARWR</t>
        </is>
      </c>
      <c r="E546" s="0" t="inlineStr">
        <is>
          <t xml:space="preserve">healthcare</t>
        </is>
      </c>
      <c r="F546" s="4">
        <v>45</v>
      </c>
    </row>
    <row r="547">
      <c r="A547" s="0" t="inlineStr">
        <is>
          <t xml:space="preserve">p06_seasonality_OLLI</t>
        </is>
      </c>
      <c r="B547" s="0" t="inlineStr">
        <is>
          <t xml:space="preserve">p06_seasonality</t>
        </is>
      </c>
      <c r="C547" s="0" t="inlineStr">
        <is>
          <t xml:space="preserve">d20260923</t>
        </is>
      </c>
      <c r="D547" s="0" t="inlineStr">
        <is>
          <t xml:space="preserve">OLLI</t>
        </is>
      </c>
      <c r="E547" s="0" t="inlineStr">
        <is>
          <t xml:space="preserve">consumer_defensive</t>
        </is>
      </c>
      <c r="F547" s="4">
        <v>46</v>
      </c>
    </row>
    <row r="548">
      <c r="A548" s="0" t="inlineStr">
        <is>
          <t xml:space="preserve">p06_seasonality_VNO</t>
        </is>
      </c>
      <c r="B548" s="0" t="inlineStr">
        <is>
          <t xml:space="preserve">p06_seasonality</t>
        </is>
      </c>
      <c r="C548" s="0" t="inlineStr">
        <is>
          <t xml:space="preserve">d20260923</t>
        </is>
      </c>
      <c r="D548" s="0" t="inlineStr">
        <is>
          <t xml:space="preserve">VNO</t>
        </is>
      </c>
      <c r="E548" s="0" t="inlineStr">
        <is>
          <t xml:space="preserve">real_estate</t>
        </is>
      </c>
      <c r="F548" s="4">
        <v>47</v>
      </c>
    </row>
    <row r="549">
      <c r="A549" s="0" t="inlineStr">
        <is>
          <t xml:space="preserve">p06_seasonality_BEAM</t>
        </is>
      </c>
      <c r="B549" s="0" t="inlineStr">
        <is>
          <t xml:space="preserve">p06_seasonality</t>
        </is>
      </c>
      <c r="C549" s="0" t="inlineStr">
        <is>
          <t xml:space="preserve">d20260923</t>
        </is>
      </c>
      <c r="D549" s="0" t="inlineStr">
        <is>
          <t xml:space="preserve">BEAM</t>
        </is>
      </c>
      <c r="E549" s="0" t="inlineStr">
        <is>
          <t xml:space="preserve">healthcare</t>
        </is>
      </c>
      <c r="F549" s="4">
        <v>48</v>
      </c>
    </row>
    <row r="550">
      <c r="A550" s="0" t="inlineStr">
        <is>
          <t xml:space="preserve">p06_seasonality_W</t>
        </is>
      </c>
      <c r="B550" s="0" t="inlineStr">
        <is>
          <t xml:space="preserve">p06_seasonality</t>
        </is>
      </c>
      <c r="C550" s="0" t="inlineStr">
        <is>
          <t xml:space="preserve">d20260923</t>
        </is>
      </c>
      <c r="D550" s="0" t="inlineStr">
        <is>
          <t xml:space="preserve">W</t>
        </is>
      </c>
      <c r="E550" s="0" t="inlineStr">
        <is>
          <t xml:space="preserve">consumer_cyclical</t>
        </is>
      </c>
      <c r="F550" s="4">
        <v>49</v>
      </c>
    </row>
    <row r="551">
      <c r="A551" s="0" t="inlineStr">
        <is>
          <t xml:space="preserve">p06_seasonality_LEGN</t>
        </is>
      </c>
      <c r="B551" s="0" t="inlineStr">
        <is>
          <t xml:space="preserve">p06_seasonality</t>
        </is>
      </c>
      <c r="C551" s="0" t="inlineStr">
        <is>
          <t xml:space="preserve">d20260923</t>
        </is>
      </c>
      <c r="D551" s="0" t="inlineStr">
        <is>
          <t xml:space="preserve">LEGN</t>
        </is>
      </c>
      <c r="E551" s="0" t="inlineStr">
        <is>
          <t xml:space="preserve">healthcare</t>
        </is>
      </c>
      <c r="F551" s="4">
        <v>50</v>
      </c>
    </row>
    <row r="552">
      <c r="A552" s="0" t="inlineStr">
        <is>
          <t xml:space="preserve">p06_seasonality_VSAT</t>
        </is>
      </c>
      <c r="B552" s="0" t="inlineStr">
        <is>
          <t xml:space="preserve">p06_seasonality</t>
        </is>
      </c>
      <c r="C552" s="0" t="inlineStr">
        <is>
          <t xml:space="preserve">d20260923</t>
        </is>
      </c>
      <c r="D552" s="0" t="inlineStr">
        <is>
          <t xml:space="preserve">VSAT</t>
        </is>
      </c>
      <c r="E552" s="0" t="inlineStr">
        <is>
          <t xml:space="preserve">technology</t>
        </is>
      </c>
      <c r="F552" s="4">
        <v>51</v>
      </c>
    </row>
    <row r="553">
      <c r="A553" s="0" t="inlineStr">
        <is>
          <t xml:space="preserve">p06_seasonality_BWIN</t>
        </is>
      </c>
      <c r="B553" s="0" t="inlineStr">
        <is>
          <t xml:space="preserve">p06_seasonality</t>
        </is>
      </c>
      <c r="C553" s="0" t="inlineStr">
        <is>
          <t xml:space="preserve">d20260923</t>
        </is>
      </c>
      <c r="D553" s="0" t="inlineStr">
        <is>
          <t xml:space="preserve">BWIN</t>
        </is>
      </c>
      <c r="E553" s="0" t="inlineStr">
        <is>
          <t xml:space="preserve">financial_services</t>
        </is>
      </c>
      <c r="F553" s="4">
        <v>52</v>
      </c>
    </row>
    <row r="554">
      <c r="A554" s="0" t="inlineStr">
        <is>
          <t xml:space="preserve">p06_seasonality_NJR</t>
        </is>
      </c>
      <c r="B554" s="0" t="inlineStr">
        <is>
          <t xml:space="preserve">p06_seasonality</t>
        </is>
      </c>
      <c r="C554" s="0" t="inlineStr">
        <is>
          <t xml:space="preserve">d20260923</t>
        </is>
      </c>
      <c r="D554" s="0" t="inlineStr">
        <is>
          <t xml:space="preserve">NJR</t>
        </is>
      </c>
      <c r="E554" s="0" t="inlineStr">
        <is>
          <t xml:space="preserve">utilities</t>
        </is>
      </c>
      <c r="F554" s="4">
        <v>53</v>
      </c>
    </row>
    <row r="555">
      <c r="A555" s="0" t="inlineStr">
        <is>
          <t xml:space="preserve">p06_seasonality_GPGI</t>
        </is>
      </c>
      <c r="B555" s="0" t="inlineStr">
        <is>
          <t xml:space="preserve">p06_seasonality</t>
        </is>
      </c>
      <c r="C555" s="0" t="inlineStr">
        <is>
          <t xml:space="preserve">d20260923</t>
        </is>
      </c>
      <c r="D555" s="0" t="inlineStr">
        <is>
          <t xml:space="preserve">GPGI</t>
        </is>
      </c>
      <c r="E555" s="0" t="inlineStr">
        <is>
          <t xml:space="preserve">industrials</t>
        </is>
      </c>
      <c r="F555" s="4">
        <v>54</v>
      </c>
    </row>
    <row r="556">
      <c r="A556" s="0" t="inlineStr">
        <is>
          <t xml:space="preserve">p06_seasonality_CC</t>
        </is>
      </c>
      <c r="B556" s="0" t="inlineStr">
        <is>
          <t xml:space="preserve">p06_seasonality</t>
        </is>
      </c>
      <c r="C556" s="0" t="inlineStr">
        <is>
          <t xml:space="preserve">d20260923</t>
        </is>
      </c>
      <c r="D556" s="0" t="inlineStr">
        <is>
          <t xml:space="preserve">CC</t>
        </is>
      </c>
      <c r="E556" s="0" t="inlineStr">
        <is>
          <t xml:space="preserve">basic_materials</t>
        </is>
      </c>
      <c r="F556" s="4">
        <v>55</v>
      </c>
    </row>
    <row r="557">
      <c r="A557" s="0" t="inlineStr">
        <is>
          <t xml:space="preserve">p06_seasonality_PSKY</t>
        </is>
      </c>
      <c r="B557" s="0" t="inlineStr">
        <is>
          <t xml:space="preserve">p06_seasonality</t>
        </is>
      </c>
      <c r="C557" s="0" t="inlineStr">
        <is>
          <t xml:space="preserve">d20260923</t>
        </is>
      </c>
      <c r="D557" s="0" t="inlineStr">
        <is>
          <t xml:space="preserve">PSKY</t>
        </is>
      </c>
      <c r="E557" s="0" t="inlineStr">
        <is>
          <t xml:space="preserve">communication_services</t>
        </is>
      </c>
      <c r="F557" s="4">
        <v>56</v>
      </c>
    </row>
    <row r="558">
      <c r="A558" s="0" t="inlineStr">
        <is>
          <t xml:space="preserve">p06_seasonality_CROX</t>
        </is>
      </c>
      <c r="B558" s="0" t="inlineStr">
        <is>
          <t xml:space="preserve">p06_seasonality</t>
        </is>
      </c>
      <c r="C558" s="0" t="inlineStr">
        <is>
          <t xml:space="preserve">d20260923</t>
        </is>
      </c>
      <c r="D558" s="0" t="inlineStr">
        <is>
          <t xml:space="preserve">CROX</t>
        </is>
      </c>
      <c r="E558" s="0" t="inlineStr">
        <is>
          <t xml:space="preserve">consumer_cyclical</t>
        </is>
      </c>
      <c r="F558" s="4">
        <v>57</v>
      </c>
    </row>
    <row r="559">
      <c r="A559" s="0" t="inlineStr">
        <is>
          <t xml:space="preserve">p06_seasonality_UNFI</t>
        </is>
      </c>
      <c r="B559" s="0" t="inlineStr">
        <is>
          <t xml:space="preserve">p06_seasonality</t>
        </is>
      </c>
      <c r="C559" s="0" t="inlineStr">
        <is>
          <t xml:space="preserve">d20260923</t>
        </is>
      </c>
      <c r="D559" s="0" t="inlineStr">
        <is>
          <t xml:space="preserve">UNFI</t>
        </is>
      </c>
      <c r="E559" s="0" t="inlineStr">
        <is>
          <t xml:space="preserve">consumer_defensive</t>
        </is>
      </c>
      <c r="F559" s="4">
        <v>58</v>
      </c>
    </row>
    <row r="560">
      <c r="A560" s="0" t="inlineStr">
        <is>
          <t xml:space="preserve">p06_seasonality_FND</t>
        </is>
      </c>
      <c r="B560" s="0" t="inlineStr">
        <is>
          <t xml:space="preserve">p06_seasonality</t>
        </is>
      </c>
      <c r="C560" s="0" t="inlineStr">
        <is>
          <t xml:space="preserve">d20260923</t>
        </is>
      </c>
      <c r="D560" s="0" t="inlineStr">
        <is>
          <t xml:space="preserve">FND</t>
        </is>
      </c>
      <c r="E560" s="0" t="inlineStr">
        <is>
          <t xml:space="preserve">consumer_cyclical</t>
        </is>
      </c>
      <c r="F560" s="4">
        <v>59</v>
      </c>
    </row>
    <row r="561">
      <c r="A561" s="0" t="inlineStr">
        <is>
          <t xml:space="preserve">p06_seasonality_CCL</t>
        </is>
      </c>
      <c r="B561" s="0" t="inlineStr">
        <is>
          <t xml:space="preserve">p06_seasonality</t>
        </is>
      </c>
      <c r="C561" s="0" t="inlineStr">
        <is>
          <t xml:space="preserve">d20260923</t>
        </is>
      </c>
      <c r="D561" s="0" t="inlineStr">
        <is>
          <t xml:space="preserve">CCL</t>
        </is>
      </c>
      <c r="E561" s="0" t="inlineStr">
        <is>
          <t xml:space="preserve">consumer_cyclical</t>
        </is>
      </c>
      <c r="F561" s="4">
        <v>60</v>
      </c>
    </row>
    <row r="562">
      <c r="A562" s="0" t="inlineStr">
        <is>
          <t xml:space="preserve">p06_seasonality_FIGR</t>
        </is>
      </c>
      <c r="B562" s="0" t="inlineStr">
        <is>
          <t xml:space="preserve">p06_seasonality</t>
        </is>
      </c>
      <c r="C562" s="0" t="inlineStr">
        <is>
          <t xml:space="preserve">d20260923</t>
        </is>
      </c>
      <c r="D562" s="0" t="inlineStr">
        <is>
          <t xml:space="preserve">FIGR</t>
        </is>
      </c>
      <c r="E562" s="0" t="inlineStr">
        <is>
          <t xml:space="preserve">financial_services</t>
        </is>
      </c>
      <c r="F562" s="4">
        <v>61</v>
      </c>
    </row>
    <row r="563">
      <c r="A563" s="0" t="inlineStr">
        <is>
          <t xml:space="preserve">p06_seasonality_LUMN</t>
        </is>
      </c>
      <c r="B563" s="0" t="inlineStr">
        <is>
          <t xml:space="preserve">p06_seasonality</t>
        </is>
      </c>
      <c r="C563" s="0" t="inlineStr">
        <is>
          <t xml:space="preserve">d20260923</t>
        </is>
      </c>
      <c r="D563" s="0" t="inlineStr">
        <is>
          <t xml:space="preserve">LUMN</t>
        </is>
      </c>
      <c r="E563" s="0" t="inlineStr">
        <is>
          <t xml:space="preserve">communication_services</t>
        </is>
      </c>
      <c r="F563" s="4">
        <v>62</v>
      </c>
    </row>
    <row r="564">
      <c r="A564" s="0" t="inlineStr">
        <is>
          <t xml:space="preserve">p06_seasonality_GME</t>
        </is>
      </c>
      <c r="B564" s="0" t="inlineStr">
        <is>
          <t xml:space="preserve">p06_seasonality</t>
        </is>
      </c>
      <c r="C564" s="0" t="inlineStr">
        <is>
          <t xml:space="preserve">d20260923</t>
        </is>
      </c>
      <c r="D564" s="0" t="inlineStr">
        <is>
          <t xml:space="preserve">GME</t>
        </is>
      </c>
      <c r="E564" s="0" t="inlineStr">
        <is>
          <t xml:space="preserve">consumer_cyclical</t>
        </is>
      </c>
      <c r="F564" s="4">
        <v>63</v>
      </c>
    </row>
    <row r="565">
      <c r="A565" s="0" t="inlineStr">
        <is>
          <t xml:space="preserve">p06_seasonality_ASST</t>
        </is>
      </c>
      <c r="B565" s="0" t="inlineStr">
        <is>
          <t xml:space="preserve">p06_seasonality</t>
        </is>
      </c>
      <c r="C565" s="0" t="inlineStr">
        <is>
          <t xml:space="preserve">d20260923</t>
        </is>
      </c>
      <c r="D565" s="0" t="inlineStr">
        <is>
          <t xml:space="preserve">ASST</t>
        </is>
      </c>
      <c r="E565" s="0" t="inlineStr">
        <is>
          <t xml:space="preserve">financial_services</t>
        </is>
      </c>
      <c r="F565" s="4">
        <v>64</v>
      </c>
    </row>
    <row r="566">
      <c r="A566" s="0" t="inlineStr">
        <is>
          <t xml:space="preserve">p06_seasonality_ETSY</t>
        </is>
      </c>
      <c r="B566" s="0" t="inlineStr">
        <is>
          <t xml:space="preserve">p06_seasonality</t>
        </is>
      </c>
      <c r="C566" s="0" t="inlineStr">
        <is>
          <t xml:space="preserve">d20260923</t>
        </is>
      </c>
      <c r="D566" s="0" t="inlineStr">
        <is>
          <t xml:space="preserve">ETSY</t>
        </is>
      </c>
      <c r="E566" s="0" t="inlineStr">
        <is>
          <t xml:space="preserve">consumer_cyclical</t>
        </is>
      </c>
      <c r="F566" s="4">
        <v>65</v>
      </c>
    </row>
    <row r="567">
      <c r="A567" s="0" t="inlineStr">
        <is>
          <t xml:space="preserve">p06_seasonality_P</t>
        </is>
      </c>
      <c r="B567" s="0" t="inlineStr">
        <is>
          <t xml:space="preserve">p06_seasonality</t>
        </is>
      </c>
      <c r="C567" s="0" t="inlineStr">
        <is>
          <t xml:space="preserve">d20260923</t>
        </is>
      </c>
      <c r="D567" s="0" t="inlineStr">
        <is>
          <t xml:space="preserve">P</t>
        </is>
      </c>
      <c r="E567" s="0" t="inlineStr">
        <is>
          <t xml:space="preserve">technology</t>
        </is>
      </c>
      <c r="F567" s="4">
        <v>66</v>
      </c>
    </row>
    <row r="568">
      <c r="A568" s="0" t="inlineStr">
        <is>
          <t xml:space="preserve">p06_seasonality_INTC</t>
        </is>
      </c>
      <c r="B568" s="0" t="inlineStr">
        <is>
          <t xml:space="preserve">p06_seasonality</t>
        </is>
      </c>
      <c r="C568" s="0" t="inlineStr">
        <is>
          <t xml:space="preserve">d20260923</t>
        </is>
      </c>
      <c r="D568" s="0" t="inlineStr">
        <is>
          <t xml:space="preserve">INTC</t>
        </is>
      </c>
      <c r="E568" s="0" t="inlineStr">
        <is>
          <t xml:space="preserve">technology</t>
        </is>
      </c>
      <c r="F568" s="4">
        <v>67</v>
      </c>
    </row>
    <row r="569">
      <c r="A569" s="0" t="inlineStr">
        <is>
          <t xml:space="preserve">p06_seasonality_ELF</t>
        </is>
      </c>
      <c r="B569" s="0" t="inlineStr">
        <is>
          <t xml:space="preserve">p06_seasonality</t>
        </is>
      </c>
      <c r="C569" s="0" t="inlineStr">
        <is>
          <t xml:space="preserve">d20260923</t>
        </is>
      </c>
      <c r="D569" s="0" t="inlineStr">
        <is>
          <t xml:space="preserve">ELF</t>
        </is>
      </c>
      <c r="E569" s="0" t="inlineStr">
        <is>
          <t xml:space="preserve">consumer_defensive</t>
        </is>
      </c>
      <c r="F569" s="4">
        <v>68</v>
      </c>
    </row>
    <row r="570">
      <c r="A570" s="0" t="inlineStr">
        <is>
          <t xml:space="preserve">p06_seasonality_SEI</t>
        </is>
      </c>
      <c r="B570" s="0" t="inlineStr">
        <is>
          <t xml:space="preserve">p06_seasonality</t>
        </is>
      </c>
      <c r="C570" s="0" t="inlineStr">
        <is>
          <t xml:space="preserve">d20260923</t>
        </is>
      </c>
      <c r="D570" s="0" t="inlineStr">
        <is>
          <t xml:space="preserve">SEI</t>
        </is>
      </c>
      <c r="E570" s="0" t="inlineStr">
        <is>
          <t xml:space="preserve">energy</t>
        </is>
      </c>
      <c r="F570" s="4">
        <v>69</v>
      </c>
    </row>
    <row r="571">
      <c r="A571" s="0" t="inlineStr">
        <is>
          <t xml:space="preserve">p06_seasonality_AKR</t>
        </is>
      </c>
      <c r="B571" s="0" t="inlineStr">
        <is>
          <t xml:space="preserve">p06_seasonality</t>
        </is>
      </c>
      <c r="C571" s="0" t="inlineStr">
        <is>
          <t xml:space="preserve">d20260923</t>
        </is>
      </c>
      <c r="D571" s="0" t="inlineStr">
        <is>
          <t xml:space="preserve">AKR</t>
        </is>
      </c>
      <c r="E571" s="0" t="inlineStr">
        <is>
          <t xml:space="preserve">real_estate</t>
        </is>
      </c>
      <c r="F571" s="4">
        <v>70</v>
      </c>
    </row>
    <row r="572">
      <c r="A572" s="0" t="inlineStr">
        <is>
          <t xml:space="preserve">p06_seasonality_BMNR</t>
        </is>
      </c>
      <c r="B572" s="0" t="inlineStr">
        <is>
          <t xml:space="preserve">p06_seasonality</t>
        </is>
      </c>
      <c r="C572" s="0" t="inlineStr">
        <is>
          <t xml:space="preserve">d20260923</t>
        </is>
      </c>
      <c r="D572" s="0" t="inlineStr">
        <is>
          <t xml:space="preserve">BMNR</t>
        </is>
      </c>
      <c r="E572" s="0" t="inlineStr">
        <is>
          <t xml:space="preserve">financial_services</t>
        </is>
      </c>
      <c r="F572" s="4">
        <v>71</v>
      </c>
    </row>
    <row r="573">
      <c r="A573" s="0" t="inlineStr">
        <is>
          <t xml:space="preserve">p06_seasonality_PPTA</t>
        </is>
      </c>
      <c r="B573" s="0" t="inlineStr">
        <is>
          <t xml:space="preserve">p06_seasonality</t>
        </is>
      </c>
      <c r="C573" s="0" t="inlineStr">
        <is>
          <t xml:space="preserve">d20260923</t>
        </is>
      </c>
      <c r="D573" s="0" t="inlineStr">
        <is>
          <t xml:space="preserve">PPTA</t>
        </is>
      </c>
      <c r="E573" s="0" t="inlineStr">
        <is>
          <t xml:space="preserve">basic_materials</t>
        </is>
      </c>
      <c r="F573" s="4">
        <v>72</v>
      </c>
    </row>
    <row r="574">
      <c r="A574" s="0" t="inlineStr">
        <is>
          <t xml:space="preserve">p06_seasonality_TNL</t>
        </is>
      </c>
      <c r="B574" s="0" t="inlineStr">
        <is>
          <t xml:space="preserve">p06_seasonality</t>
        </is>
      </c>
      <c r="C574" s="0" t="inlineStr">
        <is>
          <t xml:space="preserve">d20260923</t>
        </is>
      </c>
      <c r="D574" s="0" t="inlineStr">
        <is>
          <t xml:space="preserve">TNL</t>
        </is>
      </c>
      <c r="E574" s="0" t="inlineStr">
        <is>
          <t xml:space="preserve">consumer_cyclical</t>
        </is>
      </c>
      <c r="F574" s="4">
        <v>73</v>
      </c>
    </row>
    <row r="575">
      <c r="A575" s="0" t="inlineStr">
        <is>
          <t xml:space="preserve">p06_seasonality_CIFR</t>
        </is>
      </c>
      <c r="B575" s="0" t="inlineStr">
        <is>
          <t xml:space="preserve">p06_seasonality</t>
        </is>
      </c>
      <c r="C575" s="0" t="inlineStr">
        <is>
          <t xml:space="preserve">d20260923</t>
        </is>
      </c>
      <c r="D575" s="0" t="inlineStr">
        <is>
          <t xml:space="preserve">CIFR</t>
        </is>
      </c>
      <c r="E575" s="0" t="inlineStr">
        <is>
          <t xml:space="preserve">technology</t>
        </is>
      </c>
      <c r="F575" s="4">
        <v>74</v>
      </c>
    </row>
    <row r="576">
      <c r="A576" s="0" t="inlineStr">
        <is>
          <t xml:space="preserve">p06_seasonality_STEP</t>
        </is>
      </c>
      <c r="B576" s="0" t="inlineStr">
        <is>
          <t xml:space="preserve">p06_seasonality</t>
        </is>
      </c>
      <c r="C576" s="0" t="inlineStr">
        <is>
          <t xml:space="preserve">d20260923</t>
        </is>
      </c>
      <c r="D576" s="0" t="inlineStr">
        <is>
          <t xml:space="preserve">STEP</t>
        </is>
      </c>
      <c r="E576" s="0" t="inlineStr">
        <is>
          <t xml:space="preserve">financial_services</t>
        </is>
      </c>
      <c r="F576" s="4">
        <v>75</v>
      </c>
    </row>
    <row r="577">
      <c r="A577" s="0" t="inlineStr">
        <is>
          <t xml:space="preserve">p06_seasonality_NXT</t>
        </is>
      </c>
      <c r="B577" s="0" t="inlineStr">
        <is>
          <t xml:space="preserve">p06_seasonality</t>
        </is>
      </c>
      <c r="C577" s="0" t="inlineStr">
        <is>
          <t xml:space="preserve">d20260923</t>
        </is>
      </c>
      <c r="D577" s="0" t="inlineStr">
        <is>
          <t xml:space="preserve">NXT</t>
        </is>
      </c>
      <c r="E577" s="0" t="inlineStr">
        <is>
          <t xml:space="preserve">energy</t>
        </is>
      </c>
      <c r="F577" s="4">
        <v>76</v>
      </c>
    </row>
    <row r="578">
      <c r="A578" s="0" t="inlineStr">
        <is>
          <t xml:space="preserve">p06_seasonality_HGV</t>
        </is>
      </c>
      <c r="B578" s="0" t="inlineStr">
        <is>
          <t xml:space="preserve">p06_seasonality</t>
        </is>
      </c>
      <c r="C578" s="0" t="inlineStr">
        <is>
          <t xml:space="preserve">d20260923</t>
        </is>
      </c>
      <c r="D578" s="0" t="inlineStr">
        <is>
          <t xml:space="preserve">HGV</t>
        </is>
      </c>
      <c r="E578" s="0" t="inlineStr">
        <is>
          <t xml:space="preserve">real_estate</t>
        </is>
      </c>
      <c r="F578" s="4">
        <v>77</v>
      </c>
    </row>
    <row r="579">
      <c r="A579" s="0" t="inlineStr">
        <is>
          <t xml:space="preserve">p06_seasonality_COHR</t>
        </is>
      </c>
      <c r="B579" s="0" t="inlineStr">
        <is>
          <t xml:space="preserve">p06_seasonality</t>
        </is>
      </c>
      <c r="C579" s="0" t="inlineStr">
        <is>
          <t xml:space="preserve">d20260923</t>
        </is>
      </c>
      <c r="D579" s="0" t="inlineStr">
        <is>
          <t xml:space="preserve">COHR</t>
        </is>
      </c>
      <c r="E579" s="0" t="inlineStr">
        <is>
          <t xml:space="preserve">technology</t>
        </is>
      </c>
      <c r="F579" s="4">
        <v>78</v>
      </c>
    </row>
    <row r="580">
      <c r="A580" s="0" t="inlineStr">
        <is>
          <t xml:space="preserve">p06_seasonality_AVAV</t>
        </is>
      </c>
      <c r="B580" s="0" t="inlineStr">
        <is>
          <t xml:space="preserve">p06_seasonality</t>
        </is>
      </c>
      <c r="C580" s="0" t="inlineStr">
        <is>
          <t xml:space="preserve">d20260923</t>
        </is>
      </c>
      <c r="D580" s="0" t="inlineStr">
        <is>
          <t xml:space="preserve">AVAV</t>
        </is>
      </c>
      <c r="E580" s="0" t="inlineStr">
        <is>
          <t xml:space="preserve">industrials</t>
        </is>
      </c>
      <c r="F580" s="4">
        <v>79</v>
      </c>
    </row>
    <row r="581">
      <c r="A581" s="0" t="inlineStr">
        <is>
          <t xml:space="preserve">p06_seasonality_WK</t>
        </is>
      </c>
      <c r="B581" s="0" t="inlineStr">
        <is>
          <t xml:space="preserve">p06_seasonality</t>
        </is>
      </c>
      <c r="C581" s="0" t="inlineStr">
        <is>
          <t xml:space="preserve">d20260923</t>
        </is>
      </c>
      <c r="D581" s="0" t="inlineStr">
        <is>
          <t xml:space="preserve">WK</t>
        </is>
      </c>
      <c r="E581" s="0" t="inlineStr">
        <is>
          <t xml:space="preserve">technology</t>
        </is>
      </c>
      <c r="F581" s="4">
        <v>80</v>
      </c>
    </row>
    <row r="582">
      <c r="A582" s="0" t="inlineStr">
        <is>
          <t xml:space="preserve">p06_seasonality_FTAI</t>
        </is>
      </c>
      <c r="B582" s="0" t="inlineStr">
        <is>
          <t xml:space="preserve">p06_seasonality</t>
        </is>
      </c>
      <c r="C582" s="0" t="inlineStr">
        <is>
          <t xml:space="preserve">d20260923</t>
        </is>
      </c>
      <c r="D582" s="0" t="inlineStr">
        <is>
          <t xml:space="preserve">FTAI</t>
        </is>
      </c>
      <c r="E582" s="0" t="inlineStr">
        <is>
          <t xml:space="preserve">industrials</t>
        </is>
      </c>
      <c r="F582" s="4">
        <v>81</v>
      </c>
    </row>
    <row r="583">
      <c r="A583" s="0" t="inlineStr">
        <is>
          <t xml:space="preserve">p06_seasonality_SON</t>
        </is>
      </c>
      <c r="B583" s="0" t="inlineStr">
        <is>
          <t xml:space="preserve">p06_seasonality</t>
        </is>
      </c>
      <c r="C583" s="0" t="inlineStr">
        <is>
          <t xml:space="preserve">d20260923</t>
        </is>
      </c>
      <c r="D583" s="0" t="inlineStr">
        <is>
          <t xml:space="preserve">SON</t>
        </is>
      </c>
      <c r="E583" s="0" t="inlineStr">
        <is>
          <t xml:space="preserve">consumer_cyclical</t>
        </is>
      </c>
      <c r="F583" s="4">
        <v>82</v>
      </c>
    </row>
    <row r="584">
      <c r="A584" s="0" t="inlineStr">
        <is>
          <t xml:space="preserve">p06_seasonality_QXO</t>
        </is>
      </c>
      <c r="B584" s="0" t="inlineStr">
        <is>
          <t xml:space="preserve">p06_seasonality</t>
        </is>
      </c>
      <c r="C584" s="0" t="inlineStr">
        <is>
          <t xml:space="preserve">d20260923</t>
        </is>
      </c>
      <c r="D584" s="0" t="inlineStr">
        <is>
          <t xml:space="preserve">QXO</t>
        </is>
      </c>
      <c r="E584" s="0" t="inlineStr">
        <is>
          <t xml:space="preserve">industrials</t>
        </is>
      </c>
      <c r="F584" s="4">
        <v>83</v>
      </c>
    </row>
    <row r="585">
      <c r="A585" s="0" t="inlineStr">
        <is>
          <t xml:space="preserve">p06_seasonality_AIR</t>
        </is>
      </c>
      <c r="B585" s="0" t="inlineStr">
        <is>
          <t xml:space="preserve">p06_seasonality</t>
        </is>
      </c>
      <c r="C585" s="0" t="inlineStr">
        <is>
          <t xml:space="preserve">d20260923</t>
        </is>
      </c>
      <c r="D585" s="0" t="inlineStr">
        <is>
          <t xml:space="preserve">AIR</t>
        </is>
      </c>
      <c r="E585" s="0" t="inlineStr">
        <is>
          <t xml:space="preserve">industrials</t>
        </is>
      </c>
      <c r="F585" s="4">
        <v>84</v>
      </c>
    </row>
    <row r="586">
      <c r="A586" s="0" t="inlineStr">
        <is>
          <t xml:space="preserve">p06_seasonality_PCVX</t>
        </is>
      </c>
      <c r="B586" s="0" t="inlineStr">
        <is>
          <t xml:space="preserve">p06_seasonality</t>
        </is>
      </c>
      <c r="C586" s="0" t="inlineStr">
        <is>
          <t xml:space="preserve">d20260923</t>
        </is>
      </c>
      <c r="D586" s="0" t="inlineStr">
        <is>
          <t xml:space="preserve">PCVX</t>
        </is>
      </c>
      <c r="E586" s="0" t="inlineStr">
        <is>
          <t xml:space="preserve">healthcare</t>
        </is>
      </c>
      <c r="F586" s="4">
        <v>85</v>
      </c>
    </row>
    <row r="587">
      <c r="A587" s="0" t="inlineStr">
        <is>
          <t xml:space="preserve">p06_seasonality_IDYA</t>
        </is>
      </c>
      <c r="B587" s="0" t="inlineStr">
        <is>
          <t xml:space="preserve">p06_seasonality</t>
        </is>
      </c>
      <c r="C587" s="0" t="inlineStr">
        <is>
          <t xml:space="preserve">d20260923</t>
        </is>
      </c>
      <c r="D587" s="0" t="inlineStr">
        <is>
          <t xml:space="preserve">IDYA</t>
        </is>
      </c>
      <c r="E587" s="0" t="inlineStr">
        <is>
          <t xml:space="preserve">healthcare</t>
        </is>
      </c>
      <c r="F587" s="4">
        <v>86</v>
      </c>
    </row>
    <row r="588">
      <c r="A588" s="0" t="inlineStr">
        <is>
          <t xml:space="preserve">p06_seasonality_FOUR</t>
        </is>
      </c>
      <c r="B588" s="0" t="inlineStr">
        <is>
          <t xml:space="preserve">p06_seasonality</t>
        </is>
      </c>
      <c r="C588" s="0" t="inlineStr">
        <is>
          <t xml:space="preserve">d20260923</t>
        </is>
      </c>
      <c r="D588" s="0" t="inlineStr">
        <is>
          <t xml:space="preserve">FOUR</t>
        </is>
      </c>
      <c r="E588" s="0" t="inlineStr">
        <is>
          <t xml:space="preserve">technology</t>
        </is>
      </c>
      <c r="F588" s="4">
        <v>87</v>
      </c>
    </row>
    <row r="589">
      <c r="A589" s="0" t="inlineStr">
        <is>
          <t xml:space="preserve">p06_seasonality_TRVI</t>
        </is>
      </c>
      <c r="B589" s="0" t="inlineStr">
        <is>
          <t xml:space="preserve">p06_seasonality</t>
        </is>
      </c>
      <c r="C589" s="0" t="inlineStr">
        <is>
          <t xml:space="preserve">d20260923</t>
        </is>
      </c>
      <c r="D589" s="0" t="inlineStr">
        <is>
          <t xml:space="preserve">TRVI</t>
        </is>
      </c>
      <c r="E589" s="0" t="inlineStr">
        <is>
          <t xml:space="preserve">healthcare</t>
        </is>
      </c>
      <c r="F589" s="4">
        <v>88</v>
      </c>
    </row>
    <row r="590">
      <c r="A590" s="0" t="inlineStr">
        <is>
          <t xml:space="preserve">p06_seasonality_CGNX</t>
        </is>
      </c>
      <c r="B590" s="0" t="inlineStr">
        <is>
          <t xml:space="preserve">p06_seasonality</t>
        </is>
      </c>
      <c r="C590" s="0" t="inlineStr">
        <is>
          <t xml:space="preserve">d20260923</t>
        </is>
      </c>
      <c r="D590" s="0" t="inlineStr">
        <is>
          <t xml:space="preserve">CGNX</t>
        </is>
      </c>
      <c r="E590" s="0" t="inlineStr">
        <is>
          <t xml:space="preserve">technology</t>
        </is>
      </c>
      <c r="F590" s="4">
        <v>89</v>
      </c>
    </row>
    <row r="591">
      <c r="A591" s="0" t="inlineStr">
        <is>
          <t xml:space="preserve">p06_seasonality_BFH</t>
        </is>
      </c>
      <c r="B591" s="0" t="inlineStr">
        <is>
          <t xml:space="preserve">p06_seasonality</t>
        </is>
      </c>
      <c r="C591" s="0" t="inlineStr">
        <is>
          <t xml:space="preserve">d20260923</t>
        </is>
      </c>
      <c r="D591" s="0" t="inlineStr">
        <is>
          <t xml:space="preserve">BFH</t>
        </is>
      </c>
      <c r="E591" s="0" t="inlineStr">
        <is>
          <t xml:space="preserve">financial_services</t>
        </is>
      </c>
      <c r="F591" s="4">
        <v>90</v>
      </c>
    </row>
    <row r="592">
      <c r="A592" s="0" t="inlineStr">
        <is>
          <t xml:space="preserve">p06_seasonality_MTZ</t>
        </is>
      </c>
      <c r="B592" s="0" t="inlineStr">
        <is>
          <t xml:space="preserve">p06_seasonality</t>
        </is>
      </c>
      <c r="C592" s="0" t="inlineStr">
        <is>
          <t xml:space="preserve">d20260923</t>
        </is>
      </c>
      <c r="D592" s="0" t="inlineStr">
        <is>
          <t xml:space="preserve">MTZ</t>
        </is>
      </c>
      <c r="E592" s="0" t="inlineStr">
        <is>
          <t xml:space="preserve">industrials</t>
        </is>
      </c>
      <c r="F592" s="4">
        <v>91</v>
      </c>
    </row>
    <row r="593">
      <c r="A593" s="0" t="inlineStr">
        <is>
          <t xml:space="preserve">p06_seasonality_IP</t>
        </is>
      </c>
      <c r="B593" s="0" t="inlineStr">
        <is>
          <t xml:space="preserve">p06_seasonality</t>
        </is>
      </c>
      <c r="C593" s="0" t="inlineStr">
        <is>
          <t xml:space="preserve">d20260923</t>
        </is>
      </c>
      <c r="D593" s="0" t="inlineStr">
        <is>
          <t xml:space="preserve">IP</t>
        </is>
      </c>
      <c r="E593" s="0" t="inlineStr">
        <is>
          <t xml:space="preserve">basic_materials</t>
        </is>
      </c>
      <c r="F593" s="4">
        <v>92</v>
      </c>
    </row>
    <row r="594">
      <c r="A594" s="0" t="inlineStr">
        <is>
          <t xml:space="preserve">p06_seasonality_PBLS</t>
        </is>
      </c>
      <c r="B594" s="0" t="inlineStr">
        <is>
          <t xml:space="preserve">p06_seasonality</t>
        </is>
      </c>
      <c r="C594" s="0" t="inlineStr">
        <is>
          <t xml:space="preserve">d20260923</t>
        </is>
      </c>
      <c r="D594" s="0" t="inlineStr">
        <is>
          <t xml:space="preserve">PBLS</t>
        </is>
      </c>
      <c r="E594" s="0" t="inlineStr">
        <is>
          <t xml:space="preserve">healthcare</t>
        </is>
      </c>
      <c r="F594" s="4">
        <v>93</v>
      </c>
    </row>
    <row r="595">
      <c r="A595" s="0" t="inlineStr">
        <is>
          <t xml:space="preserve">p06_seasonality_ASO</t>
        </is>
      </c>
      <c r="B595" s="0" t="inlineStr">
        <is>
          <t xml:space="preserve">p06_seasonality</t>
        </is>
      </c>
      <c r="C595" s="0" t="inlineStr">
        <is>
          <t xml:space="preserve">d20260923</t>
        </is>
      </c>
      <c r="D595" s="0" t="inlineStr">
        <is>
          <t xml:space="preserve">ASO</t>
        </is>
      </c>
      <c r="E595" s="0" t="inlineStr">
        <is>
          <t xml:space="preserve">consumer_cyclical</t>
        </is>
      </c>
      <c r="F595" s="4">
        <v>94</v>
      </c>
    </row>
    <row r="596">
      <c r="A596" s="0" t="inlineStr">
        <is>
          <t xml:space="preserve">p06_seasonality_UUUU</t>
        </is>
      </c>
      <c r="B596" s="0" t="inlineStr">
        <is>
          <t xml:space="preserve">p06_seasonality</t>
        </is>
      </c>
      <c r="C596" s="0" t="inlineStr">
        <is>
          <t xml:space="preserve">d20260923</t>
        </is>
      </c>
      <c r="D596" s="0" t="inlineStr">
        <is>
          <t xml:space="preserve">UUUU</t>
        </is>
      </c>
      <c r="E596" s="0" t="inlineStr">
        <is>
          <t xml:space="preserve">energy</t>
        </is>
      </c>
      <c r="F596" s="4">
        <v>95</v>
      </c>
    </row>
    <row r="597">
      <c r="A597" s="0" t="inlineStr">
        <is>
          <t xml:space="preserve">p06_seasonality_NP</t>
        </is>
      </c>
      <c r="B597" s="0" t="inlineStr">
        <is>
          <t xml:space="preserve">p06_seasonality</t>
        </is>
      </c>
      <c r="C597" s="0" t="inlineStr">
        <is>
          <t xml:space="preserve">d20260923</t>
        </is>
      </c>
      <c r="D597" s="0" t="inlineStr">
        <is>
          <t xml:space="preserve">NP</t>
        </is>
      </c>
      <c r="E597" s="0" t="inlineStr">
        <is>
          <t xml:space="preserve">financial_services</t>
        </is>
      </c>
      <c r="F597" s="4">
        <v>96</v>
      </c>
    </row>
    <row r="598">
      <c r="A598" s="0" t="inlineStr">
        <is>
          <t xml:space="preserve">p06_seasonality_WBD</t>
        </is>
      </c>
      <c r="B598" s="0" t="inlineStr">
        <is>
          <t xml:space="preserve">p06_seasonality</t>
        </is>
      </c>
      <c r="C598" s="0" t="inlineStr">
        <is>
          <t xml:space="preserve">d20260923</t>
        </is>
      </c>
      <c r="D598" s="0" t="inlineStr">
        <is>
          <t xml:space="preserve">WBD</t>
        </is>
      </c>
      <c r="E598" s="0" t="inlineStr">
        <is>
          <t xml:space="preserve">communication_services</t>
        </is>
      </c>
      <c r="F598" s="4">
        <v>97</v>
      </c>
    </row>
    <row r="599">
      <c r="A599" s="0" t="inlineStr">
        <is>
          <t xml:space="preserve">p06_seasonality_PENG</t>
        </is>
      </c>
      <c r="B599" s="0" t="inlineStr">
        <is>
          <t xml:space="preserve">p06_seasonality</t>
        </is>
      </c>
      <c r="C599" s="0" t="inlineStr">
        <is>
          <t xml:space="preserve">d20260923</t>
        </is>
      </c>
      <c r="D599" s="0" t="inlineStr">
        <is>
          <t xml:space="preserve">PENG</t>
        </is>
      </c>
      <c r="E599" s="0" t="inlineStr">
        <is>
          <t xml:space="preserve">technology</t>
        </is>
      </c>
      <c r="F599" s="4">
        <v>98</v>
      </c>
    </row>
    <row r="600">
      <c r="A600" s="0" t="inlineStr">
        <is>
          <t xml:space="preserve">p06_seasonality_GFL</t>
        </is>
      </c>
      <c r="B600" s="0" t="inlineStr">
        <is>
          <t xml:space="preserve">p06_seasonality</t>
        </is>
      </c>
      <c r="C600" s="0" t="inlineStr">
        <is>
          <t xml:space="preserve">d20260923</t>
        </is>
      </c>
      <c r="D600" s="0" t="inlineStr">
        <is>
          <t xml:space="preserve">GFL</t>
        </is>
      </c>
      <c r="E600" s="0" t="inlineStr">
        <is>
          <t xml:space="preserve">industrials</t>
        </is>
      </c>
      <c r="F600" s="4">
        <v>99</v>
      </c>
    </row>
    <row r="601">
      <c r="A601" s="0" t="inlineStr">
        <is>
          <t xml:space="preserve">p06_seasonality_BMI</t>
        </is>
      </c>
      <c r="B601" s="0" t="inlineStr">
        <is>
          <t xml:space="preserve">p06_seasonality</t>
        </is>
      </c>
      <c r="C601" s="0" t="inlineStr">
        <is>
          <t xml:space="preserve">d20260923</t>
        </is>
      </c>
      <c r="D601" s="0" t="inlineStr">
        <is>
          <t xml:space="preserve">BMI</t>
        </is>
      </c>
      <c r="E601" s="0" t="inlineStr">
        <is>
          <t xml:space="preserve">industrials</t>
        </is>
      </c>
      <c r="F601" s="4">
        <v>100</v>
      </c>
    </row>
    <row r="602">
      <c r="A602" s="0" t="inlineStr">
        <is>
          <t xml:space="preserve">p07_quality_value_EXPE</t>
        </is>
      </c>
      <c r="B602" s="0" t="inlineStr">
        <is>
          <t xml:space="preserve">p07_quality_value</t>
        </is>
      </c>
      <c r="C602" s="0" t="inlineStr">
        <is>
          <t xml:space="preserve">d20260923</t>
        </is>
      </c>
      <c r="D602" s="0" t="inlineStr">
        <is>
          <t xml:space="preserve">EXPE</t>
        </is>
      </c>
      <c r="E602" s="0" t="inlineStr">
        <is>
          <t xml:space="preserve">consumer_cyclical</t>
        </is>
      </c>
      <c r="F602" s="4">
        <v>1</v>
      </c>
    </row>
    <row r="603">
      <c r="A603" s="0" t="inlineStr">
        <is>
          <t xml:space="preserve">p07_quality_value_PRDO</t>
        </is>
      </c>
      <c r="B603" s="0" t="inlineStr">
        <is>
          <t xml:space="preserve">p07_quality_value</t>
        </is>
      </c>
      <c r="C603" s="0" t="inlineStr">
        <is>
          <t xml:space="preserve">d20260923</t>
        </is>
      </c>
      <c r="D603" s="0" t="inlineStr">
        <is>
          <t xml:space="preserve">PRDO</t>
        </is>
      </c>
      <c r="E603" s="0" t="inlineStr">
        <is>
          <t xml:space="preserve">consumer_defensive</t>
        </is>
      </c>
      <c r="F603" s="4">
        <v>2</v>
      </c>
    </row>
    <row r="604">
      <c r="A604" s="0" t="inlineStr">
        <is>
          <t xml:space="preserve">p07_quality_value_YOU</t>
        </is>
      </c>
      <c r="B604" s="0" t="inlineStr">
        <is>
          <t xml:space="preserve">p07_quality_value</t>
        </is>
      </c>
      <c r="C604" s="0" t="inlineStr">
        <is>
          <t xml:space="preserve">d20260923</t>
        </is>
      </c>
      <c r="D604" s="0" t="inlineStr">
        <is>
          <t xml:space="preserve">YOU</t>
        </is>
      </c>
      <c r="E604" s="0" t="inlineStr">
        <is>
          <t xml:space="preserve">technology</t>
        </is>
      </c>
      <c r="F604" s="4">
        <v>3</v>
      </c>
    </row>
    <row r="605">
      <c r="A605" s="0" t="inlineStr">
        <is>
          <t xml:space="preserve">p07_quality_value_NMRK</t>
        </is>
      </c>
      <c r="B605" s="0" t="inlineStr">
        <is>
          <t xml:space="preserve">p07_quality_value</t>
        </is>
      </c>
      <c r="C605" s="0" t="inlineStr">
        <is>
          <t xml:space="preserve">d20260923</t>
        </is>
      </c>
      <c r="D605" s="0" t="inlineStr">
        <is>
          <t xml:space="preserve">NMRK</t>
        </is>
      </c>
      <c r="E605" s="0" t="inlineStr">
        <is>
          <t xml:space="preserve">real_estate</t>
        </is>
      </c>
      <c r="F605" s="4">
        <v>4</v>
      </c>
    </row>
    <row r="606">
      <c r="A606" s="0" t="inlineStr">
        <is>
          <t xml:space="preserve">p07_quality_value_MRP</t>
        </is>
      </c>
      <c r="B606" s="0" t="inlineStr">
        <is>
          <t xml:space="preserve">p07_quality_value</t>
        </is>
      </c>
      <c r="C606" s="0" t="inlineStr">
        <is>
          <t xml:space="preserve">d20260923</t>
        </is>
      </c>
      <c r="D606" s="0" t="inlineStr">
        <is>
          <t xml:space="preserve">MRP</t>
        </is>
      </c>
      <c r="E606" s="0" t="inlineStr">
        <is>
          <t xml:space="preserve">real_estate</t>
        </is>
      </c>
      <c r="F606" s="4">
        <v>5</v>
      </c>
    </row>
    <row r="607">
      <c r="A607" s="0" t="inlineStr">
        <is>
          <t xml:space="preserve">p07_quality_value_ADBE</t>
        </is>
      </c>
      <c r="B607" s="0" t="inlineStr">
        <is>
          <t xml:space="preserve">p07_quality_value</t>
        </is>
      </c>
      <c r="C607" s="0" t="inlineStr">
        <is>
          <t xml:space="preserve">d20260923</t>
        </is>
      </c>
      <c r="D607" s="0" t="inlineStr">
        <is>
          <t xml:space="preserve">ADBE</t>
        </is>
      </c>
      <c r="E607" s="0" t="inlineStr">
        <is>
          <t xml:space="preserve">technology</t>
        </is>
      </c>
      <c r="F607" s="4">
        <v>6</v>
      </c>
    </row>
    <row r="608">
      <c r="A608" s="0" t="inlineStr">
        <is>
          <t xml:space="preserve">p07_quality_value_VICI</t>
        </is>
      </c>
      <c r="B608" s="0" t="inlineStr">
        <is>
          <t xml:space="preserve">p07_quality_value</t>
        </is>
      </c>
      <c r="C608" s="0" t="inlineStr">
        <is>
          <t xml:space="preserve">d20260923</t>
        </is>
      </c>
      <c r="D608" s="0" t="inlineStr">
        <is>
          <t xml:space="preserve">VICI</t>
        </is>
      </c>
      <c r="E608" s="0" t="inlineStr">
        <is>
          <t xml:space="preserve">real_estate</t>
        </is>
      </c>
      <c r="F608" s="4">
        <v>7</v>
      </c>
    </row>
    <row r="609">
      <c r="A609" s="0" t="inlineStr">
        <is>
          <t xml:space="preserve">p07_quality_value_ED</t>
        </is>
      </c>
      <c r="B609" s="0" t="inlineStr">
        <is>
          <t xml:space="preserve">p07_quality_value</t>
        </is>
      </c>
      <c r="C609" s="0" t="inlineStr">
        <is>
          <t xml:space="preserve">d20260923</t>
        </is>
      </c>
      <c r="D609" s="0" t="inlineStr">
        <is>
          <t xml:space="preserve">ED</t>
        </is>
      </c>
      <c r="E609" s="0" t="inlineStr">
        <is>
          <t xml:space="preserve">utilities</t>
        </is>
      </c>
      <c r="F609" s="4">
        <v>8</v>
      </c>
    </row>
    <row r="610">
      <c r="A610" s="0" t="inlineStr">
        <is>
          <t xml:space="preserve">p07_quality_value_NEM</t>
        </is>
      </c>
      <c r="B610" s="0" t="inlineStr">
        <is>
          <t xml:space="preserve">p07_quality_value</t>
        </is>
      </c>
      <c r="C610" s="0" t="inlineStr">
        <is>
          <t xml:space="preserve">d20260923</t>
        </is>
      </c>
      <c r="D610" s="0" t="inlineStr">
        <is>
          <t xml:space="preserve">NEM</t>
        </is>
      </c>
      <c r="E610" s="0" t="inlineStr">
        <is>
          <t xml:space="preserve">basic_materials</t>
        </is>
      </c>
      <c r="F610" s="4">
        <v>9</v>
      </c>
    </row>
    <row r="611">
      <c r="A611" s="0" t="inlineStr">
        <is>
          <t xml:space="preserve">p07_quality_value_TTD</t>
        </is>
      </c>
      <c r="B611" s="0" t="inlineStr">
        <is>
          <t xml:space="preserve">p07_quality_value</t>
        </is>
      </c>
      <c r="C611" s="0" t="inlineStr">
        <is>
          <t xml:space="preserve">d20260923</t>
        </is>
      </c>
      <c r="D611" s="0" t="inlineStr">
        <is>
          <t xml:space="preserve">TTD</t>
        </is>
      </c>
      <c r="E611" s="0" t="inlineStr">
        <is>
          <t xml:space="preserve">communication_services</t>
        </is>
      </c>
      <c r="F611" s="4">
        <v>10</v>
      </c>
    </row>
    <row r="612">
      <c r="A612" s="0" t="inlineStr">
        <is>
          <t xml:space="preserve">p07_quality_value_PEG</t>
        </is>
      </c>
      <c r="B612" s="0" t="inlineStr">
        <is>
          <t xml:space="preserve">p07_quality_value</t>
        </is>
      </c>
      <c r="C612" s="0" t="inlineStr">
        <is>
          <t xml:space="preserve">d20260923</t>
        </is>
      </c>
      <c r="D612" s="0" t="inlineStr">
        <is>
          <t xml:space="preserve">PEG</t>
        </is>
      </c>
      <c r="E612" s="0" t="inlineStr">
        <is>
          <t xml:space="preserve">utilities</t>
        </is>
      </c>
      <c r="F612" s="4">
        <v>11</v>
      </c>
    </row>
    <row r="613">
      <c r="A613" s="0" t="inlineStr">
        <is>
          <t xml:space="preserve">p07_quality_value_JLL</t>
        </is>
      </c>
      <c r="B613" s="0" t="inlineStr">
        <is>
          <t xml:space="preserve">p07_quality_value</t>
        </is>
      </c>
      <c r="C613" s="0" t="inlineStr">
        <is>
          <t xml:space="preserve">d20260923</t>
        </is>
      </c>
      <c r="D613" s="0" t="inlineStr">
        <is>
          <t xml:space="preserve">JLL</t>
        </is>
      </c>
      <c r="E613" s="0" t="inlineStr">
        <is>
          <t xml:space="preserve">real_estate</t>
        </is>
      </c>
      <c r="F613" s="4">
        <v>12</v>
      </c>
    </row>
    <row r="614">
      <c r="A614" s="0" t="inlineStr">
        <is>
          <t xml:space="preserve">p07_quality_value_PBI</t>
        </is>
      </c>
      <c r="B614" s="0" t="inlineStr">
        <is>
          <t xml:space="preserve">p07_quality_value</t>
        </is>
      </c>
      <c r="C614" s="0" t="inlineStr">
        <is>
          <t xml:space="preserve">d20260923</t>
        </is>
      </c>
      <c r="D614" s="0" t="inlineStr">
        <is>
          <t xml:space="preserve">PBI</t>
        </is>
      </c>
      <c r="E614" s="0" t="inlineStr">
        <is>
          <t xml:space="preserve">industrials</t>
        </is>
      </c>
      <c r="F614" s="4">
        <v>13</v>
      </c>
    </row>
    <row r="615">
      <c r="A615" s="0" t="inlineStr">
        <is>
          <t xml:space="preserve">p07_quality_value_STUB</t>
        </is>
      </c>
      <c r="B615" s="0" t="inlineStr">
        <is>
          <t xml:space="preserve">p07_quality_value</t>
        </is>
      </c>
      <c r="C615" s="0" t="inlineStr">
        <is>
          <t xml:space="preserve">d20260923</t>
        </is>
      </c>
      <c r="D615" s="0" t="inlineStr">
        <is>
          <t xml:space="preserve">STUB</t>
        </is>
      </c>
      <c r="E615" s="0" t="inlineStr">
        <is>
          <t xml:space="preserve">communication_services</t>
        </is>
      </c>
      <c r="F615" s="4">
        <v>14</v>
      </c>
    </row>
    <row r="616">
      <c r="A616" s="0" t="inlineStr">
        <is>
          <t xml:space="preserve">p07_quality_value_FLYW</t>
        </is>
      </c>
      <c r="B616" s="0" t="inlineStr">
        <is>
          <t xml:space="preserve">p07_quality_value</t>
        </is>
      </c>
      <c r="C616" s="0" t="inlineStr">
        <is>
          <t xml:space="preserve">d20260923</t>
        </is>
      </c>
      <c r="D616" s="0" t="inlineStr">
        <is>
          <t xml:space="preserve">FLYW</t>
        </is>
      </c>
      <c r="E616" s="0" t="inlineStr">
        <is>
          <t xml:space="preserve">industrials</t>
        </is>
      </c>
      <c r="F616" s="4">
        <v>15</v>
      </c>
    </row>
    <row r="617">
      <c r="A617" s="0" t="inlineStr">
        <is>
          <t xml:space="preserve">p07_quality_value_JXN</t>
        </is>
      </c>
      <c r="B617" s="0" t="inlineStr">
        <is>
          <t xml:space="preserve">p07_quality_value</t>
        </is>
      </c>
      <c r="C617" s="0" t="inlineStr">
        <is>
          <t xml:space="preserve">d20260923</t>
        </is>
      </c>
      <c r="D617" s="0" t="inlineStr">
        <is>
          <t xml:space="preserve">JXN</t>
        </is>
      </c>
      <c r="E617" s="0" t="inlineStr">
        <is>
          <t xml:space="preserve">financial_services</t>
        </is>
      </c>
      <c r="F617" s="4">
        <v>16</v>
      </c>
    </row>
    <row r="618">
      <c r="A618" s="0" t="inlineStr">
        <is>
          <t xml:space="preserve">p07_quality_value_EXEL</t>
        </is>
      </c>
      <c r="B618" s="0" t="inlineStr">
        <is>
          <t xml:space="preserve">p07_quality_value</t>
        </is>
      </c>
      <c r="C618" s="0" t="inlineStr">
        <is>
          <t xml:space="preserve">d20260923</t>
        </is>
      </c>
      <c r="D618" s="0" t="inlineStr">
        <is>
          <t xml:space="preserve">EXEL</t>
        </is>
      </c>
      <c r="E618" s="0" t="inlineStr">
        <is>
          <t xml:space="preserve">healthcare</t>
        </is>
      </c>
      <c r="F618" s="4">
        <v>17</v>
      </c>
    </row>
    <row r="619">
      <c r="A619" s="0" t="inlineStr">
        <is>
          <t xml:space="preserve">p07_quality_value_EVR</t>
        </is>
      </c>
      <c r="B619" s="0" t="inlineStr">
        <is>
          <t xml:space="preserve">p07_quality_value</t>
        </is>
      </c>
      <c r="C619" s="0" t="inlineStr">
        <is>
          <t xml:space="preserve">d20260923</t>
        </is>
      </c>
      <c r="D619" s="0" t="inlineStr">
        <is>
          <t xml:space="preserve">EVR</t>
        </is>
      </c>
      <c r="E619" s="0" t="inlineStr">
        <is>
          <t xml:space="preserve">financial_services</t>
        </is>
      </c>
      <c r="F619" s="4">
        <v>18</v>
      </c>
    </row>
    <row r="620">
      <c r="A620" s="0" t="inlineStr">
        <is>
          <t xml:space="preserve">p07_quality_value_MH</t>
        </is>
      </c>
      <c r="B620" s="0" t="inlineStr">
        <is>
          <t xml:space="preserve">p07_quality_value</t>
        </is>
      </c>
      <c r="C620" s="0" t="inlineStr">
        <is>
          <t xml:space="preserve">d20260923</t>
        </is>
      </c>
      <c r="D620" s="0" t="inlineStr">
        <is>
          <t xml:space="preserve">MH</t>
        </is>
      </c>
      <c r="E620" s="0" t="inlineStr">
        <is>
          <t xml:space="preserve">consumer_defensive</t>
        </is>
      </c>
      <c r="F620" s="4">
        <v>19</v>
      </c>
    </row>
    <row r="621">
      <c r="A621" s="0" t="inlineStr">
        <is>
          <t xml:space="preserve">p07_quality_value_ADT</t>
        </is>
      </c>
      <c r="B621" s="0" t="inlineStr">
        <is>
          <t xml:space="preserve">p07_quality_value</t>
        </is>
      </c>
      <c r="C621" s="0" t="inlineStr">
        <is>
          <t xml:space="preserve">d20260923</t>
        </is>
      </c>
      <c r="D621" s="0" t="inlineStr">
        <is>
          <t xml:space="preserve">ADT</t>
        </is>
      </c>
      <c r="E621" s="0" t="inlineStr">
        <is>
          <t xml:space="preserve">industrials</t>
        </is>
      </c>
      <c r="F621" s="4">
        <v>20</v>
      </c>
    </row>
    <row r="622">
      <c r="A622" s="0" t="inlineStr">
        <is>
          <t xml:space="preserve">p07_quality_value_CARG</t>
        </is>
      </c>
      <c r="B622" s="0" t="inlineStr">
        <is>
          <t xml:space="preserve">p07_quality_value</t>
        </is>
      </c>
      <c r="C622" s="0" t="inlineStr">
        <is>
          <t xml:space="preserve">d20260923</t>
        </is>
      </c>
      <c r="D622" s="0" t="inlineStr">
        <is>
          <t xml:space="preserve">CARG</t>
        </is>
      </c>
      <c r="E622" s="0" t="inlineStr">
        <is>
          <t xml:space="preserve">communication_services</t>
        </is>
      </c>
      <c r="F622" s="4">
        <v>21</v>
      </c>
    </row>
    <row r="623">
      <c r="A623" s="0" t="inlineStr">
        <is>
          <t xml:space="preserve">p07_quality_value_DLB</t>
        </is>
      </c>
      <c r="B623" s="0" t="inlineStr">
        <is>
          <t xml:space="preserve">p07_quality_value</t>
        </is>
      </c>
      <c r="C623" s="0" t="inlineStr">
        <is>
          <t xml:space="preserve">d20260923</t>
        </is>
      </c>
      <c r="D623" s="0" t="inlineStr">
        <is>
          <t xml:space="preserve">DLB</t>
        </is>
      </c>
      <c r="E623" s="0" t="inlineStr">
        <is>
          <t xml:space="preserve">technology</t>
        </is>
      </c>
      <c r="F623" s="4">
        <v>22</v>
      </c>
    </row>
    <row r="624">
      <c r="A624" s="0" t="inlineStr">
        <is>
          <t xml:space="preserve">p07_quality_value_FRSH</t>
        </is>
      </c>
      <c r="B624" s="0" t="inlineStr">
        <is>
          <t xml:space="preserve">p07_quality_value</t>
        </is>
      </c>
      <c r="C624" s="0" t="inlineStr">
        <is>
          <t xml:space="preserve">d20260923</t>
        </is>
      </c>
      <c r="D624" s="0" t="inlineStr">
        <is>
          <t xml:space="preserve">FRSH</t>
        </is>
      </c>
      <c r="E624" s="0" t="inlineStr">
        <is>
          <t xml:space="preserve">technology</t>
        </is>
      </c>
      <c r="F624" s="4">
        <v>23</v>
      </c>
    </row>
    <row r="625">
      <c r="A625" s="0" t="inlineStr">
        <is>
          <t xml:space="preserve">p07_quality_value_HRB</t>
        </is>
      </c>
      <c r="B625" s="0" t="inlineStr">
        <is>
          <t xml:space="preserve">p07_quality_value</t>
        </is>
      </c>
      <c r="C625" s="0" t="inlineStr">
        <is>
          <t xml:space="preserve">d20260923</t>
        </is>
      </c>
      <c r="D625" s="0" t="inlineStr">
        <is>
          <t xml:space="preserve">HRB</t>
        </is>
      </c>
      <c r="E625" s="0" t="inlineStr">
        <is>
          <t xml:space="preserve">consumer_cyclical</t>
        </is>
      </c>
      <c r="F625" s="4">
        <v>24</v>
      </c>
    </row>
    <row r="626">
      <c r="A626" s="0" t="inlineStr">
        <is>
          <t xml:space="preserve">p07_quality_value_AU</t>
        </is>
      </c>
      <c r="B626" s="0" t="inlineStr">
        <is>
          <t xml:space="preserve">p07_quality_value</t>
        </is>
      </c>
      <c r="C626" s="0" t="inlineStr">
        <is>
          <t xml:space="preserve">d20260923</t>
        </is>
      </c>
      <c r="D626" s="0" t="inlineStr">
        <is>
          <t xml:space="preserve">AU</t>
        </is>
      </c>
      <c r="E626" s="0" t="inlineStr">
        <is>
          <t xml:space="preserve">basic_materials</t>
        </is>
      </c>
      <c r="F626" s="4">
        <v>25</v>
      </c>
    </row>
    <row r="627">
      <c r="A627" s="0" t="inlineStr">
        <is>
          <t xml:space="preserve">p07_quality_value_INCY</t>
        </is>
      </c>
      <c r="B627" s="0" t="inlineStr">
        <is>
          <t xml:space="preserve">p07_quality_value</t>
        </is>
      </c>
      <c r="C627" s="0" t="inlineStr">
        <is>
          <t xml:space="preserve">d20260923</t>
        </is>
      </c>
      <c r="D627" s="0" t="inlineStr">
        <is>
          <t xml:space="preserve">INCY</t>
        </is>
      </c>
      <c r="E627" s="0" t="inlineStr">
        <is>
          <t xml:space="preserve">healthcare</t>
        </is>
      </c>
      <c r="F627" s="4">
        <v>26</v>
      </c>
    </row>
    <row r="628">
      <c r="A628" s="0" t="inlineStr">
        <is>
          <t xml:space="preserve">p07_quality_value_INTU</t>
        </is>
      </c>
      <c r="B628" s="0" t="inlineStr">
        <is>
          <t xml:space="preserve">p07_quality_value</t>
        </is>
      </c>
      <c r="C628" s="0" t="inlineStr">
        <is>
          <t xml:space="preserve">d20260923</t>
        </is>
      </c>
      <c r="D628" s="0" t="inlineStr">
        <is>
          <t xml:space="preserve">INTU</t>
        </is>
      </c>
      <c r="E628" s="0" t="inlineStr">
        <is>
          <t xml:space="preserve">technology</t>
        </is>
      </c>
      <c r="F628" s="4">
        <v>27</v>
      </c>
    </row>
    <row r="629">
      <c r="A629" s="0" t="inlineStr">
        <is>
          <t xml:space="preserve">p07_quality_value_FCPT</t>
        </is>
      </c>
      <c r="B629" s="0" t="inlineStr">
        <is>
          <t xml:space="preserve">p07_quality_value</t>
        </is>
      </c>
      <c r="C629" s="0" t="inlineStr">
        <is>
          <t xml:space="preserve">d20260923</t>
        </is>
      </c>
      <c r="D629" s="0" t="inlineStr">
        <is>
          <t xml:space="preserve">FCPT</t>
        </is>
      </c>
      <c r="E629" s="0" t="inlineStr">
        <is>
          <t xml:space="preserve">real_estate</t>
        </is>
      </c>
      <c r="F629" s="4">
        <v>28</v>
      </c>
    </row>
    <row r="630">
      <c r="A630" s="0" t="inlineStr">
        <is>
          <t xml:space="preserve">p07_quality_value_PAYX</t>
        </is>
      </c>
      <c r="B630" s="0" t="inlineStr">
        <is>
          <t xml:space="preserve">p07_quality_value</t>
        </is>
      </c>
      <c r="C630" s="0" t="inlineStr">
        <is>
          <t xml:space="preserve">d20260923</t>
        </is>
      </c>
      <c r="D630" s="0" t="inlineStr">
        <is>
          <t xml:space="preserve">PAYX</t>
        </is>
      </c>
      <c r="E630" s="0" t="inlineStr">
        <is>
          <t xml:space="preserve">industrials</t>
        </is>
      </c>
      <c r="F630" s="4">
        <v>29</v>
      </c>
    </row>
    <row r="631">
      <c r="A631" s="0" t="inlineStr">
        <is>
          <t xml:space="preserve">p07_quality_value_NBIX</t>
        </is>
      </c>
      <c r="B631" s="0" t="inlineStr">
        <is>
          <t xml:space="preserve">p07_quality_value</t>
        </is>
      </c>
      <c r="C631" s="0" t="inlineStr">
        <is>
          <t xml:space="preserve">d20260923</t>
        </is>
      </c>
      <c r="D631" s="0" t="inlineStr">
        <is>
          <t xml:space="preserve">NBIX</t>
        </is>
      </c>
      <c r="E631" s="0" t="inlineStr">
        <is>
          <t xml:space="preserve">healthcare</t>
        </is>
      </c>
      <c r="F631" s="4">
        <v>30</v>
      </c>
    </row>
    <row r="632">
      <c r="A632" s="0" t="inlineStr">
        <is>
          <t xml:space="preserve">p07_quality_value_BKNG</t>
        </is>
      </c>
      <c r="B632" s="0" t="inlineStr">
        <is>
          <t xml:space="preserve">p07_quality_value</t>
        </is>
      </c>
      <c r="C632" s="0" t="inlineStr">
        <is>
          <t xml:space="preserve">d20260923</t>
        </is>
      </c>
      <c r="D632" s="0" t="inlineStr">
        <is>
          <t xml:space="preserve">BKNG</t>
        </is>
      </c>
      <c r="E632" s="0" t="inlineStr">
        <is>
          <t xml:space="preserve">consumer_cyclical</t>
        </is>
      </c>
      <c r="F632" s="4">
        <v>31</v>
      </c>
    </row>
    <row r="633">
      <c r="A633" s="0" t="inlineStr">
        <is>
          <t xml:space="preserve">p07_quality_value_ADSK</t>
        </is>
      </c>
      <c r="B633" s="0" t="inlineStr">
        <is>
          <t xml:space="preserve">p07_quality_value</t>
        </is>
      </c>
      <c r="C633" s="0" t="inlineStr">
        <is>
          <t xml:space="preserve">d20260923</t>
        </is>
      </c>
      <c r="D633" s="0" t="inlineStr">
        <is>
          <t xml:space="preserve">ADSK</t>
        </is>
      </c>
      <c r="E633" s="0" t="inlineStr">
        <is>
          <t xml:space="preserve">technology</t>
        </is>
      </c>
      <c r="F633" s="4">
        <v>32</v>
      </c>
    </row>
    <row r="634">
      <c r="A634" s="0" t="inlineStr">
        <is>
          <t xml:space="preserve">p07_quality_value_SLDE</t>
        </is>
      </c>
      <c r="B634" s="0" t="inlineStr">
        <is>
          <t xml:space="preserve">p07_quality_value</t>
        </is>
      </c>
      <c r="C634" s="0" t="inlineStr">
        <is>
          <t xml:space="preserve">d20260923</t>
        </is>
      </c>
      <c r="D634" s="0" t="inlineStr">
        <is>
          <t xml:space="preserve">SLDE</t>
        </is>
      </c>
      <c r="E634" s="0" t="inlineStr">
        <is>
          <t xml:space="preserve">financial_services</t>
        </is>
      </c>
      <c r="F634" s="4">
        <v>33</v>
      </c>
    </row>
    <row r="635">
      <c r="A635" s="0" t="inlineStr">
        <is>
          <t xml:space="preserve">p07_quality_value_DECK</t>
        </is>
      </c>
      <c r="B635" s="0" t="inlineStr">
        <is>
          <t xml:space="preserve">p07_quality_value</t>
        </is>
      </c>
      <c r="C635" s="0" t="inlineStr">
        <is>
          <t xml:space="preserve">d20260923</t>
        </is>
      </c>
      <c r="D635" s="0" t="inlineStr">
        <is>
          <t xml:space="preserve">DECK</t>
        </is>
      </c>
      <c r="E635" s="0" t="inlineStr">
        <is>
          <t xml:space="preserve">consumer_cyclical</t>
        </is>
      </c>
      <c r="F635" s="4">
        <v>34</v>
      </c>
    </row>
    <row r="636">
      <c r="A636" s="0" t="inlineStr">
        <is>
          <t xml:space="preserve">p07_quality_value_HAS</t>
        </is>
      </c>
      <c r="B636" s="0" t="inlineStr">
        <is>
          <t xml:space="preserve">p07_quality_value</t>
        </is>
      </c>
      <c r="C636" s="0" t="inlineStr">
        <is>
          <t xml:space="preserve">d20260923</t>
        </is>
      </c>
      <c r="D636" s="0" t="inlineStr">
        <is>
          <t xml:space="preserve">HAS</t>
        </is>
      </c>
      <c r="E636" s="0" t="inlineStr">
        <is>
          <t xml:space="preserve">consumer_cyclical</t>
        </is>
      </c>
      <c r="F636" s="4">
        <v>35</v>
      </c>
    </row>
    <row r="637">
      <c r="A637" s="0" t="inlineStr">
        <is>
          <t xml:space="preserve">p07_quality_value_PVH</t>
        </is>
      </c>
      <c r="B637" s="0" t="inlineStr">
        <is>
          <t xml:space="preserve">p07_quality_value</t>
        </is>
      </c>
      <c r="C637" s="0" t="inlineStr">
        <is>
          <t xml:space="preserve">d20260923</t>
        </is>
      </c>
      <c r="D637" s="0" t="inlineStr">
        <is>
          <t xml:space="preserve">PVH</t>
        </is>
      </c>
      <c r="E637" s="0" t="inlineStr">
        <is>
          <t xml:space="preserve">consumer_cyclical</t>
        </is>
      </c>
      <c r="F637" s="4">
        <v>36</v>
      </c>
    </row>
    <row r="638">
      <c r="A638" s="0" t="inlineStr">
        <is>
          <t xml:space="preserve">p07_quality_value_PINS</t>
        </is>
      </c>
      <c r="B638" s="0" t="inlineStr">
        <is>
          <t xml:space="preserve">p07_quality_value</t>
        </is>
      </c>
      <c r="C638" s="0" t="inlineStr">
        <is>
          <t xml:space="preserve">d20260923</t>
        </is>
      </c>
      <c r="D638" s="0" t="inlineStr">
        <is>
          <t xml:space="preserve">PINS</t>
        </is>
      </c>
      <c r="E638" s="0" t="inlineStr">
        <is>
          <t xml:space="preserve">communication_services</t>
        </is>
      </c>
      <c r="F638" s="4">
        <v>37</v>
      </c>
    </row>
    <row r="639">
      <c r="A639" s="0" t="inlineStr">
        <is>
          <t xml:space="preserve">p07_quality_value_ZD</t>
        </is>
      </c>
      <c r="B639" s="0" t="inlineStr">
        <is>
          <t xml:space="preserve">p07_quality_value</t>
        </is>
      </c>
      <c r="C639" s="0" t="inlineStr">
        <is>
          <t xml:space="preserve">d20260923</t>
        </is>
      </c>
      <c r="D639" s="0" t="inlineStr">
        <is>
          <t xml:space="preserve">ZD</t>
        </is>
      </c>
      <c r="E639" s="0" t="inlineStr">
        <is>
          <t xml:space="preserve">communication_services</t>
        </is>
      </c>
      <c r="F639" s="4">
        <v>38</v>
      </c>
    </row>
    <row r="640">
      <c r="A640" s="0" t="inlineStr">
        <is>
          <t xml:space="preserve">p07_quality_value_CRGY</t>
        </is>
      </c>
      <c r="B640" s="0" t="inlineStr">
        <is>
          <t xml:space="preserve">p07_quality_value</t>
        </is>
      </c>
      <c r="C640" s="0" t="inlineStr">
        <is>
          <t xml:space="preserve">d20260923</t>
        </is>
      </c>
      <c r="D640" s="0" t="inlineStr">
        <is>
          <t xml:space="preserve">CRGY</t>
        </is>
      </c>
      <c r="E640" s="0" t="inlineStr">
        <is>
          <t xml:space="preserve">energy</t>
        </is>
      </c>
      <c r="F640" s="4">
        <v>39</v>
      </c>
    </row>
    <row r="641">
      <c r="A641" s="0" t="inlineStr">
        <is>
          <t xml:space="preserve">p07_quality_value_SKYW</t>
        </is>
      </c>
      <c r="B641" s="0" t="inlineStr">
        <is>
          <t xml:space="preserve">p07_quality_value</t>
        </is>
      </c>
      <c r="C641" s="0" t="inlineStr">
        <is>
          <t xml:space="preserve">d20260923</t>
        </is>
      </c>
      <c r="D641" s="0" t="inlineStr">
        <is>
          <t xml:space="preserve">SKYW</t>
        </is>
      </c>
      <c r="E641" s="0" t="inlineStr">
        <is>
          <t xml:space="preserve">industrials</t>
        </is>
      </c>
      <c r="F641" s="4">
        <v>40</v>
      </c>
    </row>
    <row r="642">
      <c r="A642" s="0" t="inlineStr">
        <is>
          <t xml:space="preserve">p07_quality_value_HUBS</t>
        </is>
      </c>
      <c r="B642" s="0" t="inlineStr">
        <is>
          <t xml:space="preserve">p07_quality_value</t>
        </is>
      </c>
      <c r="C642" s="0" t="inlineStr">
        <is>
          <t xml:space="preserve">d20260923</t>
        </is>
      </c>
      <c r="D642" s="0" t="inlineStr">
        <is>
          <t xml:space="preserve">HUBS</t>
        </is>
      </c>
      <c r="E642" s="0" t="inlineStr">
        <is>
          <t xml:space="preserve">technology</t>
        </is>
      </c>
      <c r="F642" s="4">
        <v>41</v>
      </c>
    </row>
    <row r="643">
      <c r="A643" s="0" t="inlineStr">
        <is>
          <t xml:space="preserve">p07_quality_value_BILL</t>
        </is>
      </c>
      <c r="B643" s="0" t="inlineStr">
        <is>
          <t xml:space="preserve">p07_quality_value</t>
        </is>
      </c>
      <c r="C643" s="0" t="inlineStr">
        <is>
          <t xml:space="preserve">d20260923</t>
        </is>
      </c>
      <c r="D643" s="0" t="inlineStr">
        <is>
          <t xml:space="preserve">BILL</t>
        </is>
      </c>
      <c r="E643" s="0" t="inlineStr">
        <is>
          <t xml:space="preserve">technology</t>
        </is>
      </c>
      <c r="F643" s="4">
        <v>42</v>
      </c>
    </row>
    <row r="644">
      <c r="A644" s="0" t="inlineStr">
        <is>
          <t xml:space="preserve">p07_quality_value_PIPR</t>
        </is>
      </c>
      <c r="B644" s="0" t="inlineStr">
        <is>
          <t xml:space="preserve">p07_quality_value</t>
        </is>
      </c>
      <c r="C644" s="0" t="inlineStr">
        <is>
          <t xml:space="preserve">d20260923</t>
        </is>
      </c>
      <c r="D644" s="0" t="inlineStr">
        <is>
          <t xml:space="preserve">PIPR</t>
        </is>
      </c>
      <c r="E644" s="0" t="inlineStr">
        <is>
          <t xml:space="preserve">financial_services</t>
        </is>
      </c>
      <c r="F644" s="4">
        <v>43</v>
      </c>
    </row>
    <row r="645">
      <c r="A645" s="0" t="inlineStr">
        <is>
          <t xml:space="preserve">p07_quality_value_ARCB</t>
        </is>
      </c>
      <c r="B645" s="0" t="inlineStr">
        <is>
          <t xml:space="preserve">p07_quality_value</t>
        </is>
      </c>
      <c r="C645" s="0" t="inlineStr">
        <is>
          <t xml:space="preserve">d20260923</t>
        </is>
      </c>
      <c r="D645" s="0" t="inlineStr">
        <is>
          <t xml:space="preserve">ARCB</t>
        </is>
      </c>
      <c r="E645" s="0" t="inlineStr">
        <is>
          <t xml:space="preserve">industrials</t>
        </is>
      </c>
      <c r="F645" s="4">
        <v>44</v>
      </c>
    </row>
    <row r="646">
      <c r="A646" s="0" t="inlineStr">
        <is>
          <t xml:space="preserve">p07_quality_value_NTCT</t>
        </is>
      </c>
      <c r="B646" s="0" t="inlineStr">
        <is>
          <t xml:space="preserve">p07_quality_value</t>
        </is>
      </c>
      <c r="C646" s="0" t="inlineStr">
        <is>
          <t xml:space="preserve">d20260923</t>
        </is>
      </c>
      <c r="D646" s="0" t="inlineStr">
        <is>
          <t xml:space="preserve">NTCT</t>
        </is>
      </c>
      <c r="E646" s="0" t="inlineStr">
        <is>
          <t xml:space="preserve">technology</t>
        </is>
      </c>
      <c r="F646" s="4">
        <v>45</v>
      </c>
    </row>
    <row r="647">
      <c r="A647" s="0" t="inlineStr">
        <is>
          <t xml:space="preserve">p07_quality_value_TPR</t>
        </is>
      </c>
      <c r="B647" s="0" t="inlineStr">
        <is>
          <t xml:space="preserve">p07_quality_value</t>
        </is>
      </c>
      <c r="C647" s="0" t="inlineStr">
        <is>
          <t xml:space="preserve">d20260923</t>
        </is>
      </c>
      <c r="D647" s="0" t="inlineStr">
        <is>
          <t xml:space="preserve">TPR</t>
        </is>
      </c>
      <c r="E647" s="0" t="inlineStr">
        <is>
          <t xml:space="preserve">consumer_cyclical</t>
        </is>
      </c>
      <c r="F647" s="4">
        <v>46</v>
      </c>
    </row>
    <row r="648">
      <c r="A648" s="0" t="inlineStr">
        <is>
          <t xml:space="preserve">p07_quality_value_EQT</t>
        </is>
      </c>
      <c r="B648" s="0" t="inlineStr">
        <is>
          <t xml:space="preserve">p07_quality_value</t>
        </is>
      </c>
      <c r="C648" s="0" t="inlineStr">
        <is>
          <t xml:space="preserve">d20260923</t>
        </is>
      </c>
      <c r="D648" s="0" t="inlineStr">
        <is>
          <t xml:space="preserve">EQT</t>
        </is>
      </c>
      <c r="E648" s="0" t="inlineStr">
        <is>
          <t xml:space="preserve">energy</t>
        </is>
      </c>
      <c r="F648" s="4">
        <v>47</v>
      </c>
    </row>
    <row r="649">
      <c r="A649" s="0" t="inlineStr">
        <is>
          <t xml:space="preserve">p07_quality_value_ANF</t>
        </is>
      </c>
      <c r="B649" s="0" t="inlineStr">
        <is>
          <t xml:space="preserve">p07_quality_value</t>
        </is>
      </c>
      <c r="C649" s="0" t="inlineStr">
        <is>
          <t xml:space="preserve">d20260923</t>
        </is>
      </c>
      <c r="D649" s="0" t="inlineStr">
        <is>
          <t xml:space="preserve">ANF</t>
        </is>
      </c>
      <c r="E649" s="0" t="inlineStr">
        <is>
          <t xml:space="preserve">consumer_cyclical</t>
        </is>
      </c>
      <c r="F649" s="4">
        <v>48</v>
      </c>
    </row>
    <row r="650">
      <c r="A650" s="0" t="inlineStr">
        <is>
          <t xml:space="preserve">p07_quality_value_RPRX</t>
        </is>
      </c>
      <c r="B650" s="0" t="inlineStr">
        <is>
          <t xml:space="preserve">p07_quality_value</t>
        </is>
      </c>
      <c r="C650" s="0" t="inlineStr">
        <is>
          <t xml:space="preserve">d20260923</t>
        </is>
      </c>
      <c r="D650" s="0" t="inlineStr">
        <is>
          <t xml:space="preserve">RPRX</t>
        </is>
      </c>
      <c r="E650" s="0" t="inlineStr">
        <is>
          <t xml:space="preserve">healthcare</t>
        </is>
      </c>
      <c r="F650" s="4">
        <v>49</v>
      </c>
    </row>
    <row r="651">
      <c r="A651" s="0" t="inlineStr">
        <is>
          <t xml:space="preserve">p07_quality_value_DV</t>
        </is>
      </c>
      <c r="B651" s="0" t="inlineStr">
        <is>
          <t xml:space="preserve">p07_quality_value</t>
        </is>
      </c>
      <c r="C651" s="0" t="inlineStr">
        <is>
          <t xml:space="preserve">d20260923</t>
        </is>
      </c>
      <c r="D651" s="0" t="inlineStr">
        <is>
          <t xml:space="preserve">DV</t>
        </is>
      </c>
      <c r="E651" s="0" t="inlineStr">
        <is>
          <t xml:space="preserve">technology</t>
        </is>
      </c>
      <c r="F651" s="4">
        <v>50</v>
      </c>
    </row>
    <row r="652">
      <c r="A652" s="0" t="inlineStr">
        <is>
          <t xml:space="preserve">p07_quality_value_DAVE</t>
        </is>
      </c>
      <c r="B652" s="0" t="inlineStr">
        <is>
          <t xml:space="preserve">p07_quality_value</t>
        </is>
      </c>
      <c r="C652" s="0" t="inlineStr">
        <is>
          <t xml:space="preserve">d20260923</t>
        </is>
      </c>
      <c r="D652" s="0" t="inlineStr">
        <is>
          <t xml:space="preserve">DAVE</t>
        </is>
      </c>
      <c r="E652" s="0" t="inlineStr">
        <is>
          <t xml:space="preserve">technology</t>
        </is>
      </c>
      <c r="F652" s="4">
        <v>51</v>
      </c>
    </row>
    <row r="653">
      <c r="A653" s="0" t="inlineStr">
        <is>
          <t xml:space="preserve">p07_quality_value_DOCU</t>
        </is>
      </c>
      <c r="B653" s="0" t="inlineStr">
        <is>
          <t xml:space="preserve">p07_quality_value</t>
        </is>
      </c>
      <c r="C653" s="0" t="inlineStr">
        <is>
          <t xml:space="preserve">d20260923</t>
        </is>
      </c>
      <c r="D653" s="0" t="inlineStr">
        <is>
          <t xml:space="preserve">DOCU</t>
        </is>
      </c>
      <c r="E653" s="0" t="inlineStr">
        <is>
          <t xml:space="preserve">technology</t>
        </is>
      </c>
      <c r="F653" s="4">
        <v>52</v>
      </c>
    </row>
    <row r="654">
      <c r="A654" s="0" t="inlineStr">
        <is>
          <t xml:space="preserve">p07_quality_value_CEG</t>
        </is>
      </c>
      <c r="B654" s="0" t="inlineStr">
        <is>
          <t xml:space="preserve">p07_quality_value</t>
        </is>
      </c>
      <c r="C654" s="0" t="inlineStr">
        <is>
          <t xml:space="preserve">d20260923</t>
        </is>
      </c>
      <c r="D654" s="0" t="inlineStr">
        <is>
          <t xml:space="preserve">CEG</t>
        </is>
      </c>
      <c r="E654" s="0" t="inlineStr">
        <is>
          <t xml:space="preserve">utilities</t>
        </is>
      </c>
      <c r="F654" s="4">
        <v>53</v>
      </c>
    </row>
    <row r="655">
      <c r="A655" s="0" t="inlineStr">
        <is>
          <t xml:space="preserve">p07_quality_value_NMIH</t>
        </is>
      </c>
      <c r="B655" s="0" t="inlineStr">
        <is>
          <t xml:space="preserve">p07_quality_value</t>
        </is>
      </c>
      <c r="C655" s="0" t="inlineStr">
        <is>
          <t xml:space="preserve">d20260923</t>
        </is>
      </c>
      <c r="D655" s="0" t="inlineStr">
        <is>
          <t xml:space="preserve">NMIH</t>
        </is>
      </c>
      <c r="E655" s="0" t="inlineStr">
        <is>
          <t xml:space="preserve">financial_services</t>
        </is>
      </c>
      <c r="F655" s="4">
        <v>54</v>
      </c>
    </row>
    <row r="656">
      <c r="A656" s="0" t="inlineStr">
        <is>
          <t xml:space="preserve">p07_quality_value_CROX</t>
        </is>
      </c>
      <c r="B656" s="0" t="inlineStr">
        <is>
          <t xml:space="preserve">p07_quality_value</t>
        </is>
      </c>
      <c r="C656" s="0" t="inlineStr">
        <is>
          <t xml:space="preserve">d20260923</t>
        </is>
      </c>
      <c r="D656" s="0" t="inlineStr">
        <is>
          <t xml:space="preserve">CROX</t>
        </is>
      </c>
      <c r="E656" s="0" t="inlineStr">
        <is>
          <t xml:space="preserve">consumer_cyclical</t>
        </is>
      </c>
      <c r="F656" s="4">
        <v>55</v>
      </c>
    </row>
    <row r="657">
      <c r="A657" s="0" t="inlineStr">
        <is>
          <t xml:space="preserve">p07_quality_value_BOX</t>
        </is>
      </c>
      <c r="B657" s="0" t="inlineStr">
        <is>
          <t xml:space="preserve">p07_quality_value</t>
        </is>
      </c>
      <c r="C657" s="0" t="inlineStr">
        <is>
          <t xml:space="preserve">d20260923</t>
        </is>
      </c>
      <c r="D657" s="0" t="inlineStr">
        <is>
          <t xml:space="preserve">BOX</t>
        </is>
      </c>
      <c r="E657" s="0" t="inlineStr">
        <is>
          <t xml:space="preserve">technology</t>
        </is>
      </c>
      <c r="F657" s="4">
        <v>56</v>
      </c>
    </row>
    <row r="658">
      <c r="A658" s="0" t="inlineStr">
        <is>
          <t xml:space="preserve">p07_quality_value_WSC</t>
        </is>
      </c>
      <c r="B658" s="0" t="inlineStr">
        <is>
          <t xml:space="preserve">p07_quality_value</t>
        </is>
      </c>
      <c r="C658" s="0" t="inlineStr">
        <is>
          <t xml:space="preserve">d20260923</t>
        </is>
      </c>
      <c r="D658" s="0" t="inlineStr">
        <is>
          <t xml:space="preserve">WSC</t>
        </is>
      </c>
      <c r="E658" s="0" t="inlineStr">
        <is>
          <t xml:space="preserve">industrials</t>
        </is>
      </c>
      <c r="F658" s="4">
        <v>57</v>
      </c>
    </row>
    <row r="659">
      <c r="A659" s="0" t="inlineStr">
        <is>
          <t xml:space="preserve">p07_quality_value_BAH</t>
        </is>
      </c>
      <c r="B659" s="0" t="inlineStr">
        <is>
          <t xml:space="preserve">p07_quality_value</t>
        </is>
      </c>
      <c r="C659" s="0" t="inlineStr">
        <is>
          <t xml:space="preserve">d20260923</t>
        </is>
      </c>
      <c r="D659" s="0" t="inlineStr">
        <is>
          <t xml:space="preserve">BAH</t>
        </is>
      </c>
      <c r="E659" s="0" t="inlineStr">
        <is>
          <t xml:space="preserve">industrials</t>
        </is>
      </c>
      <c r="F659" s="4">
        <v>58</v>
      </c>
    </row>
    <row r="660">
      <c r="A660" s="0" t="inlineStr">
        <is>
          <t xml:space="preserve">p07_quality_value_INSW</t>
        </is>
      </c>
      <c r="B660" s="0" t="inlineStr">
        <is>
          <t xml:space="preserve">p07_quality_value</t>
        </is>
      </c>
      <c r="C660" s="0" t="inlineStr">
        <is>
          <t xml:space="preserve">d20260923</t>
        </is>
      </c>
      <c r="D660" s="0" t="inlineStr">
        <is>
          <t xml:space="preserve">INSW</t>
        </is>
      </c>
      <c r="E660" s="0" t="inlineStr">
        <is>
          <t xml:space="preserve">industrials</t>
        </is>
      </c>
      <c r="F660" s="4">
        <v>59</v>
      </c>
    </row>
    <row r="661">
      <c r="A661" s="0" t="inlineStr">
        <is>
          <t xml:space="preserve">p07_quality_value_CDE</t>
        </is>
      </c>
      <c r="B661" s="0" t="inlineStr">
        <is>
          <t xml:space="preserve">p07_quality_value</t>
        </is>
      </c>
      <c r="C661" s="0" t="inlineStr">
        <is>
          <t xml:space="preserve">d20260923</t>
        </is>
      </c>
      <c r="D661" s="0" t="inlineStr">
        <is>
          <t xml:space="preserve">CDE</t>
        </is>
      </c>
      <c r="E661" s="0" t="inlineStr">
        <is>
          <t xml:space="preserve">basic_materials</t>
        </is>
      </c>
      <c r="F661" s="4">
        <v>60</v>
      </c>
    </row>
    <row r="662">
      <c r="A662" s="0" t="inlineStr">
        <is>
          <t xml:space="preserve">p07_quality_value_DBX</t>
        </is>
      </c>
      <c r="B662" s="0" t="inlineStr">
        <is>
          <t xml:space="preserve">p07_quality_value</t>
        </is>
      </c>
      <c r="C662" s="0" t="inlineStr">
        <is>
          <t xml:space="preserve">d20260923</t>
        </is>
      </c>
      <c r="D662" s="0" t="inlineStr">
        <is>
          <t xml:space="preserve">DBX</t>
        </is>
      </c>
      <c r="E662" s="0" t="inlineStr">
        <is>
          <t xml:space="preserve">technology</t>
        </is>
      </c>
      <c r="F662" s="4">
        <v>61</v>
      </c>
    </row>
    <row r="663">
      <c r="A663" s="0" t="inlineStr">
        <is>
          <t xml:space="preserve">p07_quality_value_ETSY</t>
        </is>
      </c>
      <c r="B663" s="0" t="inlineStr">
        <is>
          <t xml:space="preserve">p07_quality_value</t>
        </is>
      </c>
      <c r="C663" s="0" t="inlineStr">
        <is>
          <t xml:space="preserve">d20260923</t>
        </is>
      </c>
      <c r="D663" s="0" t="inlineStr">
        <is>
          <t xml:space="preserve">ETSY</t>
        </is>
      </c>
      <c r="E663" s="0" t="inlineStr">
        <is>
          <t xml:space="preserve">consumer_cyclical</t>
        </is>
      </c>
      <c r="F663" s="4">
        <v>62</v>
      </c>
    </row>
    <row r="664">
      <c r="A664" s="0" t="inlineStr">
        <is>
          <t xml:space="preserve">p07_quality_value_AYI</t>
        </is>
      </c>
      <c r="B664" s="0" t="inlineStr">
        <is>
          <t xml:space="preserve">p07_quality_value</t>
        </is>
      </c>
      <c r="C664" s="0" t="inlineStr">
        <is>
          <t xml:space="preserve">d20260923</t>
        </is>
      </c>
      <c r="D664" s="0" t="inlineStr">
        <is>
          <t xml:space="preserve">AYI</t>
        </is>
      </c>
      <c r="E664" s="0" t="inlineStr">
        <is>
          <t xml:space="preserve">industrials</t>
        </is>
      </c>
      <c r="F664" s="4">
        <v>63</v>
      </c>
    </row>
    <row r="665">
      <c r="A665" s="0" t="inlineStr">
        <is>
          <t xml:space="preserve">p07_quality_value_SUNB</t>
        </is>
      </c>
      <c r="B665" s="0" t="inlineStr">
        <is>
          <t xml:space="preserve">p07_quality_value</t>
        </is>
      </c>
      <c r="C665" s="0" t="inlineStr">
        <is>
          <t xml:space="preserve">d20260923</t>
        </is>
      </c>
      <c r="D665" s="0" t="inlineStr">
        <is>
          <t xml:space="preserve">SUNB</t>
        </is>
      </c>
      <c r="E665" s="0" t="inlineStr">
        <is>
          <t xml:space="preserve">industrials</t>
        </is>
      </c>
      <c r="F665" s="4">
        <v>64</v>
      </c>
    </row>
    <row r="666">
      <c r="A666" s="0" t="inlineStr">
        <is>
          <t xml:space="preserve">p07_quality_value_CVSA</t>
        </is>
      </c>
      <c r="B666" s="0" t="inlineStr">
        <is>
          <t xml:space="preserve">p07_quality_value</t>
        </is>
      </c>
      <c r="C666" s="0" t="inlineStr">
        <is>
          <t xml:space="preserve">d20260923</t>
        </is>
      </c>
      <c r="D666" s="0" t="inlineStr">
        <is>
          <t xml:space="preserve">CVSA</t>
        </is>
      </c>
      <c r="E666" s="0" t="inlineStr">
        <is>
          <t xml:space="preserve">consumer_defensive</t>
        </is>
      </c>
      <c r="F666" s="4">
        <v>65</v>
      </c>
    </row>
    <row r="667">
      <c r="A667" s="0" t="inlineStr">
        <is>
          <t xml:space="preserve">p07_quality_value_ASAN</t>
        </is>
      </c>
      <c r="B667" s="0" t="inlineStr">
        <is>
          <t xml:space="preserve">p07_quality_value</t>
        </is>
      </c>
      <c r="C667" s="0" t="inlineStr">
        <is>
          <t xml:space="preserve">d20260923</t>
        </is>
      </c>
      <c r="D667" s="0" t="inlineStr">
        <is>
          <t xml:space="preserve">ASAN</t>
        </is>
      </c>
      <c r="E667" s="0" t="inlineStr">
        <is>
          <t xml:space="preserve">technology</t>
        </is>
      </c>
      <c r="F667" s="4">
        <v>66</v>
      </c>
    </row>
    <row r="668">
      <c r="A668" s="0" t="inlineStr">
        <is>
          <t xml:space="preserve">p07_quality_value_IBKR</t>
        </is>
      </c>
      <c r="B668" s="0" t="inlineStr">
        <is>
          <t xml:space="preserve">p07_quality_value</t>
        </is>
      </c>
      <c r="C668" s="0" t="inlineStr">
        <is>
          <t xml:space="preserve">d20260923</t>
        </is>
      </c>
      <c r="D668" s="0" t="inlineStr">
        <is>
          <t xml:space="preserve">IBKR</t>
        </is>
      </c>
      <c r="E668" s="0" t="inlineStr">
        <is>
          <t xml:space="preserve">financial_services</t>
        </is>
      </c>
      <c r="F668" s="4">
        <v>67</v>
      </c>
    </row>
    <row r="669">
      <c r="A669" s="0" t="inlineStr">
        <is>
          <t xml:space="preserve">p07_quality_value_EXE</t>
        </is>
      </c>
      <c r="B669" s="0" t="inlineStr">
        <is>
          <t xml:space="preserve">p07_quality_value</t>
        </is>
      </c>
      <c r="C669" s="0" t="inlineStr">
        <is>
          <t xml:space="preserve">d20260923</t>
        </is>
      </c>
      <c r="D669" s="0" t="inlineStr">
        <is>
          <t xml:space="preserve">EXE</t>
        </is>
      </c>
      <c r="E669" s="0" t="inlineStr">
        <is>
          <t xml:space="preserve">energy</t>
        </is>
      </c>
      <c r="F669" s="4">
        <v>68</v>
      </c>
    </row>
    <row r="670">
      <c r="A670" s="0" t="inlineStr">
        <is>
          <t xml:space="preserve">p07_quality_value_RDN</t>
        </is>
      </c>
      <c r="B670" s="0" t="inlineStr">
        <is>
          <t xml:space="preserve">p07_quality_value</t>
        </is>
      </c>
      <c r="C670" s="0" t="inlineStr">
        <is>
          <t xml:space="preserve">d20260923</t>
        </is>
      </c>
      <c r="D670" s="0" t="inlineStr">
        <is>
          <t xml:space="preserve">RDN</t>
        </is>
      </c>
      <c r="E670" s="0" t="inlineStr">
        <is>
          <t xml:space="preserve">financial_services</t>
        </is>
      </c>
      <c r="F670" s="4">
        <v>69</v>
      </c>
    </row>
    <row r="671">
      <c r="A671" s="0" t="inlineStr">
        <is>
          <t xml:space="preserve">p07_quality_value_SSD</t>
        </is>
      </c>
      <c r="B671" s="0" t="inlineStr">
        <is>
          <t xml:space="preserve">p07_quality_value</t>
        </is>
      </c>
      <c r="C671" s="0" t="inlineStr">
        <is>
          <t xml:space="preserve">d20260923</t>
        </is>
      </c>
      <c r="D671" s="0" t="inlineStr">
        <is>
          <t xml:space="preserve">SSD</t>
        </is>
      </c>
      <c r="E671" s="0" t="inlineStr">
        <is>
          <t xml:space="preserve">basic_materials</t>
        </is>
      </c>
      <c r="F671" s="4">
        <v>70</v>
      </c>
    </row>
    <row r="672">
      <c r="A672" s="0" t="inlineStr">
        <is>
          <t xml:space="preserve">p07_quality_value_HAYW</t>
        </is>
      </c>
      <c r="B672" s="0" t="inlineStr">
        <is>
          <t xml:space="preserve">p07_quality_value</t>
        </is>
      </c>
      <c r="C672" s="0" t="inlineStr">
        <is>
          <t xml:space="preserve">d20260923</t>
        </is>
      </c>
      <c r="D672" s="0" t="inlineStr">
        <is>
          <t xml:space="preserve">HAYW</t>
        </is>
      </c>
      <c r="E672" s="0" t="inlineStr">
        <is>
          <t xml:space="preserve">industrials</t>
        </is>
      </c>
      <c r="F672" s="4">
        <v>71</v>
      </c>
    </row>
    <row r="673">
      <c r="A673" s="0" t="inlineStr">
        <is>
          <t xml:space="preserve">p07_quality_value_CALY</t>
        </is>
      </c>
      <c r="B673" s="0" t="inlineStr">
        <is>
          <t xml:space="preserve">p07_quality_value</t>
        </is>
      </c>
      <c r="C673" s="0" t="inlineStr">
        <is>
          <t xml:space="preserve">d20260923</t>
        </is>
      </c>
      <c r="D673" s="0" t="inlineStr">
        <is>
          <t xml:space="preserve">CALY</t>
        </is>
      </c>
      <c r="E673" s="0" t="inlineStr">
        <is>
          <t xml:space="preserve">consumer_cyclical</t>
        </is>
      </c>
      <c r="F673" s="4">
        <v>72</v>
      </c>
    </row>
    <row r="674">
      <c r="A674" s="0" t="inlineStr">
        <is>
          <t xml:space="preserve">p07_quality_value_SSRM</t>
        </is>
      </c>
      <c r="B674" s="0" t="inlineStr">
        <is>
          <t xml:space="preserve">p07_quality_value</t>
        </is>
      </c>
      <c r="C674" s="0" t="inlineStr">
        <is>
          <t xml:space="preserve">d20260923</t>
        </is>
      </c>
      <c r="D674" s="0" t="inlineStr">
        <is>
          <t xml:space="preserve">SSRM</t>
        </is>
      </c>
      <c r="E674" s="0" t="inlineStr">
        <is>
          <t xml:space="preserve">basic_materials</t>
        </is>
      </c>
      <c r="F674" s="4">
        <v>73</v>
      </c>
    </row>
    <row r="675">
      <c r="A675" s="0" t="inlineStr">
        <is>
          <t xml:space="preserve">p07_quality_value_GGG</t>
        </is>
      </c>
      <c r="B675" s="0" t="inlineStr">
        <is>
          <t xml:space="preserve">p07_quality_value</t>
        </is>
      </c>
      <c r="C675" s="0" t="inlineStr">
        <is>
          <t xml:space="preserve">d20260923</t>
        </is>
      </c>
      <c r="D675" s="0" t="inlineStr">
        <is>
          <t xml:space="preserve">GGG</t>
        </is>
      </c>
      <c r="E675" s="0" t="inlineStr">
        <is>
          <t xml:space="preserve">industrials</t>
        </is>
      </c>
      <c r="F675" s="4">
        <v>74</v>
      </c>
    </row>
    <row r="676">
      <c r="A676" s="0" t="inlineStr">
        <is>
          <t xml:space="preserve">p07_quality_value_SNA</t>
        </is>
      </c>
      <c r="B676" s="0" t="inlineStr">
        <is>
          <t xml:space="preserve">p07_quality_value</t>
        </is>
      </c>
      <c r="C676" s="0" t="inlineStr">
        <is>
          <t xml:space="preserve">d20260923</t>
        </is>
      </c>
      <c r="D676" s="0" t="inlineStr">
        <is>
          <t xml:space="preserve">SNA</t>
        </is>
      </c>
      <c r="E676" s="0" t="inlineStr">
        <is>
          <t xml:space="preserve">industrials</t>
        </is>
      </c>
      <c r="F676" s="4">
        <v>75</v>
      </c>
    </row>
    <row r="677">
      <c r="A677" s="0" t="inlineStr">
        <is>
          <t xml:space="preserve">p07_quality_value_MTG</t>
        </is>
      </c>
      <c r="B677" s="0" t="inlineStr">
        <is>
          <t xml:space="preserve">p07_quality_value</t>
        </is>
      </c>
      <c r="C677" s="0" t="inlineStr">
        <is>
          <t xml:space="preserve">d20260923</t>
        </is>
      </c>
      <c r="D677" s="0" t="inlineStr">
        <is>
          <t xml:space="preserve">MTG</t>
        </is>
      </c>
      <c r="E677" s="0" t="inlineStr">
        <is>
          <t xml:space="preserve">financial_services</t>
        </is>
      </c>
      <c r="F677" s="4">
        <v>76</v>
      </c>
    </row>
    <row r="678">
      <c r="A678" s="0" t="inlineStr">
        <is>
          <t xml:space="preserve">p07_quality_value_COLM</t>
        </is>
      </c>
      <c r="B678" s="0" t="inlineStr">
        <is>
          <t xml:space="preserve">p07_quality_value</t>
        </is>
      </c>
      <c r="C678" s="0" t="inlineStr">
        <is>
          <t xml:space="preserve">d20260923</t>
        </is>
      </c>
      <c r="D678" s="0" t="inlineStr">
        <is>
          <t xml:space="preserve">COLM</t>
        </is>
      </c>
      <c r="E678" s="0" t="inlineStr">
        <is>
          <t xml:space="preserve">consumer_cyclical</t>
        </is>
      </c>
      <c r="F678" s="4">
        <v>77</v>
      </c>
    </row>
    <row r="679">
      <c r="A679" s="0" t="inlineStr">
        <is>
          <t xml:space="preserve">p07_quality_value_PTC</t>
        </is>
      </c>
      <c r="B679" s="0" t="inlineStr">
        <is>
          <t xml:space="preserve">p07_quality_value</t>
        </is>
      </c>
      <c r="C679" s="0" t="inlineStr">
        <is>
          <t xml:space="preserve">d20260923</t>
        </is>
      </c>
      <c r="D679" s="0" t="inlineStr">
        <is>
          <t xml:space="preserve">PTC</t>
        </is>
      </c>
      <c r="E679" s="0" t="inlineStr">
        <is>
          <t xml:space="preserve">technology</t>
        </is>
      </c>
      <c r="F679" s="4">
        <v>78</v>
      </c>
    </row>
    <row r="680">
      <c r="A680" s="0" t="inlineStr">
        <is>
          <t xml:space="preserve">p07_quality_value_CSX</t>
        </is>
      </c>
      <c r="B680" s="0" t="inlineStr">
        <is>
          <t xml:space="preserve">p07_quality_value</t>
        </is>
      </c>
      <c r="C680" s="0" t="inlineStr">
        <is>
          <t xml:space="preserve">d20260923</t>
        </is>
      </c>
      <c r="D680" s="0" t="inlineStr">
        <is>
          <t xml:space="preserve">CSX</t>
        </is>
      </c>
      <c r="E680" s="0" t="inlineStr">
        <is>
          <t xml:space="preserve">industrials</t>
        </is>
      </c>
      <c r="F680" s="4">
        <v>79</v>
      </c>
    </row>
    <row r="681">
      <c r="A681" s="0" t="inlineStr">
        <is>
          <t xml:space="preserve">p07_quality_value_PAYC</t>
        </is>
      </c>
      <c r="B681" s="0" t="inlineStr">
        <is>
          <t xml:space="preserve">p07_quality_value</t>
        </is>
      </c>
      <c r="C681" s="0" t="inlineStr">
        <is>
          <t xml:space="preserve">d20260923</t>
        </is>
      </c>
      <c r="D681" s="0" t="inlineStr">
        <is>
          <t xml:space="preserve">PAYC</t>
        </is>
      </c>
      <c r="E681" s="0" t="inlineStr">
        <is>
          <t xml:space="preserve">technology</t>
        </is>
      </c>
      <c r="F681" s="4">
        <v>80</v>
      </c>
    </row>
    <row r="682">
      <c r="A682" s="0" t="inlineStr">
        <is>
          <t xml:space="preserve">p07_quality_value_APO</t>
        </is>
      </c>
      <c r="B682" s="0" t="inlineStr">
        <is>
          <t xml:space="preserve">p07_quality_value</t>
        </is>
      </c>
      <c r="C682" s="0" t="inlineStr">
        <is>
          <t xml:space="preserve">d20260923</t>
        </is>
      </c>
      <c r="D682" s="0" t="inlineStr">
        <is>
          <t xml:space="preserve">APO</t>
        </is>
      </c>
      <c r="E682" s="0" t="inlineStr">
        <is>
          <t xml:space="preserve">financial_services</t>
        </is>
      </c>
      <c r="F682" s="4">
        <v>81</v>
      </c>
    </row>
    <row r="683">
      <c r="A683" s="0" t="inlineStr">
        <is>
          <t xml:space="preserve">p07_quality_value_VOYA</t>
        </is>
      </c>
      <c r="B683" s="0" t="inlineStr">
        <is>
          <t xml:space="preserve">p07_quality_value</t>
        </is>
      </c>
      <c r="C683" s="0" t="inlineStr">
        <is>
          <t xml:space="preserve">d20260923</t>
        </is>
      </c>
      <c r="D683" s="0" t="inlineStr">
        <is>
          <t xml:space="preserve">VOYA</t>
        </is>
      </c>
      <c r="E683" s="0" t="inlineStr">
        <is>
          <t xml:space="preserve">financial_services</t>
        </is>
      </c>
      <c r="F683" s="4">
        <v>82</v>
      </c>
    </row>
    <row r="684">
      <c r="A684" s="0" t="inlineStr">
        <is>
          <t xml:space="preserve">p07_quality_value_DOCS</t>
        </is>
      </c>
      <c r="B684" s="0" t="inlineStr">
        <is>
          <t xml:space="preserve">p07_quality_value</t>
        </is>
      </c>
      <c r="C684" s="0" t="inlineStr">
        <is>
          <t xml:space="preserve">d20260923</t>
        </is>
      </c>
      <c r="D684" s="0" t="inlineStr">
        <is>
          <t xml:space="preserve">DOCS</t>
        </is>
      </c>
      <c r="E684" s="0" t="inlineStr">
        <is>
          <t xml:space="preserve">healthcare</t>
        </is>
      </c>
      <c r="F684" s="4">
        <v>83</v>
      </c>
    </row>
    <row r="685">
      <c r="A685" s="0" t="inlineStr">
        <is>
          <t xml:space="preserve">p07_quality_value_FNF</t>
        </is>
      </c>
      <c r="B685" s="0" t="inlineStr">
        <is>
          <t xml:space="preserve">p07_quality_value</t>
        </is>
      </c>
      <c r="C685" s="0" t="inlineStr">
        <is>
          <t xml:space="preserve">d20260923</t>
        </is>
      </c>
      <c r="D685" s="0" t="inlineStr">
        <is>
          <t xml:space="preserve">FNF</t>
        </is>
      </c>
      <c r="E685" s="0" t="inlineStr">
        <is>
          <t xml:space="preserve">financial_services</t>
        </is>
      </c>
      <c r="F685" s="4">
        <v>84</v>
      </c>
    </row>
    <row r="686">
      <c r="A686" s="0" t="inlineStr">
        <is>
          <t xml:space="preserve">p07_quality_value_EOG</t>
        </is>
      </c>
      <c r="B686" s="0" t="inlineStr">
        <is>
          <t xml:space="preserve">p07_quality_value</t>
        </is>
      </c>
      <c r="C686" s="0" t="inlineStr">
        <is>
          <t xml:space="preserve">d20260923</t>
        </is>
      </c>
      <c r="D686" s="0" t="inlineStr">
        <is>
          <t xml:space="preserve">EOG</t>
        </is>
      </c>
      <c r="E686" s="0" t="inlineStr">
        <is>
          <t xml:space="preserve">energy</t>
        </is>
      </c>
      <c r="F686" s="4">
        <v>85</v>
      </c>
    </row>
    <row r="687">
      <c r="A687" s="0" t="inlineStr">
        <is>
          <t xml:space="preserve">p07_quality_value_CF</t>
        </is>
      </c>
      <c r="B687" s="0" t="inlineStr">
        <is>
          <t xml:space="preserve">p07_quality_value</t>
        </is>
      </c>
      <c r="C687" s="0" t="inlineStr">
        <is>
          <t xml:space="preserve">d20260923</t>
        </is>
      </c>
      <c r="D687" s="0" t="inlineStr">
        <is>
          <t xml:space="preserve">CF</t>
        </is>
      </c>
      <c r="E687" s="0" t="inlineStr">
        <is>
          <t xml:space="preserve">basic_materials</t>
        </is>
      </c>
      <c r="F687" s="4">
        <v>86</v>
      </c>
    </row>
    <row r="688">
      <c r="A688" s="0" t="inlineStr">
        <is>
          <t xml:space="preserve">p07_quality_value_CVBF</t>
        </is>
      </c>
      <c r="B688" s="0" t="inlineStr">
        <is>
          <t xml:space="preserve">p07_quality_value</t>
        </is>
      </c>
      <c r="C688" s="0" t="inlineStr">
        <is>
          <t xml:space="preserve">d20260923</t>
        </is>
      </c>
      <c r="D688" s="0" t="inlineStr">
        <is>
          <t xml:space="preserve">CVBF</t>
        </is>
      </c>
      <c r="E688" s="0" t="inlineStr">
        <is>
          <t xml:space="preserve">financial_services</t>
        </is>
      </c>
      <c r="F688" s="4">
        <v>87</v>
      </c>
    </row>
    <row r="689">
      <c r="A689" s="0" t="inlineStr">
        <is>
          <t xml:space="preserve">p07_quality_value_DUK</t>
        </is>
      </c>
      <c r="B689" s="0" t="inlineStr">
        <is>
          <t xml:space="preserve">p07_quality_value</t>
        </is>
      </c>
      <c r="C689" s="0" t="inlineStr">
        <is>
          <t xml:space="preserve">d20260923</t>
        </is>
      </c>
      <c r="D689" s="0" t="inlineStr">
        <is>
          <t xml:space="preserve">DUK</t>
        </is>
      </c>
      <c r="E689" s="0" t="inlineStr">
        <is>
          <t xml:space="preserve">utilities</t>
        </is>
      </c>
      <c r="F689" s="4">
        <v>88</v>
      </c>
    </row>
    <row r="690">
      <c r="A690" s="0" t="inlineStr">
        <is>
          <t xml:space="preserve">p07_quality_value_RRR</t>
        </is>
      </c>
      <c r="B690" s="0" t="inlineStr">
        <is>
          <t xml:space="preserve">p07_quality_value</t>
        </is>
      </c>
      <c r="C690" s="0" t="inlineStr">
        <is>
          <t xml:space="preserve">d20260923</t>
        </is>
      </c>
      <c r="D690" s="0" t="inlineStr">
        <is>
          <t xml:space="preserve">RRR</t>
        </is>
      </c>
      <c r="E690" s="0" t="inlineStr">
        <is>
          <t xml:space="preserve">consumer_cyclical</t>
        </is>
      </c>
      <c r="F690" s="4">
        <v>89</v>
      </c>
    </row>
    <row r="691">
      <c r="A691" s="0" t="inlineStr">
        <is>
          <t xml:space="preserve">p07_quality_value_BSM</t>
        </is>
      </c>
      <c r="B691" s="0" t="inlineStr">
        <is>
          <t xml:space="preserve">p07_quality_value</t>
        </is>
      </c>
      <c r="C691" s="0" t="inlineStr">
        <is>
          <t xml:space="preserve">d20260923</t>
        </is>
      </c>
      <c r="D691" s="0" t="inlineStr">
        <is>
          <t xml:space="preserve">BSM</t>
        </is>
      </c>
      <c r="E691" s="0" t="inlineStr">
        <is>
          <t xml:space="preserve">energy</t>
        </is>
      </c>
      <c r="F691" s="4">
        <v>90</v>
      </c>
    </row>
    <row r="692">
      <c r="A692" s="0" t="inlineStr">
        <is>
          <t xml:space="preserve">p07_quality_value_VLTO</t>
        </is>
      </c>
      <c r="B692" s="0" t="inlineStr">
        <is>
          <t xml:space="preserve">p07_quality_value</t>
        </is>
      </c>
      <c r="C692" s="0" t="inlineStr">
        <is>
          <t xml:space="preserve">d20260923</t>
        </is>
      </c>
      <c r="D692" s="0" t="inlineStr">
        <is>
          <t xml:space="preserve">VLTO</t>
        </is>
      </c>
      <c r="E692" s="0" t="inlineStr">
        <is>
          <t xml:space="preserve">industrials</t>
        </is>
      </c>
      <c r="F692" s="4">
        <v>91</v>
      </c>
    </row>
    <row r="693">
      <c r="A693" s="0" t="inlineStr">
        <is>
          <t xml:space="preserve">p07_quality_value_PATH</t>
        </is>
      </c>
      <c r="B693" s="0" t="inlineStr">
        <is>
          <t xml:space="preserve">p07_quality_value</t>
        </is>
      </c>
      <c r="C693" s="0" t="inlineStr">
        <is>
          <t xml:space="preserve">d20260923</t>
        </is>
      </c>
      <c r="D693" s="0" t="inlineStr">
        <is>
          <t xml:space="preserve">PATH</t>
        </is>
      </c>
      <c r="E693" s="0" t="inlineStr">
        <is>
          <t xml:space="preserve">technology</t>
        </is>
      </c>
      <c r="F693" s="4">
        <v>92</v>
      </c>
    </row>
    <row r="694">
      <c r="A694" s="0" t="inlineStr">
        <is>
          <t xml:space="preserve">p07_quality_value_QLYS</t>
        </is>
      </c>
      <c r="B694" s="0" t="inlineStr">
        <is>
          <t xml:space="preserve">p07_quality_value</t>
        </is>
      </c>
      <c r="C694" s="0" t="inlineStr">
        <is>
          <t xml:space="preserve">d20260923</t>
        </is>
      </c>
      <c r="D694" s="0" t="inlineStr">
        <is>
          <t xml:space="preserve">QLYS</t>
        </is>
      </c>
      <c r="E694" s="0" t="inlineStr">
        <is>
          <t xml:space="preserve">technology</t>
        </is>
      </c>
      <c r="F694" s="4">
        <v>93</v>
      </c>
    </row>
    <row r="695">
      <c r="A695" s="0" t="inlineStr">
        <is>
          <t xml:space="preserve">p07_quality_value_PAYO</t>
        </is>
      </c>
      <c r="B695" s="0" t="inlineStr">
        <is>
          <t xml:space="preserve">p07_quality_value</t>
        </is>
      </c>
      <c r="C695" s="0" t="inlineStr">
        <is>
          <t xml:space="preserve">d20260923</t>
        </is>
      </c>
      <c r="D695" s="0" t="inlineStr">
        <is>
          <t xml:space="preserve">PAYO</t>
        </is>
      </c>
      <c r="E695" s="0" t="inlineStr">
        <is>
          <t xml:space="preserve">technology</t>
        </is>
      </c>
      <c r="F695" s="4">
        <v>94</v>
      </c>
    </row>
    <row r="696">
      <c r="A696" s="0" t="inlineStr">
        <is>
          <t xml:space="preserve">p07_quality_value_UAL</t>
        </is>
      </c>
      <c r="B696" s="0" t="inlineStr">
        <is>
          <t xml:space="preserve">p07_quality_value</t>
        </is>
      </c>
      <c r="C696" s="0" t="inlineStr">
        <is>
          <t xml:space="preserve">d20260923</t>
        </is>
      </c>
      <c r="D696" s="0" t="inlineStr">
        <is>
          <t xml:space="preserve">UAL</t>
        </is>
      </c>
      <c r="E696" s="0" t="inlineStr">
        <is>
          <t xml:space="preserve">industrials</t>
        </is>
      </c>
      <c r="F696" s="4">
        <v>95</v>
      </c>
    </row>
    <row r="697">
      <c r="A697" s="0" t="inlineStr">
        <is>
          <t xml:space="preserve">p07_quality_value_UHS</t>
        </is>
      </c>
      <c r="B697" s="0" t="inlineStr">
        <is>
          <t xml:space="preserve">p07_quality_value</t>
        </is>
      </c>
      <c r="C697" s="0" t="inlineStr">
        <is>
          <t xml:space="preserve">d20260923</t>
        </is>
      </c>
      <c r="D697" s="0" t="inlineStr">
        <is>
          <t xml:space="preserve">UHS</t>
        </is>
      </c>
      <c r="E697" s="0" t="inlineStr">
        <is>
          <t xml:space="preserve">healthcare</t>
        </is>
      </c>
      <c r="F697" s="4">
        <v>96</v>
      </c>
    </row>
    <row r="698">
      <c r="A698" s="0" t="inlineStr">
        <is>
          <t xml:space="preserve">p07_quality_value_ABNB</t>
        </is>
      </c>
      <c r="B698" s="0" t="inlineStr">
        <is>
          <t xml:space="preserve">p07_quality_value</t>
        </is>
      </c>
      <c r="C698" s="0" t="inlineStr">
        <is>
          <t xml:space="preserve">d20260923</t>
        </is>
      </c>
      <c r="D698" s="0" t="inlineStr">
        <is>
          <t xml:space="preserve">ABNB</t>
        </is>
      </c>
      <c r="E698" s="0" t="inlineStr">
        <is>
          <t xml:space="preserve">consumer_cyclical</t>
        </is>
      </c>
      <c r="F698" s="4">
        <v>97</v>
      </c>
    </row>
    <row r="699">
      <c r="A699" s="0" t="inlineStr">
        <is>
          <t xml:space="preserve">p07_quality_value_PEGA</t>
        </is>
      </c>
      <c r="B699" s="0" t="inlineStr">
        <is>
          <t xml:space="preserve">p07_quality_value</t>
        </is>
      </c>
      <c r="C699" s="0" t="inlineStr">
        <is>
          <t xml:space="preserve">d20260923</t>
        </is>
      </c>
      <c r="D699" s="0" t="inlineStr">
        <is>
          <t xml:space="preserve">PEGA</t>
        </is>
      </c>
      <c r="E699" s="0" t="inlineStr">
        <is>
          <t xml:space="preserve">technology</t>
        </is>
      </c>
      <c r="F699" s="4">
        <v>98</v>
      </c>
    </row>
    <row r="700">
      <c r="A700" s="0" t="inlineStr">
        <is>
          <t xml:space="preserve">p07_quality_value_OHI</t>
        </is>
      </c>
      <c r="B700" s="0" t="inlineStr">
        <is>
          <t xml:space="preserve">p07_quality_value</t>
        </is>
      </c>
      <c r="C700" s="0" t="inlineStr">
        <is>
          <t xml:space="preserve">d20260923</t>
        </is>
      </c>
      <c r="D700" s="0" t="inlineStr">
        <is>
          <t xml:space="preserve">OHI</t>
        </is>
      </c>
      <c r="E700" s="0" t="inlineStr">
        <is>
          <t xml:space="preserve">real_estate</t>
        </is>
      </c>
      <c r="F700" s="4">
        <v>99</v>
      </c>
    </row>
    <row r="701">
      <c r="A701" s="0" t="inlineStr">
        <is>
          <t xml:space="preserve">p07_quality_value_ZM</t>
        </is>
      </c>
      <c r="B701" s="0" t="inlineStr">
        <is>
          <t xml:space="preserve">p07_quality_value</t>
        </is>
      </c>
      <c r="C701" s="0" t="inlineStr">
        <is>
          <t xml:space="preserve">d20260923</t>
        </is>
      </c>
      <c r="D701" s="0" t="inlineStr">
        <is>
          <t xml:space="preserve">ZM</t>
        </is>
      </c>
      <c r="E701" s="0" t="inlineStr">
        <is>
          <t xml:space="preserve">technology</t>
        </is>
      </c>
      <c r="F701" s="4">
        <v>100</v>
      </c>
    </row>
    <row r="702">
      <c r="A702" s="0" t="inlineStr">
        <is>
          <t xml:space="preserve">p08_residual_momentum_PCG</t>
        </is>
      </c>
      <c r="B702" s="0" t="inlineStr">
        <is>
          <t xml:space="preserve">p08_residual_momentum</t>
        </is>
      </c>
      <c r="C702" s="0" t="inlineStr">
        <is>
          <t xml:space="preserve">d20260923</t>
        </is>
      </c>
      <c r="D702" s="0" t="inlineStr">
        <is>
          <t xml:space="preserve">PCG</t>
        </is>
      </c>
      <c r="E702" s="0" t="inlineStr">
        <is>
          <t xml:space="preserve">utilities</t>
        </is>
      </c>
      <c r="F702" s="4">
        <v>1</v>
      </c>
    </row>
    <row r="703">
      <c r="A703" s="0" t="inlineStr">
        <is>
          <t xml:space="preserve">p08_residual_momentum_CASY</t>
        </is>
      </c>
      <c r="B703" s="0" t="inlineStr">
        <is>
          <t xml:space="preserve">p08_residual_momentum</t>
        </is>
      </c>
      <c r="C703" s="0" t="inlineStr">
        <is>
          <t xml:space="preserve">d20260923</t>
        </is>
      </c>
      <c r="D703" s="0" t="inlineStr">
        <is>
          <t xml:space="preserve">CASY</t>
        </is>
      </c>
      <c r="E703" s="0" t="inlineStr">
        <is>
          <t xml:space="preserve">consumer_cyclical</t>
        </is>
      </c>
      <c r="F703" s="4">
        <v>2</v>
      </c>
    </row>
    <row r="704">
      <c r="A704" s="0" t="inlineStr">
        <is>
          <t xml:space="preserve">p08_residual_momentum_COO</t>
        </is>
      </c>
      <c r="B704" s="0" t="inlineStr">
        <is>
          <t xml:space="preserve">p08_residual_momentum</t>
        </is>
      </c>
      <c r="C704" s="0" t="inlineStr">
        <is>
          <t xml:space="preserve">d20260923</t>
        </is>
      </c>
      <c r="D704" s="0" t="inlineStr">
        <is>
          <t xml:space="preserve">COO</t>
        </is>
      </c>
      <c r="E704" s="0" t="inlineStr">
        <is>
          <t xml:space="preserve">healthcare</t>
        </is>
      </c>
      <c r="F704" s="4">
        <v>3</v>
      </c>
    </row>
    <row r="705">
      <c r="A705" s="0" t="inlineStr">
        <is>
          <t xml:space="preserve">p08_residual_momentum_ENVA</t>
        </is>
      </c>
      <c r="B705" s="0" t="inlineStr">
        <is>
          <t xml:space="preserve">p08_residual_momentum</t>
        </is>
      </c>
      <c r="C705" s="0" t="inlineStr">
        <is>
          <t xml:space="preserve">d20260923</t>
        </is>
      </c>
      <c r="D705" s="0" t="inlineStr">
        <is>
          <t xml:space="preserve">ENVA</t>
        </is>
      </c>
      <c r="E705" s="0" t="inlineStr">
        <is>
          <t xml:space="preserve">financial_services</t>
        </is>
      </c>
      <c r="F705" s="4">
        <v>4</v>
      </c>
    </row>
    <row r="706">
      <c r="A706" s="0" t="inlineStr">
        <is>
          <t xml:space="preserve">p08_residual_momentum_EIX</t>
        </is>
      </c>
      <c r="B706" s="0" t="inlineStr">
        <is>
          <t xml:space="preserve">p08_residual_momentum</t>
        </is>
      </c>
      <c r="C706" s="0" t="inlineStr">
        <is>
          <t xml:space="preserve">d20260923</t>
        </is>
      </c>
      <c r="D706" s="0" t="inlineStr">
        <is>
          <t xml:space="preserve">EIX</t>
        </is>
      </c>
      <c r="E706" s="0" t="inlineStr">
        <is>
          <t xml:space="preserve">utilities</t>
        </is>
      </c>
      <c r="F706" s="4">
        <v>5</v>
      </c>
    </row>
    <row r="707">
      <c r="A707" s="0" t="inlineStr">
        <is>
          <t xml:space="preserve">p08_residual_momentum_TTAN</t>
        </is>
      </c>
      <c r="B707" s="0" t="inlineStr">
        <is>
          <t xml:space="preserve">p08_residual_momentum</t>
        </is>
      </c>
      <c r="C707" s="0" t="inlineStr">
        <is>
          <t xml:space="preserve">d20260923</t>
        </is>
      </c>
      <c r="D707" s="0" t="inlineStr">
        <is>
          <t xml:space="preserve">TTAN</t>
        </is>
      </c>
      <c r="E707" s="0" t="inlineStr">
        <is>
          <t xml:space="preserve">technology</t>
        </is>
      </c>
      <c r="F707" s="4">
        <v>6</v>
      </c>
    </row>
    <row r="708">
      <c r="A708" s="0" t="inlineStr">
        <is>
          <t xml:space="preserve">p08_residual_momentum_IONS</t>
        </is>
      </c>
      <c r="B708" s="0" t="inlineStr">
        <is>
          <t xml:space="preserve">p08_residual_momentum</t>
        </is>
      </c>
      <c r="C708" s="0" t="inlineStr">
        <is>
          <t xml:space="preserve">d20260923</t>
        </is>
      </c>
      <c r="D708" s="0" t="inlineStr">
        <is>
          <t xml:space="preserve">IONS</t>
        </is>
      </c>
      <c r="E708" s="0" t="inlineStr">
        <is>
          <t xml:space="preserve">healthcare</t>
        </is>
      </c>
      <c r="F708" s="4">
        <v>7</v>
      </c>
    </row>
    <row r="709">
      <c r="A709" s="0" t="inlineStr">
        <is>
          <t xml:space="preserve">p08_residual_momentum_VIRT</t>
        </is>
      </c>
      <c r="B709" s="0" t="inlineStr">
        <is>
          <t xml:space="preserve">p08_residual_momentum</t>
        </is>
      </c>
      <c r="C709" s="0" t="inlineStr">
        <is>
          <t xml:space="preserve">d20260923</t>
        </is>
      </c>
      <c r="D709" s="0" t="inlineStr">
        <is>
          <t xml:space="preserve">VIRT</t>
        </is>
      </c>
      <c r="E709" s="0" t="inlineStr">
        <is>
          <t xml:space="preserve">financial_services</t>
        </is>
      </c>
      <c r="F709" s="4">
        <v>8</v>
      </c>
    </row>
    <row r="710">
      <c r="A710" s="0" t="inlineStr">
        <is>
          <t xml:space="preserve">p08_residual_momentum_WAFD</t>
        </is>
      </c>
      <c r="B710" s="0" t="inlineStr">
        <is>
          <t xml:space="preserve">p08_residual_momentum</t>
        </is>
      </c>
      <c r="C710" s="0" t="inlineStr">
        <is>
          <t xml:space="preserve">d20260923</t>
        </is>
      </c>
      <c r="D710" s="0" t="inlineStr">
        <is>
          <t xml:space="preserve">WAFD</t>
        </is>
      </c>
      <c r="E710" s="0" t="inlineStr">
        <is>
          <t xml:space="preserve">financial_services</t>
        </is>
      </c>
      <c r="F710" s="4">
        <v>9</v>
      </c>
    </row>
    <row r="711">
      <c r="A711" s="0" t="inlineStr">
        <is>
          <t xml:space="preserve">p08_residual_momentum_ALL</t>
        </is>
      </c>
      <c r="B711" s="0" t="inlineStr">
        <is>
          <t xml:space="preserve">p08_residual_momentum</t>
        </is>
      </c>
      <c r="C711" s="0" t="inlineStr">
        <is>
          <t xml:space="preserve">d20260923</t>
        </is>
      </c>
      <c r="D711" s="0" t="inlineStr">
        <is>
          <t xml:space="preserve">ALL</t>
        </is>
      </c>
      <c r="E711" s="0" t="inlineStr">
        <is>
          <t xml:space="preserve">financial_services</t>
        </is>
      </c>
      <c r="F711" s="4">
        <v>10</v>
      </c>
    </row>
    <row r="712">
      <c r="A712" s="0" t="inlineStr">
        <is>
          <t xml:space="preserve">p08_residual_momentum_UNP</t>
        </is>
      </c>
      <c r="B712" s="0" t="inlineStr">
        <is>
          <t xml:space="preserve">p08_residual_momentum</t>
        </is>
      </c>
      <c r="C712" s="0" t="inlineStr">
        <is>
          <t xml:space="preserve">d20260923</t>
        </is>
      </c>
      <c r="D712" s="0" t="inlineStr">
        <is>
          <t xml:space="preserve">UNP</t>
        </is>
      </c>
      <c r="E712" s="0" t="inlineStr">
        <is>
          <t xml:space="preserve">industrials</t>
        </is>
      </c>
      <c r="F712" s="4">
        <v>11</v>
      </c>
    </row>
    <row r="713">
      <c r="A713" s="0" t="inlineStr">
        <is>
          <t xml:space="preserve">p08_residual_momentum_DY</t>
        </is>
      </c>
      <c r="B713" s="0" t="inlineStr">
        <is>
          <t xml:space="preserve">p08_residual_momentum</t>
        </is>
      </c>
      <c r="C713" s="0" t="inlineStr">
        <is>
          <t xml:space="preserve">d20260923</t>
        </is>
      </c>
      <c r="D713" s="0" t="inlineStr">
        <is>
          <t xml:space="preserve">DY</t>
        </is>
      </c>
      <c r="E713" s="0" t="inlineStr">
        <is>
          <t xml:space="preserve">industrials</t>
        </is>
      </c>
      <c r="F713" s="4">
        <v>12</v>
      </c>
    </row>
    <row r="714">
      <c r="A714" s="0" t="inlineStr">
        <is>
          <t xml:space="preserve">p08_residual_momentum_NSC</t>
        </is>
      </c>
      <c r="B714" s="0" t="inlineStr">
        <is>
          <t xml:space="preserve">p08_residual_momentum</t>
        </is>
      </c>
      <c r="C714" s="0" t="inlineStr">
        <is>
          <t xml:space="preserve">d20260923</t>
        </is>
      </c>
      <c r="D714" s="0" t="inlineStr">
        <is>
          <t xml:space="preserve">NSC</t>
        </is>
      </c>
      <c r="E714" s="0" t="inlineStr">
        <is>
          <t xml:space="preserve">industrials</t>
        </is>
      </c>
      <c r="F714" s="4">
        <v>13</v>
      </c>
    </row>
    <row r="715">
      <c r="A715" s="0" t="inlineStr">
        <is>
          <t xml:space="preserve">p08_residual_momentum_EPRT</t>
        </is>
      </c>
      <c r="B715" s="0" t="inlineStr">
        <is>
          <t xml:space="preserve">p08_residual_momentum</t>
        </is>
      </c>
      <c r="C715" s="0" t="inlineStr">
        <is>
          <t xml:space="preserve">d20260923</t>
        </is>
      </c>
      <c r="D715" s="0" t="inlineStr">
        <is>
          <t xml:space="preserve">EPRT</t>
        </is>
      </c>
      <c r="E715" s="0" t="inlineStr">
        <is>
          <t xml:space="preserve">real_estate</t>
        </is>
      </c>
      <c r="F715" s="4">
        <v>14</v>
      </c>
    </row>
    <row r="716">
      <c r="A716" s="0" t="inlineStr">
        <is>
          <t xml:space="preserve">p08_residual_momentum_TXRH</t>
        </is>
      </c>
      <c r="B716" s="0" t="inlineStr">
        <is>
          <t xml:space="preserve">p08_residual_momentum</t>
        </is>
      </c>
      <c r="C716" s="0" t="inlineStr">
        <is>
          <t xml:space="preserve">d20260923</t>
        </is>
      </c>
      <c r="D716" s="0" t="inlineStr">
        <is>
          <t xml:space="preserve">TXRH</t>
        </is>
      </c>
      <c r="E716" s="0" t="inlineStr">
        <is>
          <t xml:space="preserve">consumer_cyclical</t>
        </is>
      </c>
      <c r="F716" s="4">
        <v>15</v>
      </c>
    </row>
    <row r="717">
      <c r="A717" s="0" t="inlineStr">
        <is>
          <t xml:space="preserve">p08_residual_momentum_HWM</t>
        </is>
      </c>
      <c r="B717" s="0" t="inlineStr">
        <is>
          <t xml:space="preserve">p08_residual_momentum</t>
        </is>
      </c>
      <c r="C717" s="0" t="inlineStr">
        <is>
          <t xml:space="preserve">d20260923</t>
        </is>
      </c>
      <c r="D717" s="0" t="inlineStr">
        <is>
          <t xml:space="preserve">HWM</t>
        </is>
      </c>
      <c r="E717" s="0" t="inlineStr">
        <is>
          <t xml:space="preserve">industrials</t>
        </is>
      </c>
      <c r="F717" s="4">
        <v>16</v>
      </c>
    </row>
    <row r="718">
      <c r="A718" s="0" t="inlineStr">
        <is>
          <t xml:space="preserve">p08_residual_momentum_ADC</t>
        </is>
      </c>
      <c r="B718" s="0" t="inlineStr">
        <is>
          <t xml:space="preserve">p08_residual_momentum</t>
        </is>
      </c>
      <c r="C718" s="0" t="inlineStr">
        <is>
          <t xml:space="preserve">d20260923</t>
        </is>
      </c>
      <c r="D718" s="0" t="inlineStr">
        <is>
          <t xml:space="preserve">ADC</t>
        </is>
      </c>
      <c r="E718" s="0" t="inlineStr">
        <is>
          <t xml:space="preserve">real_estate</t>
        </is>
      </c>
      <c r="F718" s="4">
        <v>17</v>
      </c>
    </row>
    <row r="719">
      <c r="A719" s="0" t="inlineStr">
        <is>
          <t xml:space="preserve">p08_residual_momentum_APAM</t>
        </is>
      </c>
      <c r="B719" s="0" t="inlineStr">
        <is>
          <t xml:space="preserve">p08_residual_momentum</t>
        </is>
      </c>
      <c r="C719" s="0" t="inlineStr">
        <is>
          <t xml:space="preserve">d20260923</t>
        </is>
      </c>
      <c r="D719" s="0" t="inlineStr">
        <is>
          <t xml:space="preserve">APAM</t>
        </is>
      </c>
      <c r="E719" s="0" t="inlineStr">
        <is>
          <t xml:space="preserve">financial_services</t>
        </is>
      </c>
      <c r="F719" s="4">
        <v>18</v>
      </c>
    </row>
    <row r="720">
      <c r="A720" s="0" t="inlineStr">
        <is>
          <t xml:space="preserve">p08_residual_momentum_FCPT</t>
        </is>
      </c>
      <c r="B720" s="0" t="inlineStr">
        <is>
          <t xml:space="preserve">p08_residual_momentum</t>
        </is>
      </c>
      <c r="C720" s="0" t="inlineStr">
        <is>
          <t xml:space="preserve">d20260923</t>
        </is>
      </c>
      <c r="D720" s="0" t="inlineStr">
        <is>
          <t xml:space="preserve">FCPT</t>
        </is>
      </c>
      <c r="E720" s="0" t="inlineStr">
        <is>
          <t xml:space="preserve">real_estate</t>
        </is>
      </c>
      <c r="F720" s="4">
        <v>19</v>
      </c>
    </row>
    <row r="721">
      <c r="A721" s="0" t="inlineStr">
        <is>
          <t xml:space="preserve">p08_residual_momentum_CSX</t>
        </is>
      </c>
      <c r="B721" s="0" t="inlineStr">
        <is>
          <t xml:space="preserve">p08_residual_momentum</t>
        </is>
      </c>
      <c r="C721" s="0" t="inlineStr">
        <is>
          <t xml:space="preserve">d20260923</t>
        </is>
      </c>
      <c r="D721" s="0" t="inlineStr">
        <is>
          <t xml:space="preserve">CSX</t>
        </is>
      </c>
      <c r="E721" s="0" t="inlineStr">
        <is>
          <t xml:space="preserve">industrials</t>
        </is>
      </c>
      <c r="F721" s="4">
        <v>20</v>
      </c>
    </row>
    <row r="722">
      <c r="A722" s="0" t="inlineStr">
        <is>
          <t xml:space="preserve">p08_residual_momentum_DYN</t>
        </is>
      </c>
      <c r="B722" s="0" t="inlineStr">
        <is>
          <t xml:space="preserve">p08_residual_momentum</t>
        </is>
      </c>
      <c r="C722" s="0" t="inlineStr">
        <is>
          <t xml:space="preserve">d20260923</t>
        </is>
      </c>
      <c r="D722" s="0" t="inlineStr">
        <is>
          <t xml:space="preserve">DYN</t>
        </is>
      </c>
      <c r="E722" s="0" t="inlineStr">
        <is>
          <t xml:space="preserve">healthcare</t>
        </is>
      </c>
      <c r="F722" s="4">
        <v>21</v>
      </c>
    </row>
    <row r="723">
      <c r="A723" s="0" t="inlineStr">
        <is>
          <t xml:space="preserve">p08_residual_momentum_NNN</t>
        </is>
      </c>
      <c r="B723" s="0" t="inlineStr">
        <is>
          <t xml:space="preserve">p08_residual_momentum</t>
        </is>
      </c>
      <c r="C723" s="0" t="inlineStr">
        <is>
          <t xml:space="preserve">d20260923</t>
        </is>
      </c>
      <c r="D723" s="0" t="inlineStr">
        <is>
          <t xml:space="preserve">NNN</t>
        </is>
      </c>
      <c r="E723" s="0" t="inlineStr">
        <is>
          <t xml:space="preserve">real_estate</t>
        </is>
      </c>
      <c r="F723" s="4">
        <v>22</v>
      </c>
    </row>
    <row r="724">
      <c r="A724" s="0" t="inlineStr">
        <is>
          <t xml:space="preserve">p08_residual_momentum_ZM</t>
        </is>
      </c>
      <c r="B724" s="0" t="inlineStr">
        <is>
          <t xml:space="preserve">p08_residual_momentum</t>
        </is>
      </c>
      <c r="C724" s="0" t="inlineStr">
        <is>
          <t xml:space="preserve">d20260923</t>
        </is>
      </c>
      <c r="D724" s="0" t="inlineStr">
        <is>
          <t xml:space="preserve">ZM</t>
        </is>
      </c>
      <c r="E724" s="0" t="inlineStr">
        <is>
          <t xml:space="preserve">technology</t>
        </is>
      </c>
      <c r="F724" s="4">
        <v>23</v>
      </c>
    </row>
    <row r="725">
      <c r="A725" s="0" t="inlineStr">
        <is>
          <t xml:space="preserve">p08_residual_momentum_RLI</t>
        </is>
      </c>
      <c r="B725" s="0" t="inlineStr">
        <is>
          <t xml:space="preserve">p08_residual_momentum</t>
        </is>
      </c>
      <c r="C725" s="0" t="inlineStr">
        <is>
          <t xml:space="preserve">d20260923</t>
        </is>
      </c>
      <c r="D725" s="0" t="inlineStr">
        <is>
          <t xml:space="preserve">RLI</t>
        </is>
      </c>
      <c r="E725" s="0" t="inlineStr">
        <is>
          <t xml:space="preserve">financial_services</t>
        </is>
      </c>
      <c r="F725" s="4">
        <v>24</v>
      </c>
    </row>
    <row r="726">
      <c r="A726" s="0" t="inlineStr">
        <is>
          <t xml:space="preserve">p08_residual_momentum_FDX</t>
        </is>
      </c>
      <c r="B726" s="0" t="inlineStr">
        <is>
          <t xml:space="preserve">p08_residual_momentum</t>
        </is>
      </c>
      <c r="C726" s="0" t="inlineStr">
        <is>
          <t xml:space="preserve">d20260923</t>
        </is>
      </c>
      <c r="D726" s="0" t="inlineStr">
        <is>
          <t xml:space="preserve">FDX</t>
        </is>
      </c>
      <c r="E726" s="0" t="inlineStr">
        <is>
          <t xml:space="preserve">industrials</t>
        </is>
      </c>
      <c r="F726" s="4">
        <v>25</v>
      </c>
    </row>
    <row r="727">
      <c r="A727" s="0" t="inlineStr">
        <is>
          <t xml:space="preserve">p08_residual_momentum_O</t>
        </is>
      </c>
      <c r="B727" s="0" t="inlineStr">
        <is>
          <t xml:space="preserve">p08_residual_momentum</t>
        </is>
      </c>
      <c r="C727" s="0" t="inlineStr">
        <is>
          <t xml:space="preserve">d20260923</t>
        </is>
      </c>
      <c r="D727" s="0" t="inlineStr">
        <is>
          <t xml:space="preserve">O</t>
        </is>
      </c>
      <c r="E727" s="0" t="inlineStr">
        <is>
          <t xml:space="preserve">real_estate</t>
        </is>
      </c>
      <c r="F727" s="4">
        <v>26</v>
      </c>
    </row>
    <row r="728">
      <c r="A728" s="0" t="inlineStr">
        <is>
          <t xml:space="preserve">p08_residual_momentum_MRSH</t>
        </is>
      </c>
      <c r="B728" s="0" t="inlineStr">
        <is>
          <t xml:space="preserve">p08_residual_momentum</t>
        </is>
      </c>
      <c r="C728" s="0" t="inlineStr">
        <is>
          <t xml:space="preserve">d20260923</t>
        </is>
      </c>
      <c r="D728" s="0" t="inlineStr">
        <is>
          <t xml:space="preserve">MRSH</t>
        </is>
      </c>
      <c r="E728" s="0" t="inlineStr">
        <is>
          <t xml:space="preserve">financial_services</t>
        </is>
      </c>
      <c r="F728" s="4">
        <v>27</v>
      </c>
    </row>
    <row r="729">
      <c r="A729" s="0" t="inlineStr">
        <is>
          <t xml:space="preserve">p08_residual_momentum_PR</t>
        </is>
      </c>
      <c r="B729" s="0" t="inlineStr">
        <is>
          <t xml:space="preserve">p08_residual_momentum</t>
        </is>
      </c>
      <c r="C729" s="0" t="inlineStr">
        <is>
          <t xml:space="preserve">d20260923</t>
        </is>
      </c>
      <c r="D729" s="0" t="inlineStr">
        <is>
          <t xml:space="preserve">PR</t>
        </is>
      </c>
      <c r="E729" s="0" t="inlineStr">
        <is>
          <t xml:space="preserve">energy</t>
        </is>
      </c>
      <c r="F729" s="4">
        <v>28</v>
      </c>
    </row>
    <row r="730">
      <c r="A730" s="0" t="inlineStr">
        <is>
          <t xml:space="preserve">p08_residual_momentum_SCHW</t>
        </is>
      </c>
      <c r="B730" s="0" t="inlineStr">
        <is>
          <t xml:space="preserve">p08_residual_momentum</t>
        </is>
      </c>
      <c r="C730" s="0" t="inlineStr">
        <is>
          <t xml:space="preserve">d20260923</t>
        </is>
      </c>
      <c r="D730" s="0" t="inlineStr">
        <is>
          <t xml:space="preserve">SCHW</t>
        </is>
      </c>
      <c r="E730" s="0" t="inlineStr">
        <is>
          <t xml:space="preserve">financial_services</t>
        </is>
      </c>
      <c r="F730" s="4">
        <v>29</v>
      </c>
    </row>
    <row r="731">
      <c r="A731" s="0" t="inlineStr">
        <is>
          <t xml:space="preserve">p08_residual_momentum_PATH</t>
        </is>
      </c>
      <c r="B731" s="0" t="inlineStr">
        <is>
          <t xml:space="preserve">p08_residual_momentum</t>
        </is>
      </c>
      <c r="C731" s="0" t="inlineStr">
        <is>
          <t xml:space="preserve">d20260923</t>
        </is>
      </c>
      <c r="D731" s="0" t="inlineStr">
        <is>
          <t xml:space="preserve">PATH</t>
        </is>
      </c>
      <c r="E731" s="0" t="inlineStr">
        <is>
          <t xml:space="preserve">technology</t>
        </is>
      </c>
      <c r="F731" s="4">
        <v>30</v>
      </c>
    </row>
    <row r="732">
      <c r="A732" s="0" t="inlineStr">
        <is>
          <t xml:space="preserve">p08_residual_momentum_BRO</t>
        </is>
      </c>
      <c r="B732" s="0" t="inlineStr">
        <is>
          <t xml:space="preserve">p08_residual_momentum</t>
        </is>
      </c>
      <c r="C732" s="0" t="inlineStr">
        <is>
          <t xml:space="preserve">d20260923</t>
        </is>
      </c>
      <c r="D732" s="0" t="inlineStr">
        <is>
          <t xml:space="preserve">BRO</t>
        </is>
      </c>
      <c r="E732" s="0" t="inlineStr">
        <is>
          <t xml:space="preserve">financial_services</t>
        </is>
      </c>
      <c r="F732" s="4">
        <v>31</v>
      </c>
    </row>
    <row r="733">
      <c r="A733" s="0" t="inlineStr">
        <is>
          <t xml:space="preserve">p08_residual_momentum_KRMN</t>
        </is>
      </c>
      <c r="B733" s="0" t="inlineStr">
        <is>
          <t xml:space="preserve">p08_residual_momentum</t>
        </is>
      </c>
      <c r="C733" s="0" t="inlineStr">
        <is>
          <t xml:space="preserve">d20260923</t>
        </is>
      </c>
      <c r="D733" s="0" t="inlineStr">
        <is>
          <t xml:space="preserve">KRMN</t>
        </is>
      </c>
      <c r="E733" s="0" t="inlineStr">
        <is>
          <t xml:space="preserve">industrials</t>
        </is>
      </c>
      <c r="F733" s="4">
        <v>32</v>
      </c>
    </row>
    <row r="734">
      <c r="A734" s="0" t="inlineStr">
        <is>
          <t xml:space="preserve">p08_residual_momentum_FANG</t>
        </is>
      </c>
      <c r="B734" s="0" t="inlineStr">
        <is>
          <t xml:space="preserve">p08_residual_momentum</t>
        </is>
      </c>
      <c r="C734" s="0" t="inlineStr">
        <is>
          <t xml:space="preserve">d20260923</t>
        </is>
      </c>
      <c r="D734" s="0" t="inlineStr">
        <is>
          <t xml:space="preserve">FANG</t>
        </is>
      </c>
      <c r="E734" s="0" t="inlineStr">
        <is>
          <t xml:space="preserve">energy</t>
        </is>
      </c>
      <c r="F734" s="4">
        <v>33</v>
      </c>
    </row>
    <row r="735">
      <c r="A735" s="0" t="inlineStr">
        <is>
          <t xml:space="preserve">p08_residual_momentum_FHI</t>
        </is>
      </c>
      <c r="B735" s="0" t="inlineStr">
        <is>
          <t xml:space="preserve">p08_residual_momentum</t>
        </is>
      </c>
      <c r="C735" s="0" t="inlineStr">
        <is>
          <t xml:space="preserve">d20260923</t>
        </is>
      </c>
      <c r="D735" s="0" t="inlineStr">
        <is>
          <t xml:space="preserve">FHI</t>
        </is>
      </c>
      <c r="E735" s="0" t="inlineStr">
        <is>
          <t xml:space="preserve">financial_services</t>
        </is>
      </c>
      <c r="F735" s="4">
        <v>34</v>
      </c>
    </row>
    <row r="736">
      <c r="A736" s="0" t="inlineStr">
        <is>
          <t xml:space="preserve">p08_residual_momentum_SYK</t>
        </is>
      </c>
      <c r="B736" s="0" t="inlineStr">
        <is>
          <t xml:space="preserve">p08_residual_momentum</t>
        </is>
      </c>
      <c r="C736" s="0" t="inlineStr">
        <is>
          <t xml:space="preserve">d20260923</t>
        </is>
      </c>
      <c r="D736" s="0" t="inlineStr">
        <is>
          <t xml:space="preserve">SYK</t>
        </is>
      </c>
      <c r="E736" s="0" t="inlineStr">
        <is>
          <t xml:space="preserve">healthcare</t>
        </is>
      </c>
      <c r="F736" s="4">
        <v>35</v>
      </c>
    </row>
    <row r="737">
      <c r="A737" s="0" t="inlineStr">
        <is>
          <t xml:space="preserve">p08_residual_momentum_AJG</t>
        </is>
      </c>
      <c r="B737" s="0" t="inlineStr">
        <is>
          <t xml:space="preserve">p08_residual_momentum</t>
        </is>
      </c>
      <c r="C737" s="0" t="inlineStr">
        <is>
          <t xml:space="preserve">d20260923</t>
        </is>
      </c>
      <c r="D737" s="0" t="inlineStr">
        <is>
          <t xml:space="preserve">AJG</t>
        </is>
      </c>
      <c r="E737" s="0" t="inlineStr">
        <is>
          <t xml:space="preserve">financial_services</t>
        </is>
      </c>
      <c r="F737" s="4">
        <v>36</v>
      </c>
    </row>
    <row r="738">
      <c r="A738" s="0" t="inlineStr">
        <is>
          <t xml:space="preserve">p08_residual_momentum_BURL</t>
        </is>
      </c>
      <c r="B738" s="0" t="inlineStr">
        <is>
          <t xml:space="preserve">p08_residual_momentum</t>
        </is>
      </c>
      <c r="C738" s="0" t="inlineStr">
        <is>
          <t xml:space="preserve">d20260923</t>
        </is>
      </c>
      <c r="D738" s="0" t="inlineStr">
        <is>
          <t xml:space="preserve">BURL</t>
        </is>
      </c>
      <c r="E738" s="0" t="inlineStr">
        <is>
          <t xml:space="preserve">consumer_cyclical</t>
        </is>
      </c>
      <c r="F738" s="4">
        <v>37</v>
      </c>
    </row>
    <row r="739">
      <c r="A739" s="0" t="inlineStr">
        <is>
          <t xml:space="preserve">p08_residual_momentum_BKNG</t>
        </is>
      </c>
      <c r="B739" s="0" t="inlineStr">
        <is>
          <t xml:space="preserve">p08_residual_momentum</t>
        </is>
      </c>
      <c r="C739" s="0" t="inlineStr">
        <is>
          <t xml:space="preserve">d20260923</t>
        </is>
      </c>
      <c r="D739" s="0" t="inlineStr">
        <is>
          <t xml:space="preserve">BKNG</t>
        </is>
      </c>
      <c r="E739" s="0" t="inlineStr">
        <is>
          <t xml:space="preserve">consumer_cyclical</t>
        </is>
      </c>
      <c r="F739" s="4">
        <v>38</v>
      </c>
    </row>
    <row r="740">
      <c r="A740" s="0" t="inlineStr">
        <is>
          <t xml:space="preserve">p08_residual_momentum_PCAR</t>
        </is>
      </c>
      <c r="B740" s="0" t="inlineStr">
        <is>
          <t xml:space="preserve">p08_residual_momentum</t>
        </is>
      </c>
      <c r="C740" s="0" t="inlineStr">
        <is>
          <t xml:space="preserve">d20260923</t>
        </is>
      </c>
      <c r="D740" s="0" t="inlineStr">
        <is>
          <t xml:space="preserve">PCAR</t>
        </is>
      </c>
      <c r="E740" s="0" t="inlineStr">
        <is>
          <t xml:space="preserve">industrials</t>
        </is>
      </c>
      <c r="F740" s="4">
        <v>39</v>
      </c>
    </row>
    <row r="741">
      <c r="A741" s="0" t="inlineStr">
        <is>
          <t xml:space="preserve">p08_residual_momentum_OVV</t>
        </is>
      </c>
      <c r="B741" s="0" t="inlineStr">
        <is>
          <t xml:space="preserve">p08_residual_momentum</t>
        </is>
      </c>
      <c r="C741" s="0" t="inlineStr">
        <is>
          <t xml:space="preserve">d20260923</t>
        </is>
      </c>
      <c r="D741" s="0" t="inlineStr">
        <is>
          <t xml:space="preserve">OVV</t>
        </is>
      </c>
      <c r="E741" s="0" t="inlineStr">
        <is>
          <t xml:space="preserve">energy</t>
        </is>
      </c>
      <c r="F741" s="4">
        <v>40</v>
      </c>
    </row>
    <row r="742">
      <c r="A742" s="0" t="inlineStr">
        <is>
          <t xml:space="preserve">p08_residual_momentum_GWRE</t>
        </is>
      </c>
      <c r="B742" s="0" t="inlineStr">
        <is>
          <t xml:space="preserve">p08_residual_momentum</t>
        </is>
      </c>
      <c r="C742" s="0" t="inlineStr">
        <is>
          <t xml:space="preserve">d20260923</t>
        </is>
      </c>
      <c r="D742" s="0" t="inlineStr">
        <is>
          <t xml:space="preserve">GWRE</t>
        </is>
      </c>
      <c r="E742" s="0" t="inlineStr">
        <is>
          <t xml:space="preserve">technology</t>
        </is>
      </c>
      <c r="F742" s="4">
        <v>41</v>
      </c>
    </row>
    <row r="743">
      <c r="A743" s="0" t="inlineStr">
        <is>
          <t xml:space="preserve">p08_residual_momentum_GD</t>
        </is>
      </c>
      <c r="B743" s="0" t="inlineStr">
        <is>
          <t xml:space="preserve">p08_residual_momentum</t>
        </is>
      </c>
      <c r="C743" s="0" t="inlineStr">
        <is>
          <t xml:space="preserve">d20260923</t>
        </is>
      </c>
      <c r="D743" s="0" t="inlineStr">
        <is>
          <t xml:space="preserve">GD</t>
        </is>
      </c>
      <c r="E743" s="0" t="inlineStr">
        <is>
          <t xml:space="preserve">industrials</t>
        </is>
      </c>
      <c r="F743" s="4">
        <v>42</v>
      </c>
    </row>
    <row r="744">
      <c r="A744" s="0" t="inlineStr">
        <is>
          <t xml:space="preserve">p08_residual_momentum_INTU</t>
        </is>
      </c>
      <c r="B744" s="0" t="inlineStr">
        <is>
          <t xml:space="preserve">p08_residual_momentum</t>
        </is>
      </c>
      <c r="C744" s="0" t="inlineStr">
        <is>
          <t xml:space="preserve">d20260923</t>
        </is>
      </c>
      <c r="D744" s="0" t="inlineStr">
        <is>
          <t xml:space="preserve">INTU</t>
        </is>
      </c>
      <c r="E744" s="0" t="inlineStr">
        <is>
          <t xml:space="preserve">technology</t>
        </is>
      </c>
      <c r="F744" s="4">
        <v>43</v>
      </c>
    </row>
    <row r="745">
      <c r="A745" s="0" t="inlineStr">
        <is>
          <t xml:space="preserve">p08_residual_momentum_CMCSA</t>
        </is>
      </c>
      <c r="B745" s="0" t="inlineStr">
        <is>
          <t xml:space="preserve">p08_residual_momentum</t>
        </is>
      </c>
      <c r="C745" s="0" t="inlineStr">
        <is>
          <t xml:space="preserve">d20260923</t>
        </is>
      </c>
      <c r="D745" s="0" t="inlineStr">
        <is>
          <t xml:space="preserve">CMCSA</t>
        </is>
      </c>
      <c r="E745" s="0" t="inlineStr">
        <is>
          <t xml:space="preserve">communication_services</t>
        </is>
      </c>
      <c r="F745" s="4">
        <v>44</v>
      </c>
    </row>
    <row r="746">
      <c r="A746" s="0" t="inlineStr">
        <is>
          <t xml:space="preserve">p08_residual_momentum_MWA</t>
        </is>
      </c>
      <c r="B746" s="0" t="inlineStr">
        <is>
          <t xml:space="preserve">p08_residual_momentum</t>
        </is>
      </c>
      <c r="C746" s="0" t="inlineStr">
        <is>
          <t xml:space="preserve">d20260923</t>
        </is>
      </c>
      <c r="D746" s="0" t="inlineStr">
        <is>
          <t xml:space="preserve">MWA</t>
        </is>
      </c>
      <c r="E746" s="0" t="inlineStr">
        <is>
          <t xml:space="preserve">industrials</t>
        </is>
      </c>
      <c r="F746" s="4">
        <v>45</v>
      </c>
    </row>
    <row r="747">
      <c r="A747" s="0" t="inlineStr">
        <is>
          <t xml:space="preserve">p08_residual_momentum_BAC</t>
        </is>
      </c>
      <c r="B747" s="0" t="inlineStr">
        <is>
          <t xml:space="preserve">p08_residual_momentum</t>
        </is>
      </c>
      <c r="C747" s="0" t="inlineStr">
        <is>
          <t xml:space="preserve">d20260923</t>
        </is>
      </c>
      <c r="D747" s="0" t="inlineStr">
        <is>
          <t xml:space="preserve">BAC</t>
        </is>
      </c>
      <c r="E747" s="0" t="inlineStr">
        <is>
          <t xml:space="preserve">financial_services</t>
        </is>
      </c>
      <c r="F747" s="4">
        <v>46</v>
      </c>
    </row>
    <row r="748">
      <c r="A748" s="0" t="inlineStr">
        <is>
          <t xml:space="preserve">p08_residual_momentum_TBBK</t>
        </is>
      </c>
      <c r="B748" s="0" t="inlineStr">
        <is>
          <t xml:space="preserve">p08_residual_momentum</t>
        </is>
      </c>
      <c r="C748" s="0" t="inlineStr">
        <is>
          <t xml:space="preserve">d20260923</t>
        </is>
      </c>
      <c r="D748" s="0" t="inlineStr">
        <is>
          <t xml:space="preserve">TBBK</t>
        </is>
      </c>
      <c r="E748" s="0" t="inlineStr">
        <is>
          <t xml:space="preserve">financial_services</t>
        </is>
      </c>
      <c r="F748" s="4">
        <v>47</v>
      </c>
    </row>
    <row r="749">
      <c r="A749" s="0" t="inlineStr">
        <is>
          <t xml:space="preserve">p08_residual_momentum_ATI</t>
        </is>
      </c>
      <c r="B749" s="0" t="inlineStr">
        <is>
          <t xml:space="preserve">p08_residual_momentum</t>
        </is>
      </c>
      <c r="C749" s="0" t="inlineStr">
        <is>
          <t xml:space="preserve">d20260923</t>
        </is>
      </c>
      <c r="D749" s="0" t="inlineStr">
        <is>
          <t xml:space="preserve">ATI</t>
        </is>
      </c>
      <c r="E749" s="0" t="inlineStr">
        <is>
          <t xml:space="preserve">industrials</t>
        </is>
      </c>
      <c r="F749" s="4">
        <v>48</v>
      </c>
    </row>
    <row r="750">
      <c r="A750" s="0" t="inlineStr">
        <is>
          <t xml:space="preserve">p08_residual_momentum_PCOR</t>
        </is>
      </c>
      <c r="B750" s="0" t="inlineStr">
        <is>
          <t xml:space="preserve">p08_residual_momentum</t>
        </is>
      </c>
      <c r="C750" s="0" t="inlineStr">
        <is>
          <t xml:space="preserve">d20260923</t>
        </is>
      </c>
      <c r="D750" s="0" t="inlineStr">
        <is>
          <t xml:space="preserve">PCOR</t>
        </is>
      </c>
      <c r="E750" s="0" t="inlineStr">
        <is>
          <t xml:space="preserve">technology</t>
        </is>
      </c>
      <c r="F750" s="4">
        <v>49</v>
      </c>
    </row>
    <row r="751">
      <c r="A751" s="0" t="inlineStr">
        <is>
          <t xml:space="preserve">p08_residual_momentum_WM</t>
        </is>
      </c>
      <c r="B751" s="0" t="inlineStr">
        <is>
          <t xml:space="preserve">p08_residual_momentum</t>
        </is>
      </c>
      <c r="C751" s="0" t="inlineStr">
        <is>
          <t xml:space="preserve">d20260923</t>
        </is>
      </c>
      <c r="D751" s="0" t="inlineStr">
        <is>
          <t xml:space="preserve">WM</t>
        </is>
      </c>
      <c r="E751" s="0" t="inlineStr">
        <is>
          <t xml:space="preserve">industrials</t>
        </is>
      </c>
      <c r="F751" s="4">
        <v>50</v>
      </c>
    </row>
    <row r="752">
      <c r="A752" s="0" t="inlineStr">
        <is>
          <t xml:space="preserve">p08_residual_momentum_FWONK</t>
        </is>
      </c>
      <c r="B752" s="0" t="inlineStr">
        <is>
          <t xml:space="preserve">p08_residual_momentum</t>
        </is>
      </c>
      <c r="C752" s="0" t="inlineStr">
        <is>
          <t xml:space="preserve">d20260923</t>
        </is>
      </c>
      <c r="D752" s="0" t="inlineStr">
        <is>
          <t xml:space="preserve">FWONK</t>
        </is>
      </c>
      <c r="E752" s="0" t="inlineStr">
        <is>
          <t xml:space="preserve">communication_services</t>
        </is>
      </c>
      <c r="F752" s="4">
        <v>51</v>
      </c>
    </row>
    <row r="753">
      <c r="A753" s="0" t="inlineStr">
        <is>
          <t xml:space="preserve">p08_residual_momentum_HRB</t>
        </is>
      </c>
      <c r="B753" s="0" t="inlineStr">
        <is>
          <t xml:space="preserve">p08_residual_momentum</t>
        </is>
      </c>
      <c r="C753" s="0" t="inlineStr">
        <is>
          <t xml:space="preserve">d20260923</t>
        </is>
      </c>
      <c r="D753" s="0" t="inlineStr">
        <is>
          <t xml:space="preserve">HRB</t>
        </is>
      </c>
      <c r="E753" s="0" t="inlineStr">
        <is>
          <t xml:space="preserve">consumer_cyclical</t>
        </is>
      </c>
      <c r="F753" s="4">
        <v>52</v>
      </c>
    </row>
    <row r="754">
      <c r="A754" s="0" t="inlineStr">
        <is>
          <t xml:space="preserve">p08_residual_momentum_FCN</t>
        </is>
      </c>
      <c r="B754" s="0" t="inlineStr">
        <is>
          <t xml:space="preserve">p08_residual_momentum</t>
        </is>
      </c>
      <c r="C754" s="0" t="inlineStr">
        <is>
          <t xml:space="preserve">d20260923</t>
        </is>
      </c>
      <c r="D754" s="0" t="inlineStr">
        <is>
          <t xml:space="preserve">FCN</t>
        </is>
      </c>
      <c r="E754" s="0" t="inlineStr">
        <is>
          <t xml:space="preserve">industrials</t>
        </is>
      </c>
      <c r="F754" s="4">
        <v>53</v>
      </c>
    </row>
    <row r="755">
      <c r="A755" s="0" t="inlineStr">
        <is>
          <t xml:space="preserve">p08_residual_momentum_OMC</t>
        </is>
      </c>
      <c r="B755" s="0" t="inlineStr">
        <is>
          <t xml:space="preserve">p08_residual_momentum</t>
        </is>
      </c>
      <c r="C755" s="0" t="inlineStr">
        <is>
          <t xml:space="preserve">d20260923</t>
        </is>
      </c>
      <c r="D755" s="0" t="inlineStr">
        <is>
          <t xml:space="preserve">OMC</t>
        </is>
      </c>
      <c r="E755" s="0" t="inlineStr">
        <is>
          <t xml:space="preserve">communication_services</t>
        </is>
      </c>
      <c r="F755" s="4">
        <v>54</v>
      </c>
    </row>
    <row r="756">
      <c r="A756" s="0" t="inlineStr">
        <is>
          <t xml:space="preserve">p08_residual_momentum_QSR</t>
        </is>
      </c>
      <c r="B756" s="0" t="inlineStr">
        <is>
          <t xml:space="preserve">p08_residual_momentum</t>
        </is>
      </c>
      <c r="C756" s="0" t="inlineStr">
        <is>
          <t xml:space="preserve">d20260923</t>
        </is>
      </c>
      <c r="D756" s="0" t="inlineStr">
        <is>
          <t xml:space="preserve">QSR</t>
        </is>
      </c>
      <c r="E756" s="0" t="inlineStr">
        <is>
          <t xml:space="preserve">consumer_cyclical</t>
        </is>
      </c>
      <c r="F756" s="4">
        <v>55</v>
      </c>
    </row>
    <row r="757">
      <c r="A757" s="0" t="inlineStr">
        <is>
          <t xml:space="preserve">p08_residual_momentum_JKHY</t>
        </is>
      </c>
      <c r="B757" s="0" t="inlineStr">
        <is>
          <t xml:space="preserve">p08_residual_momentum</t>
        </is>
      </c>
      <c r="C757" s="0" t="inlineStr">
        <is>
          <t xml:space="preserve">d20260923</t>
        </is>
      </c>
      <c r="D757" s="0" t="inlineStr">
        <is>
          <t xml:space="preserve">JKHY</t>
        </is>
      </c>
      <c r="E757" s="0" t="inlineStr">
        <is>
          <t xml:space="preserve">technology</t>
        </is>
      </c>
      <c r="F757" s="4">
        <v>56</v>
      </c>
    </row>
    <row r="758">
      <c r="A758" s="0" t="inlineStr">
        <is>
          <t xml:space="preserve">p08_residual_momentum_OGS</t>
        </is>
      </c>
      <c r="B758" s="0" t="inlineStr">
        <is>
          <t xml:space="preserve">p08_residual_momentum</t>
        </is>
      </c>
      <c r="C758" s="0" t="inlineStr">
        <is>
          <t xml:space="preserve">d20260923</t>
        </is>
      </c>
      <c r="D758" s="0" t="inlineStr">
        <is>
          <t xml:space="preserve">OGS</t>
        </is>
      </c>
      <c r="E758" s="0" t="inlineStr">
        <is>
          <t xml:space="preserve">utilities</t>
        </is>
      </c>
      <c r="F758" s="4">
        <v>57</v>
      </c>
    </row>
    <row r="759">
      <c r="A759" s="0" t="inlineStr">
        <is>
          <t xml:space="preserve">p08_residual_momentum_RRR</t>
        </is>
      </c>
      <c r="B759" s="0" t="inlineStr">
        <is>
          <t xml:space="preserve">p08_residual_momentum</t>
        </is>
      </c>
      <c r="C759" s="0" t="inlineStr">
        <is>
          <t xml:space="preserve">d20260923</t>
        </is>
      </c>
      <c r="D759" s="0" t="inlineStr">
        <is>
          <t xml:space="preserve">RRR</t>
        </is>
      </c>
      <c r="E759" s="0" t="inlineStr">
        <is>
          <t xml:space="preserve">consumer_cyclical</t>
        </is>
      </c>
      <c r="F759" s="4">
        <v>58</v>
      </c>
    </row>
    <row r="760">
      <c r="A760" s="0" t="inlineStr">
        <is>
          <t xml:space="preserve">p08_residual_momentum_HIG</t>
        </is>
      </c>
      <c r="B760" s="0" t="inlineStr">
        <is>
          <t xml:space="preserve">p08_residual_momentum</t>
        </is>
      </c>
      <c r="C760" s="0" t="inlineStr">
        <is>
          <t xml:space="preserve">d20260923</t>
        </is>
      </c>
      <c r="D760" s="0" t="inlineStr">
        <is>
          <t xml:space="preserve">HIG</t>
        </is>
      </c>
      <c r="E760" s="0" t="inlineStr">
        <is>
          <t xml:space="preserve">financial_services</t>
        </is>
      </c>
      <c r="F760" s="4">
        <v>59</v>
      </c>
    </row>
    <row r="761">
      <c r="A761" s="0" t="inlineStr">
        <is>
          <t xml:space="preserve">p08_residual_momentum_MGY</t>
        </is>
      </c>
      <c r="B761" s="0" t="inlineStr">
        <is>
          <t xml:space="preserve">p08_residual_momentum</t>
        </is>
      </c>
      <c r="C761" s="0" t="inlineStr">
        <is>
          <t xml:space="preserve">d20260923</t>
        </is>
      </c>
      <c r="D761" s="0" t="inlineStr">
        <is>
          <t xml:space="preserve">MGY</t>
        </is>
      </c>
      <c r="E761" s="0" t="inlineStr">
        <is>
          <t xml:space="preserve">energy</t>
        </is>
      </c>
      <c r="F761" s="4">
        <v>60</v>
      </c>
    </row>
    <row r="762">
      <c r="A762" s="0" t="inlineStr">
        <is>
          <t xml:space="preserve">p08_residual_momentum_LTH</t>
        </is>
      </c>
      <c r="B762" s="0" t="inlineStr">
        <is>
          <t xml:space="preserve">p08_residual_momentum</t>
        </is>
      </c>
      <c r="C762" s="0" t="inlineStr">
        <is>
          <t xml:space="preserve">d20260923</t>
        </is>
      </c>
      <c r="D762" s="0" t="inlineStr">
        <is>
          <t xml:space="preserve">LTH</t>
        </is>
      </c>
      <c r="E762" s="0" t="inlineStr">
        <is>
          <t xml:space="preserve">consumer_cyclical</t>
        </is>
      </c>
      <c r="F762" s="4">
        <v>61</v>
      </c>
    </row>
    <row r="763">
      <c r="A763" s="0" t="inlineStr">
        <is>
          <t xml:space="preserve">p08_residual_momentum_CART</t>
        </is>
      </c>
      <c r="B763" s="0" t="inlineStr">
        <is>
          <t xml:space="preserve">p08_residual_momentum</t>
        </is>
      </c>
      <c r="C763" s="0" t="inlineStr">
        <is>
          <t xml:space="preserve">d20260923</t>
        </is>
      </c>
      <c r="D763" s="0" t="inlineStr">
        <is>
          <t xml:space="preserve">CART</t>
        </is>
      </c>
      <c r="E763" s="0" t="inlineStr">
        <is>
          <t xml:space="preserve">technology</t>
        </is>
      </c>
      <c r="F763" s="4">
        <v>62</v>
      </c>
    </row>
    <row r="764">
      <c r="A764" s="0" t="inlineStr">
        <is>
          <t xml:space="preserve">p08_residual_momentum_MIAX</t>
        </is>
      </c>
      <c r="B764" s="0" t="inlineStr">
        <is>
          <t xml:space="preserve">p08_residual_momentum</t>
        </is>
      </c>
      <c r="C764" s="0" t="inlineStr">
        <is>
          <t xml:space="preserve">d20260923</t>
        </is>
      </c>
      <c r="D764" s="0" t="inlineStr">
        <is>
          <t xml:space="preserve">MIAX</t>
        </is>
      </c>
      <c r="E764" s="0" t="inlineStr">
        <is>
          <t xml:space="preserve">financial_services</t>
        </is>
      </c>
      <c r="F764" s="4">
        <v>63</v>
      </c>
    </row>
    <row r="765">
      <c r="A765" s="0" t="inlineStr">
        <is>
          <t xml:space="preserve">p08_residual_momentum_RTX</t>
        </is>
      </c>
      <c r="B765" s="0" t="inlineStr">
        <is>
          <t xml:space="preserve">p08_residual_momentum</t>
        </is>
      </c>
      <c r="C765" s="0" t="inlineStr">
        <is>
          <t xml:space="preserve">d20260923</t>
        </is>
      </c>
      <c r="D765" s="0" t="inlineStr">
        <is>
          <t xml:space="preserve">RTX</t>
        </is>
      </c>
      <c r="E765" s="0" t="inlineStr">
        <is>
          <t xml:space="preserve">industrials</t>
        </is>
      </c>
      <c r="F765" s="4">
        <v>64</v>
      </c>
    </row>
    <row r="766">
      <c r="A766" s="0" t="inlineStr">
        <is>
          <t xml:space="preserve">p08_residual_momentum_LPLA</t>
        </is>
      </c>
      <c r="B766" s="0" t="inlineStr">
        <is>
          <t xml:space="preserve">p08_residual_momentum</t>
        </is>
      </c>
      <c r="C766" s="0" t="inlineStr">
        <is>
          <t xml:space="preserve">d20260923</t>
        </is>
      </c>
      <c r="D766" s="0" t="inlineStr">
        <is>
          <t xml:space="preserve">LPLA</t>
        </is>
      </c>
      <c r="E766" s="0" t="inlineStr">
        <is>
          <t xml:space="preserve">financial_services</t>
        </is>
      </c>
      <c r="F766" s="4">
        <v>65</v>
      </c>
    </row>
    <row r="767">
      <c r="A767" s="0" t="inlineStr">
        <is>
          <t xml:space="preserve">p08_residual_momentum_TOST</t>
        </is>
      </c>
      <c r="B767" s="0" t="inlineStr">
        <is>
          <t xml:space="preserve">p08_residual_momentum</t>
        </is>
      </c>
      <c r="C767" s="0" t="inlineStr">
        <is>
          <t xml:space="preserve">d20260923</t>
        </is>
      </c>
      <c r="D767" s="0" t="inlineStr">
        <is>
          <t xml:space="preserve">TOST</t>
        </is>
      </c>
      <c r="E767" s="0" t="inlineStr">
        <is>
          <t xml:space="preserve">technology</t>
        </is>
      </c>
      <c r="F767" s="4">
        <v>66</v>
      </c>
    </row>
    <row r="768">
      <c r="A768" s="0" t="inlineStr">
        <is>
          <t xml:space="preserve">p08_residual_momentum_BNL</t>
        </is>
      </c>
      <c r="B768" s="0" t="inlineStr">
        <is>
          <t xml:space="preserve">p08_residual_momentum</t>
        </is>
      </c>
      <c r="C768" s="0" t="inlineStr">
        <is>
          <t xml:space="preserve">d20260923</t>
        </is>
      </c>
      <c r="D768" s="0" t="inlineStr">
        <is>
          <t xml:space="preserve">BNL</t>
        </is>
      </c>
      <c r="E768" s="0" t="inlineStr">
        <is>
          <t xml:space="preserve">real_estate</t>
        </is>
      </c>
      <c r="F768" s="4">
        <v>67</v>
      </c>
    </row>
    <row r="769">
      <c r="A769" s="0" t="inlineStr">
        <is>
          <t xml:space="preserve">p08_residual_momentum_HGV</t>
        </is>
      </c>
      <c r="B769" s="0" t="inlineStr">
        <is>
          <t xml:space="preserve">p08_residual_momentum</t>
        </is>
      </c>
      <c r="C769" s="0" t="inlineStr">
        <is>
          <t xml:space="preserve">d20260923</t>
        </is>
      </c>
      <c r="D769" s="0" t="inlineStr">
        <is>
          <t xml:space="preserve">HGV</t>
        </is>
      </c>
      <c r="E769" s="0" t="inlineStr">
        <is>
          <t xml:space="preserve">real_estate</t>
        </is>
      </c>
      <c r="F769" s="4">
        <v>68</v>
      </c>
    </row>
    <row r="770">
      <c r="A770" s="0" t="inlineStr">
        <is>
          <t xml:space="preserve">p08_residual_momentum_BNY</t>
        </is>
      </c>
      <c r="B770" s="0" t="inlineStr">
        <is>
          <t xml:space="preserve">p08_residual_momentum</t>
        </is>
      </c>
      <c r="C770" s="0" t="inlineStr">
        <is>
          <t xml:space="preserve">d20260923</t>
        </is>
      </c>
      <c r="D770" s="0" t="inlineStr">
        <is>
          <t xml:space="preserve">BNY</t>
        </is>
      </c>
      <c r="E770" s="0" t="inlineStr">
        <is>
          <t xml:space="preserve">financial_services</t>
        </is>
      </c>
      <c r="F770" s="4">
        <v>69</v>
      </c>
    </row>
    <row r="771">
      <c r="A771" s="0" t="inlineStr">
        <is>
          <t xml:space="preserve">p08_residual_momentum_TTWO</t>
        </is>
      </c>
      <c r="B771" s="0" t="inlineStr">
        <is>
          <t xml:space="preserve">p08_residual_momentum</t>
        </is>
      </c>
      <c r="C771" s="0" t="inlineStr">
        <is>
          <t xml:space="preserve">d20260923</t>
        </is>
      </c>
      <c r="D771" s="0" t="inlineStr">
        <is>
          <t xml:space="preserve">TTWO</t>
        </is>
      </c>
      <c r="E771" s="0" t="inlineStr">
        <is>
          <t xml:space="preserve">technology</t>
        </is>
      </c>
      <c r="F771" s="4">
        <v>70</v>
      </c>
    </row>
    <row r="772">
      <c r="A772" s="0" t="inlineStr">
        <is>
          <t xml:space="preserve">p08_residual_momentum_RELY</t>
        </is>
      </c>
      <c r="B772" s="0" t="inlineStr">
        <is>
          <t xml:space="preserve">p08_residual_momentum</t>
        </is>
      </c>
      <c r="C772" s="0" t="inlineStr">
        <is>
          <t xml:space="preserve">d20260923</t>
        </is>
      </c>
      <c r="D772" s="0" t="inlineStr">
        <is>
          <t xml:space="preserve">RELY</t>
        </is>
      </c>
      <c r="E772" s="0" t="inlineStr">
        <is>
          <t xml:space="preserve">technology</t>
        </is>
      </c>
      <c r="F772" s="4">
        <v>71</v>
      </c>
    </row>
    <row r="773">
      <c r="A773" s="0" t="inlineStr">
        <is>
          <t xml:space="preserve">p08_residual_momentum_STE</t>
        </is>
      </c>
      <c r="B773" s="0" t="inlineStr">
        <is>
          <t xml:space="preserve">p08_residual_momentum</t>
        </is>
      </c>
      <c r="C773" s="0" t="inlineStr">
        <is>
          <t xml:space="preserve">d20260923</t>
        </is>
      </c>
      <c r="D773" s="0" t="inlineStr">
        <is>
          <t xml:space="preserve">STE</t>
        </is>
      </c>
      <c r="E773" s="0" t="inlineStr">
        <is>
          <t xml:space="preserve">healthcare</t>
        </is>
      </c>
      <c r="F773" s="4">
        <v>72</v>
      </c>
    </row>
    <row r="774">
      <c r="A774" s="0" t="inlineStr">
        <is>
          <t xml:space="preserve">p08_residual_momentum_FRPT</t>
        </is>
      </c>
      <c r="B774" s="0" t="inlineStr">
        <is>
          <t xml:space="preserve">p08_residual_momentum</t>
        </is>
      </c>
      <c r="C774" s="0" t="inlineStr">
        <is>
          <t xml:space="preserve">d20260923</t>
        </is>
      </c>
      <c r="D774" s="0" t="inlineStr">
        <is>
          <t xml:space="preserve">FRPT</t>
        </is>
      </c>
      <c r="E774" s="0" t="inlineStr">
        <is>
          <t xml:space="preserve">consumer_defensive</t>
        </is>
      </c>
      <c r="F774" s="4">
        <v>73</v>
      </c>
    </row>
    <row r="775">
      <c r="A775" s="0" t="inlineStr">
        <is>
          <t xml:space="preserve">p08_residual_momentum_NAVN</t>
        </is>
      </c>
      <c r="B775" s="0" t="inlineStr">
        <is>
          <t xml:space="preserve">p08_residual_momentum</t>
        </is>
      </c>
      <c r="C775" s="0" t="inlineStr">
        <is>
          <t xml:space="preserve">d20260923</t>
        </is>
      </c>
      <c r="D775" s="0" t="inlineStr">
        <is>
          <t xml:space="preserve">NAVN</t>
        </is>
      </c>
      <c r="E775" s="0" t="inlineStr">
        <is>
          <t xml:space="preserve">technology</t>
        </is>
      </c>
      <c r="F775" s="4">
        <v>74</v>
      </c>
    </row>
    <row r="776">
      <c r="A776" s="0" t="inlineStr">
        <is>
          <t xml:space="preserve">p08_residual_momentum_EOG</t>
        </is>
      </c>
      <c r="B776" s="0" t="inlineStr">
        <is>
          <t xml:space="preserve">p08_residual_momentum</t>
        </is>
      </c>
      <c r="C776" s="0" t="inlineStr">
        <is>
          <t xml:space="preserve">d20260923</t>
        </is>
      </c>
      <c r="D776" s="0" t="inlineStr">
        <is>
          <t xml:space="preserve">EOG</t>
        </is>
      </c>
      <c r="E776" s="0" t="inlineStr">
        <is>
          <t xml:space="preserve">energy</t>
        </is>
      </c>
      <c r="F776" s="4">
        <v>75</v>
      </c>
    </row>
    <row r="777">
      <c r="A777" s="0" t="inlineStr">
        <is>
          <t xml:space="preserve">p08_residual_momentum_CLDX</t>
        </is>
      </c>
      <c r="B777" s="0" t="inlineStr">
        <is>
          <t xml:space="preserve">p08_residual_momentum</t>
        </is>
      </c>
      <c r="C777" s="0" t="inlineStr">
        <is>
          <t xml:space="preserve">d20260923</t>
        </is>
      </c>
      <c r="D777" s="0" t="inlineStr">
        <is>
          <t xml:space="preserve">CLDX</t>
        </is>
      </c>
      <c r="E777" s="0" t="inlineStr">
        <is>
          <t xml:space="preserve">healthcare</t>
        </is>
      </c>
      <c r="F777" s="4">
        <v>76</v>
      </c>
    </row>
    <row r="778">
      <c r="A778" s="0" t="inlineStr">
        <is>
          <t xml:space="preserve">p08_residual_momentum_IRT</t>
        </is>
      </c>
      <c r="B778" s="0" t="inlineStr">
        <is>
          <t xml:space="preserve">p08_residual_momentum</t>
        </is>
      </c>
      <c r="C778" s="0" t="inlineStr">
        <is>
          <t xml:space="preserve">d20260923</t>
        </is>
      </c>
      <c r="D778" s="0" t="inlineStr">
        <is>
          <t xml:space="preserve">IRT</t>
        </is>
      </c>
      <c r="E778" s="0" t="inlineStr">
        <is>
          <t xml:space="preserve">real_estate</t>
        </is>
      </c>
      <c r="F778" s="4">
        <v>77</v>
      </c>
    </row>
    <row r="779">
      <c r="A779" s="0" t="inlineStr">
        <is>
          <t xml:space="preserve">p08_residual_momentum_BBT</t>
        </is>
      </c>
      <c r="B779" s="0" t="inlineStr">
        <is>
          <t xml:space="preserve">p08_residual_momentum</t>
        </is>
      </c>
      <c r="C779" s="0" t="inlineStr">
        <is>
          <t xml:space="preserve">d20260923</t>
        </is>
      </c>
      <c r="D779" s="0" t="inlineStr">
        <is>
          <t xml:space="preserve">BBT</t>
        </is>
      </c>
      <c r="E779" s="0" t="inlineStr">
        <is>
          <t xml:space="preserve">financial_services</t>
        </is>
      </c>
      <c r="F779" s="4">
        <v>78</v>
      </c>
    </row>
    <row r="780">
      <c r="A780" s="0" t="inlineStr">
        <is>
          <t xml:space="preserve">p08_residual_momentum_ADSK</t>
        </is>
      </c>
      <c r="B780" s="0" t="inlineStr">
        <is>
          <t xml:space="preserve">p08_residual_momentum</t>
        </is>
      </c>
      <c r="C780" s="0" t="inlineStr">
        <is>
          <t xml:space="preserve">d20260923</t>
        </is>
      </c>
      <c r="D780" s="0" t="inlineStr">
        <is>
          <t xml:space="preserve">ADSK</t>
        </is>
      </c>
      <c r="E780" s="0" t="inlineStr">
        <is>
          <t xml:space="preserve">technology</t>
        </is>
      </c>
      <c r="F780" s="4">
        <v>79</v>
      </c>
    </row>
    <row r="781">
      <c r="A781" s="0" t="inlineStr">
        <is>
          <t xml:space="preserve">p08_residual_momentum_EE</t>
        </is>
      </c>
      <c r="B781" s="0" t="inlineStr">
        <is>
          <t xml:space="preserve">p08_residual_momentum</t>
        </is>
      </c>
      <c r="C781" s="0" t="inlineStr">
        <is>
          <t xml:space="preserve">d20260923</t>
        </is>
      </c>
      <c r="D781" s="0" t="inlineStr">
        <is>
          <t xml:space="preserve">EE</t>
        </is>
      </c>
      <c r="E781" s="0" t="inlineStr">
        <is>
          <t xml:space="preserve">energy</t>
        </is>
      </c>
      <c r="F781" s="4">
        <v>80</v>
      </c>
    </row>
    <row r="782">
      <c r="A782" s="0" t="inlineStr">
        <is>
          <t xml:space="preserve">p08_residual_momentum_WLY</t>
        </is>
      </c>
      <c r="B782" s="0" t="inlineStr">
        <is>
          <t xml:space="preserve">p08_residual_momentum</t>
        </is>
      </c>
      <c r="C782" s="0" t="inlineStr">
        <is>
          <t xml:space="preserve">d20260923</t>
        </is>
      </c>
      <c r="D782" s="0" t="inlineStr">
        <is>
          <t xml:space="preserve">WLY</t>
        </is>
      </c>
      <c r="E782" s="0" t="inlineStr">
        <is>
          <t xml:space="preserve">communication_services</t>
        </is>
      </c>
      <c r="F782" s="4">
        <v>81</v>
      </c>
    </row>
    <row r="783">
      <c r="A783" s="0" t="inlineStr">
        <is>
          <t xml:space="preserve">p08_residual_momentum_YUM</t>
        </is>
      </c>
      <c r="B783" s="0" t="inlineStr">
        <is>
          <t xml:space="preserve">p08_residual_momentum</t>
        </is>
      </c>
      <c r="C783" s="0" t="inlineStr">
        <is>
          <t xml:space="preserve">d20260923</t>
        </is>
      </c>
      <c r="D783" s="0" t="inlineStr">
        <is>
          <t xml:space="preserve">YUM</t>
        </is>
      </c>
      <c r="E783" s="0" t="inlineStr">
        <is>
          <t xml:space="preserve">consumer_cyclical</t>
        </is>
      </c>
      <c r="F783" s="4">
        <v>82</v>
      </c>
    </row>
    <row r="784">
      <c r="A784" s="0" t="inlineStr">
        <is>
          <t xml:space="preserve">p08_residual_momentum_ADBE</t>
        </is>
      </c>
      <c r="B784" s="0" t="inlineStr">
        <is>
          <t xml:space="preserve">p08_residual_momentum</t>
        </is>
      </c>
      <c r="C784" s="0" t="inlineStr">
        <is>
          <t xml:space="preserve">d20260923</t>
        </is>
      </c>
      <c r="D784" s="0" t="inlineStr">
        <is>
          <t xml:space="preserve">ADBE</t>
        </is>
      </c>
      <c r="E784" s="0" t="inlineStr">
        <is>
          <t xml:space="preserve">technology</t>
        </is>
      </c>
      <c r="F784" s="4">
        <v>83</v>
      </c>
    </row>
    <row r="785">
      <c r="A785" s="0" t="inlineStr">
        <is>
          <t xml:space="preserve">p08_residual_momentum_TMUS</t>
        </is>
      </c>
      <c r="B785" s="0" t="inlineStr">
        <is>
          <t xml:space="preserve">p08_residual_momentum</t>
        </is>
      </c>
      <c r="C785" s="0" t="inlineStr">
        <is>
          <t xml:space="preserve">d20260923</t>
        </is>
      </c>
      <c r="D785" s="0" t="inlineStr">
        <is>
          <t xml:space="preserve">TMUS</t>
        </is>
      </c>
      <c r="E785" s="0" t="inlineStr">
        <is>
          <t xml:space="preserve">communication_services</t>
        </is>
      </c>
      <c r="F785" s="4">
        <v>84</v>
      </c>
    </row>
    <row r="786">
      <c r="A786" s="0" t="inlineStr">
        <is>
          <t xml:space="preserve">p08_residual_momentum_USFD</t>
        </is>
      </c>
      <c r="B786" s="0" t="inlineStr">
        <is>
          <t xml:space="preserve">p08_residual_momentum</t>
        </is>
      </c>
      <c r="C786" s="0" t="inlineStr">
        <is>
          <t xml:space="preserve">d20260923</t>
        </is>
      </c>
      <c r="D786" s="0" t="inlineStr">
        <is>
          <t xml:space="preserve">USFD</t>
        </is>
      </c>
      <c r="E786" s="0" t="inlineStr">
        <is>
          <t xml:space="preserve">consumer_defensive</t>
        </is>
      </c>
      <c r="F786" s="4">
        <v>85</v>
      </c>
    </row>
    <row r="787">
      <c r="A787" s="0" t="inlineStr">
        <is>
          <t xml:space="preserve">p08_residual_momentum_VZ</t>
        </is>
      </c>
      <c r="B787" s="0" t="inlineStr">
        <is>
          <t xml:space="preserve">p08_residual_momentum</t>
        </is>
      </c>
      <c r="C787" s="0" t="inlineStr">
        <is>
          <t xml:space="preserve">d20260923</t>
        </is>
      </c>
      <c r="D787" s="0" t="inlineStr">
        <is>
          <t xml:space="preserve">VZ</t>
        </is>
      </c>
      <c r="E787" s="0" t="inlineStr">
        <is>
          <t xml:space="preserve">communication_services</t>
        </is>
      </c>
      <c r="F787" s="4">
        <v>86</v>
      </c>
    </row>
    <row r="788">
      <c r="A788" s="0" t="inlineStr">
        <is>
          <t xml:space="preserve">p08_residual_momentum_HEI</t>
        </is>
      </c>
      <c r="B788" s="0" t="inlineStr">
        <is>
          <t xml:space="preserve">p08_residual_momentum</t>
        </is>
      </c>
      <c r="C788" s="0" t="inlineStr">
        <is>
          <t xml:space="preserve">d20260923</t>
        </is>
      </c>
      <c r="D788" s="0" t="inlineStr">
        <is>
          <t xml:space="preserve">HEI</t>
        </is>
      </c>
      <c r="E788" s="0" t="inlineStr">
        <is>
          <t xml:space="preserve">industrials</t>
        </is>
      </c>
      <c r="F788" s="4">
        <v>87</v>
      </c>
    </row>
    <row r="789">
      <c r="A789" s="0" t="inlineStr">
        <is>
          <t xml:space="preserve">p08_residual_momentum_RSI</t>
        </is>
      </c>
      <c r="B789" s="0" t="inlineStr">
        <is>
          <t xml:space="preserve">p08_residual_momentum</t>
        </is>
      </c>
      <c r="C789" s="0" t="inlineStr">
        <is>
          <t xml:space="preserve">d20260923</t>
        </is>
      </c>
      <c r="D789" s="0" t="inlineStr">
        <is>
          <t xml:space="preserve">RSI</t>
        </is>
      </c>
      <c r="E789" s="0" t="inlineStr">
        <is>
          <t xml:space="preserve">consumer_cyclical</t>
        </is>
      </c>
      <c r="F789" s="4">
        <v>88</v>
      </c>
    </row>
    <row r="790">
      <c r="A790" s="0" t="inlineStr">
        <is>
          <t xml:space="preserve">p08_residual_momentum_PJT</t>
        </is>
      </c>
      <c r="B790" s="0" t="inlineStr">
        <is>
          <t xml:space="preserve">p08_residual_momentum</t>
        </is>
      </c>
      <c r="C790" s="0" t="inlineStr">
        <is>
          <t xml:space="preserve">d20260923</t>
        </is>
      </c>
      <c r="D790" s="0" t="inlineStr">
        <is>
          <t xml:space="preserve">PJT</t>
        </is>
      </c>
      <c r="E790" s="0" t="inlineStr">
        <is>
          <t xml:space="preserve">financial_services</t>
        </is>
      </c>
      <c r="F790" s="4">
        <v>89</v>
      </c>
    </row>
    <row r="791">
      <c r="A791" s="0" t="inlineStr">
        <is>
          <t xml:space="preserve">p08_residual_momentum_BSY</t>
        </is>
      </c>
      <c r="B791" s="0" t="inlineStr">
        <is>
          <t xml:space="preserve">p08_residual_momentum</t>
        </is>
      </c>
      <c r="C791" s="0" t="inlineStr">
        <is>
          <t xml:space="preserve">d20260923</t>
        </is>
      </c>
      <c r="D791" s="0" t="inlineStr">
        <is>
          <t xml:space="preserve">BSY</t>
        </is>
      </c>
      <c r="E791" s="0" t="inlineStr">
        <is>
          <t xml:space="preserve">technology</t>
        </is>
      </c>
      <c r="F791" s="4">
        <v>90</v>
      </c>
    </row>
    <row r="792">
      <c r="A792" s="0" t="inlineStr">
        <is>
          <t xml:space="preserve">p08_residual_momentum_SYRE</t>
        </is>
      </c>
      <c r="B792" s="0" t="inlineStr">
        <is>
          <t xml:space="preserve">p08_residual_momentum</t>
        </is>
      </c>
      <c r="C792" s="0" t="inlineStr">
        <is>
          <t xml:space="preserve">d20260923</t>
        </is>
      </c>
      <c r="D792" s="0" t="inlineStr">
        <is>
          <t xml:space="preserve">SYRE</t>
        </is>
      </c>
      <c r="E792" s="0" t="inlineStr">
        <is>
          <t xml:space="preserve">healthcare</t>
        </is>
      </c>
      <c r="F792" s="4">
        <v>91</v>
      </c>
    </row>
    <row r="793">
      <c r="A793" s="0" t="inlineStr">
        <is>
          <t xml:space="preserve">p08_residual_momentum_CRS</t>
        </is>
      </c>
      <c r="B793" s="0" t="inlineStr">
        <is>
          <t xml:space="preserve">p08_residual_momentum</t>
        </is>
      </c>
      <c r="C793" s="0" t="inlineStr">
        <is>
          <t xml:space="preserve">d20260923</t>
        </is>
      </c>
      <c r="D793" s="0" t="inlineStr">
        <is>
          <t xml:space="preserve">CRS</t>
        </is>
      </c>
      <c r="E793" s="0" t="inlineStr">
        <is>
          <t xml:space="preserve">basic_materials</t>
        </is>
      </c>
      <c r="F793" s="4">
        <v>92</v>
      </c>
    </row>
    <row r="794">
      <c r="A794" s="0" t="inlineStr">
        <is>
          <t xml:space="preserve">p08_residual_momentum_ELVN</t>
        </is>
      </c>
      <c r="B794" s="0" t="inlineStr">
        <is>
          <t xml:space="preserve">p08_residual_momentum</t>
        </is>
      </c>
      <c r="C794" s="0" t="inlineStr">
        <is>
          <t xml:space="preserve">d20260923</t>
        </is>
      </c>
      <c r="D794" s="0" t="inlineStr">
        <is>
          <t xml:space="preserve">ELVN</t>
        </is>
      </c>
      <c r="E794" s="0" t="inlineStr">
        <is>
          <t xml:space="preserve">healthcare</t>
        </is>
      </c>
      <c r="F794" s="4">
        <v>93</v>
      </c>
    </row>
    <row r="795">
      <c r="A795" s="0" t="inlineStr">
        <is>
          <t xml:space="preserve">p08_residual_momentum_ALSN</t>
        </is>
      </c>
      <c r="B795" s="0" t="inlineStr">
        <is>
          <t xml:space="preserve">p08_residual_momentum</t>
        </is>
      </c>
      <c r="C795" s="0" t="inlineStr">
        <is>
          <t xml:space="preserve">d20260923</t>
        </is>
      </c>
      <c r="D795" s="0" t="inlineStr">
        <is>
          <t xml:space="preserve">ALSN</t>
        </is>
      </c>
      <c r="E795" s="0" t="inlineStr">
        <is>
          <t xml:space="preserve">consumer_cyclical</t>
        </is>
      </c>
      <c r="F795" s="4">
        <v>94</v>
      </c>
    </row>
    <row r="796">
      <c r="A796" s="0" t="inlineStr">
        <is>
          <t xml:space="preserve">p08_residual_momentum_ABNB</t>
        </is>
      </c>
      <c r="B796" s="0" t="inlineStr">
        <is>
          <t xml:space="preserve">p08_residual_momentum</t>
        </is>
      </c>
      <c r="C796" s="0" t="inlineStr">
        <is>
          <t xml:space="preserve">d20260923</t>
        </is>
      </c>
      <c r="D796" s="0" t="inlineStr">
        <is>
          <t xml:space="preserve">ABNB</t>
        </is>
      </c>
      <c r="E796" s="0" t="inlineStr">
        <is>
          <t xml:space="preserve">consumer_cyclical</t>
        </is>
      </c>
      <c r="F796" s="4">
        <v>95</v>
      </c>
    </row>
    <row r="797">
      <c r="A797" s="0" t="inlineStr">
        <is>
          <t xml:space="preserve">p08_residual_momentum_AGX</t>
        </is>
      </c>
      <c r="B797" s="0" t="inlineStr">
        <is>
          <t xml:space="preserve">p08_residual_momentum</t>
        </is>
      </c>
      <c r="C797" s="0" t="inlineStr">
        <is>
          <t xml:space="preserve">d20260923</t>
        </is>
      </c>
      <c r="D797" s="0" t="inlineStr">
        <is>
          <t xml:space="preserve">AGX</t>
        </is>
      </c>
      <c r="E797" s="0" t="inlineStr">
        <is>
          <t xml:space="preserve">industrials</t>
        </is>
      </c>
      <c r="F797" s="4">
        <v>96</v>
      </c>
    </row>
    <row r="798">
      <c r="A798" s="0" t="inlineStr">
        <is>
          <t xml:space="preserve">p08_residual_momentum_L</t>
        </is>
      </c>
      <c r="B798" s="0" t="inlineStr">
        <is>
          <t xml:space="preserve">p08_residual_momentum</t>
        </is>
      </c>
      <c r="C798" s="0" t="inlineStr">
        <is>
          <t xml:space="preserve">d20260923</t>
        </is>
      </c>
      <c r="D798" s="0" t="inlineStr">
        <is>
          <t xml:space="preserve">L</t>
        </is>
      </c>
      <c r="E798" s="0" t="inlineStr">
        <is>
          <t xml:space="preserve">financial_services</t>
        </is>
      </c>
      <c r="F798" s="4">
        <v>97</v>
      </c>
    </row>
    <row r="799">
      <c r="A799" s="0" t="inlineStr">
        <is>
          <t xml:space="preserve">p08_residual_momentum_CNX</t>
        </is>
      </c>
      <c r="B799" s="0" t="inlineStr">
        <is>
          <t xml:space="preserve">p08_residual_momentum</t>
        </is>
      </c>
      <c r="C799" s="0" t="inlineStr">
        <is>
          <t xml:space="preserve">d20260923</t>
        </is>
      </c>
      <c r="D799" s="0" t="inlineStr">
        <is>
          <t xml:space="preserve">CNX</t>
        </is>
      </c>
      <c r="E799" s="0" t="inlineStr">
        <is>
          <t xml:space="preserve">energy</t>
        </is>
      </c>
      <c r="F799" s="4">
        <v>98</v>
      </c>
    </row>
    <row r="800">
      <c r="A800" s="0" t="inlineStr">
        <is>
          <t xml:space="preserve">p08_residual_momentum_VCTR</t>
        </is>
      </c>
      <c r="B800" s="0" t="inlineStr">
        <is>
          <t xml:space="preserve">p08_residual_momentum</t>
        </is>
      </c>
      <c r="C800" s="0" t="inlineStr">
        <is>
          <t xml:space="preserve">d20260923</t>
        </is>
      </c>
      <c r="D800" s="0" t="inlineStr">
        <is>
          <t xml:space="preserve">VCTR</t>
        </is>
      </c>
      <c r="E800" s="0" t="inlineStr">
        <is>
          <t xml:space="preserve">financial_services</t>
        </is>
      </c>
      <c r="F800" s="4">
        <v>99</v>
      </c>
    </row>
    <row r="801">
      <c r="A801" s="0" t="inlineStr">
        <is>
          <t xml:space="preserve">p08_residual_momentum_AIZ</t>
        </is>
      </c>
      <c r="B801" s="0" t="inlineStr">
        <is>
          <t xml:space="preserve">p08_residual_momentum</t>
        </is>
      </c>
      <c r="C801" s="0" t="inlineStr">
        <is>
          <t xml:space="preserve">d20260923</t>
        </is>
      </c>
      <c r="D801" s="0" t="inlineStr">
        <is>
          <t xml:space="preserve">AIZ</t>
        </is>
      </c>
      <c r="E801" s="0" t="inlineStr">
        <is>
          <t xml:space="preserve">financial_services</t>
        </is>
      </c>
      <c r="F801" s="4">
        <v>100</v>
      </c>
    </row>
    <row r="802">
      <c r="A802" s="0" t="inlineStr">
        <is>
          <t xml:space="preserve">p09_overnight_persistence_ATR</t>
        </is>
      </c>
      <c r="B802" s="0" t="inlineStr">
        <is>
          <t xml:space="preserve">p09_overnight_persistence</t>
        </is>
      </c>
      <c r="C802" s="0" t="inlineStr">
        <is>
          <t xml:space="preserve">d20260923</t>
        </is>
      </c>
      <c r="D802" s="0" t="inlineStr">
        <is>
          <t xml:space="preserve">ATR</t>
        </is>
      </c>
      <c r="E802" s="0" t="inlineStr">
        <is>
          <t xml:space="preserve">healthcare</t>
        </is>
      </c>
      <c r="F802" s="4">
        <v>1</v>
      </c>
    </row>
    <row r="803">
      <c r="A803" s="0" t="inlineStr">
        <is>
          <t xml:space="preserve">p09_overnight_persistence_DAR</t>
        </is>
      </c>
      <c r="B803" s="0" t="inlineStr">
        <is>
          <t xml:space="preserve">p09_overnight_persistence</t>
        </is>
      </c>
      <c r="C803" s="0" t="inlineStr">
        <is>
          <t xml:space="preserve">d20260923</t>
        </is>
      </c>
      <c r="D803" s="0" t="inlineStr">
        <is>
          <t xml:space="preserve">DAR</t>
        </is>
      </c>
      <c r="E803" s="0" t="inlineStr">
        <is>
          <t xml:space="preserve">consumer_defensive</t>
        </is>
      </c>
      <c r="F803" s="4">
        <v>2</v>
      </c>
    </row>
    <row r="804">
      <c r="A804" s="0" t="inlineStr">
        <is>
          <t xml:space="preserve">p09_overnight_persistence_SLAB</t>
        </is>
      </c>
      <c r="B804" s="0" t="inlineStr">
        <is>
          <t xml:space="preserve">p09_overnight_persistence</t>
        </is>
      </c>
      <c r="C804" s="0" t="inlineStr">
        <is>
          <t xml:space="preserve">d20260923</t>
        </is>
      </c>
      <c r="D804" s="0" t="inlineStr">
        <is>
          <t xml:space="preserve">SLAB</t>
        </is>
      </c>
      <c r="E804" s="0" t="inlineStr">
        <is>
          <t xml:space="preserve">technology</t>
        </is>
      </c>
      <c r="F804" s="4">
        <v>3</v>
      </c>
    </row>
    <row r="805">
      <c r="A805" s="0" t="inlineStr">
        <is>
          <t xml:space="preserve">p09_overnight_persistence_FOXA</t>
        </is>
      </c>
      <c r="B805" s="0" t="inlineStr">
        <is>
          <t xml:space="preserve">p09_overnight_persistence</t>
        </is>
      </c>
      <c r="C805" s="0" t="inlineStr">
        <is>
          <t xml:space="preserve">d20260923</t>
        </is>
      </c>
      <c r="D805" s="0" t="inlineStr">
        <is>
          <t xml:space="preserve">FOXA</t>
        </is>
      </c>
      <c r="E805" s="0" t="inlineStr">
        <is>
          <t xml:space="preserve">communication_services</t>
        </is>
      </c>
      <c r="F805" s="4">
        <v>4</v>
      </c>
    </row>
    <row r="806">
      <c r="A806" s="0" t="inlineStr">
        <is>
          <t xml:space="preserve">p09_overnight_persistence_KMX</t>
        </is>
      </c>
      <c r="B806" s="0" t="inlineStr">
        <is>
          <t xml:space="preserve">p09_overnight_persistence</t>
        </is>
      </c>
      <c r="C806" s="0" t="inlineStr">
        <is>
          <t xml:space="preserve">d20260923</t>
        </is>
      </c>
      <c r="D806" s="0" t="inlineStr">
        <is>
          <t xml:space="preserve">KMX</t>
        </is>
      </c>
      <c r="E806" s="0" t="inlineStr">
        <is>
          <t xml:space="preserve">consumer_cyclical</t>
        </is>
      </c>
      <c r="F806" s="4">
        <v>5</v>
      </c>
    </row>
    <row r="807">
      <c r="A807" s="0" t="inlineStr">
        <is>
          <t xml:space="preserve">p09_overnight_persistence_ACA</t>
        </is>
      </c>
      <c r="B807" s="0" t="inlineStr">
        <is>
          <t xml:space="preserve">p09_overnight_persistence</t>
        </is>
      </c>
      <c r="C807" s="0" t="inlineStr">
        <is>
          <t xml:space="preserve">d20260923</t>
        </is>
      </c>
      <c r="D807" s="0" t="inlineStr">
        <is>
          <t xml:space="preserve">ACA</t>
        </is>
      </c>
      <c r="E807" s="0" t="inlineStr">
        <is>
          <t xml:space="preserve">basic_materials</t>
        </is>
      </c>
      <c r="F807" s="4">
        <v>6</v>
      </c>
    </row>
    <row r="808">
      <c r="A808" s="0" t="inlineStr">
        <is>
          <t xml:space="preserve">p09_overnight_persistence_HTGC</t>
        </is>
      </c>
      <c r="B808" s="0" t="inlineStr">
        <is>
          <t xml:space="preserve">p09_overnight_persistence</t>
        </is>
      </c>
      <c r="C808" s="0" t="inlineStr">
        <is>
          <t xml:space="preserve">d20260923</t>
        </is>
      </c>
      <c r="D808" s="0" t="inlineStr">
        <is>
          <t xml:space="preserve">HTGC</t>
        </is>
      </c>
      <c r="E808" s="0" t="inlineStr">
        <is>
          <t xml:space="preserve">financial_services</t>
        </is>
      </c>
      <c r="F808" s="4">
        <v>7</v>
      </c>
    </row>
    <row r="809">
      <c r="A809" s="0" t="inlineStr">
        <is>
          <t xml:space="preserve">p09_overnight_persistence_TDY</t>
        </is>
      </c>
      <c r="B809" s="0" t="inlineStr">
        <is>
          <t xml:space="preserve">p09_overnight_persistence</t>
        </is>
      </c>
      <c r="C809" s="0" t="inlineStr">
        <is>
          <t xml:space="preserve">d20260923</t>
        </is>
      </c>
      <c r="D809" s="0" t="inlineStr">
        <is>
          <t xml:space="preserve">TDY</t>
        </is>
      </c>
      <c r="E809" s="0" t="inlineStr">
        <is>
          <t xml:space="preserve">technology</t>
        </is>
      </c>
      <c r="F809" s="4">
        <v>8</v>
      </c>
    </row>
    <row r="810">
      <c r="A810" s="0" t="inlineStr">
        <is>
          <t xml:space="preserve">p09_overnight_persistence_HOG</t>
        </is>
      </c>
      <c r="B810" s="0" t="inlineStr">
        <is>
          <t xml:space="preserve">p09_overnight_persistence</t>
        </is>
      </c>
      <c r="C810" s="0" t="inlineStr">
        <is>
          <t xml:space="preserve">d20260923</t>
        </is>
      </c>
      <c r="D810" s="0" t="inlineStr">
        <is>
          <t xml:space="preserve">HOG</t>
        </is>
      </c>
      <c r="E810" s="0" t="inlineStr">
        <is>
          <t xml:space="preserve">consumer_cyclical</t>
        </is>
      </c>
      <c r="F810" s="4">
        <v>9</v>
      </c>
    </row>
    <row r="811">
      <c r="A811" s="0" t="inlineStr">
        <is>
          <t xml:space="preserve">p09_overnight_persistence_P</t>
        </is>
      </c>
      <c r="B811" s="0" t="inlineStr">
        <is>
          <t xml:space="preserve">p09_overnight_persistence</t>
        </is>
      </c>
      <c r="C811" s="0" t="inlineStr">
        <is>
          <t xml:space="preserve">d20260923</t>
        </is>
      </c>
      <c r="D811" s="0" t="inlineStr">
        <is>
          <t xml:space="preserve">P</t>
        </is>
      </c>
      <c r="E811" s="0" t="inlineStr">
        <is>
          <t xml:space="preserve">technology</t>
        </is>
      </c>
      <c r="F811" s="4">
        <v>10</v>
      </c>
    </row>
    <row r="812">
      <c r="A812" s="0" t="inlineStr">
        <is>
          <t xml:space="preserve">p09_overnight_persistence_UNH</t>
        </is>
      </c>
      <c r="B812" s="0" t="inlineStr">
        <is>
          <t xml:space="preserve">p09_overnight_persistence</t>
        </is>
      </c>
      <c r="C812" s="0" t="inlineStr">
        <is>
          <t xml:space="preserve">d20260923</t>
        </is>
      </c>
      <c r="D812" s="0" t="inlineStr">
        <is>
          <t xml:space="preserve">UNH</t>
        </is>
      </c>
      <c r="E812" s="0" t="inlineStr">
        <is>
          <t xml:space="preserve">healthcare</t>
        </is>
      </c>
      <c r="F812" s="4">
        <v>11</v>
      </c>
    </row>
    <row r="813">
      <c r="A813" s="0" t="inlineStr">
        <is>
          <t xml:space="preserve">p09_overnight_persistence_CAH</t>
        </is>
      </c>
      <c r="B813" s="0" t="inlineStr">
        <is>
          <t xml:space="preserve">p09_overnight_persistence</t>
        </is>
      </c>
      <c r="C813" s="0" t="inlineStr">
        <is>
          <t xml:space="preserve">d20260923</t>
        </is>
      </c>
      <c r="D813" s="0" t="inlineStr">
        <is>
          <t xml:space="preserve">CAH</t>
        </is>
      </c>
      <c r="E813" s="0" t="inlineStr">
        <is>
          <t xml:space="preserve">healthcare</t>
        </is>
      </c>
      <c r="F813" s="4">
        <v>12</v>
      </c>
    </row>
    <row r="814">
      <c r="A814" s="0" t="inlineStr">
        <is>
          <t xml:space="preserve">p09_overnight_persistence_BG</t>
        </is>
      </c>
      <c r="B814" s="0" t="inlineStr">
        <is>
          <t xml:space="preserve">p09_overnight_persistence</t>
        </is>
      </c>
      <c r="C814" s="0" t="inlineStr">
        <is>
          <t xml:space="preserve">d20260923</t>
        </is>
      </c>
      <c r="D814" s="0" t="inlineStr">
        <is>
          <t xml:space="preserve">BG</t>
        </is>
      </c>
      <c r="E814" s="0" t="inlineStr">
        <is>
          <t xml:space="preserve">consumer_defensive</t>
        </is>
      </c>
      <c r="F814" s="4">
        <v>13</v>
      </c>
    </row>
    <row r="815">
      <c r="A815" s="0" t="inlineStr">
        <is>
          <t xml:space="preserve">p09_overnight_persistence_RS</t>
        </is>
      </c>
      <c r="B815" s="0" t="inlineStr">
        <is>
          <t xml:space="preserve">p09_overnight_persistence</t>
        </is>
      </c>
      <c r="C815" s="0" t="inlineStr">
        <is>
          <t xml:space="preserve">d20260923</t>
        </is>
      </c>
      <c r="D815" s="0" t="inlineStr">
        <is>
          <t xml:space="preserve">RS</t>
        </is>
      </c>
      <c r="E815" s="0" t="inlineStr">
        <is>
          <t xml:space="preserve">basic_materials</t>
        </is>
      </c>
      <c r="F815" s="4">
        <v>14</v>
      </c>
    </row>
    <row r="816">
      <c r="A816" s="0" t="inlineStr">
        <is>
          <t xml:space="preserve">p09_overnight_persistence_SBUX</t>
        </is>
      </c>
      <c r="B816" s="0" t="inlineStr">
        <is>
          <t xml:space="preserve">p09_overnight_persistence</t>
        </is>
      </c>
      <c r="C816" s="0" t="inlineStr">
        <is>
          <t xml:space="preserve">d20260923</t>
        </is>
      </c>
      <c r="D816" s="0" t="inlineStr">
        <is>
          <t xml:space="preserve">SBUX</t>
        </is>
      </c>
      <c r="E816" s="0" t="inlineStr">
        <is>
          <t xml:space="preserve">consumer_cyclical</t>
        </is>
      </c>
      <c r="F816" s="4">
        <v>15</v>
      </c>
    </row>
    <row r="817">
      <c r="A817" s="0" t="inlineStr">
        <is>
          <t xml:space="preserve">p09_overnight_persistence_CHEF</t>
        </is>
      </c>
      <c r="B817" s="0" t="inlineStr">
        <is>
          <t xml:space="preserve">p09_overnight_persistence</t>
        </is>
      </c>
      <c r="C817" s="0" t="inlineStr">
        <is>
          <t xml:space="preserve">d20260923</t>
        </is>
      </c>
      <c r="D817" s="0" t="inlineStr">
        <is>
          <t xml:space="preserve">CHEF</t>
        </is>
      </c>
      <c r="E817" s="0" t="inlineStr">
        <is>
          <t xml:space="preserve">consumer_defensive</t>
        </is>
      </c>
      <c r="F817" s="4">
        <v>16</v>
      </c>
    </row>
    <row r="818">
      <c r="A818" s="0" t="inlineStr">
        <is>
          <t xml:space="preserve">p09_overnight_persistence_VCTR</t>
        </is>
      </c>
      <c r="B818" s="0" t="inlineStr">
        <is>
          <t xml:space="preserve">p09_overnight_persistence</t>
        </is>
      </c>
      <c r="C818" s="0" t="inlineStr">
        <is>
          <t xml:space="preserve">d20260923</t>
        </is>
      </c>
      <c r="D818" s="0" t="inlineStr">
        <is>
          <t xml:space="preserve">VCTR</t>
        </is>
      </c>
      <c r="E818" s="0" t="inlineStr">
        <is>
          <t xml:space="preserve">financial_services</t>
        </is>
      </c>
      <c r="F818" s="4">
        <v>17</v>
      </c>
    </row>
    <row r="819">
      <c r="A819" s="0" t="inlineStr">
        <is>
          <t xml:space="preserve">p09_overnight_persistence_SMMT</t>
        </is>
      </c>
      <c r="B819" s="0" t="inlineStr">
        <is>
          <t xml:space="preserve">p09_overnight_persistence</t>
        </is>
      </c>
      <c r="C819" s="0" t="inlineStr">
        <is>
          <t xml:space="preserve">d20260923</t>
        </is>
      </c>
      <c r="D819" s="0" t="inlineStr">
        <is>
          <t xml:space="preserve">SMMT</t>
        </is>
      </c>
      <c r="E819" s="0" t="inlineStr">
        <is>
          <t xml:space="preserve">healthcare</t>
        </is>
      </c>
      <c r="F819" s="4">
        <v>18</v>
      </c>
    </row>
    <row r="820">
      <c r="A820" s="0" t="inlineStr">
        <is>
          <t xml:space="preserve">p09_overnight_persistence_WT</t>
        </is>
      </c>
      <c r="B820" s="0" t="inlineStr">
        <is>
          <t xml:space="preserve">p09_overnight_persistence</t>
        </is>
      </c>
      <c r="C820" s="0" t="inlineStr">
        <is>
          <t xml:space="preserve">d20260923</t>
        </is>
      </c>
      <c r="D820" s="0" t="inlineStr">
        <is>
          <t xml:space="preserve">WT</t>
        </is>
      </c>
      <c r="E820" s="0" t="inlineStr">
        <is>
          <t xml:space="preserve">financial_services</t>
        </is>
      </c>
      <c r="F820" s="4">
        <v>19</v>
      </c>
    </row>
    <row r="821">
      <c r="A821" s="0" t="inlineStr">
        <is>
          <t xml:space="preserve">p09_overnight_persistence_NVDA</t>
        </is>
      </c>
      <c r="B821" s="0" t="inlineStr">
        <is>
          <t xml:space="preserve">p09_overnight_persistence</t>
        </is>
      </c>
      <c r="C821" s="0" t="inlineStr">
        <is>
          <t xml:space="preserve">d20260923</t>
        </is>
      </c>
      <c r="D821" s="0" t="inlineStr">
        <is>
          <t xml:space="preserve">NVDA</t>
        </is>
      </c>
      <c r="E821" s="0" t="inlineStr">
        <is>
          <t xml:space="preserve">technology</t>
        </is>
      </c>
      <c r="F821" s="4">
        <v>20</v>
      </c>
    </row>
    <row r="822">
      <c r="A822" s="0" t="inlineStr">
        <is>
          <t xml:space="preserve">p09_overnight_persistence_R</t>
        </is>
      </c>
      <c r="B822" s="0" t="inlineStr">
        <is>
          <t xml:space="preserve">p09_overnight_persistence</t>
        </is>
      </c>
      <c r="C822" s="0" t="inlineStr">
        <is>
          <t xml:space="preserve">d20260923</t>
        </is>
      </c>
      <c r="D822" s="0" t="inlineStr">
        <is>
          <t xml:space="preserve">R</t>
        </is>
      </c>
      <c r="E822" s="0" t="inlineStr">
        <is>
          <t xml:space="preserve">industrials</t>
        </is>
      </c>
      <c r="F822" s="4">
        <v>21</v>
      </c>
    </row>
    <row r="823">
      <c r="A823" s="0" t="inlineStr">
        <is>
          <t xml:space="preserve">p09_overnight_persistence_MAIN</t>
        </is>
      </c>
      <c r="B823" s="0" t="inlineStr">
        <is>
          <t xml:space="preserve">p09_overnight_persistence</t>
        </is>
      </c>
      <c r="C823" s="0" t="inlineStr">
        <is>
          <t xml:space="preserve">d20260923</t>
        </is>
      </c>
      <c r="D823" s="0" t="inlineStr">
        <is>
          <t xml:space="preserve">MAIN</t>
        </is>
      </c>
      <c r="E823" s="0" t="inlineStr">
        <is>
          <t xml:space="preserve">financial_services</t>
        </is>
      </c>
      <c r="F823" s="4">
        <v>22</v>
      </c>
    </row>
    <row r="824">
      <c r="A824" s="0" t="inlineStr">
        <is>
          <t xml:space="preserve">p09_overnight_persistence_HUM</t>
        </is>
      </c>
      <c r="B824" s="0" t="inlineStr">
        <is>
          <t xml:space="preserve">p09_overnight_persistence</t>
        </is>
      </c>
      <c r="C824" s="0" t="inlineStr">
        <is>
          <t xml:space="preserve">d20260923</t>
        </is>
      </c>
      <c r="D824" s="0" t="inlineStr">
        <is>
          <t xml:space="preserve">HUM</t>
        </is>
      </c>
      <c r="E824" s="0" t="inlineStr">
        <is>
          <t xml:space="preserve">healthcare</t>
        </is>
      </c>
      <c r="F824" s="4">
        <v>23</v>
      </c>
    </row>
    <row r="825">
      <c r="A825" s="0" t="inlineStr">
        <is>
          <t xml:space="preserve">p09_overnight_persistence_QSR</t>
        </is>
      </c>
      <c r="B825" s="0" t="inlineStr">
        <is>
          <t xml:space="preserve">p09_overnight_persistence</t>
        </is>
      </c>
      <c r="C825" s="0" t="inlineStr">
        <is>
          <t xml:space="preserve">d20260923</t>
        </is>
      </c>
      <c r="D825" s="0" t="inlineStr">
        <is>
          <t xml:space="preserve">QSR</t>
        </is>
      </c>
      <c r="E825" s="0" t="inlineStr">
        <is>
          <t xml:space="preserve">consumer_cyclical</t>
        </is>
      </c>
      <c r="F825" s="4">
        <v>24</v>
      </c>
    </row>
    <row r="826">
      <c r="A826" s="0" t="inlineStr">
        <is>
          <t xml:space="preserve">p09_overnight_persistence_BAX</t>
        </is>
      </c>
      <c r="B826" s="0" t="inlineStr">
        <is>
          <t xml:space="preserve">p09_overnight_persistence</t>
        </is>
      </c>
      <c r="C826" s="0" t="inlineStr">
        <is>
          <t xml:space="preserve">d20260923</t>
        </is>
      </c>
      <c r="D826" s="0" t="inlineStr">
        <is>
          <t xml:space="preserve">BAX</t>
        </is>
      </c>
      <c r="E826" s="0" t="inlineStr">
        <is>
          <t xml:space="preserve">healthcare</t>
        </is>
      </c>
      <c r="F826" s="4">
        <v>25</v>
      </c>
    </row>
    <row r="827">
      <c r="A827" s="0" t="inlineStr">
        <is>
          <t xml:space="preserve">p09_overnight_persistence_WFC</t>
        </is>
      </c>
      <c r="B827" s="0" t="inlineStr">
        <is>
          <t xml:space="preserve">p09_overnight_persistence</t>
        </is>
      </c>
      <c r="C827" s="0" t="inlineStr">
        <is>
          <t xml:space="preserve">d20260923</t>
        </is>
      </c>
      <c r="D827" s="0" t="inlineStr">
        <is>
          <t xml:space="preserve">WFC</t>
        </is>
      </c>
      <c r="E827" s="0" t="inlineStr">
        <is>
          <t xml:space="preserve">financial_services</t>
        </is>
      </c>
      <c r="F827" s="4">
        <v>26</v>
      </c>
    </row>
    <row r="828">
      <c r="A828" s="0" t="inlineStr">
        <is>
          <t xml:space="preserve">p09_overnight_persistence_JPM</t>
        </is>
      </c>
      <c r="B828" s="0" t="inlineStr">
        <is>
          <t xml:space="preserve">p09_overnight_persistence</t>
        </is>
      </c>
      <c r="C828" s="0" t="inlineStr">
        <is>
          <t xml:space="preserve">d20260923</t>
        </is>
      </c>
      <c r="D828" s="0" t="inlineStr">
        <is>
          <t xml:space="preserve">JPM</t>
        </is>
      </c>
      <c r="E828" s="0" t="inlineStr">
        <is>
          <t xml:space="preserve">financial_services</t>
        </is>
      </c>
      <c r="F828" s="4">
        <v>27</v>
      </c>
    </row>
    <row r="829">
      <c r="A829" s="0" t="inlineStr">
        <is>
          <t xml:space="preserve">p09_overnight_persistence_DRS</t>
        </is>
      </c>
      <c r="B829" s="0" t="inlineStr">
        <is>
          <t xml:space="preserve">p09_overnight_persistence</t>
        </is>
      </c>
      <c r="C829" s="0" t="inlineStr">
        <is>
          <t xml:space="preserve">d20260923</t>
        </is>
      </c>
      <c r="D829" s="0" t="inlineStr">
        <is>
          <t xml:space="preserve">DRS</t>
        </is>
      </c>
      <c r="E829" s="0" t="inlineStr">
        <is>
          <t xml:space="preserve">industrials</t>
        </is>
      </c>
      <c r="F829" s="4">
        <v>28</v>
      </c>
    </row>
    <row r="830">
      <c r="A830" s="0" t="inlineStr">
        <is>
          <t xml:space="preserve">p09_overnight_persistence_ANDE</t>
        </is>
      </c>
      <c r="B830" s="0" t="inlineStr">
        <is>
          <t xml:space="preserve">p09_overnight_persistence</t>
        </is>
      </c>
      <c r="C830" s="0" t="inlineStr">
        <is>
          <t xml:space="preserve">d20260923</t>
        </is>
      </c>
      <c r="D830" s="0" t="inlineStr">
        <is>
          <t xml:space="preserve">ANDE</t>
        </is>
      </c>
      <c r="E830" s="0" t="inlineStr">
        <is>
          <t xml:space="preserve">consumer_defensive</t>
        </is>
      </c>
      <c r="F830" s="4">
        <v>29</v>
      </c>
    </row>
    <row r="831">
      <c r="A831" s="0" t="inlineStr">
        <is>
          <t xml:space="preserve">p09_overnight_persistence_JXN</t>
        </is>
      </c>
      <c r="B831" s="0" t="inlineStr">
        <is>
          <t xml:space="preserve">p09_overnight_persistence</t>
        </is>
      </c>
      <c r="C831" s="0" t="inlineStr">
        <is>
          <t xml:space="preserve">d20260923</t>
        </is>
      </c>
      <c r="D831" s="0" t="inlineStr">
        <is>
          <t xml:space="preserve">JXN</t>
        </is>
      </c>
      <c r="E831" s="0" t="inlineStr">
        <is>
          <t xml:space="preserve">financial_services</t>
        </is>
      </c>
      <c r="F831" s="4">
        <v>30</v>
      </c>
    </row>
    <row r="832">
      <c r="A832" s="0" t="inlineStr">
        <is>
          <t xml:space="preserve">p09_overnight_persistence_F</t>
        </is>
      </c>
      <c r="B832" s="0" t="inlineStr">
        <is>
          <t xml:space="preserve">p09_overnight_persistence</t>
        </is>
      </c>
      <c r="C832" s="0" t="inlineStr">
        <is>
          <t xml:space="preserve">d20260923</t>
        </is>
      </c>
      <c r="D832" s="0" t="inlineStr">
        <is>
          <t xml:space="preserve">F</t>
        </is>
      </c>
      <c r="E832" s="0" t="inlineStr">
        <is>
          <t xml:space="preserve">consumer_cyclical</t>
        </is>
      </c>
      <c r="F832" s="4">
        <v>31</v>
      </c>
    </row>
    <row r="833">
      <c r="A833" s="0" t="inlineStr">
        <is>
          <t xml:space="preserve">p09_overnight_persistence_GD</t>
        </is>
      </c>
      <c r="B833" s="0" t="inlineStr">
        <is>
          <t xml:space="preserve">p09_overnight_persistence</t>
        </is>
      </c>
      <c r="C833" s="0" t="inlineStr">
        <is>
          <t xml:space="preserve">d20260923</t>
        </is>
      </c>
      <c r="D833" s="0" t="inlineStr">
        <is>
          <t xml:space="preserve">GD</t>
        </is>
      </c>
      <c r="E833" s="0" t="inlineStr">
        <is>
          <t xml:space="preserve">industrials</t>
        </is>
      </c>
      <c r="F833" s="4">
        <v>32</v>
      </c>
    </row>
    <row r="834">
      <c r="A834" s="0" t="inlineStr">
        <is>
          <t xml:space="preserve">p09_overnight_persistence_RTX</t>
        </is>
      </c>
      <c r="B834" s="0" t="inlineStr">
        <is>
          <t xml:space="preserve">p09_overnight_persistence</t>
        </is>
      </c>
      <c r="C834" s="0" t="inlineStr">
        <is>
          <t xml:space="preserve">d20260923</t>
        </is>
      </c>
      <c r="D834" s="0" t="inlineStr">
        <is>
          <t xml:space="preserve">RTX</t>
        </is>
      </c>
      <c r="E834" s="0" t="inlineStr">
        <is>
          <t xml:space="preserve">industrials</t>
        </is>
      </c>
      <c r="F834" s="4">
        <v>33</v>
      </c>
    </row>
    <row r="835">
      <c r="A835" s="0" t="inlineStr">
        <is>
          <t xml:space="preserve">p09_overnight_persistence_ELAN</t>
        </is>
      </c>
      <c r="B835" s="0" t="inlineStr">
        <is>
          <t xml:space="preserve">p09_overnight_persistence</t>
        </is>
      </c>
      <c r="C835" s="0" t="inlineStr">
        <is>
          <t xml:space="preserve">d20260923</t>
        </is>
      </c>
      <c r="D835" s="0" t="inlineStr">
        <is>
          <t xml:space="preserve">ELAN</t>
        </is>
      </c>
      <c r="E835" s="0" t="inlineStr">
        <is>
          <t xml:space="preserve">healthcare</t>
        </is>
      </c>
      <c r="F835" s="4">
        <v>34</v>
      </c>
    </row>
    <row r="836">
      <c r="A836" s="0" t="inlineStr">
        <is>
          <t xml:space="preserve">p09_overnight_persistence_VRTX</t>
        </is>
      </c>
      <c r="B836" s="0" t="inlineStr">
        <is>
          <t xml:space="preserve">p09_overnight_persistence</t>
        </is>
      </c>
      <c r="C836" s="0" t="inlineStr">
        <is>
          <t xml:space="preserve">d20260923</t>
        </is>
      </c>
      <c r="D836" s="0" t="inlineStr">
        <is>
          <t xml:space="preserve">VRTX</t>
        </is>
      </c>
      <c r="E836" s="0" t="inlineStr">
        <is>
          <t xml:space="preserve">healthcare</t>
        </is>
      </c>
      <c r="F836" s="4">
        <v>35</v>
      </c>
    </row>
    <row r="837">
      <c r="A837" s="0" t="inlineStr">
        <is>
          <t xml:space="preserve">p09_overnight_persistence_FHI</t>
        </is>
      </c>
      <c r="B837" s="0" t="inlineStr">
        <is>
          <t xml:space="preserve">p09_overnight_persistence</t>
        </is>
      </c>
      <c r="C837" s="0" t="inlineStr">
        <is>
          <t xml:space="preserve">d20260923</t>
        </is>
      </c>
      <c r="D837" s="0" t="inlineStr">
        <is>
          <t xml:space="preserve">FHI</t>
        </is>
      </c>
      <c r="E837" s="0" t="inlineStr">
        <is>
          <t xml:space="preserve">financial_services</t>
        </is>
      </c>
      <c r="F837" s="4">
        <v>36</v>
      </c>
    </row>
    <row r="838">
      <c r="A838" s="0" t="inlineStr">
        <is>
          <t xml:space="preserve">p09_overnight_persistence_GS</t>
        </is>
      </c>
      <c r="B838" s="0" t="inlineStr">
        <is>
          <t xml:space="preserve">p09_overnight_persistence</t>
        </is>
      </c>
      <c r="C838" s="0" t="inlineStr">
        <is>
          <t xml:space="preserve">d20260923</t>
        </is>
      </c>
      <c r="D838" s="0" t="inlineStr">
        <is>
          <t xml:space="preserve">GS</t>
        </is>
      </c>
      <c r="E838" s="0" t="inlineStr">
        <is>
          <t xml:space="preserve">financial_services</t>
        </is>
      </c>
      <c r="F838" s="4">
        <v>37</v>
      </c>
    </row>
    <row r="839">
      <c r="A839" s="0" t="inlineStr">
        <is>
          <t xml:space="preserve">p09_overnight_persistence_ALMR</t>
        </is>
      </c>
      <c r="B839" s="0" t="inlineStr">
        <is>
          <t xml:space="preserve">p09_overnight_persistence</t>
        </is>
      </c>
      <c r="C839" s="0" t="inlineStr">
        <is>
          <t xml:space="preserve">d20260923</t>
        </is>
      </c>
      <c r="D839" s="0" t="inlineStr">
        <is>
          <t xml:space="preserve">ALMR</t>
        </is>
      </c>
      <c r="E839" s="0" t="inlineStr">
        <is>
          <t xml:space="preserve">healthcare</t>
        </is>
      </c>
      <c r="F839" s="4">
        <v>38</v>
      </c>
    </row>
    <row r="840">
      <c r="A840" s="0" t="inlineStr">
        <is>
          <t xml:space="preserve">p09_overnight_persistence_META</t>
        </is>
      </c>
      <c r="B840" s="0" t="inlineStr">
        <is>
          <t xml:space="preserve">p09_overnight_persistence</t>
        </is>
      </c>
      <c r="C840" s="0" t="inlineStr">
        <is>
          <t xml:space="preserve">d20260923</t>
        </is>
      </c>
      <c r="D840" s="0" t="inlineStr">
        <is>
          <t xml:space="preserve">META</t>
        </is>
      </c>
      <c r="E840" s="0" t="inlineStr">
        <is>
          <t xml:space="preserve">communication_services</t>
        </is>
      </c>
      <c r="F840" s="4">
        <v>39</v>
      </c>
    </row>
    <row r="841">
      <c r="A841" s="0" t="inlineStr">
        <is>
          <t xml:space="preserve">p09_overnight_persistence_ITGR</t>
        </is>
      </c>
      <c r="B841" s="0" t="inlineStr">
        <is>
          <t xml:space="preserve">p09_overnight_persistence</t>
        </is>
      </c>
      <c r="C841" s="0" t="inlineStr">
        <is>
          <t xml:space="preserve">d20260923</t>
        </is>
      </c>
      <c r="D841" s="0" t="inlineStr">
        <is>
          <t xml:space="preserve">ITGR</t>
        </is>
      </c>
      <c r="E841" s="0" t="inlineStr">
        <is>
          <t xml:space="preserve">healthcare</t>
        </is>
      </c>
      <c r="F841" s="4">
        <v>40</v>
      </c>
    </row>
    <row r="842">
      <c r="A842" s="0" t="inlineStr">
        <is>
          <t xml:space="preserve">p09_overnight_persistence_FCFS</t>
        </is>
      </c>
      <c r="B842" s="0" t="inlineStr">
        <is>
          <t xml:space="preserve">p09_overnight_persistence</t>
        </is>
      </c>
      <c r="C842" s="0" t="inlineStr">
        <is>
          <t xml:space="preserve">d20260923</t>
        </is>
      </c>
      <c r="D842" s="0" t="inlineStr">
        <is>
          <t xml:space="preserve">FCFS</t>
        </is>
      </c>
      <c r="E842" s="0" t="inlineStr">
        <is>
          <t xml:space="preserve">financial_services</t>
        </is>
      </c>
      <c r="F842" s="4">
        <v>41</v>
      </c>
    </row>
    <row r="843">
      <c r="A843" s="0" t="inlineStr">
        <is>
          <t xml:space="preserve">p09_overnight_persistence_FITB</t>
        </is>
      </c>
      <c r="B843" s="0" t="inlineStr">
        <is>
          <t xml:space="preserve">p09_overnight_persistence</t>
        </is>
      </c>
      <c r="C843" s="0" t="inlineStr">
        <is>
          <t xml:space="preserve">d20260923</t>
        </is>
      </c>
      <c r="D843" s="0" t="inlineStr">
        <is>
          <t xml:space="preserve">FITB</t>
        </is>
      </c>
      <c r="E843" s="0" t="inlineStr">
        <is>
          <t xml:space="preserve">financial_services</t>
        </is>
      </c>
      <c r="F843" s="4">
        <v>42</v>
      </c>
    </row>
    <row r="844">
      <c r="A844" s="0" t="inlineStr">
        <is>
          <t xml:space="preserve">p09_overnight_persistence_NATL</t>
        </is>
      </c>
      <c r="B844" s="0" t="inlineStr">
        <is>
          <t xml:space="preserve">p09_overnight_persistence</t>
        </is>
      </c>
      <c r="C844" s="0" t="inlineStr">
        <is>
          <t xml:space="preserve">d20260923</t>
        </is>
      </c>
      <c r="D844" s="0" t="inlineStr">
        <is>
          <t xml:space="preserve">NATL</t>
        </is>
      </c>
      <c r="E844" s="0" t="inlineStr">
        <is>
          <t xml:space="preserve">technology</t>
        </is>
      </c>
      <c r="F844" s="4">
        <v>43</v>
      </c>
    </row>
    <row r="845">
      <c r="A845" s="0" t="inlineStr">
        <is>
          <t xml:space="preserve">p09_overnight_persistence_NRG</t>
        </is>
      </c>
      <c r="B845" s="0" t="inlineStr">
        <is>
          <t xml:space="preserve">p09_overnight_persistence</t>
        </is>
      </c>
      <c r="C845" s="0" t="inlineStr">
        <is>
          <t xml:space="preserve">d20260923</t>
        </is>
      </c>
      <c r="D845" s="0" t="inlineStr">
        <is>
          <t xml:space="preserve">NRG</t>
        </is>
      </c>
      <c r="E845" s="0" t="inlineStr">
        <is>
          <t xml:space="preserve">utilities</t>
        </is>
      </c>
      <c r="F845" s="4">
        <v>44</v>
      </c>
    </row>
    <row r="846">
      <c r="A846" s="0" t="inlineStr">
        <is>
          <t xml:space="preserve">p09_overnight_persistence_GM</t>
        </is>
      </c>
      <c r="B846" s="0" t="inlineStr">
        <is>
          <t xml:space="preserve">p09_overnight_persistence</t>
        </is>
      </c>
      <c r="C846" s="0" t="inlineStr">
        <is>
          <t xml:space="preserve">d20260923</t>
        </is>
      </c>
      <c r="D846" s="0" t="inlineStr">
        <is>
          <t xml:space="preserve">GM</t>
        </is>
      </c>
      <c r="E846" s="0" t="inlineStr">
        <is>
          <t xml:space="preserve">consumer_cyclical</t>
        </is>
      </c>
      <c r="F846" s="4">
        <v>45</v>
      </c>
    </row>
    <row r="847">
      <c r="A847" s="0" t="inlineStr">
        <is>
          <t xml:space="preserve">p09_overnight_persistence_AVTR</t>
        </is>
      </c>
      <c r="B847" s="0" t="inlineStr">
        <is>
          <t xml:space="preserve">p09_overnight_persistence</t>
        </is>
      </c>
      <c r="C847" s="0" t="inlineStr">
        <is>
          <t xml:space="preserve">d20260923</t>
        </is>
      </c>
      <c r="D847" s="0" t="inlineStr">
        <is>
          <t xml:space="preserve">AVTR</t>
        </is>
      </c>
      <c r="E847" s="0" t="inlineStr">
        <is>
          <t xml:space="preserve">healthcare</t>
        </is>
      </c>
      <c r="F847" s="4">
        <v>46</v>
      </c>
    </row>
    <row r="848">
      <c r="A848" s="0" t="inlineStr">
        <is>
          <t xml:space="preserve">p09_overnight_persistence_ADM</t>
        </is>
      </c>
      <c r="B848" s="0" t="inlineStr">
        <is>
          <t xml:space="preserve">p09_overnight_persistence</t>
        </is>
      </c>
      <c r="C848" s="0" t="inlineStr">
        <is>
          <t xml:space="preserve">d20260923</t>
        </is>
      </c>
      <c r="D848" s="0" t="inlineStr">
        <is>
          <t xml:space="preserve">ADM</t>
        </is>
      </c>
      <c r="E848" s="0" t="inlineStr">
        <is>
          <t xml:space="preserve">consumer_defensive</t>
        </is>
      </c>
      <c r="F848" s="4">
        <v>47</v>
      </c>
    </row>
    <row r="849">
      <c r="A849" s="0" t="inlineStr">
        <is>
          <t xml:space="preserve">p09_overnight_persistence_STRC</t>
        </is>
      </c>
      <c r="B849" s="0" t="inlineStr">
        <is>
          <t xml:space="preserve">p09_overnight_persistence</t>
        </is>
      </c>
      <c r="C849" s="0" t="inlineStr">
        <is>
          <t xml:space="preserve">d20260923</t>
        </is>
      </c>
      <c r="D849" s="0" t="inlineStr">
        <is>
          <t xml:space="preserve">STRC</t>
        </is>
      </c>
      <c r="E849" s="0" t="inlineStr">
        <is>
          <t xml:space="preserve">technology</t>
        </is>
      </c>
      <c r="F849" s="4">
        <v>48</v>
      </c>
    </row>
    <row r="850">
      <c r="A850" s="0" t="inlineStr">
        <is>
          <t xml:space="preserve">p09_overnight_persistence_DIOD</t>
        </is>
      </c>
      <c r="B850" s="0" t="inlineStr">
        <is>
          <t xml:space="preserve">p09_overnight_persistence</t>
        </is>
      </c>
      <c r="C850" s="0" t="inlineStr">
        <is>
          <t xml:space="preserve">d20260923</t>
        </is>
      </c>
      <c r="D850" s="0" t="inlineStr">
        <is>
          <t xml:space="preserve">DIOD</t>
        </is>
      </c>
      <c r="E850" s="0" t="inlineStr">
        <is>
          <t xml:space="preserve">technology</t>
        </is>
      </c>
      <c r="F850" s="4">
        <v>49</v>
      </c>
    </row>
    <row r="851">
      <c r="A851" s="0" t="inlineStr">
        <is>
          <t xml:space="preserve">p09_overnight_persistence_PPLI</t>
        </is>
      </c>
      <c r="B851" s="0" t="inlineStr">
        <is>
          <t xml:space="preserve">p09_overnight_persistence</t>
        </is>
      </c>
      <c r="C851" s="0" t="inlineStr">
        <is>
          <t xml:space="preserve">d20260923</t>
        </is>
      </c>
      <c r="D851" s="0" t="inlineStr">
        <is>
          <t xml:space="preserve">PPLI</t>
        </is>
      </c>
      <c r="E851" s="0" t="inlineStr">
        <is>
          <t xml:space="preserve">communication_services</t>
        </is>
      </c>
      <c r="F851" s="4">
        <v>50</v>
      </c>
    </row>
    <row r="852">
      <c r="A852" s="0" t="inlineStr">
        <is>
          <t xml:space="preserve">p09_overnight_persistence_IEX</t>
        </is>
      </c>
      <c r="B852" s="0" t="inlineStr">
        <is>
          <t xml:space="preserve">p09_overnight_persistence</t>
        </is>
      </c>
      <c r="C852" s="0" t="inlineStr">
        <is>
          <t xml:space="preserve">d20260923</t>
        </is>
      </c>
      <c r="D852" s="0" t="inlineStr">
        <is>
          <t xml:space="preserve">IEX</t>
        </is>
      </c>
      <c r="E852" s="0" t="inlineStr">
        <is>
          <t xml:space="preserve">industrials</t>
        </is>
      </c>
      <c r="F852" s="4">
        <v>51</v>
      </c>
    </row>
    <row r="853">
      <c r="A853" s="0" t="inlineStr">
        <is>
          <t xml:space="preserve">p09_overnight_persistence_VTRS</t>
        </is>
      </c>
      <c r="B853" s="0" t="inlineStr">
        <is>
          <t xml:space="preserve">p09_overnight_persistence</t>
        </is>
      </c>
      <c r="C853" s="0" t="inlineStr">
        <is>
          <t xml:space="preserve">d20260923</t>
        </is>
      </c>
      <c r="D853" s="0" t="inlineStr">
        <is>
          <t xml:space="preserve">VTRS</t>
        </is>
      </c>
      <c r="E853" s="0" t="inlineStr">
        <is>
          <t xml:space="preserve">healthcare</t>
        </is>
      </c>
      <c r="F853" s="4">
        <v>52</v>
      </c>
    </row>
    <row r="854">
      <c r="A854" s="0" t="inlineStr">
        <is>
          <t xml:space="preserve">p09_overnight_persistence_WAY</t>
        </is>
      </c>
      <c r="B854" s="0" t="inlineStr">
        <is>
          <t xml:space="preserve">p09_overnight_persistence</t>
        </is>
      </c>
      <c r="C854" s="0" t="inlineStr">
        <is>
          <t xml:space="preserve">d20260923</t>
        </is>
      </c>
      <c r="D854" s="0" t="inlineStr">
        <is>
          <t xml:space="preserve">WAY</t>
        </is>
      </c>
      <c r="E854" s="0" t="inlineStr">
        <is>
          <t xml:space="preserve">healthcare</t>
        </is>
      </c>
      <c r="F854" s="4">
        <v>53</v>
      </c>
    </row>
    <row r="855">
      <c r="A855" s="0" t="inlineStr">
        <is>
          <t xml:space="preserve">p09_overnight_persistence_GTES</t>
        </is>
      </c>
      <c r="B855" s="0" t="inlineStr">
        <is>
          <t xml:space="preserve">p09_overnight_persistence</t>
        </is>
      </c>
      <c r="C855" s="0" t="inlineStr">
        <is>
          <t xml:space="preserve">d20260923</t>
        </is>
      </c>
      <c r="D855" s="0" t="inlineStr">
        <is>
          <t xml:space="preserve">GTES</t>
        </is>
      </c>
      <c r="E855" s="0" t="inlineStr">
        <is>
          <t xml:space="preserve">industrials</t>
        </is>
      </c>
      <c r="F855" s="4">
        <v>54</v>
      </c>
    </row>
    <row r="856">
      <c r="A856" s="0" t="inlineStr">
        <is>
          <t xml:space="preserve">p09_overnight_persistence_REGN</t>
        </is>
      </c>
      <c r="B856" s="0" t="inlineStr">
        <is>
          <t xml:space="preserve">p09_overnight_persistence</t>
        </is>
      </c>
      <c r="C856" s="0" t="inlineStr">
        <is>
          <t xml:space="preserve">d20260923</t>
        </is>
      </c>
      <c r="D856" s="0" t="inlineStr">
        <is>
          <t xml:space="preserve">REGN</t>
        </is>
      </c>
      <c r="E856" s="0" t="inlineStr">
        <is>
          <t xml:space="preserve">healthcare</t>
        </is>
      </c>
      <c r="F856" s="4">
        <v>55</v>
      </c>
    </row>
    <row r="857">
      <c r="A857" s="0" t="inlineStr">
        <is>
          <t xml:space="preserve">p09_overnight_persistence_NIQ</t>
        </is>
      </c>
      <c r="B857" s="0" t="inlineStr">
        <is>
          <t xml:space="preserve">p09_overnight_persistence</t>
        </is>
      </c>
      <c r="C857" s="0" t="inlineStr">
        <is>
          <t xml:space="preserve">d20260923</t>
        </is>
      </c>
      <c r="D857" s="0" t="inlineStr">
        <is>
          <t xml:space="preserve">NIQ</t>
        </is>
      </c>
      <c r="E857" s="0" t="inlineStr">
        <is>
          <t xml:space="preserve">technology</t>
        </is>
      </c>
      <c r="F857" s="4">
        <v>56</v>
      </c>
    </row>
    <row r="858">
      <c r="A858" s="0" t="inlineStr">
        <is>
          <t xml:space="preserve">p09_overnight_persistence_SDRL</t>
        </is>
      </c>
      <c r="B858" s="0" t="inlineStr">
        <is>
          <t xml:space="preserve">p09_overnight_persistence</t>
        </is>
      </c>
      <c r="C858" s="0" t="inlineStr">
        <is>
          <t xml:space="preserve">d20260923</t>
        </is>
      </c>
      <c r="D858" s="0" t="inlineStr">
        <is>
          <t xml:space="preserve">SDRL</t>
        </is>
      </c>
      <c r="E858" s="0" t="inlineStr">
        <is>
          <t xml:space="preserve">energy</t>
        </is>
      </c>
      <c r="F858" s="4">
        <v>57</v>
      </c>
    </row>
    <row r="859">
      <c r="A859" s="0" t="inlineStr">
        <is>
          <t xml:space="preserve">p09_overnight_persistence_EW</t>
        </is>
      </c>
      <c r="B859" s="0" t="inlineStr">
        <is>
          <t xml:space="preserve">p09_overnight_persistence</t>
        </is>
      </c>
      <c r="C859" s="0" t="inlineStr">
        <is>
          <t xml:space="preserve">d20260923</t>
        </is>
      </c>
      <c r="D859" s="0" t="inlineStr">
        <is>
          <t xml:space="preserve">EW</t>
        </is>
      </c>
      <c r="E859" s="0" t="inlineStr">
        <is>
          <t xml:space="preserve">healthcare</t>
        </is>
      </c>
      <c r="F859" s="4">
        <v>58</v>
      </c>
    </row>
    <row r="860">
      <c r="A860" s="0" t="inlineStr">
        <is>
          <t xml:space="preserve">p09_overnight_persistence_O</t>
        </is>
      </c>
      <c r="B860" s="0" t="inlineStr">
        <is>
          <t xml:space="preserve">p09_overnight_persistence</t>
        </is>
      </c>
      <c r="C860" s="0" t="inlineStr">
        <is>
          <t xml:space="preserve">d20260923</t>
        </is>
      </c>
      <c r="D860" s="0" t="inlineStr">
        <is>
          <t xml:space="preserve">O</t>
        </is>
      </c>
      <c r="E860" s="0" t="inlineStr">
        <is>
          <t xml:space="preserve">real_estate</t>
        </is>
      </c>
      <c r="F860" s="4">
        <v>59</v>
      </c>
    </row>
    <row r="861">
      <c r="A861" s="0" t="inlineStr">
        <is>
          <t xml:space="preserve">p09_overnight_persistence_MCD</t>
        </is>
      </c>
      <c r="B861" s="0" t="inlineStr">
        <is>
          <t xml:space="preserve">p09_overnight_persistence</t>
        </is>
      </c>
      <c r="C861" s="0" t="inlineStr">
        <is>
          <t xml:space="preserve">d20260923</t>
        </is>
      </c>
      <c r="D861" s="0" t="inlineStr">
        <is>
          <t xml:space="preserve">MCD</t>
        </is>
      </c>
      <c r="E861" s="0" t="inlineStr">
        <is>
          <t xml:space="preserve">consumer_cyclical</t>
        </is>
      </c>
      <c r="F861" s="4">
        <v>60</v>
      </c>
    </row>
    <row r="862">
      <c r="A862" s="0" t="inlineStr">
        <is>
          <t xml:space="preserve">p09_overnight_persistence_ARWR</t>
        </is>
      </c>
      <c r="B862" s="0" t="inlineStr">
        <is>
          <t xml:space="preserve">p09_overnight_persistence</t>
        </is>
      </c>
      <c r="C862" s="0" t="inlineStr">
        <is>
          <t xml:space="preserve">d20260923</t>
        </is>
      </c>
      <c r="D862" s="0" t="inlineStr">
        <is>
          <t xml:space="preserve">ARWR</t>
        </is>
      </c>
      <c r="E862" s="0" t="inlineStr">
        <is>
          <t xml:space="preserve">healthcare</t>
        </is>
      </c>
      <c r="F862" s="4">
        <v>61</v>
      </c>
    </row>
    <row r="863">
      <c r="A863" s="0" t="inlineStr">
        <is>
          <t xml:space="preserve">p09_overnight_persistence_TRVI</t>
        </is>
      </c>
      <c r="B863" s="0" t="inlineStr">
        <is>
          <t xml:space="preserve">p09_overnight_persistence</t>
        </is>
      </c>
      <c r="C863" s="0" t="inlineStr">
        <is>
          <t xml:space="preserve">d20260923</t>
        </is>
      </c>
      <c r="D863" s="0" t="inlineStr">
        <is>
          <t xml:space="preserve">TRVI</t>
        </is>
      </c>
      <c r="E863" s="0" t="inlineStr">
        <is>
          <t xml:space="preserve">healthcare</t>
        </is>
      </c>
      <c r="F863" s="4">
        <v>62</v>
      </c>
    </row>
    <row r="864">
      <c r="A864" s="0" t="inlineStr">
        <is>
          <t xml:space="preserve">p09_overnight_persistence_AVT</t>
        </is>
      </c>
      <c r="B864" s="0" t="inlineStr">
        <is>
          <t xml:space="preserve">p09_overnight_persistence</t>
        </is>
      </c>
      <c r="C864" s="0" t="inlineStr">
        <is>
          <t xml:space="preserve">d20260923</t>
        </is>
      </c>
      <c r="D864" s="0" t="inlineStr">
        <is>
          <t xml:space="preserve">AVT</t>
        </is>
      </c>
      <c r="E864" s="0" t="inlineStr">
        <is>
          <t xml:space="preserve">technology</t>
        </is>
      </c>
      <c r="F864" s="4">
        <v>63</v>
      </c>
    </row>
    <row r="865">
      <c r="A865" s="0" t="inlineStr">
        <is>
          <t xml:space="preserve">p09_overnight_persistence_AVGO</t>
        </is>
      </c>
      <c r="B865" s="0" t="inlineStr">
        <is>
          <t xml:space="preserve">p09_overnight_persistence</t>
        </is>
      </c>
      <c r="C865" s="0" t="inlineStr">
        <is>
          <t xml:space="preserve">d20260923</t>
        </is>
      </c>
      <c r="D865" s="0" t="inlineStr">
        <is>
          <t xml:space="preserve">AVGO</t>
        </is>
      </c>
      <c r="E865" s="0" t="inlineStr">
        <is>
          <t xml:space="preserve">technology</t>
        </is>
      </c>
      <c r="F865" s="4">
        <v>64</v>
      </c>
    </row>
    <row r="866">
      <c r="A866" s="0" t="inlineStr">
        <is>
          <t xml:space="preserve">p09_overnight_persistence_AAMI</t>
        </is>
      </c>
      <c r="B866" s="0" t="inlineStr">
        <is>
          <t xml:space="preserve">p09_overnight_persistence</t>
        </is>
      </c>
      <c r="C866" s="0" t="inlineStr">
        <is>
          <t xml:space="preserve">d20260923</t>
        </is>
      </c>
      <c r="D866" s="0" t="inlineStr">
        <is>
          <t xml:space="preserve">AAMI</t>
        </is>
      </c>
      <c r="E866" s="0" t="inlineStr">
        <is>
          <t xml:space="preserve">financial_services</t>
        </is>
      </c>
      <c r="F866" s="4">
        <v>65</v>
      </c>
    </row>
    <row r="867">
      <c r="A867" s="0" t="inlineStr">
        <is>
          <t xml:space="preserve">p09_overnight_persistence_IPGP</t>
        </is>
      </c>
      <c r="B867" s="0" t="inlineStr">
        <is>
          <t xml:space="preserve">p09_overnight_persistence</t>
        </is>
      </c>
      <c r="C867" s="0" t="inlineStr">
        <is>
          <t xml:space="preserve">d20260923</t>
        </is>
      </c>
      <c r="D867" s="0" t="inlineStr">
        <is>
          <t xml:space="preserve">IPGP</t>
        </is>
      </c>
      <c r="E867" s="0" t="inlineStr">
        <is>
          <t xml:space="preserve">technology</t>
        </is>
      </c>
      <c r="F867" s="4">
        <v>66</v>
      </c>
    </row>
    <row r="868">
      <c r="A868" s="0" t="inlineStr">
        <is>
          <t xml:space="preserve">p09_overnight_persistence_MSI</t>
        </is>
      </c>
      <c r="B868" s="0" t="inlineStr">
        <is>
          <t xml:space="preserve">p09_overnight_persistence</t>
        </is>
      </c>
      <c r="C868" s="0" t="inlineStr">
        <is>
          <t xml:space="preserve">d20260923</t>
        </is>
      </c>
      <c r="D868" s="0" t="inlineStr">
        <is>
          <t xml:space="preserve">MSI</t>
        </is>
      </c>
      <c r="E868" s="0" t="inlineStr">
        <is>
          <t xml:space="preserve">technology</t>
        </is>
      </c>
      <c r="F868" s="4">
        <v>67</v>
      </c>
    </row>
    <row r="869">
      <c r="A869" s="0" t="inlineStr">
        <is>
          <t xml:space="preserve">p09_overnight_persistence_CBSH</t>
        </is>
      </c>
      <c r="B869" s="0" t="inlineStr">
        <is>
          <t xml:space="preserve">p09_overnight_persistence</t>
        </is>
      </c>
      <c r="C869" s="0" t="inlineStr">
        <is>
          <t xml:space="preserve">d20260923</t>
        </is>
      </c>
      <c r="D869" s="0" t="inlineStr">
        <is>
          <t xml:space="preserve">CBSH</t>
        </is>
      </c>
      <c r="E869" s="0" t="inlineStr">
        <is>
          <t xml:space="preserve">financial_services</t>
        </is>
      </c>
      <c r="F869" s="4">
        <v>68</v>
      </c>
    </row>
    <row r="870">
      <c r="A870" s="0" t="inlineStr">
        <is>
          <t xml:space="preserve">p09_overnight_persistence_STLD</t>
        </is>
      </c>
      <c r="B870" s="0" t="inlineStr">
        <is>
          <t xml:space="preserve">p09_overnight_persistence</t>
        </is>
      </c>
      <c r="C870" s="0" t="inlineStr">
        <is>
          <t xml:space="preserve">d20260923</t>
        </is>
      </c>
      <c r="D870" s="0" t="inlineStr">
        <is>
          <t xml:space="preserve">STLD</t>
        </is>
      </c>
      <c r="E870" s="0" t="inlineStr">
        <is>
          <t xml:space="preserve">basic_materials</t>
        </is>
      </c>
      <c r="F870" s="4">
        <v>69</v>
      </c>
    </row>
    <row r="871">
      <c r="A871" s="0" t="inlineStr">
        <is>
          <t xml:space="preserve">p09_overnight_persistence_LYV</t>
        </is>
      </c>
      <c r="B871" s="0" t="inlineStr">
        <is>
          <t xml:space="preserve">p09_overnight_persistence</t>
        </is>
      </c>
      <c r="C871" s="0" t="inlineStr">
        <is>
          <t xml:space="preserve">d20260923</t>
        </is>
      </c>
      <c r="D871" s="0" t="inlineStr">
        <is>
          <t xml:space="preserve">LYV</t>
        </is>
      </c>
      <c r="E871" s="0" t="inlineStr">
        <is>
          <t xml:space="preserve">communication_services</t>
        </is>
      </c>
      <c r="F871" s="4">
        <v>70</v>
      </c>
    </row>
    <row r="872">
      <c r="A872" s="0" t="inlineStr">
        <is>
          <t xml:space="preserve">p09_overnight_persistence_RJF</t>
        </is>
      </c>
      <c r="B872" s="0" t="inlineStr">
        <is>
          <t xml:space="preserve">p09_overnight_persistence</t>
        </is>
      </c>
      <c r="C872" s="0" t="inlineStr">
        <is>
          <t xml:space="preserve">d20260923</t>
        </is>
      </c>
      <c r="D872" s="0" t="inlineStr">
        <is>
          <t xml:space="preserve">RJF</t>
        </is>
      </c>
      <c r="E872" s="0" t="inlineStr">
        <is>
          <t xml:space="preserve">financial_services</t>
        </is>
      </c>
      <c r="F872" s="4">
        <v>71</v>
      </c>
    </row>
    <row r="873">
      <c r="A873" s="0" t="inlineStr">
        <is>
          <t xml:space="preserve">p09_overnight_persistence_TIC</t>
        </is>
      </c>
      <c r="B873" s="0" t="inlineStr">
        <is>
          <t xml:space="preserve">p09_overnight_persistence</t>
        </is>
      </c>
      <c r="C873" s="0" t="inlineStr">
        <is>
          <t xml:space="preserve">d20260923</t>
        </is>
      </c>
      <c r="D873" s="0" t="inlineStr">
        <is>
          <t xml:space="preserve">TIC</t>
        </is>
      </c>
      <c r="E873" s="0" t="inlineStr">
        <is>
          <t xml:space="preserve">industrials</t>
        </is>
      </c>
      <c r="F873" s="4">
        <v>72</v>
      </c>
    </row>
    <row r="874">
      <c r="A874" s="0" t="inlineStr">
        <is>
          <t xml:space="preserve">p09_overnight_persistence_L</t>
        </is>
      </c>
      <c r="B874" s="0" t="inlineStr">
        <is>
          <t xml:space="preserve">p09_overnight_persistence</t>
        </is>
      </c>
      <c r="C874" s="0" t="inlineStr">
        <is>
          <t xml:space="preserve">d20260923</t>
        </is>
      </c>
      <c r="D874" s="0" t="inlineStr">
        <is>
          <t xml:space="preserve">L</t>
        </is>
      </c>
      <c r="E874" s="0" t="inlineStr">
        <is>
          <t xml:space="preserve">financial_services</t>
        </is>
      </c>
      <c r="F874" s="4">
        <v>73</v>
      </c>
    </row>
    <row r="875">
      <c r="A875" s="0" t="inlineStr">
        <is>
          <t xml:space="preserve">p09_overnight_persistence_LGND</t>
        </is>
      </c>
      <c r="B875" s="0" t="inlineStr">
        <is>
          <t xml:space="preserve">p09_overnight_persistence</t>
        </is>
      </c>
      <c r="C875" s="0" t="inlineStr">
        <is>
          <t xml:space="preserve">d20260923</t>
        </is>
      </c>
      <c r="D875" s="0" t="inlineStr">
        <is>
          <t xml:space="preserve">LGND</t>
        </is>
      </c>
      <c r="E875" s="0" t="inlineStr">
        <is>
          <t xml:space="preserve">healthcare</t>
        </is>
      </c>
      <c r="F875" s="4">
        <v>74</v>
      </c>
    </row>
    <row r="876">
      <c r="A876" s="0" t="inlineStr">
        <is>
          <t xml:space="preserve">p09_overnight_persistence_AKR</t>
        </is>
      </c>
      <c r="B876" s="0" t="inlineStr">
        <is>
          <t xml:space="preserve">p09_overnight_persistence</t>
        </is>
      </c>
      <c r="C876" s="0" t="inlineStr">
        <is>
          <t xml:space="preserve">d20260923</t>
        </is>
      </c>
      <c r="D876" s="0" t="inlineStr">
        <is>
          <t xml:space="preserve">AKR</t>
        </is>
      </c>
      <c r="E876" s="0" t="inlineStr">
        <is>
          <t xml:space="preserve">real_estate</t>
        </is>
      </c>
      <c r="F876" s="4">
        <v>75</v>
      </c>
    </row>
    <row r="877">
      <c r="A877" s="0" t="inlineStr">
        <is>
          <t xml:space="preserve">p09_overnight_persistence_ANET</t>
        </is>
      </c>
      <c r="B877" s="0" t="inlineStr">
        <is>
          <t xml:space="preserve">p09_overnight_persistence</t>
        </is>
      </c>
      <c r="C877" s="0" t="inlineStr">
        <is>
          <t xml:space="preserve">d20260923</t>
        </is>
      </c>
      <c r="D877" s="0" t="inlineStr">
        <is>
          <t xml:space="preserve">ANET</t>
        </is>
      </c>
      <c r="E877" s="0" t="inlineStr">
        <is>
          <t xml:space="preserve">technology</t>
        </is>
      </c>
      <c r="F877" s="4">
        <v>76</v>
      </c>
    </row>
    <row r="878">
      <c r="A878" s="0" t="inlineStr">
        <is>
          <t xml:space="preserve">p09_overnight_persistence_NUE</t>
        </is>
      </c>
      <c r="B878" s="0" t="inlineStr">
        <is>
          <t xml:space="preserve">p09_overnight_persistence</t>
        </is>
      </c>
      <c r="C878" s="0" t="inlineStr">
        <is>
          <t xml:space="preserve">d20260923</t>
        </is>
      </c>
      <c r="D878" s="0" t="inlineStr">
        <is>
          <t xml:space="preserve">NUE</t>
        </is>
      </c>
      <c r="E878" s="0" t="inlineStr">
        <is>
          <t xml:space="preserve">basic_materials</t>
        </is>
      </c>
      <c r="F878" s="4">
        <v>77</v>
      </c>
    </row>
    <row r="879">
      <c r="A879" s="0" t="inlineStr">
        <is>
          <t xml:space="preserve">p09_overnight_persistence_DG</t>
        </is>
      </c>
      <c r="B879" s="0" t="inlineStr">
        <is>
          <t xml:space="preserve">p09_overnight_persistence</t>
        </is>
      </c>
      <c r="C879" s="0" t="inlineStr">
        <is>
          <t xml:space="preserve">d20260923</t>
        </is>
      </c>
      <c r="D879" s="0" t="inlineStr">
        <is>
          <t xml:space="preserve">DG</t>
        </is>
      </c>
      <c r="E879" s="0" t="inlineStr">
        <is>
          <t xml:space="preserve">consumer_defensive</t>
        </is>
      </c>
      <c r="F879" s="4">
        <v>78</v>
      </c>
    </row>
    <row r="880">
      <c r="A880" s="0" t="inlineStr">
        <is>
          <t xml:space="preserve">p09_overnight_persistence_CI</t>
        </is>
      </c>
      <c r="B880" s="0" t="inlineStr">
        <is>
          <t xml:space="preserve">p09_overnight_persistence</t>
        </is>
      </c>
      <c r="C880" s="0" t="inlineStr">
        <is>
          <t xml:space="preserve">d20260923</t>
        </is>
      </c>
      <c r="D880" s="0" t="inlineStr">
        <is>
          <t xml:space="preserve">CI</t>
        </is>
      </c>
      <c r="E880" s="0" t="inlineStr">
        <is>
          <t xml:space="preserve">healthcare</t>
        </is>
      </c>
      <c r="F880" s="4">
        <v>79</v>
      </c>
    </row>
    <row r="881">
      <c r="A881" s="0" t="inlineStr">
        <is>
          <t xml:space="preserve">p09_overnight_persistence_LUMN</t>
        </is>
      </c>
      <c r="B881" s="0" t="inlineStr">
        <is>
          <t xml:space="preserve">p09_overnight_persistence</t>
        </is>
      </c>
      <c r="C881" s="0" t="inlineStr">
        <is>
          <t xml:space="preserve">d20260923</t>
        </is>
      </c>
      <c r="D881" s="0" t="inlineStr">
        <is>
          <t xml:space="preserve">LUMN</t>
        </is>
      </c>
      <c r="E881" s="0" t="inlineStr">
        <is>
          <t xml:space="preserve">communication_services</t>
        </is>
      </c>
      <c r="F881" s="4">
        <v>80</v>
      </c>
    </row>
    <row r="882">
      <c r="A882" s="0" t="inlineStr">
        <is>
          <t xml:space="preserve">p09_overnight_persistence_TNL</t>
        </is>
      </c>
      <c r="B882" s="0" t="inlineStr">
        <is>
          <t xml:space="preserve">p09_overnight_persistence</t>
        </is>
      </c>
      <c r="C882" s="0" t="inlineStr">
        <is>
          <t xml:space="preserve">d20260923</t>
        </is>
      </c>
      <c r="D882" s="0" t="inlineStr">
        <is>
          <t xml:space="preserve">TNL</t>
        </is>
      </c>
      <c r="E882" s="0" t="inlineStr">
        <is>
          <t xml:space="preserve">consumer_cyclical</t>
        </is>
      </c>
      <c r="F882" s="4">
        <v>81</v>
      </c>
    </row>
    <row r="883">
      <c r="A883" s="0" t="inlineStr">
        <is>
          <t xml:space="preserve">p09_overnight_persistence_MC</t>
        </is>
      </c>
      <c r="B883" s="0" t="inlineStr">
        <is>
          <t xml:space="preserve">p09_overnight_persistence</t>
        </is>
      </c>
      <c r="C883" s="0" t="inlineStr">
        <is>
          <t xml:space="preserve">d20260923</t>
        </is>
      </c>
      <c r="D883" s="0" t="inlineStr">
        <is>
          <t xml:space="preserve">MC</t>
        </is>
      </c>
      <c r="E883" s="0" t="inlineStr">
        <is>
          <t xml:space="preserve">financial_services</t>
        </is>
      </c>
      <c r="F883" s="4">
        <v>82</v>
      </c>
    </row>
    <row r="884">
      <c r="A884" s="0" t="inlineStr">
        <is>
          <t xml:space="preserve">p09_overnight_persistence_FRT</t>
        </is>
      </c>
      <c r="B884" s="0" t="inlineStr">
        <is>
          <t xml:space="preserve">p09_overnight_persistence</t>
        </is>
      </c>
      <c r="C884" s="0" t="inlineStr">
        <is>
          <t xml:space="preserve">d20260923</t>
        </is>
      </c>
      <c r="D884" s="0" t="inlineStr">
        <is>
          <t xml:space="preserve">FRT</t>
        </is>
      </c>
      <c r="E884" s="0" t="inlineStr">
        <is>
          <t xml:space="preserve">real_estate</t>
        </is>
      </c>
      <c r="F884" s="4">
        <v>83</v>
      </c>
    </row>
    <row r="885">
      <c r="A885" s="0" t="inlineStr">
        <is>
          <t xml:space="preserve">p09_overnight_persistence_UBER</t>
        </is>
      </c>
      <c r="B885" s="0" t="inlineStr">
        <is>
          <t xml:space="preserve">p09_overnight_persistence</t>
        </is>
      </c>
      <c r="C885" s="0" t="inlineStr">
        <is>
          <t xml:space="preserve">d20260923</t>
        </is>
      </c>
      <c r="D885" s="0" t="inlineStr">
        <is>
          <t xml:space="preserve">UBER</t>
        </is>
      </c>
      <c r="E885" s="0" t="inlineStr">
        <is>
          <t xml:space="preserve">technology</t>
        </is>
      </c>
      <c r="F885" s="4">
        <v>84</v>
      </c>
    </row>
    <row r="886">
      <c r="A886" s="0" t="inlineStr">
        <is>
          <t xml:space="preserve">p09_overnight_persistence_ADC</t>
        </is>
      </c>
      <c r="B886" s="0" t="inlineStr">
        <is>
          <t xml:space="preserve">p09_overnight_persistence</t>
        </is>
      </c>
      <c r="C886" s="0" t="inlineStr">
        <is>
          <t xml:space="preserve">d20260923</t>
        </is>
      </c>
      <c r="D886" s="0" t="inlineStr">
        <is>
          <t xml:space="preserve">ADC</t>
        </is>
      </c>
      <c r="E886" s="0" t="inlineStr">
        <is>
          <t xml:space="preserve">real_estate</t>
        </is>
      </c>
      <c r="F886" s="4">
        <v>85</v>
      </c>
    </row>
    <row r="887">
      <c r="A887" s="0" t="inlineStr">
        <is>
          <t xml:space="preserve">p09_overnight_persistence_MET</t>
        </is>
      </c>
      <c r="B887" s="0" t="inlineStr">
        <is>
          <t xml:space="preserve">p09_overnight_persistence</t>
        </is>
      </c>
      <c r="C887" s="0" t="inlineStr">
        <is>
          <t xml:space="preserve">d20260923</t>
        </is>
      </c>
      <c r="D887" s="0" t="inlineStr">
        <is>
          <t xml:space="preserve">MET</t>
        </is>
      </c>
      <c r="E887" s="0" t="inlineStr">
        <is>
          <t xml:space="preserve">financial_services</t>
        </is>
      </c>
      <c r="F887" s="4">
        <v>86</v>
      </c>
    </row>
    <row r="888">
      <c r="A888" s="0" t="inlineStr">
        <is>
          <t xml:space="preserve">p09_overnight_persistence_CCK</t>
        </is>
      </c>
      <c r="B888" s="0" t="inlineStr">
        <is>
          <t xml:space="preserve">p09_overnight_persistence</t>
        </is>
      </c>
      <c r="C888" s="0" t="inlineStr">
        <is>
          <t xml:space="preserve">d20260923</t>
        </is>
      </c>
      <c r="D888" s="0" t="inlineStr">
        <is>
          <t xml:space="preserve">CCK</t>
        </is>
      </c>
      <c r="E888" s="0" t="inlineStr">
        <is>
          <t xml:space="preserve">consumer_cyclical</t>
        </is>
      </c>
      <c r="F888" s="4">
        <v>87</v>
      </c>
    </row>
    <row r="889">
      <c r="A889" s="0" t="inlineStr">
        <is>
          <t xml:space="preserve">p09_overnight_persistence_RAL</t>
        </is>
      </c>
      <c r="B889" s="0" t="inlineStr">
        <is>
          <t xml:space="preserve">p09_overnight_persistence</t>
        </is>
      </c>
      <c r="C889" s="0" t="inlineStr">
        <is>
          <t xml:space="preserve">d20260923</t>
        </is>
      </c>
      <c r="D889" s="0" t="inlineStr">
        <is>
          <t xml:space="preserve">RAL</t>
        </is>
      </c>
      <c r="E889" s="0" t="inlineStr">
        <is>
          <t xml:space="preserve">technology</t>
        </is>
      </c>
      <c r="F889" s="4">
        <v>88</v>
      </c>
    </row>
    <row r="890">
      <c r="A890" s="0" t="inlineStr">
        <is>
          <t xml:space="preserve">p09_overnight_persistence_CENX</t>
        </is>
      </c>
      <c r="B890" s="0" t="inlineStr">
        <is>
          <t xml:space="preserve">p09_overnight_persistence</t>
        </is>
      </c>
      <c r="C890" s="0" t="inlineStr">
        <is>
          <t xml:space="preserve">d20260923</t>
        </is>
      </c>
      <c r="D890" s="0" t="inlineStr">
        <is>
          <t xml:space="preserve">CENX</t>
        </is>
      </c>
      <c r="E890" s="0" t="inlineStr">
        <is>
          <t xml:space="preserve">basic_materials</t>
        </is>
      </c>
      <c r="F890" s="4">
        <v>89</v>
      </c>
    </row>
    <row r="891">
      <c r="A891" s="0" t="inlineStr">
        <is>
          <t xml:space="preserve">p09_overnight_persistence_LOAR</t>
        </is>
      </c>
      <c r="B891" s="0" t="inlineStr">
        <is>
          <t xml:space="preserve">p09_overnight_persistence</t>
        </is>
      </c>
      <c r="C891" s="0" t="inlineStr">
        <is>
          <t xml:space="preserve">d20260923</t>
        </is>
      </c>
      <c r="D891" s="0" t="inlineStr">
        <is>
          <t xml:space="preserve">LOAR</t>
        </is>
      </c>
      <c r="E891" s="0" t="inlineStr">
        <is>
          <t xml:space="preserve">industrials</t>
        </is>
      </c>
      <c r="F891" s="4">
        <v>90</v>
      </c>
    </row>
    <row r="892">
      <c r="A892" s="0" t="inlineStr">
        <is>
          <t xml:space="preserve">p09_overnight_persistence_FOX</t>
        </is>
      </c>
      <c r="B892" s="0" t="inlineStr">
        <is>
          <t xml:space="preserve">p09_overnight_persistence</t>
        </is>
      </c>
      <c r="C892" s="0" t="inlineStr">
        <is>
          <t xml:space="preserve">d20260923</t>
        </is>
      </c>
      <c r="D892" s="0" t="inlineStr">
        <is>
          <t xml:space="preserve">FOX</t>
        </is>
      </c>
      <c r="E892" s="0" t="inlineStr">
        <is>
          <t xml:space="preserve">communication_services</t>
        </is>
      </c>
      <c r="F892" s="4">
        <v>91</v>
      </c>
    </row>
    <row r="893">
      <c r="A893" s="0" t="inlineStr">
        <is>
          <t xml:space="preserve">p09_overnight_persistence_NDAQ</t>
        </is>
      </c>
      <c r="B893" s="0" t="inlineStr">
        <is>
          <t xml:space="preserve">p09_overnight_persistence</t>
        </is>
      </c>
      <c r="C893" s="0" t="inlineStr">
        <is>
          <t xml:space="preserve">d20260923</t>
        </is>
      </c>
      <c r="D893" s="0" t="inlineStr">
        <is>
          <t xml:space="preserve">NDAQ</t>
        </is>
      </c>
      <c r="E893" s="0" t="inlineStr">
        <is>
          <t xml:space="preserve">financial_services</t>
        </is>
      </c>
      <c r="F893" s="4">
        <v>92</v>
      </c>
    </row>
    <row r="894">
      <c r="A894" s="0" t="inlineStr">
        <is>
          <t xml:space="preserve">p09_overnight_persistence_ADI</t>
        </is>
      </c>
      <c r="B894" s="0" t="inlineStr">
        <is>
          <t xml:space="preserve">p09_overnight_persistence</t>
        </is>
      </c>
      <c r="C894" s="0" t="inlineStr">
        <is>
          <t xml:space="preserve">d20260923</t>
        </is>
      </c>
      <c r="D894" s="0" t="inlineStr">
        <is>
          <t xml:space="preserve">ADI</t>
        </is>
      </c>
      <c r="E894" s="0" t="inlineStr">
        <is>
          <t xml:space="preserve">technology</t>
        </is>
      </c>
      <c r="F894" s="4">
        <v>93</v>
      </c>
    </row>
    <row r="895">
      <c r="A895" s="0" t="inlineStr">
        <is>
          <t xml:space="preserve">p09_overnight_persistence_AADX</t>
        </is>
      </c>
      <c r="B895" s="0" t="inlineStr">
        <is>
          <t xml:space="preserve">p09_overnight_persistence</t>
        </is>
      </c>
      <c r="C895" s="0" t="inlineStr">
        <is>
          <t xml:space="preserve">d20260923</t>
        </is>
      </c>
      <c r="D895" s="0" t="inlineStr">
        <is>
          <t xml:space="preserve">AADX</t>
        </is>
      </c>
      <c r="E895" s="0" t="inlineStr">
        <is>
          <t xml:space="preserve">industrials</t>
        </is>
      </c>
      <c r="F895" s="4">
        <v>94</v>
      </c>
    </row>
    <row r="896">
      <c r="A896" s="0" t="inlineStr">
        <is>
          <t xml:space="preserve">p09_overnight_persistence_OKTA</t>
        </is>
      </c>
      <c r="B896" s="0" t="inlineStr">
        <is>
          <t xml:space="preserve">p09_overnight_persistence</t>
        </is>
      </c>
      <c r="C896" s="0" t="inlineStr">
        <is>
          <t xml:space="preserve">d20260923</t>
        </is>
      </c>
      <c r="D896" s="0" t="inlineStr">
        <is>
          <t xml:space="preserve">OKTA</t>
        </is>
      </c>
      <c r="E896" s="0" t="inlineStr">
        <is>
          <t xml:space="preserve">technology</t>
        </is>
      </c>
      <c r="F896" s="4">
        <v>95</v>
      </c>
    </row>
    <row r="897">
      <c r="A897" s="0" t="inlineStr">
        <is>
          <t xml:space="preserve">p09_overnight_persistence_VAC</t>
        </is>
      </c>
      <c r="B897" s="0" t="inlineStr">
        <is>
          <t xml:space="preserve">p09_overnight_persistence</t>
        </is>
      </c>
      <c r="C897" s="0" t="inlineStr">
        <is>
          <t xml:space="preserve">d20260923</t>
        </is>
      </c>
      <c r="D897" s="0" t="inlineStr">
        <is>
          <t xml:space="preserve">VAC</t>
        </is>
      </c>
      <c r="E897" s="0" t="inlineStr">
        <is>
          <t xml:space="preserve">consumer_cyclical</t>
        </is>
      </c>
      <c r="F897" s="4">
        <v>96</v>
      </c>
    </row>
    <row r="898">
      <c r="A898" s="0" t="inlineStr">
        <is>
          <t xml:space="preserve">p09_overnight_persistence_RRR</t>
        </is>
      </c>
      <c r="B898" s="0" t="inlineStr">
        <is>
          <t xml:space="preserve">p09_overnight_persistence</t>
        </is>
      </c>
      <c r="C898" s="0" t="inlineStr">
        <is>
          <t xml:space="preserve">d20260923</t>
        </is>
      </c>
      <c r="D898" s="0" t="inlineStr">
        <is>
          <t xml:space="preserve">RRR</t>
        </is>
      </c>
      <c r="E898" s="0" t="inlineStr">
        <is>
          <t xml:space="preserve">consumer_cyclical</t>
        </is>
      </c>
      <c r="F898" s="4">
        <v>97</v>
      </c>
    </row>
    <row r="899">
      <c r="A899" s="0" t="inlineStr">
        <is>
          <t xml:space="preserve">p09_overnight_persistence_HIW</t>
        </is>
      </c>
      <c r="B899" s="0" t="inlineStr">
        <is>
          <t xml:space="preserve">p09_overnight_persistence</t>
        </is>
      </c>
      <c r="C899" s="0" t="inlineStr">
        <is>
          <t xml:space="preserve">d20260923</t>
        </is>
      </c>
      <c r="D899" s="0" t="inlineStr">
        <is>
          <t xml:space="preserve">HIW</t>
        </is>
      </c>
      <c r="E899" s="0" t="inlineStr">
        <is>
          <t xml:space="preserve">real_estate</t>
        </is>
      </c>
      <c r="F899" s="4">
        <v>98</v>
      </c>
    </row>
    <row r="900">
      <c r="A900" s="0" t="inlineStr">
        <is>
          <t xml:space="preserve">p09_overnight_persistence_LNC</t>
        </is>
      </c>
      <c r="B900" s="0" t="inlineStr">
        <is>
          <t xml:space="preserve">p09_overnight_persistence</t>
        </is>
      </c>
      <c r="C900" s="0" t="inlineStr">
        <is>
          <t xml:space="preserve">d20260923</t>
        </is>
      </c>
      <c r="D900" s="0" t="inlineStr">
        <is>
          <t xml:space="preserve">LNC</t>
        </is>
      </c>
      <c r="E900" s="0" t="inlineStr">
        <is>
          <t xml:space="preserve">financial_services</t>
        </is>
      </c>
      <c r="F900" s="4">
        <v>99</v>
      </c>
    </row>
    <row r="901">
      <c r="A901" s="0" t="inlineStr">
        <is>
          <t xml:space="preserve">p09_overnight_persistence_AMRX</t>
        </is>
      </c>
      <c r="B901" s="0" t="inlineStr">
        <is>
          <t xml:space="preserve">p09_overnight_persistence</t>
        </is>
      </c>
      <c r="C901" s="0" t="inlineStr">
        <is>
          <t xml:space="preserve">d20260923</t>
        </is>
      </c>
      <c r="D901" s="0" t="inlineStr">
        <is>
          <t xml:space="preserve">AMRX</t>
        </is>
      </c>
      <c r="E901" s="0" t="inlineStr">
        <is>
          <t xml:space="preserve">healthcare</t>
        </is>
      </c>
      <c r="F901" s="4">
        <v>100</v>
      </c>
    </row>
    <row r="902">
      <c r="A902" s="0" t="inlineStr">
        <is>
          <t xml:space="preserve">p10_52wk_high_ATKR</t>
        </is>
      </c>
      <c r="B902" s="0" t="inlineStr">
        <is>
          <t xml:space="preserve">p10_52wk_high</t>
        </is>
      </c>
      <c r="C902" s="0" t="inlineStr">
        <is>
          <t xml:space="preserve">d20260923</t>
        </is>
      </c>
      <c r="D902" s="0" t="inlineStr">
        <is>
          <t xml:space="preserve">ATKR</t>
        </is>
      </c>
      <c r="E902" s="0" t="inlineStr">
        <is>
          <t xml:space="preserve">industrials</t>
        </is>
      </c>
      <c r="F902" s="4">
        <v>1</v>
      </c>
    </row>
    <row r="903">
      <c r="A903" s="0" t="inlineStr">
        <is>
          <t xml:space="preserve">p10_52wk_high_BBY</t>
        </is>
      </c>
      <c r="B903" s="0" t="inlineStr">
        <is>
          <t xml:space="preserve">p10_52wk_high</t>
        </is>
      </c>
      <c r="C903" s="0" t="inlineStr">
        <is>
          <t xml:space="preserve">d20260923</t>
        </is>
      </c>
      <c r="D903" s="0" t="inlineStr">
        <is>
          <t xml:space="preserve">BBY</t>
        </is>
      </c>
      <c r="E903" s="0" t="inlineStr">
        <is>
          <t xml:space="preserve">consumer_cyclical</t>
        </is>
      </c>
      <c r="F903" s="4">
        <v>2</v>
      </c>
    </row>
    <row r="904">
      <c r="A904" s="0" t="inlineStr">
        <is>
          <t xml:space="preserve">p10_52wk_high_DT</t>
        </is>
      </c>
      <c r="B904" s="0" t="inlineStr">
        <is>
          <t xml:space="preserve">p10_52wk_high</t>
        </is>
      </c>
      <c r="C904" s="0" t="inlineStr">
        <is>
          <t xml:space="preserve">d20260923</t>
        </is>
      </c>
      <c r="D904" s="0" t="inlineStr">
        <is>
          <t xml:space="preserve">DT</t>
        </is>
      </c>
      <c r="E904" s="0" t="inlineStr">
        <is>
          <t xml:space="preserve">technology</t>
        </is>
      </c>
      <c r="F904" s="4">
        <v>3</v>
      </c>
    </row>
    <row r="905">
      <c r="A905" s="0" t="inlineStr">
        <is>
          <t xml:space="preserve">p10_52wk_high_AMD</t>
        </is>
      </c>
      <c r="B905" s="0" t="inlineStr">
        <is>
          <t xml:space="preserve">p10_52wk_high</t>
        </is>
      </c>
      <c r="C905" s="0" t="inlineStr">
        <is>
          <t xml:space="preserve">d20260923</t>
        </is>
      </c>
      <c r="D905" s="0" t="inlineStr">
        <is>
          <t xml:space="preserve">AMD</t>
        </is>
      </c>
      <c r="E905" s="0" t="inlineStr">
        <is>
          <t xml:space="preserve">technology</t>
        </is>
      </c>
      <c r="F905" s="4">
        <v>4</v>
      </c>
    </row>
    <row r="906">
      <c r="A906" s="0" t="inlineStr">
        <is>
          <t xml:space="preserve">p10_52wk_high_TH</t>
        </is>
      </c>
      <c r="B906" s="0" t="inlineStr">
        <is>
          <t xml:space="preserve">p10_52wk_high</t>
        </is>
      </c>
      <c r="C906" s="0" t="inlineStr">
        <is>
          <t xml:space="preserve">d20260923</t>
        </is>
      </c>
      <c r="D906" s="0" t="inlineStr">
        <is>
          <t xml:space="preserve">TH</t>
        </is>
      </c>
      <c r="E906" s="0" t="inlineStr">
        <is>
          <t xml:space="preserve">industrials</t>
        </is>
      </c>
      <c r="F906" s="4">
        <v>5</v>
      </c>
    </row>
    <row r="907">
      <c r="A907" s="0" t="inlineStr">
        <is>
          <t xml:space="preserve">p10_52wk_high_FFIV</t>
        </is>
      </c>
      <c r="B907" s="0" t="inlineStr">
        <is>
          <t xml:space="preserve">p10_52wk_high</t>
        </is>
      </c>
      <c r="C907" s="0" t="inlineStr">
        <is>
          <t xml:space="preserve">d20260923</t>
        </is>
      </c>
      <c r="D907" s="0" t="inlineStr">
        <is>
          <t xml:space="preserve">FFIV</t>
        </is>
      </c>
      <c r="E907" s="0" t="inlineStr">
        <is>
          <t xml:space="preserve">technology</t>
        </is>
      </c>
      <c r="F907" s="4">
        <v>6</v>
      </c>
    </row>
    <row r="908">
      <c r="A908" s="0" t="inlineStr">
        <is>
          <t xml:space="preserve">p10_52wk_high_RNG</t>
        </is>
      </c>
      <c r="B908" s="0" t="inlineStr">
        <is>
          <t xml:space="preserve">p10_52wk_high</t>
        </is>
      </c>
      <c r="C908" s="0" t="inlineStr">
        <is>
          <t xml:space="preserve">d20260923</t>
        </is>
      </c>
      <c r="D908" s="0" t="inlineStr">
        <is>
          <t xml:space="preserve">RNG</t>
        </is>
      </c>
      <c r="E908" s="0" t="inlineStr">
        <is>
          <t xml:space="preserve">technology</t>
        </is>
      </c>
      <c r="F908" s="4">
        <v>7</v>
      </c>
    </row>
    <row r="909">
      <c r="A909" s="0" t="inlineStr">
        <is>
          <t xml:space="preserve">p10_52wk_high_CRWD</t>
        </is>
      </c>
      <c r="B909" s="0" t="inlineStr">
        <is>
          <t xml:space="preserve">p10_52wk_high</t>
        </is>
      </c>
      <c r="C909" s="0" t="inlineStr">
        <is>
          <t xml:space="preserve">d20260923</t>
        </is>
      </c>
      <c r="D909" s="0" t="inlineStr">
        <is>
          <t xml:space="preserve">CRWD</t>
        </is>
      </c>
      <c r="E909" s="0" t="inlineStr">
        <is>
          <t xml:space="preserve">technology</t>
        </is>
      </c>
      <c r="F909" s="4">
        <v>8</v>
      </c>
    </row>
    <row r="910">
      <c r="A910" s="0" t="inlineStr">
        <is>
          <t xml:space="preserve">p10_52wk_high_TWLO</t>
        </is>
      </c>
      <c r="B910" s="0" t="inlineStr">
        <is>
          <t xml:space="preserve">p10_52wk_high</t>
        </is>
      </c>
      <c r="C910" s="0" t="inlineStr">
        <is>
          <t xml:space="preserve">d20260923</t>
        </is>
      </c>
      <c r="D910" s="0" t="inlineStr">
        <is>
          <t xml:space="preserve">TWLO</t>
        </is>
      </c>
      <c r="E910" s="0" t="inlineStr">
        <is>
          <t xml:space="preserve">technology</t>
        </is>
      </c>
      <c r="F910" s="4">
        <v>9</v>
      </c>
    </row>
    <row r="911">
      <c r="A911" s="0" t="inlineStr">
        <is>
          <t xml:space="preserve">p10_52wk_high_IOND</t>
        </is>
      </c>
      <c r="B911" s="0" t="inlineStr">
        <is>
          <t xml:space="preserve">p10_52wk_high</t>
        </is>
      </c>
      <c r="C911" s="0" t="inlineStr">
        <is>
          <t xml:space="preserve">d20260923</t>
        </is>
      </c>
      <c r="D911" s="0" t="inlineStr">
        <is>
          <t xml:space="preserve">IOND</t>
        </is>
      </c>
      <c r="E911" s="0" t="inlineStr">
        <is>
          <t xml:space="preserve">technology</t>
        </is>
      </c>
      <c r="F911" s="4">
        <v>10</v>
      </c>
    </row>
    <row r="912">
      <c r="A912" s="0" t="inlineStr">
        <is>
          <t xml:space="preserve">p10_52wk_high_OKTA</t>
        </is>
      </c>
      <c r="B912" s="0" t="inlineStr">
        <is>
          <t xml:space="preserve">p10_52wk_high</t>
        </is>
      </c>
      <c r="C912" s="0" t="inlineStr">
        <is>
          <t xml:space="preserve">d20260923</t>
        </is>
      </c>
      <c r="D912" s="0" t="inlineStr">
        <is>
          <t xml:space="preserve">OKTA</t>
        </is>
      </c>
      <c r="E912" s="0" t="inlineStr">
        <is>
          <t xml:space="preserve">technology</t>
        </is>
      </c>
      <c r="F912" s="4">
        <v>11</v>
      </c>
    </row>
    <row r="913">
      <c r="A913" s="0" t="inlineStr">
        <is>
          <t xml:space="preserve">p10_52wk_high_FTNT</t>
        </is>
      </c>
      <c r="B913" s="0" t="inlineStr">
        <is>
          <t xml:space="preserve">p10_52wk_high</t>
        </is>
      </c>
      <c r="C913" s="0" t="inlineStr">
        <is>
          <t xml:space="preserve">d20260923</t>
        </is>
      </c>
      <c r="D913" s="0" t="inlineStr">
        <is>
          <t xml:space="preserve">FTNT</t>
        </is>
      </c>
      <c r="E913" s="0" t="inlineStr">
        <is>
          <t xml:space="preserve">technology</t>
        </is>
      </c>
      <c r="F913" s="4">
        <v>12</v>
      </c>
    </row>
    <row r="914">
      <c r="A914" s="0" t="inlineStr">
        <is>
          <t xml:space="preserve">p10_52wk_high_NET</t>
        </is>
      </c>
      <c r="B914" s="0" t="inlineStr">
        <is>
          <t xml:space="preserve">p10_52wk_high</t>
        </is>
      </c>
      <c r="C914" s="0" t="inlineStr">
        <is>
          <t xml:space="preserve">d20260923</t>
        </is>
      </c>
      <c r="D914" s="0" t="inlineStr">
        <is>
          <t xml:space="preserve">NET</t>
        </is>
      </c>
      <c r="E914" s="0" t="inlineStr">
        <is>
          <t xml:space="preserve">technology</t>
        </is>
      </c>
      <c r="F914" s="4">
        <v>13</v>
      </c>
    </row>
    <row r="915">
      <c r="A915" s="0" t="inlineStr">
        <is>
          <t xml:space="preserve">p10_52wk_high_AAPL</t>
        </is>
      </c>
      <c r="B915" s="0" t="inlineStr">
        <is>
          <t xml:space="preserve">p10_52wk_high</t>
        </is>
      </c>
      <c r="C915" s="0" t="inlineStr">
        <is>
          <t xml:space="preserve">d20260923</t>
        </is>
      </c>
      <c r="D915" s="0" t="inlineStr">
        <is>
          <t xml:space="preserve">AAPL</t>
        </is>
      </c>
      <c r="E915" s="0" t="inlineStr">
        <is>
          <t xml:space="preserve">technology</t>
        </is>
      </c>
      <c r="F915" s="4">
        <v>14</v>
      </c>
    </row>
    <row r="916">
      <c r="A916" s="0" t="inlineStr">
        <is>
          <t xml:space="preserve">p10_52wk_high_S</t>
        </is>
      </c>
      <c r="B916" s="0" t="inlineStr">
        <is>
          <t xml:space="preserve">p10_52wk_high</t>
        </is>
      </c>
      <c r="C916" s="0" t="inlineStr">
        <is>
          <t xml:space="preserve">d20260923</t>
        </is>
      </c>
      <c r="D916" s="0" t="inlineStr">
        <is>
          <t xml:space="preserve">S</t>
        </is>
      </c>
      <c r="E916" s="0" t="inlineStr">
        <is>
          <t xml:space="preserve">technology</t>
        </is>
      </c>
      <c r="F916" s="4">
        <v>15</v>
      </c>
    </row>
    <row r="917">
      <c r="A917" s="0" t="inlineStr">
        <is>
          <t xml:space="preserve">p10_52wk_high_RBRK</t>
        </is>
      </c>
      <c r="B917" s="0" t="inlineStr">
        <is>
          <t xml:space="preserve">p10_52wk_high</t>
        </is>
      </c>
      <c r="C917" s="0" t="inlineStr">
        <is>
          <t xml:space="preserve">d20260923</t>
        </is>
      </c>
      <c r="D917" s="0" t="inlineStr">
        <is>
          <t xml:space="preserve">RBRK</t>
        </is>
      </c>
      <c r="E917" s="0" t="inlineStr">
        <is>
          <t xml:space="preserve">technology</t>
        </is>
      </c>
      <c r="F917" s="4">
        <v>16</v>
      </c>
    </row>
    <row r="918">
      <c r="A918" s="0" t="inlineStr">
        <is>
          <t xml:space="preserve">p10_52wk_high_QRVO</t>
        </is>
      </c>
      <c r="B918" s="0" t="inlineStr">
        <is>
          <t xml:space="preserve">p10_52wk_high</t>
        </is>
      </c>
      <c r="C918" s="0" t="inlineStr">
        <is>
          <t xml:space="preserve">d20260923</t>
        </is>
      </c>
      <c r="D918" s="0" t="inlineStr">
        <is>
          <t xml:space="preserve">QRVO</t>
        </is>
      </c>
      <c r="E918" s="0" t="inlineStr">
        <is>
          <t xml:space="preserve">technology</t>
        </is>
      </c>
      <c r="F918" s="4">
        <v>17</v>
      </c>
    </row>
    <row r="919">
      <c r="A919" s="0" t="inlineStr">
        <is>
          <t xml:space="preserve">p10_52wk_high_FIVN</t>
        </is>
      </c>
      <c r="B919" s="0" t="inlineStr">
        <is>
          <t xml:space="preserve">p10_52wk_high</t>
        </is>
      </c>
      <c r="C919" s="0" t="inlineStr">
        <is>
          <t xml:space="preserve">d20260923</t>
        </is>
      </c>
      <c r="D919" s="0" t="inlineStr">
        <is>
          <t xml:space="preserve">FIVN</t>
        </is>
      </c>
      <c r="E919" s="0" t="inlineStr">
        <is>
          <t xml:space="preserve">technology</t>
        </is>
      </c>
      <c r="F919" s="4">
        <v>18</v>
      </c>
    </row>
    <row r="920">
      <c r="A920" s="0" t="inlineStr">
        <is>
          <t xml:space="preserve">p10_52wk_high_SDGR</t>
        </is>
      </c>
      <c r="B920" s="0" t="inlineStr">
        <is>
          <t xml:space="preserve">p10_52wk_high</t>
        </is>
      </c>
      <c r="C920" s="0" t="inlineStr">
        <is>
          <t xml:space="preserve">d20260923</t>
        </is>
      </c>
      <c r="D920" s="0" t="inlineStr">
        <is>
          <t xml:space="preserve">SDGR</t>
        </is>
      </c>
      <c r="E920" s="0" t="inlineStr">
        <is>
          <t xml:space="preserve">technology</t>
        </is>
      </c>
      <c r="F920" s="4">
        <v>19</v>
      </c>
    </row>
    <row r="921">
      <c r="A921" s="0" t="inlineStr">
        <is>
          <t xml:space="preserve">p10_52wk_high_WBD</t>
        </is>
      </c>
      <c r="B921" s="0" t="inlineStr">
        <is>
          <t xml:space="preserve">p10_52wk_high</t>
        </is>
      </c>
      <c r="C921" s="0" t="inlineStr">
        <is>
          <t xml:space="preserve">d20260923</t>
        </is>
      </c>
      <c r="D921" s="0" t="inlineStr">
        <is>
          <t xml:space="preserve">WBD</t>
        </is>
      </c>
      <c r="E921" s="0" t="inlineStr">
        <is>
          <t xml:space="preserve">communication_services</t>
        </is>
      </c>
      <c r="F921" s="4">
        <v>20</v>
      </c>
    </row>
    <row r="922">
      <c r="A922" s="0" t="inlineStr">
        <is>
          <t xml:space="preserve">p10_52wk_high_ZD</t>
        </is>
      </c>
      <c r="B922" s="0" t="inlineStr">
        <is>
          <t xml:space="preserve">p10_52wk_high</t>
        </is>
      </c>
      <c r="C922" s="0" t="inlineStr">
        <is>
          <t xml:space="preserve">d20260923</t>
        </is>
      </c>
      <c r="D922" s="0" t="inlineStr">
        <is>
          <t xml:space="preserve">ZD</t>
        </is>
      </c>
      <c r="E922" s="0" t="inlineStr">
        <is>
          <t xml:space="preserve">communication_services</t>
        </is>
      </c>
      <c r="F922" s="4">
        <v>21</v>
      </c>
    </row>
    <row r="923">
      <c r="A923" s="0" t="inlineStr">
        <is>
          <t xml:space="preserve">p10_52wk_high_CLMT</t>
        </is>
      </c>
      <c r="B923" s="0" t="inlineStr">
        <is>
          <t xml:space="preserve">p10_52wk_high</t>
        </is>
      </c>
      <c r="C923" s="0" t="inlineStr">
        <is>
          <t xml:space="preserve">d20260923</t>
        </is>
      </c>
      <c r="D923" s="0" t="inlineStr">
        <is>
          <t xml:space="preserve">CLMT</t>
        </is>
      </c>
      <c r="E923" s="0" t="inlineStr">
        <is>
          <t xml:space="preserve">basic_materials</t>
        </is>
      </c>
      <c r="F923" s="4">
        <v>22</v>
      </c>
    </row>
    <row r="924">
      <c r="A924" s="0" t="inlineStr">
        <is>
          <t xml:space="preserve">p10_52wk_high_INSW</t>
        </is>
      </c>
      <c r="B924" s="0" t="inlineStr">
        <is>
          <t xml:space="preserve">p10_52wk_high</t>
        </is>
      </c>
      <c r="C924" s="0" t="inlineStr">
        <is>
          <t xml:space="preserve">d20260923</t>
        </is>
      </c>
      <c r="D924" s="0" t="inlineStr">
        <is>
          <t xml:space="preserve">INSW</t>
        </is>
      </c>
      <c r="E924" s="0" t="inlineStr">
        <is>
          <t xml:space="preserve">industrials</t>
        </is>
      </c>
      <c r="F924" s="4">
        <v>23</v>
      </c>
    </row>
    <row r="925">
      <c r="A925" s="0" t="inlineStr">
        <is>
          <t xml:space="preserve">p10_52wk_high_NSIT</t>
        </is>
      </c>
      <c r="B925" s="0" t="inlineStr">
        <is>
          <t xml:space="preserve">p10_52wk_high</t>
        </is>
      </c>
      <c r="C925" s="0" t="inlineStr">
        <is>
          <t xml:space="preserve">d20260923</t>
        </is>
      </c>
      <c r="D925" s="0" t="inlineStr">
        <is>
          <t xml:space="preserve">NSIT</t>
        </is>
      </c>
      <c r="E925" s="0" t="inlineStr">
        <is>
          <t xml:space="preserve">technology</t>
        </is>
      </c>
      <c r="F925" s="4">
        <v>24</v>
      </c>
    </row>
    <row r="926">
      <c r="A926" s="0" t="inlineStr">
        <is>
          <t xml:space="preserve">p10_52wk_high_DELL</t>
        </is>
      </c>
      <c r="B926" s="0" t="inlineStr">
        <is>
          <t xml:space="preserve">p10_52wk_high</t>
        </is>
      </c>
      <c r="C926" s="0" t="inlineStr">
        <is>
          <t xml:space="preserve">d20260923</t>
        </is>
      </c>
      <c r="D926" s="0" t="inlineStr">
        <is>
          <t xml:space="preserve">DELL</t>
        </is>
      </c>
      <c r="E926" s="0" t="inlineStr">
        <is>
          <t xml:space="preserve">technology</t>
        </is>
      </c>
      <c r="F926" s="4">
        <v>25</v>
      </c>
    </row>
    <row r="927">
      <c r="A927" s="0" t="inlineStr">
        <is>
          <t xml:space="preserve">p10_52wk_high_DBRG</t>
        </is>
      </c>
      <c r="B927" s="0" t="inlineStr">
        <is>
          <t xml:space="preserve">p10_52wk_high</t>
        </is>
      </c>
      <c r="C927" s="0" t="inlineStr">
        <is>
          <t xml:space="preserve">d20260923</t>
        </is>
      </c>
      <c r="D927" s="0" t="inlineStr">
        <is>
          <t xml:space="preserve">DBRG</t>
        </is>
      </c>
      <c r="E927" s="0" t="inlineStr">
        <is>
          <t xml:space="preserve">financial_services</t>
        </is>
      </c>
      <c r="F927" s="4">
        <v>26</v>
      </c>
    </row>
    <row r="928">
      <c r="A928" s="0" t="inlineStr">
        <is>
          <t xml:space="preserve">p10_52wk_high_SMTC</t>
        </is>
      </c>
      <c r="B928" s="0" t="inlineStr">
        <is>
          <t xml:space="preserve">p10_52wk_high</t>
        </is>
      </c>
      <c r="C928" s="0" t="inlineStr">
        <is>
          <t xml:space="preserve">d20260923</t>
        </is>
      </c>
      <c r="D928" s="0" t="inlineStr">
        <is>
          <t xml:space="preserve">SMTC</t>
        </is>
      </c>
      <c r="E928" s="0" t="inlineStr">
        <is>
          <t xml:space="preserve">technology</t>
        </is>
      </c>
      <c r="F928" s="4">
        <v>27</v>
      </c>
    </row>
    <row r="929">
      <c r="A929" s="0" t="inlineStr">
        <is>
          <t xml:space="preserve">p10_52wk_high_MGNI</t>
        </is>
      </c>
      <c r="B929" s="0" t="inlineStr">
        <is>
          <t xml:space="preserve">p10_52wk_high</t>
        </is>
      </c>
      <c r="C929" s="0" t="inlineStr">
        <is>
          <t xml:space="preserve">d20260923</t>
        </is>
      </c>
      <c r="D929" s="0" t="inlineStr">
        <is>
          <t xml:space="preserve">MGNI</t>
        </is>
      </c>
      <c r="E929" s="0" t="inlineStr">
        <is>
          <t xml:space="preserve">communication_services</t>
        </is>
      </c>
      <c r="F929" s="4">
        <v>28</v>
      </c>
    </row>
    <row r="930">
      <c r="A930" s="0" t="inlineStr">
        <is>
          <t xml:space="preserve">p10_52wk_high_LTC</t>
        </is>
      </c>
      <c r="B930" s="0" t="inlineStr">
        <is>
          <t xml:space="preserve">p10_52wk_high</t>
        </is>
      </c>
      <c r="C930" s="0" t="inlineStr">
        <is>
          <t xml:space="preserve">d20260923</t>
        </is>
      </c>
      <c r="D930" s="0" t="inlineStr">
        <is>
          <t xml:space="preserve">LTC</t>
        </is>
      </c>
      <c r="E930" s="0" t="inlineStr">
        <is>
          <t xml:space="preserve">real_estate</t>
        </is>
      </c>
      <c r="F930" s="4">
        <v>29</v>
      </c>
    </row>
    <row r="931">
      <c r="A931" s="0" t="inlineStr">
        <is>
          <t xml:space="preserve">p10_52wk_high_HALO</t>
        </is>
      </c>
      <c r="B931" s="0" t="inlineStr">
        <is>
          <t xml:space="preserve">p10_52wk_high</t>
        </is>
      </c>
      <c r="C931" s="0" t="inlineStr">
        <is>
          <t xml:space="preserve">d20260923</t>
        </is>
      </c>
      <c r="D931" s="0" t="inlineStr">
        <is>
          <t xml:space="preserve">HALO</t>
        </is>
      </c>
      <c r="E931" s="0" t="inlineStr">
        <is>
          <t xml:space="preserve">healthcare</t>
        </is>
      </c>
      <c r="F931" s="4">
        <v>30</v>
      </c>
    </row>
    <row r="932">
      <c r="A932" s="0" t="inlineStr">
        <is>
          <t xml:space="preserve">p10_52wk_high_TECH</t>
        </is>
      </c>
      <c r="B932" s="0" t="inlineStr">
        <is>
          <t xml:space="preserve">p10_52wk_high</t>
        </is>
      </c>
      <c r="C932" s="0" t="inlineStr">
        <is>
          <t xml:space="preserve">d20260923</t>
        </is>
      </c>
      <c r="D932" s="0" t="inlineStr">
        <is>
          <t xml:space="preserve">TECH</t>
        </is>
      </c>
      <c r="E932" s="0" t="inlineStr">
        <is>
          <t xml:space="preserve">healthcare</t>
        </is>
      </c>
      <c r="F932" s="4">
        <v>31</v>
      </c>
    </row>
    <row r="933">
      <c r="A933" s="0" t="inlineStr">
        <is>
          <t xml:space="preserve">p10_52wk_high_A</t>
        </is>
      </c>
      <c r="B933" s="0" t="inlineStr">
        <is>
          <t xml:space="preserve">p10_52wk_high</t>
        </is>
      </c>
      <c r="C933" s="0" t="inlineStr">
        <is>
          <t xml:space="preserve">d20260923</t>
        </is>
      </c>
      <c r="D933" s="0" t="inlineStr">
        <is>
          <t xml:space="preserve">A</t>
        </is>
      </c>
      <c r="E933" s="0" t="inlineStr">
        <is>
          <t xml:space="preserve">healthcare</t>
        </is>
      </c>
      <c r="F933" s="4">
        <v>32</v>
      </c>
    </row>
    <row r="934">
      <c r="A934" s="0" t="inlineStr">
        <is>
          <t xml:space="preserve">p10_52wk_high_NTRA</t>
        </is>
      </c>
      <c r="B934" s="0" t="inlineStr">
        <is>
          <t xml:space="preserve">p10_52wk_high</t>
        </is>
      </c>
      <c r="C934" s="0" t="inlineStr">
        <is>
          <t xml:space="preserve">d20260923</t>
        </is>
      </c>
      <c r="D934" s="0" t="inlineStr">
        <is>
          <t xml:space="preserve">NTRA</t>
        </is>
      </c>
      <c r="E934" s="0" t="inlineStr">
        <is>
          <t xml:space="preserve">healthcare</t>
        </is>
      </c>
      <c r="F934" s="4">
        <v>33</v>
      </c>
    </row>
    <row r="935">
      <c r="A935" s="0" t="inlineStr">
        <is>
          <t xml:space="preserve">p10_52wk_high_BIIB</t>
        </is>
      </c>
      <c r="B935" s="0" t="inlineStr">
        <is>
          <t xml:space="preserve">p10_52wk_high</t>
        </is>
      </c>
      <c r="C935" s="0" t="inlineStr">
        <is>
          <t xml:space="preserve">d20260923</t>
        </is>
      </c>
      <c r="D935" s="0" t="inlineStr">
        <is>
          <t xml:space="preserve">BIIB</t>
        </is>
      </c>
      <c r="E935" s="0" t="inlineStr">
        <is>
          <t xml:space="preserve">healthcare</t>
        </is>
      </c>
      <c r="F935" s="4">
        <v>34</v>
      </c>
    </row>
    <row r="936">
      <c r="A936" s="0" t="inlineStr">
        <is>
          <t xml:space="preserve">p10_52wk_high_CDNA</t>
        </is>
      </c>
      <c r="B936" s="0" t="inlineStr">
        <is>
          <t xml:space="preserve">p10_52wk_high</t>
        </is>
      </c>
      <c r="C936" s="0" t="inlineStr">
        <is>
          <t xml:space="preserve">d20260923</t>
        </is>
      </c>
      <c r="D936" s="0" t="inlineStr">
        <is>
          <t xml:space="preserve">CDNA</t>
        </is>
      </c>
      <c r="E936" s="0" t="inlineStr">
        <is>
          <t xml:space="preserve">healthcare</t>
        </is>
      </c>
      <c r="F936" s="4">
        <v>35</v>
      </c>
    </row>
    <row r="937">
      <c r="A937" s="0" t="inlineStr">
        <is>
          <t xml:space="preserve">p10_52wk_high_TMO</t>
        </is>
      </c>
      <c r="B937" s="0" t="inlineStr">
        <is>
          <t xml:space="preserve">p10_52wk_high</t>
        </is>
      </c>
      <c r="C937" s="0" t="inlineStr">
        <is>
          <t xml:space="preserve">d20260923</t>
        </is>
      </c>
      <c r="D937" s="0" t="inlineStr">
        <is>
          <t xml:space="preserve">TMO</t>
        </is>
      </c>
      <c r="E937" s="0" t="inlineStr">
        <is>
          <t xml:space="preserve">healthcare</t>
        </is>
      </c>
      <c r="F937" s="4">
        <v>36</v>
      </c>
    </row>
    <row r="938">
      <c r="A938" s="0" t="inlineStr">
        <is>
          <t xml:space="preserve">p10_52wk_high_ILMN</t>
        </is>
      </c>
      <c r="B938" s="0" t="inlineStr">
        <is>
          <t xml:space="preserve">p10_52wk_high</t>
        </is>
      </c>
      <c r="C938" s="0" t="inlineStr">
        <is>
          <t xml:space="preserve">d20260923</t>
        </is>
      </c>
      <c r="D938" s="0" t="inlineStr">
        <is>
          <t xml:space="preserve">ILMN</t>
        </is>
      </c>
      <c r="E938" s="0" t="inlineStr">
        <is>
          <t xml:space="preserve">healthcare</t>
        </is>
      </c>
      <c r="F938" s="4">
        <v>37</v>
      </c>
    </row>
    <row r="939">
      <c r="A939" s="0" t="inlineStr">
        <is>
          <t xml:space="preserve">p10_52wk_high_CVI</t>
        </is>
      </c>
      <c r="B939" s="0" t="inlineStr">
        <is>
          <t xml:space="preserve">p10_52wk_high</t>
        </is>
      </c>
      <c r="C939" s="0" t="inlineStr">
        <is>
          <t xml:space="preserve">d20260923</t>
        </is>
      </c>
      <c r="D939" s="0" t="inlineStr">
        <is>
          <t xml:space="preserve">CVI</t>
        </is>
      </c>
      <c r="E939" s="0" t="inlineStr">
        <is>
          <t xml:space="preserve">energy</t>
        </is>
      </c>
      <c r="F939" s="4">
        <v>38</v>
      </c>
    </row>
    <row r="940">
      <c r="A940" s="0" t="inlineStr">
        <is>
          <t xml:space="preserve">p10_52wk_high_IQV</t>
        </is>
      </c>
      <c r="B940" s="0" t="inlineStr">
        <is>
          <t xml:space="preserve">p10_52wk_high</t>
        </is>
      </c>
      <c r="C940" s="0" t="inlineStr">
        <is>
          <t xml:space="preserve">d20260923</t>
        </is>
      </c>
      <c r="D940" s="0" t="inlineStr">
        <is>
          <t xml:space="preserve">IQV</t>
        </is>
      </c>
      <c r="E940" s="0" t="inlineStr">
        <is>
          <t xml:space="preserve">healthcare</t>
        </is>
      </c>
      <c r="F940" s="4">
        <v>39</v>
      </c>
    </row>
    <row r="941">
      <c r="A941" s="0" t="inlineStr">
        <is>
          <t xml:space="preserve">p10_52wk_high_NEOG</t>
        </is>
      </c>
      <c r="B941" s="0" t="inlineStr">
        <is>
          <t xml:space="preserve">p10_52wk_high</t>
        </is>
      </c>
      <c r="C941" s="0" t="inlineStr">
        <is>
          <t xml:space="preserve">d20260923</t>
        </is>
      </c>
      <c r="D941" s="0" t="inlineStr">
        <is>
          <t xml:space="preserve">NEOG</t>
        </is>
      </c>
      <c r="E941" s="0" t="inlineStr">
        <is>
          <t xml:space="preserve">healthcare</t>
        </is>
      </c>
      <c r="F941" s="4">
        <v>40</v>
      </c>
    </row>
    <row r="942">
      <c r="A942" s="0" t="inlineStr">
        <is>
          <t xml:space="preserve">p10_52wk_high_WAT</t>
        </is>
      </c>
      <c r="B942" s="0" t="inlineStr">
        <is>
          <t xml:space="preserve">p10_52wk_high</t>
        </is>
      </c>
      <c r="C942" s="0" t="inlineStr">
        <is>
          <t xml:space="preserve">d20260923</t>
        </is>
      </c>
      <c r="D942" s="0" t="inlineStr">
        <is>
          <t xml:space="preserve">WAT</t>
        </is>
      </c>
      <c r="E942" s="0" t="inlineStr">
        <is>
          <t xml:space="preserve">healthcare</t>
        </is>
      </c>
      <c r="F942" s="4">
        <v>41</v>
      </c>
    </row>
    <row r="943">
      <c r="A943" s="0" t="inlineStr">
        <is>
          <t xml:space="preserve">p10_52wk_high_HAE</t>
        </is>
      </c>
      <c r="B943" s="0" t="inlineStr">
        <is>
          <t xml:space="preserve">p10_52wk_high</t>
        </is>
      </c>
      <c r="C943" s="0" t="inlineStr">
        <is>
          <t xml:space="preserve">d20260923</t>
        </is>
      </c>
      <c r="D943" s="0" t="inlineStr">
        <is>
          <t xml:space="preserve">HAE</t>
        </is>
      </c>
      <c r="E943" s="0" t="inlineStr">
        <is>
          <t xml:space="preserve">healthcare</t>
        </is>
      </c>
      <c r="F943" s="4">
        <v>42</v>
      </c>
    </row>
    <row r="944">
      <c r="A944" s="0" t="inlineStr">
        <is>
          <t xml:space="preserve">p10_52wk_high_ATRC</t>
        </is>
      </c>
      <c r="B944" s="0" t="inlineStr">
        <is>
          <t xml:space="preserve">p10_52wk_high</t>
        </is>
      </c>
      <c r="C944" s="0" t="inlineStr">
        <is>
          <t xml:space="preserve">d20260923</t>
        </is>
      </c>
      <c r="D944" s="0" t="inlineStr">
        <is>
          <t xml:space="preserve">ATRC</t>
        </is>
      </c>
      <c r="E944" s="0" t="inlineStr">
        <is>
          <t xml:space="preserve">healthcare</t>
        </is>
      </c>
      <c r="F944" s="4">
        <v>43</v>
      </c>
    </row>
    <row r="945">
      <c r="A945" s="0" t="inlineStr">
        <is>
          <t xml:space="preserve">p10_52wk_high_PGEN</t>
        </is>
      </c>
      <c r="B945" s="0" t="inlineStr">
        <is>
          <t xml:space="preserve">p10_52wk_high</t>
        </is>
      </c>
      <c r="C945" s="0" t="inlineStr">
        <is>
          <t xml:space="preserve">d20260923</t>
        </is>
      </c>
      <c r="D945" s="0" t="inlineStr">
        <is>
          <t xml:space="preserve">PGEN</t>
        </is>
      </c>
      <c r="E945" s="0" t="inlineStr">
        <is>
          <t xml:space="preserve">healthcare</t>
        </is>
      </c>
      <c r="F945" s="4">
        <v>44</v>
      </c>
    </row>
    <row r="946">
      <c r="A946" s="0" t="inlineStr">
        <is>
          <t xml:space="preserve">p10_52wk_high_CRBG</t>
        </is>
      </c>
      <c r="B946" s="0" t="inlineStr">
        <is>
          <t xml:space="preserve">p10_52wk_high</t>
        </is>
      </c>
      <c r="C946" s="0" t="inlineStr">
        <is>
          <t xml:space="preserve">d20260923</t>
        </is>
      </c>
      <c r="D946" s="0" t="inlineStr">
        <is>
          <t xml:space="preserve">CRBG</t>
        </is>
      </c>
      <c r="E946" s="0" t="inlineStr">
        <is>
          <t xml:space="preserve">financial_services</t>
        </is>
      </c>
      <c r="F946" s="4">
        <v>45</v>
      </c>
    </row>
    <row r="947">
      <c r="A947" s="0" t="inlineStr">
        <is>
          <t xml:space="preserve">p10_52wk_high_TXG</t>
        </is>
      </c>
      <c r="B947" s="0" t="inlineStr">
        <is>
          <t xml:space="preserve">p10_52wk_high</t>
        </is>
      </c>
      <c r="C947" s="0" t="inlineStr">
        <is>
          <t xml:space="preserve">d20260923</t>
        </is>
      </c>
      <c r="D947" s="0" t="inlineStr">
        <is>
          <t xml:space="preserve">TXG</t>
        </is>
      </c>
      <c r="E947" s="0" t="inlineStr">
        <is>
          <t xml:space="preserve">healthcare</t>
        </is>
      </c>
      <c r="F947" s="4">
        <v>46</v>
      </c>
    </row>
    <row r="948">
      <c r="A948" s="0" t="inlineStr">
        <is>
          <t xml:space="preserve">p10_52wk_high_MRNA</t>
        </is>
      </c>
      <c r="B948" s="0" t="inlineStr">
        <is>
          <t xml:space="preserve">p10_52wk_high</t>
        </is>
      </c>
      <c r="C948" s="0" t="inlineStr">
        <is>
          <t xml:space="preserve">d20260923</t>
        </is>
      </c>
      <c r="D948" s="0" t="inlineStr">
        <is>
          <t xml:space="preserve">MRNA</t>
        </is>
      </c>
      <c r="E948" s="0" t="inlineStr">
        <is>
          <t xml:space="preserve">healthcare</t>
        </is>
      </c>
      <c r="F948" s="4">
        <v>47</v>
      </c>
    </row>
    <row r="949">
      <c r="A949" s="0" t="inlineStr">
        <is>
          <t xml:space="preserve">p10_52wk_high_ADPT</t>
        </is>
      </c>
      <c r="B949" s="0" t="inlineStr">
        <is>
          <t xml:space="preserve">p10_52wk_high</t>
        </is>
      </c>
      <c r="C949" s="0" t="inlineStr">
        <is>
          <t xml:space="preserve">d20260923</t>
        </is>
      </c>
      <c r="D949" s="0" t="inlineStr">
        <is>
          <t xml:space="preserve">ADPT</t>
        </is>
      </c>
      <c r="E949" s="0" t="inlineStr">
        <is>
          <t xml:space="preserve">healthcare</t>
        </is>
      </c>
      <c r="F949" s="4">
        <v>48</v>
      </c>
    </row>
    <row r="950">
      <c r="A950" s="0" t="inlineStr">
        <is>
          <t xml:space="preserve">p10_52wk_high_HNGE</t>
        </is>
      </c>
      <c r="B950" s="0" t="inlineStr">
        <is>
          <t xml:space="preserve">p10_52wk_high</t>
        </is>
      </c>
      <c r="C950" s="0" t="inlineStr">
        <is>
          <t xml:space="preserve">d20260923</t>
        </is>
      </c>
      <c r="D950" s="0" t="inlineStr">
        <is>
          <t xml:space="preserve">HNGE</t>
        </is>
      </c>
      <c r="E950" s="0" t="inlineStr">
        <is>
          <t xml:space="preserve">healthcare</t>
        </is>
      </c>
      <c r="F950" s="4">
        <v>49</v>
      </c>
    </row>
    <row r="951">
      <c r="A951" s="0" t="inlineStr">
        <is>
          <t xml:space="preserve">p10_52wk_high_IOVA</t>
        </is>
      </c>
      <c r="B951" s="0" t="inlineStr">
        <is>
          <t xml:space="preserve">p10_52wk_high</t>
        </is>
      </c>
      <c r="C951" s="0" t="inlineStr">
        <is>
          <t xml:space="preserve">d20260923</t>
        </is>
      </c>
      <c r="D951" s="0" t="inlineStr">
        <is>
          <t xml:space="preserve">IOVA</t>
        </is>
      </c>
      <c r="E951" s="0" t="inlineStr">
        <is>
          <t xml:space="preserve">healthcare</t>
        </is>
      </c>
      <c r="F951" s="4">
        <v>50</v>
      </c>
    </row>
    <row r="952">
      <c r="A952" s="0" t="inlineStr">
        <is>
          <t xml:space="preserve">p10_52wk_high_GH</t>
        </is>
      </c>
      <c r="B952" s="0" t="inlineStr">
        <is>
          <t xml:space="preserve">p10_52wk_high</t>
        </is>
      </c>
      <c r="C952" s="0" t="inlineStr">
        <is>
          <t xml:space="preserve">d20260923</t>
        </is>
      </c>
      <c r="D952" s="0" t="inlineStr">
        <is>
          <t xml:space="preserve">GH</t>
        </is>
      </c>
      <c r="E952" s="0" t="inlineStr">
        <is>
          <t xml:space="preserve">healthcare</t>
        </is>
      </c>
      <c r="F952" s="4">
        <v>51</v>
      </c>
    </row>
    <row r="953">
      <c r="A953" s="0" t="inlineStr">
        <is>
          <t xml:space="preserve">p10_52wk_high_TWST</t>
        </is>
      </c>
      <c r="B953" s="0" t="inlineStr">
        <is>
          <t xml:space="preserve">p10_52wk_high</t>
        </is>
      </c>
      <c r="C953" s="0" t="inlineStr">
        <is>
          <t xml:space="preserve">d20260923</t>
        </is>
      </c>
      <c r="D953" s="0" t="inlineStr">
        <is>
          <t xml:space="preserve">TWST</t>
        </is>
      </c>
      <c r="E953" s="0" t="inlineStr">
        <is>
          <t xml:space="preserve">healthcare</t>
        </is>
      </c>
      <c r="F953" s="4">
        <v>52</v>
      </c>
    </row>
    <row r="954">
      <c r="A954" s="0" t="inlineStr">
        <is>
          <t xml:space="preserve">p10_52wk_high_HTFL</t>
        </is>
      </c>
      <c r="B954" s="0" t="inlineStr">
        <is>
          <t xml:space="preserve">p10_52wk_high</t>
        </is>
      </c>
      <c r="C954" s="0" t="inlineStr">
        <is>
          <t xml:space="preserve">d20260923</t>
        </is>
      </c>
      <c r="D954" s="0" t="inlineStr">
        <is>
          <t xml:space="preserve">HTFL</t>
        </is>
      </c>
      <c r="E954" s="0" t="inlineStr">
        <is>
          <t xml:space="preserve">healthcare</t>
        </is>
      </c>
      <c r="F954" s="4">
        <v>53</v>
      </c>
    </row>
    <row r="955">
      <c r="A955" s="0" t="inlineStr">
        <is>
          <t xml:space="preserve">p10_52wk_high_RVTY</t>
        </is>
      </c>
      <c r="B955" s="0" t="inlineStr">
        <is>
          <t xml:space="preserve">p10_52wk_high</t>
        </is>
      </c>
      <c r="C955" s="0" t="inlineStr">
        <is>
          <t xml:space="preserve">d20260923</t>
        </is>
      </c>
      <c r="D955" s="0" t="inlineStr">
        <is>
          <t xml:space="preserve">RVTY</t>
        </is>
      </c>
      <c r="E955" s="0" t="inlineStr">
        <is>
          <t xml:space="preserve">healthcare</t>
        </is>
      </c>
      <c r="F955" s="4">
        <v>54</v>
      </c>
    </row>
    <row r="956">
      <c r="A956" s="0" t="inlineStr">
        <is>
          <t xml:space="preserve">p10_52wk_high_CON</t>
        </is>
      </c>
      <c r="B956" s="0" t="inlineStr">
        <is>
          <t xml:space="preserve">p10_52wk_high</t>
        </is>
      </c>
      <c r="C956" s="0" t="inlineStr">
        <is>
          <t xml:space="preserve">d20260923</t>
        </is>
      </c>
      <c r="D956" s="0" t="inlineStr">
        <is>
          <t xml:space="preserve">CON</t>
        </is>
      </c>
      <c r="E956" s="0" t="inlineStr">
        <is>
          <t xml:space="preserve">healthcare</t>
        </is>
      </c>
      <c r="F956" s="4">
        <v>55</v>
      </c>
    </row>
    <row r="957">
      <c r="A957" s="0" t="inlineStr">
        <is>
          <t xml:space="preserve">p10_52wk_high_PSX</t>
        </is>
      </c>
      <c r="B957" s="0" t="inlineStr">
        <is>
          <t xml:space="preserve">p10_52wk_high</t>
        </is>
      </c>
      <c r="C957" s="0" t="inlineStr">
        <is>
          <t xml:space="preserve">d20260923</t>
        </is>
      </c>
      <c r="D957" s="0" t="inlineStr">
        <is>
          <t xml:space="preserve">PSX</t>
        </is>
      </c>
      <c r="E957" s="0" t="inlineStr">
        <is>
          <t xml:space="preserve">energy</t>
        </is>
      </c>
      <c r="F957" s="4">
        <v>56</v>
      </c>
    </row>
    <row r="958">
      <c r="A958" s="0" t="inlineStr">
        <is>
          <t xml:space="preserve">p10_52wk_high_DE</t>
        </is>
      </c>
      <c r="B958" s="0" t="inlineStr">
        <is>
          <t xml:space="preserve">p10_52wk_high</t>
        </is>
      </c>
      <c r="C958" s="0" t="inlineStr">
        <is>
          <t xml:space="preserve">d20260923</t>
        </is>
      </c>
      <c r="D958" s="0" t="inlineStr">
        <is>
          <t xml:space="preserve">DE</t>
        </is>
      </c>
      <c r="E958" s="0" t="inlineStr">
        <is>
          <t xml:space="preserve">industrials</t>
        </is>
      </c>
      <c r="F958" s="4">
        <v>57</v>
      </c>
    </row>
    <row r="959">
      <c r="A959" s="0" t="inlineStr">
        <is>
          <t xml:space="preserve">p10_52wk_high_DGX</t>
        </is>
      </c>
      <c r="B959" s="0" t="inlineStr">
        <is>
          <t xml:space="preserve">p10_52wk_high</t>
        </is>
      </c>
      <c r="C959" s="0" t="inlineStr">
        <is>
          <t xml:space="preserve">d20260923</t>
        </is>
      </c>
      <c r="D959" s="0" t="inlineStr">
        <is>
          <t xml:space="preserve">DGX</t>
        </is>
      </c>
      <c r="E959" s="0" t="inlineStr">
        <is>
          <t xml:space="preserve">healthcare</t>
        </is>
      </c>
      <c r="F959" s="4">
        <v>58</v>
      </c>
    </row>
    <row r="960">
      <c r="A960" s="0" t="inlineStr">
        <is>
          <t xml:space="preserve">p10_52wk_high_GBTG</t>
        </is>
      </c>
      <c r="B960" s="0" t="inlineStr">
        <is>
          <t xml:space="preserve">p10_52wk_high</t>
        </is>
      </c>
      <c r="C960" s="0" t="inlineStr">
        <is>
          <t xml:space="preserve">d20260923</t>
        </is>
      </c>
      <c r="D960" s="0" t="inlineStr">
        <is>
          <t xml:space="preserve">GBTG</t>
        </is>
      </c>
      <c r="E960" s="0" t="inlineStr">
        <is>
          <t xml:space="preserve">consumer_cyclical</t>
        </is>
      </c>
      <c r="F960" s="4">
        <v>59</v>
      </c>
    </row>
    <row r="961">
      <c r="A961" s="0" t="inlineStr">
        <is>
          <t xml:space="preserve">p10_52wk_high_XMTR</t>
        </is>
      </c>
      <c r="B961" s="0" t="inlineStr">
        <is>
          <t xml:space="preserve">p10_52wk_high</t>
        </is>
      </c>
      <c r="C961" s="0" t="inlineStr">
        <is>
          <t xml:space="preserve">d20260923</t>
        </is>
      </c>
      <c r="D961" s="0" t="inlineStr">
        <is>
          <t xml:space="preserve">XMTR</t>
        </is>
      </c>
      <c r="E961" s="0" t="inlineStr">
        <is>
          <t xml:space="preserve">industrials</t>
        </is>
      </c>
      <c r="F961" s="4">
        <v>60</v>
      </c>
    </row>
    <row r="962">
      <c r="A962" s="0" t="inlineStr">
        <is>
          <t xml:space="preserve">p10_52wk_high_ABM</t>
        </is>
      </c>
      <c r="B962" s="0" t="inlineStr">
        <is>
          <t xml:space="preserve">p10_52wk_high</t>
        </is>
      </c>
      <c r="C962" s="0" t="inlineStr">
        <is>
          <t xml:space="preserve">d20260923</t>
        </is>
      </c>
      <c r="D962" s="0" t="inlineStr">
        <is>
          <t xml:space="preserve">ABM</t>
        </is>
      </c>
      <c r="E962" s="0" t="inlineStr">
        <is>
          <t xml:space="preserve">industrials</t>
        </is>
      </c>
      <c r="F962" s="4">
        <v>61</v>
      </c>
    </row>
    <row r="963">
      <c r="A963" s="0" t="inlineStr">
        <is>
          <t xml:space="preserve">p10_52wk_high_SLAB</t>
        </is>
      </c>
      <c r="B963" s="0" t="inlineStr">
        <is>
          <t xml:space="preserve">p10_52wk_high</t>
        </is>
      </c>
      <c r="C963" s="0" t="inlineStr">
        <is>
          <t xml:space="preserve">d20260923</t>
        </is>
      </c>
      <c r="D963" s="0" t="inlineStr">
        <is>
          <t xml:space="preserve">SLAB</t>
        </is>
      </c>
      <c r="E963" s="0" t="inlineStr">
        <is>
          <t xml:space="preserve">technology</t>
        </is>
      </c>
      <c r="F963" s="4">
        <v>62</v>
      </c>
    </row>
    <row r="964">
      <c r="A964" s="0" t="inlineStr">
        <is>
          <t xml:space="preserve">p10_52wk_high_AVTR</t>
        </is>
      </c>
      <c r="B964" s="0" t="inlineStr">
        <is>
          <t xml:space="preserve">p10_52wk_high</t>
        </is>
      </c>
      <c r="C964" s="0" t="inlineStr">
        <is>
          <t xml:space="preserve">d20260923</t>
        </is>
      </c>
      <c r="D964" s="0" t="inlineStr">
        <is>
          <t xml:space="preserve">AVTR</t>
        </is>
      </c>
      <c r="E964" s="0" t="inlineStr">
        <is>
          <t xml:space="preserve">healthcare</t>
        </is>
      </c>
      <c r="F964" s="4">
        <v>63</v>
      </c>
    </row>
    <row r="965">
      <c r="A965" s="0" t="inlineStr">
        <is>
          <t xml:space="preserve">p10_52wk_high_ACA</t>
        </is>
      </c>
      <c r="B965" s="0" t="inlineStr">
        <is>
          <t xml:space="preserve">p10_52wk_high</t>
        </is>
      </c>
      <c r="C965" s="0" t="inlineStr">
        <is>
          <t xml:space="preserve">d20260923</t>
        </is>
      </c>
      <c r="D965" s="0" t="inlineStr">
        <is>
          <t xml:space="preserve">ACA</t>
        </is>
      </c>
      <c r="E965" s="0" t="inlineStr">
        <is>
          <t xml:space="preserve">basic_materials</t>
        </is>
      </c>
      <c r="F965" s="4">
        <v>64</v>
      </c>
    </row>
    <row r="966">
      <c r="A966" s="0" t="inlineStr">
        <is>
          <t xml:space="preserve">p10_52wk_high_PAYO</t>
        </is>
      </c>
      <c r="B966" s="0" t="inlineStr">
        <is>
          <t xml:space="preserve">p10_52wk_high</t>
        </is>
      </c>
      <c r="C966" s="0" t="inlineStr">
        <is>
          <t xml:space="preserve">d20260923</t>
        </is>
      </c>
      <c r="D966" s="0" t="inlineStr">
        <is>
          <t xml:space="preserve">PAYO</t>
        </is>
      </c>
      <c r="E966" s="0" t="inlineStr">
        <is>
          <t xml:space="preserve">technology</t>
        </is>
      </c>
      <c r="F966" s="4">
        <v>65</v>
      </c>
    </row>
    <row r="967">
      <c r="A967" s="0" t="inlineStr">
        <is>
          <t xml:space="preserve">p10_52wk_high_EXPD</t>
        </is>
      </c>
      <c r="B967" s="0" t="inlineStr">
        <is>
          <t xml:space="preserve">p10_52wk_high</t>
        </is>
      </c>
      <c r="C967" s="0" t="inlineStr">
        <is>
          <t xml:space="preserve">d20260923</t>
        </is>
      </c>
      <c r="D967" s="0" t="inlineStr">
        <is>
          <t xml:space="preserve">EXPD</t>
        </is>
      </c>
      <c r="E967" s="0" t="inlineStr">
        <is>
          <t xml:space="preserve">industrials</t>
        </is>
      </c>
      <c r="F967" s="4">
        <v>66</v>
      </c>
    </row>
    <row r="968">
      <c r="A968" s="0" t="inlineStr">
        <is>
          <t xml:space="preserve">p10_52wk_high_CXW</t>
        </is>
      </c>
      <c r="B968" s="0" t="inlineStr">
        <is>
          <t xml:space="preserve">p10_52wk_high</t>
        </is>
      </c>
      <c r="C968" s="0" t="inlineStr">
        <is>
          <t xml:space="preserve">d20260923</t>
        </is>
      </c>
      <c r="D968" s="0" t="inlineStr">
        <is>
          <t xml:space="preserve">CXW</t>
        </is>
      </c>
      <c r="E968" s="0" t="inlineStr">
        <is>
          <t xml:space="preserve">industrials</t>
        </is>
      </c>
      <c r="F968" s="4">
        <v>67</v>
      </c>
    </row>
    <row r="969">
      <c r="A969" s="0" t="inlineStr">
        <is>
          <t xml:space="preserve">p10_52wk_high_CZR</t>
        </is>
      </c>
      <c r="B969" s="0" t="inlineStr">
        <is>
          <t xml:space="preserve">p10_52wk_high</t>
        </is>
      </c>
      <c r="C969" s="0" t="inlineStr">
        <is>
          <t xml:space="preserve">d20260923</t>
        </is>
      </c>
      <c r="D969" s="0" t="inlineStr">
        <is>
          <t xml:space="preserve">CZR</t>
        </is>
      </c>
      <c r="E969" s="0" t="inlineStr">
        <is>
          <t xml:space="preserve">consumer_cyclical</t>
        </is>
      </c>
      <c r="F969" s="4">
        <v>68</v>
      </c>
    </row>
    <row r="970">
      <c r="A970" s="0" t="inlineStr">
        <is>
          <t xml:space="preserve">p10_52wk_high_CBZ</t>
        </is>
      </c>
      <c r="B970" s="0" t="inlineStr">
        <is>
          <t xml:space="preserve">p10_52wk_high</t>
        </is>
      </c>
      <c r="C970" s="0" t="inlineStr">
        <is>
          <t xml:space="preserve">d20260923</t>
        </is>
      </c>
      <c r="D970" s="0" t="inlineStr">
        <is>
          <t xml:space="preserve">CBZ</t>
        </is>
      </c>
      <c r="E970" s="0" t="inlineStr">
        <is>
          <t xml:space="preserve">industrials</t>
        </is>
      </c>
      <c r="F970" s="4">
        <v>69</v>
      </c>
    </row>
    <row r="971">
      <c r="A971" s="0" t="inlineStr">
        <is>
          <t xml:space="preserve">p10_52wk_high_SUN</t>
        </is>
      </c>
      <c r="B971" s="0" t="inlineStr">
        <is>
          <t xml:space="preserve">p10_52wk_high</t>
        </is>
      </c>
      <c r="C971" s="0" t="inlineStr">
        <is>
          <t xml:space="preserve">d20260923</t>
        </is>
      </c>
      <c r="D971" s="0" t="inlineStr">
        <is>
          <t xml:space="preserve">SUN</t>
        </is>
      </c>
      <c r="E971" s="0" t="inlineStr">
        <is>
          <t xml:space="preserve">energy</t>
        </is>
      </c>
      <c r="F971" s="4">
        <v>70</v>
      </c>
    </row>
    <row r="972">
      <c r="A972" s="0" t="inlineStr">
        <is>
          <t xml:space="preserve">p10_52wk_high_STRC</t>
        </is>
      </c>
      <c r="B972" s="0" t="inlineStr">
        <is>
          <t xml:space="preserve">p10_52wk_high</t>
        </is>
      </c>
      <c r="C972" s="0" t="inlineStr">
        <is>
          <t xml:space="preserve">d20260923</t>
        </is>
      </c>
      <c r="D972" s="0" t="inlineStr">
        <is>
          <t xml:space="preserve">STRC</t>
        </is>
      </c>
      <c r="E972" s="0" t="inlineStr">
        <is>
          <t xml:space="preserve">technology</t>
        </is>
      </c>
      <c r="F972" s="4">
        <v>71</v>
      </c>
    </row>
    <row r="973">
      <c r="A973" s="0" t="inlineStr">
        <is>
          <t xml:space="preserve">p10_52wk_high_GRDN</t>
        </is>
      </c>
      <c r="B973" s="0" t="inlineStr">
        <is>
          <t xml:space="preserve">p10_52wk_high</t>
        </is>
      </c>
      <c r="C973" s="0" t="inlineStr">
        <is>
          <t xml:space="preserve">d20260923</t>
        </is>
      </c>
      <c r="D973" s="0" t="inlineStr">
        <is>
          <t xml:space="preserve">GRDN</t>
        </is>
      </c>
      <c r="E973" s="0" t="inlineStr">
        <is>
          <t xml:space="preserve">healthcare</t>
        </is>
      </c>
      <c r="F973" s="4">
        <v>72</v>
      </c>
    </row>
    <row r="974">
      <c r="A974" s="0" t="inlineStr">
        <is>
          <t xml:space="preserve">p10_52wk_high_AVT</t>
        </is>
      </c>
      <c r="B974" s="0" t="inlineStr">
        <is>
          <t xml:space="preserve">p10_52wk_high</t>
        </is>
      </c>
      <c r="C974" s="0" t="inlineStr">
        <is>
          <t xml:space="preserve">d20260923</t>
        </is>
      </c>
      <c r="D974" s="0" t="inlineStr">
        <is>
          <t xml:space="preserve">AVT</t>
        </is>
      </c>
      <c r="E974" s="0" t="inlineStr">
        <is>
          <t xml:space="preserve">technology</t>
        </is>
      </c>
      <c r="F974" s="4">
        <v>73</v>
      </c>
    </row>
    <row r="975">
      <c r="A975" s="0" t="inlineStr">
        <is>
          <t xml:space="preserve">p10_52wk_high_RAMP</t>
        </is>
      </c>
      <c r="B975" s="0" t="inlineStr">
        <is>
          <t xml:space="preserve">p10_52wk_high</t>
        </is>
      </c>
      <c r="C975" s="0" t="inlineStr">
        <is>
          <t xml:space="preserve">d20260923</t>
        </is>
      </c>
      <c r="D975" s="0" t="inlineStr">
        <is>
          <t xml:space="preserve">RAMP</t>
        </is>
      </c>
      <c r="E975" s="0" t="inlineStr">
        <is>
          <t xml:space="preserve">technology</t>
        </is>
      </c>
      <c r="F975" s="4">
        <v>74</v>
      </c>
    </row>
    <row r="976">
      <c r="A976" s="0" t="inlineStr">
        <is>
          <t xml:space="preserve">p10_52wk_high_DV</t>
        </is>
      </c>
      <c r="B976" s="0" t="inlineStr">
        <is>
          <t xml:space="preserve">p10_52wk_high</t>
        </is>
      </c>
      <c r="C976" s="0" t="inlineStr">
        <is>
          <t xml:space="preserve">d20260923</t>
        </is>
      </c>
      <c r="D976" s="0" t="inlineStr">
        <is>
          <t xml:space="preserve">DV</t>
        </is>
      </c>
      <c r="E976" s="0" t="inlineStr">
        <is>
          <t xml:space="preserve">technology</t>
        </is>
      </c>
      <c r="F976" s="4">
        <v>75</v>
      </c>
    </row>
    <row r="977">
      <c r="A977" s="0" t="inlineStr">
        <is>
          <t xml:space="preserve">p10_52wk_high_AMRX</t>
        </is>
      </c>
      <c r="B977" s="0" t="inlineStr">
        <is>
          <t xml:space="preserve">p10_52wk_high</t>
        </is>
      </c>
      <c r="C977" s="0" t="inlineStr">
        <is>
          <t xml:space="preserve">d20260923</t>
        </is>
      </c>
      <c r="D977" s="0" t="inlineStr">
        <is>
          <t xml:space="preserve">AMRX</t>
        </is>
      </c>
      <c r="E977" s="0" t="inlineStr">
        <is>
          <t xml:space="preserve">healthcare</t>
        </is>
      </c>
      <c r="F977" s="4">
        <v>76</v>
      </c>
    </row>
    <row r="978">
      <c r="A978" s="0" t="inlineStr">
        <is>
          <t xml:space="preserve">p10_52wk_high_FAST</t>
        </is>
      </c>
      <c r="B978" s="0" t="inlineStr">
        <is>
          <t xml:space="preserve">p10_52wk_high</t>
        </is>
      </c>
      <c r="C978" s="0" t="inlineStr">
        <is>
          <t xml:space="preserve">d20260923</t>
        </is>
      </c>
      <c r="D978" s="0" t="inlineStr">
        <is>
          <t xml:space="preserve">FAST</t>
        </is>
      </c>
      <c r="E978" s="0" t="inlineStr">
        <is>
          <t xml:space="preserve">industrials</t>
        </is>
      </c>
      <c r="F978" s="4">
        <v>77</v>
      </c>
    </row>
    <row r="979">
      <c r="A979" s="0" t="inlineStr">
        <is>
          <t xml:space="preserve">p10_52wk_high_SWKS</t>
        </is>
      </c>
      <c r="B979" s="0" t="inlineStr">
        <is>
          <t xml:space="preserve">p10_52wk_high</t>
        </is>
      </c>
      <c r="C979" s="0" t="inlineStr">
        <is>
          <t xml:space="preserve">d20260923</t>
        </is>
      </c>
      <c r="D979" s="0" t="inlineStr">
        <is>
          <t xml:space="preserve">SWKS</t>
        </is>
      </c>
      <c r="E979" s="0" t="inlineStr">
        <is>
          <t xml:space="preserve">technology</t>
        </is>
      </c>
      <c r="F979" s="4">
        <v>78</v>
      </c>
    </row>
    <row r="980">
      <c r="A980" s="0" t="inlineStr">
        <is>
          <t xml:space="preserve">p10_52wk_high_MPC</t>
        </is>
      </c>
      <c r="B980" s="0" t="inlineStr">
        <is>
          <t xml:space="preserve">p10_52wk_high</t>
        </is>
      </c>
      <c r="C980" s="0" t="inlineStr">
        <is>
          <t xml:space="preserve">d20260923</t>
        </is>
      </c>
      <c r="D980" s="0" t="inlineStr">
        <is>
          <t xml:space="preserve">MPC</t>
        </is>
      </c>
      <c r="E980" s="0" t="inlineStr">
        <is>
          <t xml:space="preserve">energy</t>
        </is>
      </c>
      <c r="F980" s="4">
        <v>79</v>
      </c>
    </row>
    <row r="981">
      <c r="A981" s="0" t="inlineStr">
        <is>
          <t xml:space="preserve">p10_52wk_high_WAB</t>
        </is>
      </c>
      <c r="B981" s="0" t="inlineStr">
        <is>
          <t xml:space="preserve">p10_52wk_high</t>
        </is>
      </c>
      <c r="C981" s="0" t="inlineStr">
        <is>
          <t xml:space="preserve">d20260923</t>
        </is>
      </c>
      <c r="D981" s="0" t="inlineStr">
        <is>
          <t xml:space="preserve">WAB</t>
        </is>
      </c>
      <c r="E981" s="0" t="inlineStr">
        <is>
          <t xml:space="preserve">industrials</t>
        </is>
      </c>
      <c r="F981" s="4">
        <v>80</v>
      </c>
    </row>
    <row r="982">
      <c r="A982" s="0" t="inlineStr">
        <is>
          <t xml:space="preserve">p10_52wk_high_NDSN</t>
        </is>
      </c>
      <c r="B982" s="0" t="inlineStr">
        <is>
          <t xml:space="preserve">p10_52wk_high</t>
        </is>
      </c>
      <c r="C982" s="0" t="inlineStr">
        <is>
          <t xml:space="preserve">d20260923</t>
        </is>
      </c>
      <c r="D982" s="0" t="inlineStr">
        <is>
          <t xml:space="preserve">NDSN</t>
        </is>
      </c>
      <c r="E982" s="0" t="inlineStr">
        <is>
          <t xml:space="preserve">industrials</t>
        </is>
      </c>
      <c r="F982" s="4">
        <v>81</v>
      </c>
    </row>
    <row r="983">
      <c r="A983" s="0" t="inlineStr">
        <is>
          <t xml:space="preserve">p10_52wk_high_PARR</t>
        </is>
      </c>
      <c r="B983" s="0" t="inlineStr">
        <is>
          <t xml:space="preserve">p10_52wk_high</t>
        </is>
      </c>
      <c r="C983" s="0" t="inlineStr">
        <is>
          <t xml:space="preserve">d20260923</t>
        </is>
      </c>
      <c r="D983" s="0" t="inlineStr">
        <is>
          <t xml:space="preserve">PARR</t>
        </is>
      </c>
      <c r="E983" s="0" t="inlineStr">
        <is>
          <t xml:space="preserve">energy</t>
        </is>
      </c>
      <c r="F983" s="4">
        <v>82</v>
      </c>
    </row>
    <row r="984">
      <c r="A984" s="0" t="inlineStr">
        <is>
          <t xml:space="preserve">p10_52wk_high_DINO</t>
        </is>
      </c>
      <c r="B984" s="0" t="inlineStr">
        <is>
          <t xml:space="preserve">p10_52wk_high</t>
        </is>
      </c>
      <c r="C984" s="0" t="inlineStr">
        <is>
          <t xml:space="preserve">d20260923</t>
        </is>
      </c>
      <c r="D984" s="0" t="inlineStr">
        <is>
          <t xml:space="preserve">DINO</t>
        </is>
      </c>
      <c r="E984" s="0" t="inlineStr">
        <is>
          <t xml:space="preserve">energy</t>
        </is>
      </c>
      <c r="F984" s="4">
        <v>83</v>
      </c>
    </row>
    <row r="985">
      <c r="A985" s="0" t="inlineStr">
        <is>
          <t xml:space="preserve">p10_52wk_high_NVDA</t>
        </is>
      </c>
      <c r="B985" s="0" t="inlineStr">
        <is>
          <t xml:space="preserve">p10_52wk_high</t>
        </is>
      </c>
      <c r="C985" s="0" t="inlineStr">
        <is>
          <t xml:space="preserve">d20260923</t>
        </is>
      </c>
      <c r="D985" s="0" t="inlineStr">
        <is>
          <t xml:space="preserve">NVDA</t>
        </is>
      </c>
      <c r="E985" s="0" t="inlineStr">
        <is>
          <t xml:space="preserve">technology</t>
        </is>
      </c>
      <c r="F985" s="4">
        <v>84</v>
      </c>
    </row>
    <row r="986">
      <c r="A986" s="0" t="inlineStr">
        <is>
          <t xml:space="preserve">p10_52wk_high_MATX</t>
        </is>
      </c>
      <c r="B986" s="0" t="inlineStr">
        <is>
          <t xml:space="preserve">p10_52wk_high</t>
        </is>
      </c>
      <c r="C986" s="0" t="inlineStr">
        <is>
          <t xml:space="preserve">d20260923</t>
        </is>
      </c>
      <c r="D986" s="0" t="inlineStr">
        <is>
          <t xml:space="preserve">MATX</t>
        </is>
      </c>
      <c r="E986" s="0" t="inlineStr">
        <is>
          <t xml:space="preserve">industrials</t>
        </is>
      </c>
      <c r="F986" s="4">
        <v>85</v>
      </c>
    </row>
    <row r="987">
      <c r="A987" s="0" t="inlineStr">
        <is>
          <t xml:space="preserve">p10_52wk_high_VLO</t>
        </is>
      </c>
      <c r="B987" s="0" t="inlineStr">
        <is>
          <t xml:space="preserve">p10_52wk_high</t>
        </is>
      </c>
      <c r="C987" s="0" t="inlineStr">
        <is>
          <t xml:space="preserve">d20260923</t>
        </is>
      </c>
      <c r="D987" s="0" t="inlineStr">
        <is>
          <t xml:space="preserve">VLO</t>
        </is>
      </c>
      <c r="E987" s="0" t="inlineStr">
        <is>
          <t xml:space="preserve">energy</t>
        </is>
      </c>
      <c r="F987" s="4">
        <v>86</v>
      </c>
    </row>
    <row r="988">
      <c r="A988" s="0" t="inlineStr">
        <is>
          <t xml:space="preserve">p10_52wk_high_AME</t>
        </is>
      </c>
      <c r="B988" s="0" t="inlineStr">
        <is>
          <t xml:space="preserve">p10_52wk_high</t>
        </is>
      </c>
      <c r="C988" s="0" t="inlineStr">
        <is>
          <t xml:space="preserve">d20260923</t>
        </is>
      </c>
      <c r="D988" s="0" t="inlineStr">
        <is>
          <t xml:space="preserve">AME</t>
        </is>
      </c>
      <c r="E988" s="0" t="inlineStr">
        <is>
          <t xml:space="preserve">industrials</t>
        </is>
      </c>
      <c r="F988" s="4">
        <v>87</v>
      </c>
    </row>
    <row r="989">
      <c r="A989" s="0" t="inlineStr">
        <is>
          <t xml:space="preserve">p10_52wk_high_EWTX</t>
        </is>
      </c>
      <c r="B989" s="0" t="inlineStr">
        <is>
          <t xml:space="preserve">p10_52wk_high</t>
        </is>
      </c>
      <c r="C989" s="0" t="inlineStr">
        <is>
          <t xml:space="preserve">d20260923</t>
        </is>
      </c>
      <c r="D989" s="0" t="inlineStr">
        <is>
          <t xml:space="preserve">EWTX</t>
        </is>
      </c>
      <c r="E989" s="0" t="inlineStr">
        <is>
          <t xml:space="preserve">healthcare</t>
        </is>
      </c>
      <c r="F989" s="4">
        <v>88</v>
      </c>
    </row>
    <row r="990">
      <c r="A990" s="0" t="inlineStr">
        <is>
          <t xml:space="preserve">p10_52wk_high_WCC</t>
        </is>
      </c>
      <c r="B990" s="0" t="inlineStr">
        <is>
          <t xml:space="preserve">p10_52wk_high</t>
        </is>
      </c>
      <c r="C990" s="0" t="inlineStr">
        <is>
          <t xml:space="preserve">d20260923</t>
        </is>
      </c>
      <c r="D990" s="0" t="inlineStr">
        <is>
          <t xml:space="preserve">WCC</t>
        </is>
      </c>
      <c r="E990" s="0" t="inlineStr">
        <is>
          <t xml:space="preserve">industrials</t>
        </is>
      </c>
      <c r="F990" s="4">
        <v>89</v>
      </c>
    </row>
    <row r="991">
      <c r="A991" s="0" t="inlineStr">
        <is>
          <t xml:space="preserve">p10_52wk_high_SSRM</t>
        </is>
      </c>
      <c r="B991" s="0" t="inlineStr">
        <is>
          <t xml:space="preserve">p10_52wk_high</t>
        </is>
      </c>
      <c r="C991" s="0" t="inlineStr">
        <is>
          <t xml:space="preserve">d20260923</t>
        </is>
      </c>
      <c r="D991" s="0" t="inlineStr">
        <is>
          <t xml:space="preserve">SSRM</t>
        </is>
      </c>
      <c r="E991" s="0" t="inlineStr">
        <is>
          <t xml:space="preserve">basic_materials</t>
        </is>
      </c>
      <c r="F991" s="4">
        <v>90</v>
      </c>
    </row>
    <row r="992">
      <c r="A992" s="0" t="inlineStr">
        <is>
          <t xml:space="preserve">p10_52wk_high_VRSN</t>
        </is>
      </c>
      <c r="B992" s="0" t="inlineStr">
        <is>
          <t xml:space="preserve">p10_52wk_high</t>
        </is>
      </c>
      <c r="C992" s="0" t="inlineStr">
        <is>
          <t xml:space="preserve">d20260923</t>
        </is>
      </c>
      <c r="D992" s="0" t="inlineStr">
        <is>
          <t xml:space="preserve">VRSN</t>
        </is>
      </c>
      <c r="E992" s="0" t="inlineStr">
        <is>
          <t xml:space="preserve">technology</t>
        </is>
      </c>
      <c r="F992" s="4">
        <v>91</v>
      </c>
    </row>
    <row r="993">
      <c r="A993" s="0" t="inlineStr">
        <is>
          <t xml:space="preserve">p10_52wk_high_SNX</t>
        </is>
      </c>
      <c r="B993" s="0" t="inlineStr">
        <is>
          <t xml:space="preserve">p10_52wk_high</t>
        </is>
      </c>
      <c r="C993" s="0" t="inlineStr">
        <is>
          <t xml:space="preserve">d20260923</t>
        </is>
      </c>
      <c r="D993" s="0" t="inlineStr">
        <is>
          <t xml:space="preserve">SNX</t>
        </is>
      </c>
      <c r="E993" s="0" t="inlineStr">
        <is>
          <t xml:space="preserve">technology</t>
        </is>
      </c>
      <c r="F993" s="4">
        <v>92</v>
      </c>
    </row>
    <row r="994">
      <c r="A994" s="0" t="inlineStr">
        <is>
          <t xml:space="preserve">p10_52wk_high_IFF</t>
        </is>
      </c>
      <c r="B994" s="0" t="inlineStr">
        <is>
          <t xml:space="preserve">p10_52wk_high</t>
        </is>
      </c>
      <c r="C994" s="0" t="inlineStr">
        <is>
          <t xml:space="preserve">d20260923</t>
        </is>
      </c>
      <c r="D994" s="0" t="inlineStr">
        <is>
          <t xml:space="preserve">IFF</t>
        </is>
      </c>
      <c r="E994" s="0" t="inlineStr">
        <is>
          <t xml:space="preserve">basic_materials</t>
        </is>
      </c>
      <c r="F994" s="4">
        <v>93</v>
      </c>
    </row>
    <row r="995">
      <c r="A995" s="0" t="inlineStr">
        <is>
          <t xml:space="preserve">p10_52wk_high_ANET</t>
        </is>
      </c>
      <c r="B995" s="0" t="inlineStr">
        <is>
          <t xml:space="preserve">p10_52wk_high</t>
        </is>
      </c>
      <c r="C995" s="0" t="inlineStr">
        <is>
          <t xml:space="preserve">d20260923</t>
        </is>
      </c>
      <c r="D995" s="0" t="inlineStr">
        <is>
          <t xml:space="preserve">ANET</t>
        </is>
      </c>
      <c r="E995" s="0" t="inlineStr">
        <is>
          <t xml:space="preserve">technology</t>
        </is>
      </c>
      <c r="F995" s="4">
        <v>94</v>
      </c>
    </row>
    <row r="996">
      <c r="A996" s="0" t="inlineStr">
        <is>
          <t xml:space="preserve">p10_52wk_high_NATL</t>
        </is>
      </c>
      <c r="B996" s="0" t="inlineStr">
        <is>
          <t xml:space="preserve">p10_52wk_high</t>
        </is>
      </c>
      <c r="C996" s="0" t="inlineStr">
        <is>
          <t xml:space="preserve">d20260923</t>
        </is>
      </c>
      <c r="D996" s="0" t="inlineStr">
        <is>
          <t xml:space="preserve">NATL</t>
        </is>
      </c>
      <c r="E996" s="0" t="inlineStr">
        <is>
          <t xml:space="preserve">technology</t>
        </is>
      </c>
      <c r="F996" s="4">
        <v>95</v>
      </c>
    </row>
    <row r="997">
      <c r="A997" s="0" t="inlineStr">
        <is>
          <t xml:space="preserve">p10_52wk_high_WOR</t>
        </is>
      </c>
      <c r="B997" s="0" t="inlineStr">
        <is>
          <t xml:space="preserve">p10_52wk_high</t>
        </is>
      </c>
      <c r="C997" s="0" t="inlineStr">
        <is>
          <t xml:space="preserve">d20260923</t>
        </is>
      </c>
      <c r="D997" s="0" t="inlineStr">
        <is>
          <t xml:space="preserve">WOR</t>
        </is>
      </c>
      <c r="E997" s="0" t="inlineStr">
        <is>
          <t xml:space="preserve">industrials</t>
        </is>
      </c>
      <c r="F997" s="4">
        <v>96</v>
      </c>
    </row>
    <row r="998">
      <c r="A998" s="0" t="inlineStr">
        <is>
          <t xml:space="preserve">p10_52wk_high_HPE</t>
        </is>
      </c>
      <c r="B998" s="0" t="inlineStr">
        <is>
          <t xml:space="preserve">p10_52wk_high</t>
        </is>
      </c>
      <c r="C998" s="0" t="inlineStr">
        <is>
          <t xml:space="preserve">d20260923</t>
        </is>
      </c>
      <c r="D998" s="0" t="inlineStr">
        <is>
          <t xml:space="preserve">HPE</t>
        </is>
      </c>
      <c r="E998" s="0" t="inlineStr">
        <is>
          <t xml:space="preserve">technology</t>
        </is>
      </c>
      <c r="F998" s="4">
        <v>97</v>
      </c>
    </row>
    <row r="999">
      <c r="A999" s="0" t="inlineStr">
        <is>
          <t xml:space="preserve">p10_52wk_high_KO</t>
        </is>
      </c>
      <c r="B999" s="0" t="inlineStr">
        <is>
          <t xml:space="preserve">p10_52wk_high</t>
        </is>
      </c>
      <c r="C999" s="0" t="inlineStr">
        <is>
          <t xml:space="preserve">d20260923</t>
        </is>
      </c>
      <c r="D999" s="0" t="inlineStr">
        <is>
          <t xml:space="preserve">KO</t>
        </is>
      </c>
      <c r="E999" s="0" t="inlineStr">
        <is>
          <t xml:space="preserve">consumer_defensive</t>
        </is>
      </c>
      <c r="F999" s="4">
        <v>98</v>
      </c>
    </row>
    <row r="1000">
      <c r="A1000" s="0" t="inlineStr">
        <is>
          <t xml:space="preserve">p10_52wk_high_CLH</t>
        </is>
      </c>
      <c r="B1000" s="0" t="inlineStr">
        <is>
          <t xml:space="preserve">p10_52wk_high</t>
        </is>
      </c>
      <c r="C1000" s="0" t="inlineStr">
        <is>
          <t xml:space="preserve">d20260923</t>
        </is>
      </c>
      <c r="D1000" s="0" t="inlineStr">
        <is>
          <t xml:space="preserve">CLH</t>
        </is>
      </c>
      <c r="E1000" s="0" t="inlineStr">
        <is>
          <t xml:space="preserve">industrials</t>
        </is>
      </c>
      <c r="F1000" s="4">
        <v>99</v>
      </c>
    </row>
    <row r="1001">
      <c r="A1001" s="0" t="inlineStr">
        <is>
          <t xml:space="preserve">p10_52wk_high_LPG</t>
        </is>
      </c>
      <c r="B1001" s="0" t="inlineStr">
        <is>
          <t xml:space="preserve">p10_52wk_high</t>
        </is>
      </c>
      <c r="C1001" s="0" t="inlineStr">
        <is>
          <t xml:space="preserve">d20260923</t>
        </is>
      </c>
      <c r="D1001" s="0" t="inlineStr">
        <is>
          <t xml:space="preserve">LPG</t>
        </is>
      </c>
      <c r="E1001" s="0" t="inlineStr">
        <is>
          <t xml:space="preserve">energy</t>
        </is>
      </c>
      <c r="F1001" s="4">
        <v>100</v>
      </c>
    </row>
    <row r="1002">
      <c r="A1002" s="0" t="inlineStr">
        <is>
          <t xml:space="preserve">random_01_GKOS</t>
        </is>
      </c>
      <c r="B1002" s="0" t="inlineStr">
        <is>
          <t xml:space="preserve">random_01</t>
        </is>
      </c>
      <c r="C1002" s="0" t="inlineStr">
        <is>
          <t xml:space="preserve">d20260923</t>
        </is>
      </c>
      <c r="D1002" s="0" t="inlineStr">
        <is>
          <t xml:space="preserve">GKOS</t>
        </is>
      </c>
      <c r="E1002" s="0" t="inlineStr">
        <is>
          <t xml:space="preserve">healthcare</t>
        </is>
      </c>
      <c r="F1002" s="4">
        <v>1</v>
      </c>
    </row>
    <row r="1003">
      <c r="A1003" s="0" t="inlineStr">
        <is>
          <t xml:space="preserve">random_01_XYZ</t>
        </is>
      </c>
      <c r="B1003" s="0" t="inlineStr">
        <is>
          <t xml:space="preserve">random_01</t>
        </is>
      </c>
      <c r="C1003" s="0" t="inlineStr">
        <is>
          <t xml:space="preserve">d20260923</t>
        </is>
      </c>
      <c r="D1003" s="0" t="inlineStr">
        <is>
          <t xml:space="preserve">XYZ</t>
        </is>
      </c>
      <c r="E1003" s="0" t="inlineStr">
        <is>
          <t xml:space="preserve">technology</t>
        </is>
      </c>
      <c r="F1003" s="4">
        <v>2</v>
      </c>
    </row>
    <row r="1004">
      <c r="A1004" s="0" t="inlineStr">
        <is>
          <t xml:space="preserve">random_01_JEF</t>
        </is>
      </c>
      <c r="B1004" s="0" t="inlineStr">
        <is>
          <t xml:space="preserve">random_01</t>
        </is>
      </c>
      <c r="C1004" s="0" t="inlineStr">
        <is>
          <t xml:space="preserve">d20260923</t>
        </is>
      </c>
      <c r="D1004" s="0" t="inlineStr">
        <is>
          <t xml:space="preserve">JEF</t>
        </is>
      </c>
      <c r="E1004" s="0" t="inlineStr">
        <is>
          <t xml:space="preserve">financial_services</t>
        </is>
      </c>
      <c r="F1004" s="4">
        <v>3</v>
      </c>
    </row>
    <row r="1005">
      <c r="A1005" s="0" t="inlineStr">
        <is>
          <t xml:space="preserve">random_01_QLYS</t>
        </is>
      </c>
      <c r="B1005" s="0" t="inlineStr">
        <is>
          <t xml:space="preserve">random_01</t>
        </is>
      </c>
      <c r="C1005" s="0" t="inlineStr">
        <is>
          <t xml:space="preserve">d20260923</t>
        </is>
      </c>
      <c r="D1005" s="0" t="inlineStr">
        <is>
          <t xml:space="preserve">QLYS</t>
        </is>
      </c>
      <c r="E1005" s="0" t="inlineStr">
        <is>
          <t xml:space="preserve">technology</t>
        </is>
      </c>
      <c r="F1005" s="4">
        <v>4</v>
      </c>
    </row>
    <row r="1006">
      <c r="A1006" s="0" t="inlineStr">
        <is>
          <t xml:space="preserve">random_01_SMCI</t>
        </is>
      </c>
      <c r="B1006" s="0" t="inlineStr">
        <is>
          <t xml:space="preserve">random_01</t>
        </is>
      </c>
      <c r="C1006" s="0" t="inlineStr">
        <is>
          <t xml:space="preserve">d20260923</t>
        </is>
      </c>
      <c r="D1006" s="0" t="inlineStr">
        <is>
          <t xml:space="preserve">SMCI</t>
        </is>
      </c>
      <c r="E1006" s="0" t="inlineStr">
        <is>
          <t xml:space="preserve">technology</t>
        </is>
      </c>
      <c r="F1006" s="4">
        <v>5</v>
      </c>
    </row>
    <row r="1007">
      <c r="A1007" s="0" t="inlineStr">
        <is>
          <t xml:space="preserve">random_01_PSKY</t>
        </is>
      </c>
      <c r="B1007" s="0" t="inlineStr">
        <is>
          <t xml:space="preserve">random_01</t>
        </is>
      </c>
      <c r="C1007" s="0" t="inlineStr">
        <is>
          <t xml:space="preserve">d20260923</t>
        </is>
      </c>
      <c r="D1007" s="0" t="inlineStr">
        <is>
          <t xml:space="preserve">PSKY</t>
        </is>
      </c>
      <c r="E1007" s="0" t="inlineStr">
        <is>
          <t xml:space="preserve">communication_services</t>
        </is>
      </c>
      <c r="F1007" s="4">
        <v>6</v>
      </c>
    </row>
    <row r="1008">
      <c r="A1008" s="0" t="inlineStr">
        <is>
          <t xml:space="preserve">random_01_TBBK</t>
        </is>
      </c>
      <c r="B1008" s="0" t="inlineStr">
        <is>
          <t xml:space="preserve">random_01</t>
        </is>
      </c>
      <c r="C1008" s="0" t="inlineStr">
        <is>
          <t xml:space="preserve">d20260923</t>
        </is>
      </c>
      <c r="D1008" s="0" t="inlineStr">
        <is>
          <t xml:space="preserve">TBBK</t>
        </is>
      </c>
      <c r="E1008" s="0" t="inlineStr">
        <is>
          <t xml:space="preserve">financial_services</t>
        </is>
      </c>
      <c r="F1008" s="4">
        <v>7</v>
      </c>
    </row>
    <row r="1009">
      <c r="A1009" s="0" t="inlineStr">
        <is>
          <t xml:space="preserve">random_01_BWA</t>
        </is>
      </c>
      <c r="B1009" s="0" t="inlineStr">
        <is>
          <t xml:space="preserve">random_01</t>
        </is>
      </c>
      <c r="C1009" s="0" t="inlineStr">
        <is>
          <t xml:space="preserve">d20260923</t>
        </is>
      </c>
      <c r="D1009" s="0" t="inlineStr">
        <is>
          <t xml:space="preserve">BWA</t>
        </is>
      </c>
      <c r="E1009" s="0" t="inlineStr">
        <is>
          <t xml:space="preserve">consumer_cyclical</t>
        </is>
      </c>
      <c r="F1009" s="4">
        <v>8</v>
      </c>
    </row>
    <row r="1010">
      <c r="A1010" s="0" t="inlineStr">
        <is>
          <t xml:space="preserve">random_01_DCI</t>
        </is>
      </c>
      <c r="B1010" s="0" t="inlineStr">
        <is>
          <t xml:space="preserve">random_01</t>
        </is>
      </c>
      <c r="C1010" s="0" t="inlineStr">
        <is>
          <t xml:space="preserve">d20260923</t>
        </is>
      </c>
      <c r="D1010" s="0" t="inlineStr">
        <is>
          <t xml:space="preserve">DCI</t>
        </is>
      </c>
      <c r="E1010" s="0" t="inlineStr">
        <is>
          <t xml:space="preserve">industrials</t>
        </is>
      </c>
      <c r="F1010" s="4">
        <v>9</v>
      </c>
    </row>
    <row r="1011">
      <c r="A1011" s="0" t="inlineStr">
        <is>
          <t xml:space="preserve">random_01_FLR</t>
        </is>
      </c>
      <c r="B1011" s="0" t="inlineStr">
        <is>
          <t xml:space="preserve">random_01</t>
        </is>
      </c>
      <c r="C1011" s="0" t="inlineStr">
        <is>
          <t xml:space="preserve">d20260923</t>
        </is>
      </c>
      <c r="D1011" s="0" t="inlineStr">
        <is>
          <t xml:space="preserve">FLR</t>
        </is>
      </c>
      <c r="E1011" s="0" t="inlineStr">
        <is>
          <t xml:space="preserve">industrials</t>
        </is>
      </c>
      <c r="F1011" s="4">
        <v>10</v>
      </c>
    </row>
    <row r="1012">
      <c r="A1012" s="0" t="inlineStr">
        <is>
          <t xml:space="preserve">random_01_KRMN</t>
        </is>
      </c>
      <c r="B1012" s="0" t="inlineStr">
        <is>
          <t xml:space="preserve">random_01</t>
        </is>
      </c>
      <c r="C1012" s="0" t="inlineStr">
        <is>
          <t xml:space="preserve">d20260923</t>
        </is>
      </c>
      <c r="D1012" s="0" t="inlineStr">
        <is>
          <t xml:space="preserve">KRMN</t>
        </is>
      </c>
      <c r="E1012" s="0" t="inlineStr">
        <is>
          <t xml:space="preserve">industrials</t>
        </is>
      </c>
      <c r="F1012" s="4">
        <v>11</v>
      </c>
    </row>
    <row r="1013">
      <c r="A1013" s="0" t="inlineStr">
        <is>
          <t xml:space="preserve">random_01_FRPT</t>
        </is>
      </c>
      <c r="B1013" s="0" t="inlineStr">
        <is>
          <t xml:space="preserve">random_01</t>
        </is>
      </c>
      <c r="C1013" s="0" t="inlineStr">
        <is>
          <t xml:space="preserve">d20260923</t>
        </is>
      </c>
      <c r="D1013" s="0" t="inlineStr">
        <is>
          <t xml:space="preserve">FRPT</t>
        </is>
      </c>
      <c r="E1013" s="0" t="inlineStr">
        <is>
          <t xml:space="preserve">consumer_defensive</t>
        </is>
      </c>
      <c r="F1013" s="4">
        <v>12</v>
      </c>
    </row>
    <row r="1014">
      <c r="A1014" s="0" t="inlineStr">
        <is>
          <t xml:space="preserve">random_01_HGV</t>
        </is>
      </c>
      <c r="B1014" s="0" t="inlineStr">
        <is>
          <t xml:space="preserve">random_01</t>
        </is>
      </c>
      <c r="C1014" s="0" t="inlineStr">
        <is>
          <t xml:space="preserve">d20260923</t>
        </is>
      </c>
      <c r="D1014" s="0" t="inlineStr">
        <is>
          <t xml:space="preserve">HGV</t>
        </is>
      </c>
      <c r="E1014" s="0" t="inlineStr">
        <is>
          <t xml:space="preserve">real_estate</t>
        </is>
      </c>
      <c r="F1014" s="4">
        <v>13</v>
      </c>
    </row>
    <row r="1015">
      <c r="A1015" s="0" t="inlineStr">
        <is>
          <t xml:space="preserve">random_01_GLW</t>
        </is>
      </c>
      <c r="B1015" s="0" t="inlineStr">
        <is>
          <t xml:space="preserve">random_01</t>
        </is>
      </c>
      <c r="C1015" s="0" t="inlineStr">
        <is>
          <t xml:space="preserve">d20260923</t>
        </is>
      </c>
      <c r="D1015" s="0" t="inlineStr">
        <is>
          <t xml:space="preserve">GLW</t>
        </is>
      </c>
      <c r="E1015" s="0" t="inlineStr">
        <is>
          <t xml:space="preserve">technology</t>
        </is>
      </c>
      <c r="F1015" s="4">
        <v>14</v>
      </c>
    </row>
    <row r="1016">
      <c r="A1016" s="0" t="inlineStr">
        <is>
          <t xml:space="preserve">random_01_WDAY</t>
        </is>
      </c>
      <c r="B1016" s="0" t="inlineStr">
        <is>
          <t xml:space="preserve">random_01</t>
        </is>
      </c>
      <c r="C1016" s="0" t="inlineStr">
        <is>
          <t xml:space="preserve">d20260923</t>
        </is>
      </c>
      <c r="D1016" s="0" t="inlineStr">
        <is>
          <t xml:space="preserve">WDAY</t>
        </is>
      </c>
      <c r="E1016" s="0" t="inlineStr">
        <is>
          <t xml:space="preserve">technology</t>
        </is>
      </c>
      <c r="F1016" s="4">
        <v>15</v>
      </c>
    </row>
    <row r="1017">
      <c r="A1017" s="0" t="inlineStr">
        <is>
          <t xml:space="preserve">random_01_GEHC</t>
        </is>
      </c>
      <c r="B1017" s="0" t="inlineStr">
        <is>
          <t xml:space="preserve">random_01</t>
        </is>
      </c>
      <c r="C1017" s="0" t="inlineStr">
        <is>
          <t xml:space="preserve">d20260923</t>
        </is>
      </c>
      <c r="D1017" s="0" t="inlineStr">
        <is>
          <t xml:space="preserve">GEHC</t>
        </is>
      </c>
      <c r="E1017" s="0" t="inlineStr">
        <is>
          <t xml:space="preserve">healthcare</t>
        </is>
      </c>
      <c r="F1017" s="4">
        <v>16</v>
      </c>
    </row>
    <row r="1018">
      <c r="A1018" s="0" t="inlineStr">
        <is>
          <t xml:space="preserve">random_01_BKNG</t>
        </is>
      </c>
      <c r="B1018" s="0" t="inlineStr">
        <is>
          <t xml:space="preserve">random_01</t>
        </is>
      </c>
      <c r="C1018" s="0" t="inlineStr">
        <is>
          <t xml:space="preserve">d20260923</t>
        </is>
      </c>
      <c r="D1018" s="0" t="inlineStr">
        <is>
          <t xml:space="preserve">BKNG</t>
        </is>
      </c>
      <c r="E1018" s="0" t="inlineStr">
        <is>
          <t xml:space="preserve">consumer_cyclical</t>
        </is>
      </c>
      <c r="F1018" s="4">
        <v>17</v>
      </c>
    </row>
    <row r="1019">
      <c r="A1019" s="0" t="inlineStr">
        <is>
          <t xml:space="preserve">random_01_RF</t>
        </is>
      </c>
      <c r="B1019" s="0" t="inlineStr">
        <is>
          <t xml:space="preserve">random_01</t>
        </is>
      </c>
      <c r="C1019" s="0" t="inlineStr">
        <is>
          <t xml:space="preserve">d20260923</t>
        </is>
      </c>
      <c r="D1019" s="0" t="inlineStr">
        <is>
          <t xml:space="preserve">RF</t>
        </is>
      </c>
      <c r="E1019" s="0" t="inlineStr">
        <is>
          <t xml:space="preserve">financial_services</t>
        </is>
      </c>
      <c r="F1019" s="4">
        <v>18</v>
      </c>
    </row>
    <row r="1020">
      <c r="A1020" s="0" t="inlineStr">
        <is>
          <t xml:space="preserve">random_01_HPQ</t>
        </is>
      </c>
      <c r="B1020" s="0" t="inlineStr">
        <is>
          <t xml:space="preserve">random_01</t>
        </is>
      </c>
      <c r="C1020" s="0" t="inlineStr">
        <is>
          <t xml:space="preserve">d20260923</t>
        </is>
      </c>
      <c r="D1020" s="0" t="inlineStr">
        <is>
          <t xml:space="preserve">HPQ</t>
        </is>
      </c>
      <c r="E1020" s="0" t="inlineStr">
        <is>
          <t xml:space="preserve">technology</t>
        </is>
      </c>
      <c r="F1020" s="4">
        <v>19</v>
      </c>
    </row>
    <row r="1021">
      <c r="A1021" s="0" t="inlineStr">
        <is>
          <t xml:space="preserve">random_01_LW</t>
        </is>
      </c>
      <c r="B1021" s="0" t="inlineStr">
        <is>
          <t xml:space="preserve">random_01</t>
        </is>
      </c>
      <c r="C1021" s="0" t="inlineStr">
        <is>
          <t xml:space="preserve">d20260923</t>
        </is>
      </c>
      <c r="D1021" s="0" t="inlineStr">
        <is>
          <t xml:space="preserve">LW</t>
        </is>
      </c>
      <c r="E1021" s="0" t="inlineStr">
        <is>
          <t xml:space="preserve">consumer_defensive</t>
        </is>
      </c>
      <c r="F1021" s="4">
        <v>20</v>
      </c>
    </row>
    <row r="1022">
      <c r="A1022" s="0" t="inlineStr">
        <is>
          <t xml:space="preserve">random_01_AGIO</t>
        </is>
      </c>
      <c r="B1022" s="0" t="inlineStr">
        <is>
          <t xml:space="preserve">random_01</t>
        </is>
      </c>
      <c r="C1022" s="0" t="inlineStr">
        <is>
          <t xml:space="preserve">d20260923</t>
        </is>
      </c>
      <c r="D1022" s="0" t="inlineStr">
        <is>
          <t xml:space="preserve">AGIO</t>
        </is>
      </c>
      <c r="E1022" s="0" t="inlineStr">
        <is>
          <t xml:space="preserve">healthcare</t>
        </is>
      </c>
      <c r="F1022" s="4">
        <v>21</v>
      </c>
    </row>
    <row r="1023">
      <c r="A1023" s="0" t="inlineStr">
        <is>
          <t xml:space="preserve">random_01_RGTI</t>
        </is>
      </c>
      <c r="B1023" s="0" t="inlineStr">
        <is>
          <t xml:space="preserve">random_01</t>
        </is>
      </c>
      <c r="C1023" s="0" t="inlineStr">
        <is>
          <t xml:space="preserve">d20260923</t>
        </is>
      </c>
      <c r="D1023" s="0" t="inlineStr">
        <is>
          <t xml:space="preserve">RGTI</t>
        </is>
      </c>
      <c r="E1023" s="0" t="inlineStr">
        <is>
          <t xml:space="preserve">technology</t>
        </is>
      </c>
      <c r="F1023" s="4">
        <v>22</v>
      </c>
    </row>
    <row r="1024">
      <c r="A1024" s="0" t="inlineStr">
        <is>
          <t xml:space="preserve">random_01_ALK</t>
        </is>
      </c>
      <c r="B1024" s="0" t="inlineStr">
        <is>
          <t xml:space="preserve">random_01</t>
        </is>
      </c>
      <c r="C1024" s="0" t="inlineStr">
        <is>
          <t xml:space="preserve">d20260923</t>
        </is>
      </c>
      <c r="D1024" s="0" t="inlineStr">
        <is>
          <t xml:space="preserve">ALK</t>
        </is>
      </c>
      <c r="E1024" s="0" t="inlineStr">
        <is>
          <t xml:space="preserve">industrials</t>
        </is>
      </c>
      <c r="F1024" s="4">
        <v>23</v>
      </c>
    </row>
    <row r="1025">
      <c r="A1025" s="0" t="inlineStr">
        <is>
          <t xml:space="preserve">random_01_FRMI</t>
        </is>
      </c>
      <c r="B1025" s="0" t="inlineStr">
        <is>
          <t xml:space="preserve">random_01</t>
        </is>
      </c>
      <c r="C1025" s="0" t="inlineStr">
        <is>
          <t xml:space="preserve">d20260923</t>
        </is>
      </c>
      <c r="D1025" s="0" t="inlineStr">
        <is>
          <t xml:space="preserve">FRMI</t>
        </is>
      </c>
      <c r="E1025" s="0" t="inlineStr">
        <is>
          <t xml:space="preserve">real_estate</t>
        </is>
      </c>
      <c r="F1025" s="4">
        <v>24</v>
      </c>
    </row>
    <row r="1026">
      <c r="A1026" s="0" t="inlineStr">
        <is>
          <t xml:space="preserve">random_01_WGS</t>
        </is>
      </c>
      <c r="B1026" s="0" t="inlineStr">
        <is>
          <t xml:space="preserve">random_01</t>
        </is>
      </c>
      <c r="C1026" s="0" t="inlineStr">
        <is>
          <t xml:space="preserve">d20260923</t>
        </is>
      </c>
      <c r="D1026" s="0" t="inlineStr">
        <is>
          <t xml:space="preserve">WGS</t>
        </is>
      </c>
      <c r="E1026" s="0" t="inlineStr">
        <is>
          <t xml:space="preserve">healthcare</t>
        </is>
      </c>
      <c r="F1026" s="4">
        <v>25</v>
      </c>
    </row>
    <row r="1027">
      <c r="A1027" s="0" t="inlineStr">
        <is>
          <t xml:space="preserve">random_01_PPTA</t>
        </is>
      </c>
      <c r="B1027" s="0" t="inlineStr">
        <is>
          <t xml:space="preserve">random_01</t>
        </is>
      </c>
      <c r="C1027" s="0" t="inlineStr">
        <is>
          <t xml:space="preserve">d20260923</t>
        </is>
      </c>
      <c r="D1027" s="0" t="inlineStr">
        <is>
          <t xml:space="preserve">PPTA</t>
        </is>
      </c>
      <c r="E1027" s="0" t="inlineStr">
        <is>
          <t xml:space="preserve">basic_materials</t>
        </is>
      </c>
      <c r="F1027" s="4">
        <v>26</v>
      </c>
    </row>
    <row r="1028">
      <c r="A1028" s="0" t="inlineStr">
        <is>
          <t xml:space="preserve">random_01_RHP</t>
        </is>
      </c>
      <c r="B1028" s="0" t="inlineStr">
        <is>
          <t xml:space="preserve">random_01</t>
        </is>
      </c>
      <c r="C1028" s="0" t="inlineStr">
        <is>
          <t xml:space="preserve">d20260923</t>
        </is>
      </c>
      <c r="D1028" s="0" t="inlineStr">
        <is>
          <t xml:space="preserve">RHP</t>
        </is>
      </c>
      <c r="E1028" s="0" t="inlineStr">
        <is>
          <t xml:space="preserve">real_estate</t>
        </is>
      </c>
      <c r="F1028" s="4">
        <v>27</v>
      </c>
    </row>
    <row r="1029">
      <c r="A1029" s="0" t="inlineStr">
        <is>
          <t xml:space="preserve">random_01_CTRE</t>
        </is>
      </c>
      <c r="B1029" s="0" t="inlineStr">
        <is>
          <t xml:space="preserve">random_01</t>
        </is>
      </c>
      <c r="C1029" s="0" t="inlineStr">
        <is>
          <t xml:space="preserve">d20260923</t>
        </is>
      </c>
      <c r="D1029" s="0" t="inlineStr">
        <is>
          <t xml:space="preserve">CTRE</t>
        </is>
      </c>
      <c r="E1029" s="0" t="inlineStr">
        <is>
          <t xml:space="preserve">real_estate</t>
        </is>
      </c>
      <c r="F1029" s="4">
        <v>28</v>
      </c>
    </row>
    <row r="1030">
      <c r="A1030" s="0" t="inlineStr">
        <is>
          <t xml:space="preserve">random_01_NUE</t>
        </is>
      </c>
      <c r="B1030" s="0" t="inlineStr">
        <is>
          <t xml:space="preserve">random_01</t>
        </is>
      </c>
      <c r="C1030" s="0" t="inlineStr">
        <is>
          <t xml:space="preserve">d20260923</t>
        </is>
      </c>
      <c r="D1030" s="0" t="inlineStr">
        <is>
          <t xml:space="preserve">NUE</t>
        </is>
      </c>
      <c r="E1030" s="0" t="inlineStr">
        <is>
          <t xml:space="preserve">basic_materials</t>
        </is>
      </c>
      <c r="F1030" s="4">
        <v>29</v>
      </c>
    </row>
    <row r="1031">
      <c r="A1031" s="0" t="inlineStr">
        <is>
          <t xml:space="preserve">random_01_AWK</t>
        </is>
      </c>
      <c r="B1031" s="0" t="inlineStr">
        <is>
          <t xml:space="preserve">random_01</t>
        </is>
      </c>
      <c r="C1031" s="0" t="inlineStr">
        <is>
          <t xml:space="preserve">d20260923</t>
        </is>
      </c>
      <c r="D1031" s="0" t="inlineStr">
        <is>
          <t xml:space="preserve">AWK</t>
        </is>
      </c>
      <c r="E1031" s="0" t="inlineStr">
        <is>
          <t xml:space="preserve">utilities</t>
        </is>
      </c>
      <c r="F1031" s="4">
        <v>30</v>
      </c>
    </row>
    <row r="1032">
      <c r="A1032" s="0" t="inlineStr">
        <is>
          <t xml:space="preserve">random_01_AAMI</t>
        </is>
      </c>
      <c r="B1032" s="0" t="inlineStr">
        <is>
          <t xml:space="preserve">random_01</t>
        </is>
      </c>
      <c r="C1032" s="0" t="inlineStr">
        <is>
          <t xml:space="preserve">d20260923</t>
        </is>
      </c>
      <c r="D1032" s="0" t="inlineStr">
        <is>
          <t xml:space="preserve">AAMI</t>
        </is>
      </c>
      <c r="E1032" s="0" t="inlineStr">
        <is>
          <t xml:space="preserve">financial_services</t>
        </is>
      </c>
      <c r="F1032" s="4">
        <v>31</v>
      </c>
    </row>
    <row r="1033">
      <c r="A1033" s="0" t="inlineStr">
        <is>
          <t xml:space="preserve">random_01_NWE</t>
        </is>
      </c>
      <c r="B1033" s="0" t="inlineStr">
        <is>
          <t xml:space="preserve">random_01</t>
        </is>
      </c>
      <c r="C1033" s="0" t="inlineStr">
        <is>
          <t xml:space="preserve">d20260923</t>
        </is>
      </c>
      <c r="D1033" s="0" t="inlineStr">
        <is>
          <t xml:space="preserve">NWE</t>
        </is>
      </c>
      <c r="E1033" s="0" t="inlineStr">
        <is>
          <t xml:space="preserve">utilities</t>
        </is>
      </c>
      <c r="F1033" s="4">
        <v>32</v>
      </c>
    </row>
    <row r="1034">
      <c r="A1034" s="0" t="inlineStr">
        <is>
          <t xml:space="preserve">random_01_MRCY</t>
        </is>
      </c>
      <c r="B1034" s="0" t="inlineStr">
        <is>
          <t xml:space="preserve">random_01</t>
        </is>
      </c>
      <c r="C1034" s="0" t="inlineStr">
        <is>
          <t xml:space="preserve">d20260923</t>
        </is>
      </c>
      <c r="D1034" s="0" t="inlineStr">
        <is>
          <t xml:space="preserve">MRCY</t>
        </is>
      </c>
      <c r="E1034" s="0" t="inlineStr">
        <is>
          <t xml:space="preserve">industrials</t>
        </is>
      </c>
      <c r="F1034" s="4">
        <v>33</v>
      </c>
    </row>
    <row r="1035">
      <c r="A1035" s="0" t="inlineStr">
        <is>
          <t xml:space="preserve">random_01_EXP</t>
        </is>
      </c>
      <c r="B1035" s="0" t="inlineStr">
        <is>
          <t xml:space="preserve">random_01</t>
        </is>
      </c>
      <c r="C1035" s="0" t="inlineStr">
        <is>
          <t xml:space="preserve">d20260923</t>
        </is>
      </c>
      <c r="D1035" s="0" t="inlineStr">
        <is>
          <t xml:space="preserve">EXP</t>
        </is>
      </c>
      <c r="E1035" s="0" t="inlineStr">
        <is>
          <t xml:space="preserve">basic_materials</t>
        </is>
      </c>
      <c r="F1035" s="4">
        <v>34</v>
      </c>
    </row>
    <row r="1036">
      <c r="A1036" s="0" t="inlineStr">
        <is>
          <t xml:space="preserve">random_01_TOL</t>
        </is>
      </c>
      <c r="B1036" s="0" t="inlineStr">
        <is>
          <t xml:space="preserve">random_01</t>
        </is>
      </c>
      <c r="C1036" s="0" t="inlineStr">
        <is>
          <t xml:space="preserve">d20260923</t>
        </is>
      </c>
      <c r="D1036" s="0" t="inlineStr">
        <is>
          <t xml:space="preserve">TOL</t>
        </is>
      </c>
      <c r="E1036" s="0" t="inlineStr">
        <is>
          <t xml:space="preserve">consumer_cyclical</t>
        </is>
      </c>
      <c r="F1036" s="4">
        <v>35</v>
      </c>
    </row>
    <row r="1037">
      <c r="A1037" s="0" t="inlineStr">
        <is>
          <t xml:space="preserve">random_01_TEX</t>
        </is>
      </c>
      <c r="B1037" s="0" t="inlineStr">
        <is>
          <t xml:space="preserve">random_01</t>
        </is>
      </c>
      <c r="C1037" s="0" t="inlineStr">
        <is>
          <t xml:space="preserve">d20260923</t>
        </is>
      </c>
      <c r="D1037" s="0" t="inlineStr">
        <is>
          <t xml:space="preserve">TEX</t>
        </is>
      </c>
      <c r="E1037" s="0" t="inlineStr">
        <is>
          <t xml:space="preserve">industrials</t>
        </is>
      </c>
      <c r="F1037" s="4">
        <v>36</v>
      </c>
    </row>
    <row r="1038">
      <c r="A1038" s="0" t="inlineStr">
        <is>
          <t xml:space="preserve">random_01_OTF</t>
        </is>
      </c>
      <c r="B1038" s="0" t="inlineStr">
        <is>
          <t xml:space="preserve">random_01</t>
        </is>
      </c>
      <c r="C1038" s="0" t="inlineStr">
        <is>
          <t xml:space="preserve">d20260923</t>
        </is>
      </c>
      <c r="D1038" s="0" t="inlineStr">
        <is>
          <t xml:space="preserve">OTF</t>
        </is>
      </c>
      <c r="E1038" s="0" t="inlineStr">
        <is>
          <t xml:space="preserve">financial_services</t>
        </is>
      </c>
      <c r="F1038" s="4">
        <v>37</v>
      </c>
    </row>
    <row r="1039">
      <c r="A1039" s="0" t="inlineStr">
        <is>
          <t xml:space="preserve">random_01_LFTO</t>
        </is>
      </c>
      <c r="B1039" s="0" t="inlineStr">
        <is>
          <t xml:space="preserve">random_01</t>
        </is>
      </c>
      <c r="C1039" s="0" t="inlineStr">
        <is>
          <t xml:space="preserve">d20260923</t>
        </is>
      </c>
      <c r="D1039" s="0" t="inlineStr">
        <is>
          <t xml:space="preserve">LFTO</t>
        </is>
      </c>
      <c r="E1039" s="0" t="inlineStr">
        <is>
          <t xml:space="preserve">communication_services</t>
        </is>
      </c>
      <c r="F1039" s="4">
        <v>38</v>
      </c>
    </row>
    <row r="1040">
      <c r="A1040" s="0" t="inlineStr">
        <is>
          <t xml:space="preserve">random_01_AUGO</t>
        </is>
      </c>
      <c r="B1040" s="0" t="inlineStr">
        <is>
          <t xml:space="preserve">random_01</t>
        </is>
      </c>
      <c r="C1040" s="0" t="inlineStr">
        <is>
          <t xml:space="preserve">d20260923</t>
        </is>
      </c>
      <c r="D1040" s="0" t="inlineStr">
        <is>
          <t xml:space="preserve">AUGO</t>
        </is>
      </c>
      <c r="E1040" s="0" t="inlineStr">
        <is>
          <t xml:space="preserve">basic_materials</t>
        </is>
      </c>
      <c r="F1040" s="4">
        <v>39</v>
      </c>
    </row>
    <row r="1041">
      <c r="A1041" s="0" t="inlineStr">
        <is>
          <t xml:space="preserve">random_01_WYNN</t>
        </is>
      </c>
      <c r="B1041" s="0" t="inlineStr">
        <is>
          <t xml:space="preserve">random_01</t>
        </is>
      </c>
      <c r="C1041" s="0" t="inlineStr">
        <is>
          <t xml:space="preserve">d20260923</t>
        </is>
      </c>
      <c r="D1041" s="0" t="inlineStr">
        <is>
          <t xml:space="preserve">WYNN</t>
        </is>
      </c>
      <c r="E1041" s="0" t="inlineStr">
        <is>
          <t xml:space="preserve">consumer_cyclical</t>
        </is>
      </c>
      <c r="F1041" s="4">
        <v>40</v>
      </c>
    </row>
    <row r="1042">
      <c r="A1042" s="0" t="inlineStr">
        <is>
          <t xml:space="preserve">random_01_RTX</t>
        </is>
      </c>
      <c r="B1042" s="0" t="inlineStr">
        <is>
          <t xml:space="preserve">random_01</t>
        </is>
      </c>
      <c r="C1042" s="0" t="inlineStr">
        <is>
          <t xml:space="preserve">d20260923</t>
        </is>
      </c>
      <c r="D1042" s="0" t="inlineStr">
        <is>
          <t xml:space="preserve">RTX</t>
        </is>
      </c>
      <c r="E1042" s="0" t="inlineStr">
        <is>
          <t xml:space="preserve">industrials</t>
        </is>
      </c>
      <c r="F1042" s="4">
        <v>41</v>
      </c>
    </row>
    <row r="1043">
      <c r="A1043" s="0" t="inlineStr">
        <is>
          <t xml:space="preserve">random_01_CPB</t>
        </is>
      </c>
      <c r="B1043" s="0" t="inlineStr">
        <is>
          <t xml:space="preserve">random_01</t>
        </is>
      </c>
      <c r="C1043" s="0" t="inlineStr">
        <is>
          <t xml:space="preserve">d20260923</t>
        </is>
      </c>
      <c r="D1043" s="0" t="inlineStr">
        <is>
          <t xml:space="preserve">CPB</t>
        </is>
      </c>
      <c r="E1043" s="0" t="inlineStr">
        <is>
          <t xml:space="preserve">consumer_defensive</t>
        </is>
      </c>
      <c r="F1043" s="4">
        <v>42</v>
      </c>
    </row>
    <row r="1044">
      <c r="A1044" s="0" t="inlineStr">
        <is>
          <t xml:space="preserve">random_01_VEEV</t>
        </is>
      </c>
      <c r="B1044" s="0" t="inlineStr">
        <is>
          <t xml:space="preserve">random_01</t>
        </is>
      </c>
      <c r="C1044" s="0" t="inlineStr">
        <is>
          <t xml:space="preserve">d20260923</t>
        </is>
      </c>
      <c r="D1044" s="0" t="inlineStr">
        <is>
          <t xml:space="preserve">VEEV</t>
        </is>
      </c>
      <c r="E1044" s="0" t="inlineStr">
        <is>
          <t xml:space="preserve">technology</t>
        </is>
      </c>
      <c r="F1044" s="4">
        <v>43</v>
      </c>
    </row>
    <row r="1045">
      <c r="A1045" s="0" t="inlineStr">
        <is>
          <t xml:space="preserve">random_01_PAA</t>
        </is>
      </c>
      <c r="B1045" s="0" t="inlineStr">
        <is>
          <t xml:space="preserve">random_01</t>
        </is>
      </c>
      <c r="C1045" s="0" t="inlineStr">
        <is>
          <t xml:space="preserve">d20260923</t>
        </is>
      </c>
      <c r="D1045" s="0" t="inlineStr">
        <is>
          <t xml:space="preserve">PAA</t>
        </is>
      </c>
      <c r="E1045" s="0" t="inlineStr">
        <is>
          <t xml:space="preserve">energy</t>
        </is>
      </c>
      <c r="F1045" s="4">
        <v>44</v>
      </c>
    </row>
    <row r="1046">
      <c r="A1046" s="0" t="inlineStr">
        <is>
          <t xml:space="preserve">random_01_HONA</t>
        </is>
      </c>
      <c r="B1046" s="0" t="inlineStr">
        <is>
          <t xml:space="preserve">random_01</t>
        </is>
      </c>
      <c r="C1046" s="0" t="inlineStr">
        <is>
          <t xml:space="preserve">d20260923</t>
        </is>
      </c>
      <c r="D1046" s="0" t="inlineStr">
        <is>
          <t xml:space="preserve">HONA</t>
        </is>
      </c>
      <c r="E1046" s="0" t="inlineStr">
        <is>
          <t xml:space="preserve">industrials</t>
        </is>
      </c>
      <c r="F1046" s="4">
        <v>45</v>
      </c>
    </row>
    <row r="1047">
      <c r="A1047" s="0" t="inlineStr">
        <is>
          <t xml:space="preserve">random_01_TPR</t>
        </is>
      </c>
      <c r="B1047" s="0" t="inlineStr">
        <is>
          <t xml:space="preserve">random_01</t>
        </is>
      </c>
      <c r="C1047" s="0" t="inlineStr">
        <is>
          <t xml:space="preserve">d20260923</t>
        </is>
      </c>
      <c r="D1047" s="0" t="inlineStr">
        <is>
          <t xml:space="preserve">TPR</t>
        </is>
      </c>
      <c r="E1047" s="0" t="inlineStr">
        <is>
          <t xml:space="preserve">consumer_cyclical</t>
        </is>
      </c>
      <c r="F1047" s="4">
        <v>46</v>
      </c>
    </row>
    <row r="1048">
      <c r="A1048" s="0" t="inlineStr">
        <is>
          <t xml:space="preserve">random_01_BOX</t>
        </is>
      </c>
      <c r="B1048" s="0" t="inlineStr">
        <is>
          <t xml:space="preserve">random_01</t>
        </is>
      </c>
      <c r="C1048" s="0" t="inlineStr">
        <is>
          <t xml:space="preserve">d20260923</t>
        </is>
      </c>
      <c r="D1048" s="0" t="inlineStr">
        <is>
          <t xml:space="preserve">BOX</t>
        </is>
      </c>
      <c r="E1048" s="0" t="inlineStr">
        <is>
          <t xml:space="preserve">technology</t>
        </is>
      </c>
      <c r="F1048" s="4">
        <v>47</v>
      </c>
    </row>
    <row r="1049">
      <c r="A1049" s="0" t="inlineStr">
        <is>
          <t xml:space="preserve">random_01_ECPG</t>
        </is>
      </c>
      <c r="B1049" s="0" t="inlineStr">
        <is>
          <t xml:space="preserve">random_01</t>
        </is>
      </c>
      <c r="C1049" s="0" t="inlineStr">
        <is>
          <t xml:space="preserve">d20260923</t>
        </is>
      </c>
      <c r="D1049" s="0" t="inlineStr">
        <is>
          <t xml:space="preserve">ECPG</t>
        </is>
      </c>
      <c r="E1049" s="0" t="inlineStr">
        <is>
          <t xml:space="preserve">financial_services</t>
        </is>
      </c>
      <c r="F1049" s="4">
        <v>48</v>
      </c>
    </row>
    <row r="1050">
      <c r="A1050" s="0" t="inlineStr">
        <is>
          <t xml:space="preserve">random_01_APLD</t>
        </is>
      </c>
      <c r="B1050" s="0" t="inlineStr">
        <is>
          <t xml:space="preserve">random_01</t>
        </is>
      </c>
      <c r="C1050" s="0" t="inlineStr">
        <is>
          <t xml:space="preserve">d20260923</t>
        </is>
      </c>
      <c r="D1050" s="0" t="inlineStr">
        <is>
          <t xml:space="preserve">APLD</t>
        </is>
      </c>
      <c r="E1050" s="0" t="inlineStr">
        <is>
          <t xml:space="preserve">technology</t>
        </is>
      </c>
      <c r="F1050" s="4">
        <v>49</v>
      </c>
    </row>
    <row r="1051">
      <c r="A1051" s="0" t="inlineStr">
        <is>
          <t xml:space="preserve">random_01_QTWO</t>
        </is>
      </c>
      <c r="B1051" s="0" t="inlineStr">
        <is>
          <t xml:space="preserve">random_01</t>
        </is>
      </c>
      <c r="C1051" s="0" t="inlineStr">
        <is>
          <t xml:space="preserve">d20260923</t>
        </is>
      </c>
      <c r="D1051" s="0" t="inlineStr">
        <is>
          <t xml:space="preserve">QTWO</t>
        </is>
      </c>
      <c r="E1051" s="0" t="inlineStr">
        <is>
          <t xml:space="preserve">technology</t>
        </is>
      </c>
      <c r="F1051" s="4">
        <v>50</v>
      </c>
    </row>
    <row r="1052">
      <c r="A1052" s="0" t="inlineStr">
        <is>
          <t xml:space="preserve">random_01_AMP</t>
        </is>
      </c>
      <c r="B1052" s="0" t="inlineStr">
        <is>
          <t xml:space="preserve">random_01</t>
        </is>
      </c>
      <c r="C1052" s="0" t="inlineStr">
        <is>
          <t xml:space="preserve">d20260923</t>
        </is>
      </c>
      <c r="D1052" s="0" t="inlineStr">
        <is>
          <t xml:space="preserve">AMP</t>
        </is>
      </c>
      <c r="E1052" s="0" t="inlineStr">
        <is>
          <t xml:space="preserve">financial_services</t>
        </is>
      </c>
      <c r="F1052" s="4">
        <v>51</v>
      </c>
    </row>
    <row r="1053">
      <c r="A1053" s="0" t="inlineStr">
        <is>
          <t xml:space="preserve">random_01_CASY</t>
        </is>
      </c>
      <c r="B1053" s="0" t="inlineStr">
        <is>
          <t xml:space="preserve">random_01</t>
        </is>
      </c>
      <c r="C1053" s="0" t="inlineStr">
        <is>
          <t xml:space="preserve">d20260923</t>
        </is>
      </c>
      <c r="D1053" s="0" t="inlineStr">
        <is>
          <t xml:space="preserve">CASY</t>
        </is>
      </c>
      <c r="E1053" s="0" t="inlineStr">
        <is>
          <t xml:space="preserve">consumer_cyclical</t>
        </is>
      </c>
      <c r="F1053" s="4">
        <v>52</v>
      </c>
    </row>
    <row r="1054">
      <c r="A1054" s="0" t="inlineStr">
        <is>
          <t xml:space="preserve">random_01_GS</t>
        </is>
      </c>
      <c r="B1054" s="0" t="inlineStr">
        <is>
          <t xml:space="preserve">random_01</t>
        </is>
      </c>
      <c r="C1054" s="0" t="inlineStr">
        <is>
          <t xml:space="preserve">d20260923</t>
        </is>
      </c>
      <c r="D1054" s="0" t="inlineStr">
        <is>
          <t xml:space="preserve">GS</t>
        </is>
      </c>
      <c r="E1054" s="0" t="inlineStr">
        <is>
          <t xml:space="preserve">financial_services</t>
        </is>
      </c>
      <c r="F1054" s="4">
        <v>53</v>
      </c>
    </row>
    <row r="1055">
      <c r="A1055" s="0" t="inlineStr">
        <is>
          <t xml:space="preserve">random_01_COO</t>
        </is>
      </c>
      <c r="B1055" s="0" t="inlineStr">
        <is>
          <t xml:space="preserve">random_01</t>
        </is>
      </c>
      <c r="C1055" s="0" t="inlineStr">
        <is>
          <t xml:space="preserve">d20260923</t>
        </is>
      </c>
      <c r="D1055" s="0" t="inlineStr">
        <is>
          <t xml:space="preserve">COO</t>
        </is>
      </c>
      <c r="E1055" s="0" t="inlineStr">
        <is>
          <t xml:space="preserve">healthcare</t>
        </is>
      </c>
      <c r="F1055" s="4">
        <v>54</v>
      </c>
    </row>
    <row r="1056">
      <c r="A1056" s="0" t="inlineStr">
        <is>
          <t xml:space="preserve">random_01_IVZ</t>
        </is>
      </c>
      <c r="B1056" s="0" t="inlineStr">
        <is>
          <t xml:space="preserve">random_01</t>
        </is>
      </c>
      <c r="C1056" s="0" t="inlineStr">
        <is>
          <t xml:space="preserve">d20260923</t>
        </is>
      </c>
      <c r="D1056" s="0" t="inlineStr">
        <is>
          <t xml:space="preserve">IVZ</t>
        </is>
      </c>
      <c r="E1056" s="0" t="inlineStr">
        <is>
          <t xml:space="preserve">financial_services</t>
        </is>
      </c>
      <c r="F1056" s="4">
        <v>55</v>
      </c>
    </row>
    <row r="1057">
      <c r="A1057" s="0" t="inlineStr">
        <is>
          <t xml:space="preserve">random_01_LOW</t>
        </is>
      </c>
      <c r="B1057" s="0" t="inlineStr">
        <is>
          <t xml:space="preserve">random_01</t>
        </is>
      </c>
      <c r="C1057" s="0" t="inlineStr">
        <is>
          <t xml:space="preserve">d20260923</t>
        </is>
      </c>
      <c r="D1057" s="0" t="inlineStr">
        <is>
          <t xml:space="preserve">LOW</t>
        </is>
      </c>
      <c r="E1057" s="0" t="inlineStr">
        <is>
          <t xml:space="preserve">consumer_cyclical</t>
        </is>
      </c>
      <c r="F1057" s="4">
        <v>56</v>
      </c>
    </row>
    <row r="1058">
      <c r="A1058" s="0" t="inlineStr">
        <is>
          <t xml:space="preserve">random_01_MGM</t>
        </is>
      </c>
      <c r="B1058" s="0" t="inlineStr">
        <is>
          <t xml:space="preserve">random_01</t>
        </is>
      </c>
      <c r="C1058" s="0" t="inlineStr">
        <is>
          <t xml:space="preserve">d20260923</t>
        </is>
      </c>
      <c r="D1058" s="0" t="inlineStr">
        <is>
          <t xml:space="preserve">MGM</t>
        </is>
      </c>
      <c r="E1058" s="0" t="inlineStr">
        <is>
          <t xml:space="preserve">consumer_cyclical</t>
        </is>
      </c>
      <c r="F1058" s="4">
        <v>57</v>
      </c>
    </row>
    <row r="1059">
      <c r="A1059" s="0" t="inlineStr">
        <is>
          <t xml:space="preserve">random_01_DTM</t>
        </is>
      </c>
      <c r="B1059" s="0" t="inlineStr">
        <is>
          <t xml:space="preserve">random_01</t>
        </is>
      </c>
      <c r="C1059" s="0" t="inlineStr">
        <is>
          <t xml:space="preserve">d20260923</t>
        </is>
      </c>
      <c r="D1059" s="0" t="inlineStr">
        <is>
          <t xml:space="preserve">DTM</t>
        </is>
      </c>
      <c r="E1059" s="0" t="inlineStr">
        <is>
          <t xml:space="preserve">energy</t>
        </is>
      </c>
      <c r="F1059" s="4">
        <v>58</v>
      </c>
    </row>
    <row r="1060">
      <c r="A1060" s="0" t="inlineStr">
        <is>
          <t xml:space="preserve">random_01_EPD</t>
        </is>
      </c>
      <c r="B1060" s="0" t="inlineStr">
        <is>
          <t xml:space="preserve">random_01</t>
        </is>
      </c>
      <c r="C1060" s="0" t="inlineStr">
        <is>
          <t xml:space="preserve">d20260923</t>
        </is>
      </c>
      <c r="D1060" s="0" t="inlineStr">
        <is>
          <t xml:space="preserve">EPD</t>
        </is>
      </c>
      <c r="E1060" s="0" t="inlineStr">
        <is>
          <t xml:space="preserve">energy</t>
        </is>
      </c>
      <c r="F1060" s="4">
        <v>59</v>
      </c>
    </row>
    <row r="1061">
      <c r="A1061" s="0" t="inlineStr">
        <is>
          <t xml:space="preserve">random_01_CRWV</t>
        </is>
      </c>
      <c r="B1061" s="0" t="inlineStr">
        <is>
          <t xml:space="preserve">random_01</t>
        </is>
      </c>
      <c r="C1061" s="0" t="inlineStr">
        <is>
          <t xml:space="preserve">d20260923</t>
        </is>
      </c>
      <c r="D1061" s="0" t="inlineStr">
        <is>
          <t xml:space="preserve">CRWV</t>
        </is>
      </c>
      <c r="E1061" s="0" t="inlineStr">
        <is>
          <t xml:space="preserve">technology</t>
        </is>
      </c>
      <c r="F1061" s="4">
        <v>60</v>
      </c>
    </row>
    <row r="1062">
      <c r="A1062" s="0" t="inlineStr">
        <is>
          <t xml:space="preserve">random_01_EME</t>
        </is>
      </c>
      <c r="B1062" s="0" t="inlineStr">
        <is>
          <t xml:space="preserve">random_01</t>
        </is>
      </c>
      <c r="C1062" s="0" t="inlineStr">
        <is>
          <t xml:space="preserve">d20260923</t>
        </is>
      </c>
      <c r="D1062" s="0" t="inlineStr">
        <is>
          <t xml:space="preserve">EME</t>
        </is>
      </c>
      <c r="E1062" s="0" t="inlineStr">
        <is>
          <t xml:space="preserve">industrials</t>
        </is>
      </c>
      <c r="F1062" s="4">
        <v>61</v>
      </c>
    </row>
    <row r="1063">
      <c r="A1063" s="0" t="inlineStr">
        <is>
          <t xml:space="preserve">random_01_AFG</t>
        </is>
      </c>
      <c r="B1063" s="0" t="inlineStr">
        <is>
          <t xml:space="preserve">random_01</t>
        </is>
      </c>
      <c r="C1063" s="0" t="inlineStr">
        <is>
          <t xml:space="preserve">d20260923</t>
        </is>
      </c>
      <c r="D1063" s="0" t="inlineStr">
        <is>
          <t xml:space="preserve">AFG</t>
        </is>
      </c>
      <c r="E1063" s="0" t="inlineStr">
        <is>
          <t xml:space="preserve">financial_services</t>
        </is>
      </c>
      <c r="F1063" s="4">
        <v>62</v>
      </c>
    </row>
    <row r="1064">
      <c r="A1064" s="0" t="inlineStr">
        <is>
          <t xml:space="preserve">random_01_FCF</t>
        </is>
      </c>
      <c r="B1064" s="0" t="inlineStr">
        <is>
          <t xml:space="preserve">random_01</t>
        </is>
      </c>
      <c r="C1064" s="0" t="inlineStr">
        <is>
          <t xml:space="preserve">d20260923</t>
        </is>
      </c>
      <c r="D1064" s="0" t="inlineStr">
        <is>
          <t xml:space="preserve">FCF</t>
        </is>
      </c>
      <c r="E1064" s="0" t="inlineStr">
        <is>
          <t xml:space="preserve">financial_services</t>
        </is>
      </c>
      <c r="F1064" s="4">
        <v>63</v>
      </c>
    </row>
    <row r="1065">
      <c r="A1065" s="0" t="inlineStr">
        <is>
          <t xml:space="preserve">random_01_CRM</t>
        </is>
      </c>
      <c r="B1065" s="0" t="inlineStr">
        <is>
          <t xml:space="preserve">random_01</t>
        </is>
      </c>
      <c r="C1065" s="0" t="inlineStr">
        <is>
          <t xml:space="preserve">d20260923</t>
        </is>
      </c>
      <c r="D1065" s="0" t="inlineStr">
        <is>
          <t xml:space="preserve">CRM</t>
        </is>
      </c>
      <c r="E1065" s="0" t="inlineStr">
        <is>
          <t xml:space="preserve">technology</t>
        </is>
      </c>
      <c r="F1065" s="4">
        <v>64</v>
      </c>
    </row>
    <row r="1066">
      <c r="A1066" s="0" t="inlineStr">
        <is>
          <t xml:space="preserve">random_01_BDX</t>
        </is>
      </c>
      <c r="B1066" s="0" t="inlineStr">
        <is>
          <t xml:space="preserve">random_01</t>
        </is>
      </c>
      <c r="C1066" s="0" t="inlineStr">
        <is>
          <t xml:space="preserve">d20260923</t>
        </is>
      </c>
      <c r="D1066" s="0" t="inlineStr">
        <is>
          <t xml:space="preserve">BDX</t>
        </is>
      </c>
      <c r="E1066" s="0" t="inlineStr">
        <is>
          <t xml:space="preserve">healthcare</t>
        </is>
      </c>
      <c r="F1066" s="4">
        <v>65</v>
      </c>
    </row>
    <row r="1067">
      <c r="A1067" s="0" t="inlineStr">
        <is>
          <t xml:space="preserve">random_01_AAPL</t>
        </is>
      </c>
      <c r="B1067" s="0" t="inlineStr">
        <is>
          <t xml:space="preserve">random_01</t>
        </is>
      </c>
      <c r="C1067" s="0" t="inlineStr">
        <is>
          <t xml:space="preserve">d20260923</t>
        </is>
      </c>
      <c r="D1067" s="0" t="inlineStr">
        <is>
          <t xml:space="preserve">AAPL</t>
        </is>
      </c>
      <c r="E1067" s="0" t="inlineStr">
        <is>
          <t xml:space="preserve">technology</t>
        </is>
      </c>
      <c r="F1067" s="4">
        <v>66</v>
      </c>
    </row>
    <row r="1068">
      <c r="A1068" s="0" t="inlineStr">
        <is>
          <t xml:space="preserve">random_01_COHU</t>
        </is>
      </c>
      <c r="B1068" s="0" t="inlineStr">
        <is>
          <t xml:space="preserve">random_01</t>
        </is>
      </c>
      <c r="C1068" s="0" t="inlineStr">
        <is>
          <t xml:space="preserve">d20260923</t>
        </is>
      </c>
      <c r="D1068" s="0" t="inlineStr">
        <is>
          <t xml:space="preserve">COHU</t>
        </is>
      </c>
      <c r="E1068" s="0" t="inlineStr">
        <is>
          <t xml:space="preserve">technology</t>
        </is>
      </c>
      <c r="F1068" s="4">
        <v>67</v>
      </c>
    </row>
    <row r="1069">
      <c r="A1069" s="0" t="inlineStr">
        <is>
          <t xml:space="preserve">random_01_CHEF</t>
        </is>
      </c>
      <c r="B1069" s="0" t="inlineStr">
        <is>
          <t xml:space="preserve">random_01</t>
        </is>
      </c>
      <c r="C1069" s="0" t="inlineStr">
        <is>
          <t xml:space="preserve">d20260923</t>
        </is>
      </c>
      <c r="D1069" s="0" t="inlineStr">
        <is>
          <t xml:space="preserve">CHEF</t>
        </is>
      </c>
      <c r="E1069" s="0" t="inlineStr">
        <is>
          <t xml:space="preserve">consumer_defensive</t>
        </is>
      </c>
      <c r="F1069" s="4">
        <v>68</v>
      </c>
    </row>
    <row r="1070">
      <c r="A1070" s="0" t="inlineStr">
        <is>
          <t xml:space="preserve">random_01_OUST</t>
        </is>
      </c>
      <c r="B1070" s="0" t="inlineStr">
        <is>
          <t xml:space="preserve">random_01</t>
        </is>
      </c>
      <c r="C1070" s="0" t="inlineStr">
        <is>
          <t xml:space="preserve">d20260923</t>
        </is>
      </c>
      <c r="D1070" s="0" t="inlineStr">
        <is>
          <t xml:space="preserve">OUST</t>
        </is>
      </c>
      <c r="E1070" s="0" t="inlineStr">
        <is>
          <t xml:space="preserve">technology</t>
        </is>
      </c>
      <c r="F1070" s="4">
        <v>69</v>
      </c>
    </row>
    <row r="1071">
      <c r="A1071" s="0" t="inlineStr">
        <is>
          <t xml:space="preserve">random_01_GRBK</t>
        </is>
      </c>
      <c r="B1071" s="0" t="inlineStr">
        <is>
          <t xml:space="preserve">random_01</t>
        </is>
      </c>
      <c r="C1071" s="0" t="inlineStr">
        <is>
          <t xml:space="preserve">d20260923</t>
        </is>
      </c>
      <c r="D1071" s="0" t="inlineStr">
        <is>
          <t xml:space="preserve">GRBK</t>
        </is>
      </c>
      <c r="E1071" s="0" t="inlineStr">
        <is>
          <t xml:space="preserve">consumer_cyclical</t>
        </is>
      </c>
      <c r="F1071" s="4">
        <v>70</v>
      </c>
    </row>
    <row r="1072">
      <c r="A1072" s="0" t="inlineStr">
        <is>
          <t xml:space="preserve">random_01_PYPL</t>
        </is>
      </c>
      <c r="B1072" s="0" t="inlineStr">
        <is>
          <t xml:space="preserve">random_01</t>
        </is>
      </c>
      <c r="C1072" s="0" t="inlineStr">
        <is>
          <t xml:space="preserve">d20260923</t>
        </is>
      </c>
      <c r="D1072" s="0" t="inlineStr">
        <is>
          <t xml:space="preserve">PYPL</t>
        </is>
      </c>
      <c r="E1072" s="0" t="inlineStr">
        <is>
          <t xml:space="preserve">financial_services</t>
        </is>
      </c>
      <c r="F1072" s="4">
        <v>71</v>
      </c>
    </row>
    <row r="1073">
      <c r="A1073" s="0" t="inlineStr">
        <is>
          <t xml:space="preserve">random_01_OVV</t>
        </is>
      </c>
      <c r="B1073" s="0" t="inlineStr">
        <is>
          <t xml:space="preserve">random_01</t>
        </is>
      </c>
      <c r="C1073" s="0" t="inlineStr">
        <is>
          <t xml:space="preserve">d20260923</t>
        </is>
      </c>
      <c r="D1073" s="0" t="inlineStr">
        <is>
          <t xml:space="preserve">OVV</t>
        </is>
      </c>
      <c r="E1073" s="0" t="inlineStr">
        <is>
          <t xml:space="preserve">energy</t>
        </is>
      </c>
      <c r="F1073" s="4">
        <v>72</v>
      </c>
    </row>
    <row r="1074">
      <c r="A1074" s="0" t="inlineStr">
        <is>
          <t xml:space="preserve">random_01_DFTX</t>
        </is>
      </c>
      <c r="B1074" s="0" t="inlineStr">
        <is>
          <t xml:space="preserve">random_01</t>
        </is>
      </c>
      <c r="C1074" s="0" t="inlineStr">
        <is>
          <t xml:space="preserve">d20260923</t>
        </is>
      </c>
      <c r="D1074" s="0" t="inlineStr">
        <is>
          <t xml:space="preserve">DFTX</t>
        </is>
      </c>
      <c r="E1074" s="0" t="inlineStr">
        <is>
          <t xml:space="preserve">healthcare</t>
        </is>
      </c>
      <c r="F1074" s="4">
        <v>73</v>
      </c>
    </row>
    <row r="1075">
      <c r="A1075" s="0" t="inlineStr">
        <is>
          <t xml:space="preserve">random_01_RUSHA</t>
        </is>
      </c>
      <c r="B1075" s="0" t="inlineStr">
        <is>
          <t xml:space="preserve">random_01</t>
        </is>
      </c>
      <c r="C1075" s="0" t="inlineStr">
        <is>
          <t xml:space="preserve">d20260923</t>
        </is>
      </c>
      <c r="D1075" s="0" t="inlineStr">
        <is>
          <t xml:space="preserve">RUSHA</t>
        </is>
      </c>
      <c r="E1075" s="0" t="inlineStr">
        <is>
          <t xml:space="preserve">consumer_cyclical</t>
        </is>
      </c>
      <c r="F1075" s="4">
        <v>74</v>
      </c>
    </row>
    <row r="1076">
      <c r="A1076" s="0" t="inlineStr">
        <is>
          <t xml:space="preserve">random_01_PKG</t>
        </is>
      </c>
      <c r="B1076" s="0" t="inlineStr">
        <is>
          <t xml:space="preserve">random_01</t>
        </is>
      </c>
      <c r="C1076" s="0" t="inlineStr">
        <is>
          <t xml:space="preserve">d20260923</t>
        </is>
      </c>
      <c r="D1076" s="0" t="inlineStr">
        <is>
          <t xml:space="preserve">PKG</t>
        </is>
      </c>
      <c r="E1076" s="0" t="inlineStr">
        <is>
          <t xml:space="preserve">consumer_cyclical</t>
        </is>
      </c>
      <c r="F1076" s="4">
        <v>75</v>
      </c>
    </row>
    <row r="1077">
      <c r="A1077" s="0" t="inlineStr">
        <is>
          <t xml:space="preserve">random_01_CHWY</t>
        </is>
      </c>
      <c r="B1077" s="0" t="inlineStr">
        <is>
          <t xml:space="preserve">random_01</t>
        </is>
      </c>
      <c r="C1077" s="0" t="inlineStr">
        <is>
          <t xml:space="preserve">d20260923</t>
        </is>
      </c>
      <c r="D1077" s="0" t="inlineStr">
        <is>
          <t xml:space="preserve">CHWY</t>
        </is>
      </c>
      <c r="E1077" s="0" t="inlineStr">
        <is>
          <t xml:space="preserve">consumer_cyclical</t>
        </is>
      </c>
      <c r="F1077" s="4">
        <v>76</v>
      </c>
    </row>
    <row r="1078">
      <c r="A1078" s="0" t="inlineStr">
        <is>
          <t xml:space="preserve">random_01_CUBE</t>
        </is>
      </c>
      <c r="B1078" s="0" t="inlineStr">
        <is>
          <t xml:space="preserve">random_01</t>
        </is>
      </c>
      <c r="C1078" s="0" t="inlineStr">
        <is>
          <t xml:space="preserve">d20260923</t>
        </is>
      </c>
      <c r="D1078" s="0" t="inlineStr">
        <is>
          <t xml:space="preserve">CUBE</t>
        </is>
      </c>
      <c r="E1078" s="0" t="inlineStr">
        <is>
          <t xml:space="preserve">real_estate</t>
        </is>
      </c>
      <c r="F1078" s="4">
        <v>77</v>
      </c>
    </row>
    <row r="1079">
      <c r="A1079" s="0" t="inlineStr">
        <is>
          <t xml:space="preserve">random_01_OLED</t>
        </is>
      </c>
      <c r="B1079" s="0" t="inlineStr">
        <is>
          <t xml:space="preserve">random_01</t>
        </is>
      </c>
      <c r="C1079" s="0" t="inlineStr">
        <is>
          <t xml:space="preserve">d20260923</t>
        </is>
      </c>
      <c r="D1079" s="0" t="inlineStr">
        <is>
          <t xml:space="preserve">OLED</t>
        </is>
      </c>
      <c r="E1079" s="0" t="inlineStr">
        <is>
          <t xml:space="preserve">technology</t>
        </is>
      </c>
      <c r="F1079" s="4">
        <v>78</v>
      </c>
    </row>
    <row r="1080">
      <c r="A1080" s="0" t="inlineStr">
        <is>
          <t xml:space="preserve">random_01_LIFE</t>
        </is>
      </c>
      <c r="B1080" s="0" t="inlineStr">
        <is>
          <t xml:space="preserve">random_01</t>
        </is>
      </c>
      <c r="C1080" s="0" t="inlineStr">
        <is>
          <t xml:space="preserve">d20260923</t>
        </is>
      </c>
      <c r="D1080" s="0" t="inlineStr">
        <is>
          <t xml:space="preserve">LIFE</t>
        </is>
      </c>
      <c r="E1080" s="0" t="inlineStr">
        <is>
          <t xml:space="preserve">financial_services</t>
        </is>
      </c>
      <c r="F1080" s="4">
        <v>79</v>
      </c>
    </row>
    <row r="1081">
      <c r="A1081" s="0" t="inlineStr">
        <is>
          <t xml:space="preserve">random_01_MBX</t>
        </is>
      </c>
      <c r="B1081" s="0" t="inlineStr">
        <is>
          <t xml:space="preserve">random_01</t>
        </is>
      </c>
      <c r="C1081" s="0" t="inlineStr">
        <is>
          <t xml:space="preserve">d20260923</t>
        </is>
      </c>
      <c r="D1081" s="0" t="inlineStr">
        <is>
          <t xml:space="preserve">MBX</t>
        </is>
      </c>
      <c r="E1081" s="0" t="inlineStr">
        <is>
          <t xml:space="preserve">healthcare</t>
        </is>
      </c>
      <c r="F1081" s="4">
        <v>80</v>
      </c>
    </row>
    <row r="1082">
      <c r="A1082" s="0" t="inlineStr">
        <is>
          <t xml:space="preserve">random_01_RHI</t>
        </is>
      </c>
      <c r="B1082" s="0" t="inlineStr">
        <is>
          <t xml:space="preserve">random_01</t>
        </is>
      </c>
      <c r="C1082" s="0" t="inlineStr">
        <is>
          <t xml:space="preserve">d20260923</t>
        </is>
      </c>
      <c r="D1082" s="0" t="inlineStr">
        <is>
          <t xml:space="preserve">RHI</t>
        </is>
      </c>
      <c r="E1082" s="0" t="inlineStr">
        <is>
          <t xml:space="preserve">industrials</t>
        </is>
      </c>
      <c r="F1082" s="4">
        <v>81</v>
      </c>
    </row>
    <row r="1083">
      <c r="A1083" s="0" t="inlineStr">
        <is>
          <t xml:space="preserve">random_01_DOCN</t>
        </is>
      </c>
      <c r="B1083" s="0" t="inlineStr">
        <is>
          <t xml:space="preserve">random_01</t>
        </is>
      </c>
      <c r="C1083" s="0" t="inlineStr">
        <is>
          <t xml:space="preserve">d20260923</t>
        </is>
      </c>
      <c r="D1083" s="0" t="inlineStr">
        <is>
          <t xml:space="preserve">DOCN</t>
        </is>
      </c>
      <c r="E1083" s="0" t="inlineStr">
        <is>
          <t xml:space="preserve">technology</t>
        </is>
      </c>
      <c r="F1083" s="4">
        <v>82</v>
      </c>
    </row>
    <row r="1084">
      <c r="A1084" s="0" t="inlineStr">
        <is>
          <t xml:space="preserve">random_01_JNJ</t>
        </is>
      </c>
      <c r="B1084" s="0" t="inlineStr">
        <is>
          <t xml:space="preserve">random_01</t>
        </is>
      </c>
      <c r="C1084" s="0" t="inlineStr">
        <is>
          <t xml:space="preserve">d20260923</t>
        </is>
      </c>
      <c r="D1084" s="0" t="inlineStr">
        <is>
          <t xml:space="preserve">JNJ</t>
        </is>
      </c>
      <c r="E1084" s="0" t="inlineStr">
        <is>
          <t xml:space="preserve">healthcare</t>
        </is>
      </c>
      <c r="F1084" s="4">
        <v>83</v>
      </c>
    </row>
    <row r="1085">
      <c r="A1085" s="0" t="inlineStr">
        <is>
          <t xml:space="preserve">random_01_APA</t>
        </is>
      </c>
      <c r="B1085" s="0" t="inlineStr">
        <is>
          <t xml:space="preserve">random_01</t>
        </is>
      </c>
      <c r="C1085" s="0" t="inlineStr">
        <is>
          <t xml:space="preserve">d20260923</t>
        </is>
      </c>
      <c r="D1085" s="0" t="inlineStr">
        <is>
          <t xml:space="preserve">APA</t>
        </is>
      </c>
      <c r="E1085" s="0" t="inlineStr">
        <is>
          <t xml:space="preserve">energy</t>
        </is>
      </c>
      <c r="F1085" s="4">
        <v>84</v>
      </c>
    </row>
    <row r="1086">
      <c r="A1086" s="0" t="inlineStr">
        <is>
          <t xml:space="preserve">random_01_PR</t>
        </is>
      </c>
      <c r="B1086" s="0" t="inlineStr">
        <is>
          <t xml:space="preserve">random_01</t>
        </is>
      </c>
      <c r="C1086" s="0" t="inlineStr">
        <is>
          <t xml:space="preserve">d20260923</t>
        </is>
      </c>
      <c r="D1086" s="0" t="inlineStr">
        <is>
          <t xml:space="preserve">PR</t>
        </is>
      </c>
      <c r="E1086" s="0" t="inlineStr">
        <is>
          <t xml:space="preserve">energy</t>
        </is>
      </c>
      <c r="F1086" s="4">
        <v>85</v>
      </c>
    </row>
    <row r="1087">
      <c r="A1087" s="0" t="inlineStr">
        <is>
          <t xml:space="preserve">random_01_SBAC</t>
        </is>
      </c>
      <c r="B1087" s="0" t="inlineStr">
        <is>
          <t xml:space="preserve">random_01</t>
        </is>
      </c>
      <c r="C1087" s="0" t="inlineStr">
        <is>
          <t xml:space="preserve">d20260923</t>
        </is>
      </c>
      <c r="D1087" s="0" t="inlineStr">
        <is>
          <t xml:space="preserve">SBAC</t>
        </is>
      </c>
      <c r="E1087" s="0" t="inlineStr">
        <is>
          <t xml:space="preserve">real_estate</t>
        </is>
      </c>
      <c r="F1087" s="4">
        <v>86</v>
      </c>
    </row>
    <row r="1088">
      <c r="A1088" s="0" t="inlineStr">
        <is>
          <t xml:space="preserve">random_01_KN</t>
        </is>
      </c>
      <c r="B1088" s="0" t="inlineStr">
        <is>
          <t xml:space="preserve">random_01</t>
        </is>
      </c>
      <c r="C1088" s="0" t="inlineStr">
        <is>
          <t xml:space="preserve">d20260923</t>
        </is>
      </c>
      <c r="D1088" s="0" t="inlineStr">
        <is>
          <t xml:space="preserve">KN</t>
        </is>
      </c>
      <c r="E1088" s="0" t="inlineStr">
        <is>
          <t xml:space="preserve">technology</t>
        </is>
      </c>
      <c r="F1088" s="4">
        <v>87</v>
      </c>
    </row>
    <row r="1089">
      <c r="A1089" s="0" t="inlineStr">
        <is>
          <t xml:space="preserve">random_01_AVTR</t>
        </is>
      </c>
      <c r="B1089" s="0" t="inlineStr">
        <is>
          <t xml:space="preserve">random_01</t>
        </is>
      </c>
      <c r="C1089" s="0" t="inlineStr">
        <is>
          <t xml:space="preserve">d20260923</t>
        </is>
      </c>
      <c r="D1089" s="0" t="inlineStr">
        <is>
          <t xml:space="preserve">AVTR</t>
        </is>
      </c>
      <c r="E1089" s="0" t="inlineStr">
        <is>
          <t xml:space="preserve">healthcare</t>
        </is>
      </c>
      <c r="F1089" s="4">
        <v>88</v>
      </c>
    </row>
    <row r="1090">
      <c r="A1090" s="0" t="inlineStr">
        <is>
          <t xml:space="preserve">random_01_CGNX</t>
        </is>
      </c>
      <c r="B1090" s="0" t="inlineStr">
        <is>
          <t xml:space="preserve">random_01</t>
        </is>
      </c>
      <c r="C1090" s="0" t="inlineStr">
        <is>
          <t xml:space="preserve">d20260923</t>
        </is>
      </c>
      <c r="D1090" s="0" t="inlineStr">
        <is>
          <t xml:space="preserve">CGNX</t>
        </is>
      </c>
      <c r="E1090" s="0" t="inlineStr">
        <is>
          <t xml:space="preserve">technology</t>
        </is>
      </c>
      <c r="F1090" s="4">
        <v>89</v>
      </c>
    </row>
    <row r="1091">
      <c r="A1091" s="0" t="inlineStr">
        <is>
          <t xml:space="preserve">random_01_GNTX</t>
        </is>
      </c>
      <c r="B1091" s="0" t="inlineStr">
        <is>
          <t xml:space="preserve">random_01</t>
        </is>
      </c>
      <c r="C1091" s="0" t="inlineStr">
        <is>
          <t xml:space="preserve">d20260923</t>
        </is>
      </c>
      <c r="D1091" s="0" t="inlineStr">
        <is>
          <t xml:space="preserve">GNTX</t>
        </is>
      </c>
      <c r="E1091" s="0" t="inlineStr">
        <is>
          <t xml:space="preserve">consumer_cyclical</t>
        </is>
      </c>
      <c r="F1091" s="4">
        <v>90</v>
      </c>
    </row>
    <row r="1092">
      <c r="A1092" s="0" t="inlineStr">
        <is>
          <t xml:space="preserve">random_01_LII</t>
        </is>
      </c>
      <c r="B1092" s="0" t="inlineStr">
        <is>
          <t xml:space="preserve">random_01</t>
        </is>
      </c>
      <c r="C1092" s="0" t="inlineStr">
        <is>
          <t xml:space="preserve">d20260923</t>
        </is>
      </c>
      <c r="D1092" s="0" t="inlineStr">
        <is>
          <t xml:space="preserve">LII</t>
        </is>
      </c>
      <c r="E1092" s="0" t="inlineStr">
        <is>
          <t xml:space="preserve">industrials</t>
        </is>
      </c>
      <c r="F1092" s="4">
        <v>91</v>
      </c>
    </row>
    <row r="1093">
      <c r="A1093" s="0" t="inlineStr">
        <is>
          <t xml:space="preserve">random_01_VC</t>
        </is>
      </c>
      <c r="B1093" s="0" t="inlineStr">
        <is>
          <t xml:space="preserve">random_01</t>
        </is>
      </c>
      <c r="C1093" s="0" t="inlineStr">
        <is>
          <t xml:space="preserve">d20260923</t>
        </is>
      </c>
      <c r="D1093" s="0" t="inlineStr">
        <is>
          <t xml:space="preserve">VC</t>
        </is>
      </c>
      <c r="E1093" s="0" t="inlineStr">
        <is>
          <t xml:space="preserve">consumer_cyclical</t>
        </is>
      </c>
      <c r="F1093" s="4">
        <v>92</v>
      </c>
    </row>
    <row r="1094">
      <c r="A1094" s="0" t="inlineStr">
        <is>
          <t xml:space="preserve">random_01_META</t>
        </is>
      </c>
      <c r="B1094" s="0" t="inlineStr">
        <is>
          <t xml:space="preserve">random_01</t>
        </is>
      </c>
      <c r="C1094" s="0" t="inlineStr">
        <is>
          <t xml:space="preserve">d20260923</t>
        </is>
      </c>
      <c r="D1094" s="0" t="inlineStr">
        <is>
          <t xml:space="preserve">META</t>
        </is>
      </c>
      <c r="E1094" s="0" t="inlineStr">
        <is>
          <t xml:space="preserve">communication_services</t>
        </is>
      </c>
      <c r="F1094" s="4">
        <v>93</v>
      </c>
    </row>
    <row r="1095">
      <c r="A1095" s="0" t="inlineStr">
        <is>
          <t xml:space="preserve">random_01_VTR</t>
        </is>
      </c>
      <c r="B1095" s="0" t="inlineStr">
        <is>
          <t xml:space="preserve">random_01</t>
        </is>
      </c>
      <c r="C1095" s="0" t="inlineStr">
        <is>
          <t xml:space="preserve">d20260923</t>
        </is>
      </c>
      <c r="D1095" s="0" t="inlineStr">
        <is>
          <t xml:space="preserve">VTR</t>
        </is>
      </c>
      <c r="E1095" s="0" t="inlineStr">
        <is>
          <t xml:space="preserve">real_estate</t>
        </is>
      </c>
      <c r="F1095" s="4">
        <v>94</v>
      </c>
    </row>
    <row r="1096">
      <c r="A1096" s="0" t="inlineStr">
        <is>
          <t xml:space="preserve">random_01_NRIX</t>
        </is>
      </c>
      <c r="B1096" s="0" t="inlineStr">
        <is>
          <t xml:space="preserve">random_01</t>
        </is>
      </c>
      <c r="C1096" s="0" t="inlineStr">
        <is>
          <t xml:space="preserve">d20260923</t>
        </is>
      </c>
      <c r="D1096" s="0" t="inlineStr">
        <is>
          <t xml:space="preserve">NRIX</t>
        </is>
      </c>
      <c r="E1096" s="0" t="inlineStr">
        <is>
          <t xml:space="preserve">healthcare</t>
        </is>
      </c>
      <c r="F1096" s="4">
        <v>95</v>
      </c>
    </row>
    <row r="1097">
      <c r="A1097" s="0" t="inlineStr">
        <is>
          <t xml:space="preserve">random_01_NXT</t>
        </is>
      </c>
      <c r="B1097" s="0" t="inlineStr">
        <is>
          <t xml:space="preserve">random_01</t>
        </is>
      </c>
      <c r="C1097" s="0" t="inlineStr">
        <is>
          <t xml:space="preserve">d20260923</t>
        </is>
      </c>
      <c r="D1097" s="0" t="inlineStr">
        <is>
          <t xml:space="preserve">NXT</t>
        </is>
      </c>
      <c r="E1097" s="0" t="inlineStr">
        <is>
          <t xml:space="preserve">energy</t>
        </is>
      </c>
      <c r="F1097" s="4">
        <v>96</v>
      </c>
    </row>
    <row r="1098">
      <c r="A1098" s="0" t="inlineStr">
        <is>
          <t xml:space="preserve">random_01_CGON</t>
        </is>
      </c>
      <c r="B1098" s="0" t="inlineStr">
        <is>
          <t xml:space="preserve">random_01</t>
        </is>
      </c>
      <c r="C1098" s="0" t="inlineStr">
        <is>
          <t xml:space="preserve">d20260923</t>
        </is>
      </c>
      <c r="D1098" s="0" t="inlineStr">
        <is>
          <t xml:space="preserve">CGON</t>
        </is>
      </c>
      <c r="E1098" s="0" t="inlineStr">
        <is>
          <t xml:space="preserve">healthcare</t>
        </is>
      </c>
      <c r="F1098" s="4">
        <v>97</v>
      </c>
    </row>
    <row r="1099">
      <c r="A1099" s="0" t="inlineStr">
        <is>
          <t xml:space="preserve">random_01_TER</t>
        </is>
      </c>
      <c r="B1099" s="0" t="inlineStr">
        <is>
          <t xml:space="preserve">random_01</t>
        </is>
      </c>
      <c r="C1099" s="0" t="inlineStr">
        <is>
          <t xml:space="preserve">d20260923</t>
        </is>
      </c>
      <c r="D1099" s="0" t="inlineStr">
        <is>
          <t xml:space="preserve">TER</t>
        </is>
      </c>
      <c r="E1099" s="0" t="inlineStr">
        <is>
          <t xml:space="preserve">technology</t>
        </is>
      </c>
      <c r="F1099" s="4">
        <v>98</v>
      </c>
    </row>
    <row r="1100">
      <c r="A1100" s="0" t="inlineStr">
        <is>
          <t xml:space="preserve">random_01_AROC</t>
        </is>
      </c>
      <c r="B1100" s="0" t="inlineStr">
        <is>
          <t xml:space="preserve">random_01</t>
        </is>
      </c>
      <c r="C1100" s="0" t="inlineStr">
        <is>
          <t xml:space="preserve">d20260923</t>
        </is>
      </c>
      <c r="D1100" s="0" t="inlineStr">
        <is>
          <t xml:space="preserve">AROC</t>
        </is>
      </c>
      <c r="E1100" s="0" t="inlineStr">
        <is>
          <t xml:space="preserve">energy</t>
        </is>
      </c>
      <c r="F1100" s="4">
        <v>99</v>
      </c>
    </row>
    <row r="1101">
      <c r="A1101" s="0" t="inlineStr">
        <is>
          <t xml:space="preserve">random_01_HCA</t>
        </is>
      </c>
      <c r="B1101" s="0" t="inlineStr">
        <is>
          <t xml:space="preserve">random_01</t>
        </is>
      </c>
      <c r="C1101" s="0" t="inlineStr">
        <is>
          <t xml:space="preserve">d20260923</t>
        </is>
      </c>
      <c r="D1101" s="0" t="inlineStr">
        <is>
          <t xml:space="preserve">HCA</t>
        </is>
      </c>
      <c r="E1101" s="0" t="inlineStr">
        <is>
          <t xml:space="preserve">healthcare</t>
        </is>
      </c>
      <c r="F1101" s="4">
        <v>100</v>
      </c>
    </row>
    <row r="1102">
      <c r="A1102" s="0" t="inlineStr">
        <is>
          <t xml:space="preserve">random_02_CTAS</t>
        </is>
      </c>
      <c r="B1102" s="0" t="inlineStr">
        <is>
          <t xml:space="preserve">random_02</t>
        </is>
      </c>
      <c r="C1102" s="0" t="inlineStr">
        <is>
          <t xml:space="preserve">d20260923</t>
        </is>
      </c>
      <c r="D1102" s="0" t="inlineStr">
        <is>
          <t xml:space="preserve">CTAS</t>
        </is>
      </c>
      <c r="E1102" s="0" t="inlineStr">
        <is>
          <t xml:space="preserve">industrials</t>
        </is>
      </c>
      <c r="F1102" s="4">
        <v>1</v>
      </c>
    </row>
    <row r="1103">
      <c r="A1103" s="0" t="inlineStr">
        <is>
          <t xml:space="preserve">random_02_RL</t>
        </is>
      </c>
      <c r="B1103" s="0" t="inlineStr">
        <is>
          <t xml:space="preserve">random_02</t>
        </is>
      </c>
      <c r="C1103" s="0" t="inlineStr">
        <is>
          <t xml:space="preserve">d20260923</t>
        </is>
      </c>
      <c r="D1103" s="0" t="inlineStr">
        <is>
          <t xml:space="preserve">RL</t>
        </is>
      </c>
      <c r="E1103" s="0" t="inlineStr">
        <is>
          <t xml:space="preserve">consumer_cyclical</t>
        </is>
      </c>
      <c r="F1103" s="4">
        <v>2</v>
      </c>
    </row>
    <row r="1104">
      <c r="A1104" s="0" t="inlineStr">
        <is>
          <t xml:space="preserve">random_02_IBM</t>
        </is>
      </c>
      <c r="B1104" s="0" t="inlineStr">
        <is>
          <t xml:space="preserve">random_02</t>
        </is>
      </c>
      <c r="C1104" s="0" t="inlineStr">
        <is>
          <t xml:space="preserve">d20260923</t>
        </is>
      </c>
      <c r="D1104" s="0" t="inlineStr">
        <is>
          <t xml:space="preserve">IBM</t>
        </is>
      </c>
      <c r="E1104" s="0" t="inlineStr">
        <is>
          <t xml:space="preserve">technology</t>
        </is>
      </c>
      <c r="F1104" s="4">
        <v>3</v>
      </c>
    </row>
    <row r="1105">
      <c r="A1105" s="0" t="inlineStr">
        <is>
          <t xml:space="preserve">random_02_CAT</t>
        </is>
      </c>
      <c r="B1105" s="0" t="inlineStr">
        <is>
          <t xml:space="preserve">random_02</t>
        </is>
      </c>
      <c r="C1105" s="0" t="inlineStr">
        <is>
          <t xml:space="preserve">d20260923</t>
        </is>
      </c>
      <c r="D1105" s="0" t="inlineStr">
        <is>
          <t xml:space="preserve">CAT</t>
        </is>
      </c>
      <c r="E1105" s="0" t="inlineStr">
        <is>
          <t xml:space="preserve">industrials</t>
        </is>
      </c>
      <c r="F1105" s="4">
        <v>4</v>
      </c>
    </row>
    <row r="1106">
      <c r="A1106" s="0" t="inlineStr">
        <is>
          <t xml:space="preserve">random_02_WBD</t>
        </is>
      </c>
      <c r="B1106" s="0" t="inlineStr">
        <is>
          <t xml:space="preserve">random_02</t>
        </is>
      </c>
      <c r="C1106" s="0" t="inlineStr">
        <is>
          <t xml:space="preserve">d20260923</t>
        </is>
      </c>
      <c r="D1106" s="0" t="inlineStr">
        <is>
          <t xml:space="preserve">WBD</t>
        </is>
      </c>
      <c r="E1106" s="0" t="inlineStr">
        <is>
          <t xml:space="preserve">communication_services</t>
        </is>
      </c>
      <c r="F1106" s="4">
        <v>5</v>
      </c>
    </row>
    <row r="1107">
      <c r="A1107" s="0" t="inlineStr">
        <is>
          <t xml:space="preserve">random_02_CVLT</t>
        </is>
      </c>
      <c r="B1107" s="0" t="inlineStr">
        <is>
          <t xml:space="preserve">random_02</t>
        </is>
      </c>
      <c r="C1107" s="0" t="inlineStr">
        <is>
          <t xml:space="preserve">d20260923</t>
        </is>
      </c>
      <c r="D1107" s="0" t="inlineStr">
        <is>
          <t xml:space="preserve">CVLT</t>
        </is>
      </c>
      <c r="E1107" s="0" t="inlineStr">
        <is>
          <t xml:space="preserve">technology</t>
        </is>
      </c>
      <c r="F1107" s="4">
        <v>6</v>
      </c>
    </row>
    <row r="1108">
      <c r="A1108" s="0" t="inlineStr">
        <is>
          <t xml:space="preserve">random_02_UBER</t>
        </is>
      </c>
      <c r="B1108" s="0" t="inlineStr">
        <is>
          <t xml:space="preserve">random_02</t>
        </is>
      </c>
      <c r="C1108" s="0" t="inlineStr">
        <is>
          <t xml:space="preserve">d20260923</t>
        </is>
      </c>
      <c r="D1108" s="0" t="inlineStr">
        <is>
          <t xml:space="preserve">UBER</t>
        </is>
      </c>
      <c r="E1108" s="0" t="inlineStr">
        <is>
          <t xml:space="preserve">technology</t>
        </is>
      </c>
      <c r="F1108" s="4">
        <v>7</v>
      </c>
    </row>
    <row r="1109">
      <c r="A1109" s="0" t="inlineStr">
        <is>
          <t xml:space="preserve">random_02_CON</t>
        </is>
      </c>
      <c r="B1109" s="0" t="inlineStr">
        <is>
          <t xml:space="preserve">random_02</t>
        </is>
      </c>
      <c r="C1109" s="0" t="inlineStr">
        <is>
          <t xml:space="preserve">d20260923</t>
        </is>
      </c>
      <c r="D1109" s="0" t="inlineStr">
        <is>
          <t xml:space="preserve">CON</t>
        </is>
      </c>
      <c r="E1109" s="0" t="inlineStr">
        <is>
          <t xml:space="preserve">healthcare</t>
        </is>
      </c>
      <c r="F1109" s="4">
        <v>8</v>
      </c>
    </row>
    <row r="1110">
      <c r="A1110" s="0" t="inlineStr">
        <is>
          <t xml:space="preserve">random_02_TGT</t>
        </is>
      </c>
      <c r="B1110" s="0" t="inlineStr">
        <is>
          <t xml:space="preserve">random_02</t>
        </is>
      </c>
      <c r="C1110" s="0" t="inlineStr">
        <is>
          <t xml:space="preserve">d20260923</t>
        </is>
      </c>
      <c r="D1110" s="0" t="inlineStr">
        <is>
          <t xml:space="preserve">TGT</t>
        </is>
      </c>
      <c r="E1110" s="0" t="inlineStr">
        <is>
          <t xml:space="preserve">consumer_defensive</t>
        </is>
      </c>
      <c r="F1110" s="4">
        <v>9</v>
      </c>
    </row>
    <row r="1111">
      <c r="A1111" s="0" t="inlineStr">
        <is>
          <t xml:space="preserve">random_02_FIVE</t>
        </is>
      </c>
      <c r="B1111" s="0" t="inlineStr">
        <is>
          <t xml:space="preserve">random_02</t>
        </is>
      </c>
      <c r="C1111" s="0" t="inlineStr">
        <is>
          <t xml:space="preserve">d20260923</t>
        </is>
      </c>
      <c r="D1111" s="0" t="inlineStr">
        <is>
          <t xml:space="preserve">FIVE</t>
        </is>
      </c>
      <c r="E1111" s="0" t="inlineStr">
        <is>
          <t xml:space="preserve">consumer_cyclical</t>
        </is>
      </c>
      <c r="F1111" s="4">
        <v>10</v>
      </c>
    </row>
    <row r="1112">
      <c r="A1112" s="0" t="inlineStr">
        <is>
          <t xml:space="preserve">random_02_TXNM</t>
        </is>
      </c>
      <c r="B1112" s="0" t="inlineStr">
        <is>
          <t xml:space="preserve">random_02</t>
        </is>
      </c>
      <c r="C1112" s="0" t="inlineStr">
        <is>
          <t xml:space="preserve">d20260923</t>
        </is>
      </c>
      <c r="D1112" s="0" t="inlineStr">
        <is>
          <t xml:space="preserve">TXNM</t>
        </is>
      </c>
      <c r="E1112" s="0" t="inlineStr">
        <is>
          <t xml:space="preserve">utilities</t>
        </is>
      </c>
      <c r="F1112" s="4">
        <v>11</v>
      </c>
    </row>
    <row r="1113">
      <c r="A1113" s="0" t="inlineStr">
        <is>
          <t xml:space="preserve">random_02_DNOW</t>
        </is>
      </c>
      <c r="B1113" s="0" t="inlineStr">
        <is>
          <t xml:space="preserve">random_02</t>
        </is>
      </c>
      <c r="C1113" s="0" t="inlineStr">
        <is>
          <t xml:space="preserve">d20260923</t>
        </is>
      </c>
      <c r="D1113" s="0" t="inlineStr">
        <is>
          <t xml:space="preserve">DNOW</t>
        </is>
      </c>
      <c r="E1113" s="0" t="inlineStr">
        <is>
          <t xml:space="preserve">industrials</t>
        </is>
      </c>
      <c r="F1113" s="4">
        <v>12</v>
      </c>
    </row>
    <row r="1114">
      <c r="A1114" s="0" t="inlineStr">
        <is>
          <t xml:space="preserve">random_02_SAIC</t>
        </is>
      </c>
      <c r="B1114" s="0" t="inlineStr">
        <is>
          <t xml:space="preserve">random_02</t>
        </is>
      </c>
      <c r="C1114" s="0" t="inlineStr">
        <is>
          <t xml:space="preserve">d20260923</t>
        </is>
      </c>
      <c r="D1114" s="0" t="inlineStr">
        <is>
          <t xml:space="preserve">SAIC</t>
        </is>
      </c>
      <c r="E1114" s="0" t="inlineStr">
        <is>
          <t xml:space="preserve">technology</t>
        </is>
      </c>
      <c r="F1114" s="4">
        <v>13</v>
      </c>
    </row>
    <row r="1115">
      <c r="A1115" s="0" t="inlineStr">
        <is>
          <t xml:space="preserve">random_02_PSN</t>
        </is>
      </c>
      <c r="B1115" s="0" t="inlineStr">
        <is>
          <t xml:space="preserve">random_02</t>
        </is>
      </c>
      <c r="C1115" s="0" t="inlineStr">
        <is>
          <t xml:space="preserve">d20260923</t>
        </is>
      </c>
      <c r="D1115" s="0" t="inlineStr">
        <is>
          <t xml:space="preserve">PSN</t>
        </is>
      </c>
      <c r="E1115" s="0" t="inlineStr">
        <is>
          <t xml:space="preserve">technology</t>
        </is>
      </c>
      <c r="F1115" s="4">
        <v>14</v>
      </c>
    </row>
    <row r="1116">
      <c r="A1116" s="0" t="inlineStr">
        <is>
          <t xml:space="preserve">random_02_OII</t>
        </is>
      </c>
      <c r="B1116" s="0" t="inlineStr">
        <is>
          <t xml:space="preserve">random_02</t>
        </is>
      </c>
      <c r="C1116" s="0" t="inlineStr">
        <is>
          <t xml:space="preserve">d20260923</t>
        </is>
      </c>
      <c r="D1116" s="0" t="inlineStr">
        <is>
          <t xml:space="preserve">OII</t>
        </is>
      </c>
      <c r="E1116" s="0" t="inlineStr">
        <is>
          <t xml:space="preserve">energy</t>
        </is>
      </c>
      <c r="F1116" s="4">
        <v>15</v>
      </c>
    </row>
    <row r="1117">
      <c r="A1117" s="0" t="inlineStr">
        <is>
          <t xml:space="preserve">random_02_ADEA</t>
        </is>
      </c>
      <c r="B1117" s="0" t="inlineStr">
        <is>
          <t xml:space="preserve">random_02</t>
        </is>
      </c>
      <c r="C1117" s="0" t="inlineStr">
        <is>
          <t xml:space="preserve">d20260923</t>
        </is>
      </c>
      <c r="D1117" s="0" t="inlineStr">
        <is>
          <t xml:space="preserve">ADEA</t>
        </is>
      </c>
      <c r="E1117" s="0" t="inlineStr">
        <is>
          <t xml:space="preserve">technology</t>
        </is>
      </c>
      <c r="F1117" s="4">
        <v>16</v>
      </c>
    </row>
    <row r="1118">
      <c r="A1118" s="0" t="inlineStr">
        <is>
          <t xml:space="preserve">random_02_JAN</t>
        </is>
      </c>
      <c r="B1118" s="0" t="inlineStr">
        <is>
          <t xml:space="preserve">random_02</t>
        </is>
      </c>
      <c r="C1118" s="0" t="inlineStr">
        <is>
          <t xml:space="preserve">d20260923</t>
        </is>
      </c>
      <c r="D1118" s="0" t="inlineStr">
        <is>
          <t xml:space="preserve">JAN</t>
        </is>
      </c>
      <c r="E1118" s="0" t="inlineStr">
        <is>
          <t xml:space="preserve">real_estate</t>
        </is>
      </c>
      <c r="F1118" s="4">
        <v>17</v>
      </c>
    </row>
    <row r="1119">
      <c r="A1119" s="0" t="inlineStr">
        <is>
          <t xml:space="preserve">random_02_PFG</t>
        </is>
      </c>
      <c r="B1119" s="0" t="inlineStr">
        <is>
          <t xml:space="preserve">random_02</t>
        </is>
      </c>
      <c r="C1119" s="0" t="inlineStr">
        <is>
          <t xml:space="preserve">d20260923</t>
        </is>
      </c>
      <c r="D1119" s="0" t="inlineStr">
        <is>
          <t xml:space="preserve">PFG</t>
        </is>
      </c>
      <c r="E1119" s="0" t="inlineStr">
        <is>
          <t xml:space="preserve">financial_services</t>
        </is>
      </c>
      <c r="F1119" s="4">
        <v>18</v>
      </c>
    </row>
    <row r="1120">
      <c r="A1120" s="0" t="inlineStr">
        <is>
          <t xml:space="preserve">random_02_PEN</t>
        </is>
      </c>
      <c r="B1120" s="0" t="inlineStr">
        <is>
          <t xml:space="preserve">random_02</t>
        </is>
      </c>
      <c r="C1120" s="0" t="inlineStr">
        <is>
          <t xml:space="preserve">d20260923</t>
        </is>
      </c>
      <c r="D1120" s="0" t="inlineStr">
        <is>
          <t xml:space="preserve">PEN</t>
        </is>
      </c>
      <c r="E1120" s="0" t="inlineStr">
        <is>
          <t xml:space="preserve">healthcare</t>
        </is>
      </c>
      <c r="F1120" s="4">
        <v>19</v>
      </c>
    </row>
    <row r="1121">
      <c r="A1121" s="0" t="inlineStr">
        <is>
          <t xml:space="preserve">random_02_VNO</t>
        </is>
      </c>
      <c r="B1121" s="0" t="inlineStr">
        <is>
          <t xml:space="preserve">random_02</t>
        </is>
      </c>
      <c r="C1121" s="0" t="inlineStr">
        <is>
          <t xml:space="preserve">d20260923</t>
        </is>
      </c>
      <c r="D1121" s="0" t="inlineStr">
        <is>
          <t xml:space="preserve">VNO</t>
        </is>
      </c>
      <c r="E1121" s="0" t="inlineStr">
        <is>
          <t xml:space="preserve">real_estate</t>
        </is>
      </c>
      <c r="F1121" s="4">
        <v>20</v>
      </c>
    </row>
    <row r="1122">
      <c r="A1122" s="0" t="inlineStr">
        <is>
          <t xml:space="preserve">random_02_AMT</t>
        </is>
      </c>
      <c r="B1122" s="0" t="inlineStr">
        <is>
          <t xml:space="preserve">random_02</t>
        </is>
      </c>
      <c r="C1122" s="0" t="inlineStr">
        <is>
          <t xml:space="preserve">d20260923</t>
        </is>
      </c>
      <c r="D1122" s="0" t="inlineStr">
        <is>
          <t xml:space="preserve">AMT</t>
        </is>
      </c>
      <c r="E1122" s="0" t="inlineStr">
        <is>
          <t xml:space="preserve">real_estate</t>
        </is>
      </c>
      <c r="F1122" s="4">
        <v>21</v>
      </c>
    </row>
    <row r="1123">
      <c r="A1123" s="0" t="inlineStr">
        <is>
          <t xml:space="preserve">random_02_NUVB</t>
        </is>
      </c>
      <c r="B1123" s="0" t="inlineStr">
        <is>
          <t xml:space="preserve">random_02</t>
        </is>
      </c>
      <c r="C1123" s="0" t="inlineStr">
        <is>
          <t xml:space="preserve">d20260923</t>
        </is>
      </c>
      <c r="D1123" s="0" t="inlineStr">
        <is>
          <t xml:space="preserve">NUVB</t>
        </is>
      </c>
      <c r="E1123" s="0" t="inlineStr">
        <is>
          <t xml:space="preserve">healthcare</t>
        </is>
      </c>
      <c r="F1123" s="4">
        <v>22</v>
      </c>
    </row>
    <row r="1124">
      <c r="A1124" s="0" t="inlineStr">
        <is>
          <t xml:space="preserve">random_02_PFGC</t>
        </is>
      </c>
      <c r="B1124" s="0" t="inlineStr">
        <is>
          <t xml:space="preserve">random_02</t>
        </is>
      </c>
      <c r="C1124" s="0" t="inlineStr">
        <is>
          <t xml:space="preserve">d20260923</t>
        </is>
      </c>
      <c r="D1124" s="0" t="inlineStr">
        <is>
          <t xml:space="preserve">PFGC</t>
        </is>
      </c>
      <c r="E1124" s="0" t="inlineStr">
        <is>
          <t xml:space="preserve">consumer_defensive</t>
        </is>
      </c>
      <c r="F1124" s="4">
        <v>23</v>
      </c>
    </row>
    <row r="1125">
      <c r="A1125" s="0" t="inlineStr">
        <is>
          <t xml:space="preserve">random_02_SPG</t>
        </is>
      </c>
      <c r="B1125" s="0" t="inlineStr">
        <is>
          <t xml:space="preserve">random_02</t>
        </is>
      </c>
      <c r="C1125" s="0" t="inlineStr">
        <is>
          <t xml:space="preserve">d20260923</t>
        </is>
      </c>
      <c r="D1125" s="0" t="inlineStr">
        <is>
          <t xml:space="preserve">SPG</t>
        </is>
      </c>
      <c r="E1125" s="0" t="inlineStr">
        <is>
          <t xml:space="preserve">real_estate</t>
        </is>
      </c>
      <c r="F1125" s="4">
        <v>24</v>
      </c>
    </row>
    <row r="1126">
      <c r="A1126" s="0" t="inlineStr">
        <is>
          <t xml:space="preserve">random_02_FIS</t>
        </is>
      </c>
      <c r="B1126" s="0" t="inlineStr">
        <is>
          <t xml:space="preserve">random_02</t>
        </is>
      </c>
      <c r="C1126" s="0" t="inlineStr">
        <is>
          <t xml:space="preserve">d20260923</t>
        </is>
      </c>
      <c r="D1126" s="0" t="inlineStr">
        <is>
          <t xml:space="preserve">FIS</t>
        </is>
      </c>
      <c r="E1126" s="0" t="inlineStr">
        <is>
          <t xml:space="preserve">technology</t>
        </is>
      </c>
      <c r="F1126" s="4">
        <v>25</v>
      </c>
    </row>
    <row r="1127">
      <c r="A1127" s="0" t="inlineStr">
        <is>
          <t xml:space="preserve">random_02_MRNA</t>
        </is>
      </c>
      <c r="B1127" s="0" t="inlineStr">
        <is>
          <t xml:space="preserve">random_02</t>
        </is>
      </c>
      <c r="C1127" s="0" t="inlineStr">
        <is>
          <t xml:space="preserve">d20260923</t>
        </is>
      </c>
      <c r="D1127" s="0" t="inlineStr">
        <is>
          <t xml:space="preserve">MRNA</t>
        </is>
      </c>
      <c r="E1127" s="0" t="inlineStr">
        <is>
          <t xml:space="preserve">healthcare</t>
        </is>
      </c>
      <c r="F1127" s="4">
        <v>26</v>
      </c>
    </row>
    <row r="1128">
      <c r="A1128" s="0" t="inlineStr">
        <is>
          <t xml:space="preserve">random_02_CAI</t>
        </is>
      </c>
      <c r="B1128" s="0" t="inlineStr">
        <is>
          <t xml:space="preserve">random_02</t>
        </is>
      </c>
      <c r="C1128" s="0" t="inlineStr">
        <is>
          <t xml:space="preserve">d20260923</t>
        </is>
      </c>
      <c r="D1128" s="0" t="inlineStr">
        <is>
          <t xml:space="preserve">CAI</t>
        </is>
      </c>
      <c r="E1128" s="0" t="inlineStr">
        <is>
          <t xml:space="preserve">healthcare</t>
        </is>
      </c>
      <c r="F1128" s="4">
        <v>27</v>
      </c>
    </row>
    <row r="1129">
      <c r="A1129" s="0" t="inlineStr">
        <is>
          <t xml:space="preserve">random_02_SLM</t>
        </is>
      </c>
      <c r="B1129" s="0" t="inlineStr">
        <is>
          <t xml:space="preserve">random_02</t>
        </is>
      </c>
      <c r="C1129" s="0" t="inlineStr">
        <is>
          <t xml:space="preserve">d20260923</t>
        </is>
      </c>
      <c r="D1129" s="0" t="inlineStr">
        <is>
          <t xml:space="preserve">SLM</t>
        </is>
      </c>
      <c r="E1129" s="0" t="inlineStr">
        <is>
          <t xml:space="preserve">financial_services</t>
        </is>
      </c>
      <c r="F1129" s="4">
        <v>28</v>
      </c>
    </row>
    <row r="1130">
      <c r="A1130" s="0" t="inlineStr">
        <is>
          <t xml:space="preserve">random_02_ARCB</t>
        </is>
      </c>
      <c r="B1130" s="0" t="inlineStr">
        <is>
          <t xml:space="preserve">random_02</t>
        </is>
      </c>
      <c r="C1130" s="0" t="inlineStr">
        <is>
          <t xml:space="preserve">d20260923</t>
        </is>
      </c>
      <c r="D1130" s="0" t="inlineStr">
        <is>
          <t xml:space="preserve">ARCB</t>
        </is>
      </c>
      <c r="E1130" s="0" t="inlineStr">
        <is>
          <t xml:space="preserve">industrials</t>
        </is>
      </c>
      <c r="F1130" s="4">
        <v>29</v>
      </c>
    </row>
    <row r="1131">
      <c r="A1131" s="0" t="inlineStr">
        <is>
          <t xml:space="preserve">random_02_IBP</t>
        </is>
      </c>
      <c r="B1131" s="0" t="inlineStr">
        <is>
          <t xml:space="preserve">random_02</t>
        </is>
      </c>
      <c r="C1131" s="0" t="inlineStr">
        <is>
          <t xml:space="preserve">d20260923</t>
        </is>
      </c>
      <c r="D1131" s="0" t="inlineStr">
        <is>
          <t xml:space="preserve">IBP</t>
        </is>
      </c>
      <c r="E1131" s="0" t="inlineStr">
        <is>
          <t xml:space="preserve">consumer_cyclical</t>
        </is>
      </c>
      <c r="F1131" s="4">
        <v>30</v>
      </c>
    </row>
    <row r="1132">
      <c r="A1132" s="0" t="inlineStr">
        <is>
          <t xml:space="preserve">random_02_QS</t>
        </is>
      </c>
      <c r="B1132" s="0" t="inlineStr">
        <is>
          <t xml:space="preserve">random_02</t>
        </is>
      </c>
      <c r="C1132" s="0" t="inlineStr">
        <is>
          <t xml:space="preserve">d20260923</t>
        </is>
      </c>
      <c r="D1132" s="0" t="inlineStr">
        <is>
          <t xml:space="preserve">QS</t>
        </is>
      </c>
      <c r="E1132" s="0" t="inlineStr">
        <is>
          <t xml:space="preserve">consumer_cyclical</t>
        </is>
      </c>
      <c r="F1132" s="4">
        <v>31</v>
      </c>
    </row>
    <row r="1133">
      <c r="A1133" s="0" t="inlineStr">
        <is>
          <t xml:space="preserve">random_02_GAP</t>
        </is>
      </c>
      <c r="B1133" s="0" t="inlineStr">
        <is>
          <t xml:space="preserve">random_02</t>
        </is>
      </c>
      <c r="C1133" s="0" t="inlineStr">
        <is>
          <t xml:space="preserve">d20260923</t>
        </is>
      </c>
      <c r="D1133" s="0" t="inlineStr">
        <is>
          <t xml:space="preserve">GAP</t>
        </is>
      </c>
      <c r="E1133" s="0" t="inlineStr">
        <is>
          <t xml:space="preserve">consumer_cyclical</t>
        </is>
      </c>
      <c r="F1133" s="4">
        <v>32</v>
      </c>
    </row>
    <row r="1134">
      <c r="A1134" s="0" t="inlineStr">
        <is>
          <t xml:space="preserve">random_02_MIRM</t>
        </is>
      </c>
      <c r="B1134" s="0" t="inlineStr">
        <is>
          <t xml:space="preserve">random_02</t>
        </is>
      </c>
      <c r="C1134" s="0" t="inlineStr">
        <is>
          <t xml:space="preserve">d20260923</t>
        </is>
      </c>
      <c r="D1134" s="0" t="inlineStr">
        <is>
          <t xml:space="preserve">MIRM</t>
        </is>
      </c>
      <c r="E1134" s="0" t="inlineStr">
        <is>
          <t xml:space="preserve">healthcare</t>
        </is>
      </c>
      <c r="F1134" s="4">
        <v>33</v>
      </c>
    </row>
    <row r="1135">
      <c r="A1135" s="0" t="inlineStr">
        <is>
          <t xml:space="preserve">random_02_TRGP</t>
        </is>
      </c>
      <c r="B1135" s="0" t="inlineStr">
        <is>
          <t xml:space="preserve">random_02</t>
        </is>
      </c>
      <c r="C1135" s="0" t="inlineStr">
        <is>
          <t xml:space="preserve">d20260923</t>
        </is>
      </c>
      <c r="D1135" s="0" t="inlineStr">
        <is>
          <t xml:space="preserve">TRGP</t>
        </is>
      </c>
      <c r="E1135" s="0" t="inlineStr">
        <is>
          <t xml:space="preserve">energy</t>
        </is>
      </c>
      <c r="F1135" s="4">
        <v>34</v>
      </c>
    </row>
    <row r="1136">
      <c r="A1136" s="0" t="inlineStr">
        <is>
          <t xml:space="preserve">random_02_LKQ</t>
        </is>
      </c>
      <c r="B1136" s="0" t="inlineStr">
        <is>
          <t xml:space="preserve">random_02</t>
        </is>
      </c>
      <c r="C1136" s="0" t="inlineStr">
        <is>
          <t xml:space="preserve">d20260923</t>
        </is>
      </c>
      <c r="D1136" s="0" t="inlineStr">
        <is>
          <t xml:space="preserve">LKQ</t>
        </is>
      </c>
      <c r="E1136" s="0" t="inlineStr">
        <is>
          <t xml:space="preserve">consumer_cyclical</t>
        </is>
      </c>
      <c r="F1136" s="4">
        <v>35</v>
      </c>
    </row>
    <row r="1137">
      <c r="A1137" s="0" t="inlineStr">
        <is>
          <t xml:space="preserve">random_02_UTHR</t>
        </is>
      </c>
      <c r="B1137" s="0" t="inlineStr">
        <is>
          <t xml:space="preserve">random_02</t>
        </is>
      </c>
      <c r="C1137" s="0" t="inlineStr">
        <is>
          <t xml:space="preserve">d20260923</t>
        </is>
      </c>
      <c r="D1137" s="0" t="inlineStr">
        <is>
          <t xml:space="preserve">UTHR</t>
        </is>
      </c>
      <c r="E1137" s="0" t="inlineStr">
        <is>
          <t xml:space="preserve">healthcare</t>
        </is>
      </c>
      <c r="F1137" s="4">
        <v>36</v>
      </c>
    </row>
    <row r="1138">
      <c r="A1138" s="0" t="inlineStr">
        <is>
          <t xml:space="preserve">random_02_LFUS</t>
        </is>
      </c>
      <c r="B1138" s="0" t="inlineStr">
        <is>
          <t xml:space="preserve">random_02</t>
        </is>
      </c>
      <c r="C1138" s="0" t="inlineStr">
        <is>
          <t xml:space="preserve">d20260923</t>
        </is>
      </c>
      <c r="D1138" s="0" t="inlineStr">
        <is>
          <t xml:space="preserve">LFUS</t>
        </is>
      </c>
      <c r="E1138" s="0" t="inlineStr">
        <is>
          <t xml:space="preserve">technology</t>
        </is>
      </c>
      <c r="F1138" s="4">
        <v>37</v>
      </c>
    </row>
    <row r="1139">
      <c r="A1139" s="0" t="inlineStr">
        <is>
          <t xml:space="preserve">random_02_CSCO</t>
        </is>
      </c>
      <c r="B1139" s="0" t="inlineStr">
        <is>
          <t xml:space="preserve">random_02</t>
        </is>
      </c>
      <c r="C1139" s="0" t="inlineStr">
        <is>
          <t xml:space="preserve">d20260923</t>
        </is>
      </c>
      <c r="D1139" s="0" t="inlineStr">
        <is>
          <t xml:space="preserve">CSCO</t>
        </is>
      </c>
      <c r="E1139" s="0" t="inlineStr">
        <is>
          <t xml:space="preserve">technology</t>
        </is>
      </c>
      <c r="F1139" s="4">
        <v>38</v>
      </c>
    </row>
    <row r="1140">
      <c r="A1140" s="0" t="inlineStr">
        <is>
          <t xml:space="preserve">random_02_CNX</t>
        </is>
      </c>
      <c r="B1140" s="0" t="inlineStr">
        <is>
          <t xml:space="preserve">random_02</t>
        </is>
      </c>
      <c r="C1140" s="0" t="inlineStr">
        <is>
          <t xml:space="preserve">d20260923</t>
        </is>
      </c>
      <c r="D1140" s="0" t="inlineStr">
        <is>
          <t xml:space="preserve">CNX</t>
        </is>
      </c>
      <c r="E1140" s="0" t="inlineStr">
        <is>
          <t xml:space="preserve">energy</t>
        </is>
      </c>
      <c r="F1140" s="4">
        <v>39</v>
      </c>
    </row>
    <row r="1141">
      <c r="A1141" s="0" t="inlineStr">
        <is>
          <t xml:space="preserve">random_02_LION</t>
        </is>
      </c>
      <c r="B1141" s="0" t="inlineStr">
        <is>
          <t xml:space="preserve">random_02</t>
        </is>
      </c>
      <c r="C1141" s="0" t="inlineStr">
        <is>
          <t xml:space="preserve">d20260923</t>
        </is>
      </c>
      <c r="D1141" s="0" t="inlineStr">
        <is>
          <t xml:space="preserve">LION</t>
        </is>
      </c>
      <c r="E1141" s="0" t="inlineStr">
        <is>
          <t xml:space="preserve">technology</t>
        </is>
      </c>
      <c r="F1141" s="4">
        <v>40</v>
      </c>
    </row>
    <row r="1142">
      <c r="A1142" s="0" t="inlineStr">
        <is>
          <t xml:space="preserve">random_02_AEO</t>
        </is>
      </c>
      <c r="B1142" s="0" t="inlineStr">
        <is>
          <t xml:space="preserve">random_02</t>
        </is>
      </c>
      <c r="C1142" s="0" t="inlineStr">
        <is>
          <t xml:space="preserve">d20260923</t>
        </is>
      </c>
      <c r="D1142" s="0" t="inlineStr">
        <is>
          <t xml:space="preserve">AEO</t>
        </is>
      </c>
      <c r="E1142" s="0" t="inlineStr">
        <is>
          <t xml:space="preserve">consumer_cyclical</t>
        </is>
      </c>
      <c r="F1142" s="4">
        <v>41</v>
      </c>
    </row>
    <row r="1143">
      <c r="A1143" s="0" t="inlineStr">
        <is>
          <t xml:space="preserve">random_02_NTSK</t>
        </is>
      </c>
      <c r="B1143" s="0" t="inlineStr">
        <is>
          <t xml:space="preserve">random_02</t>
        </is>
      </c>
      <c r="C1143" s="0" t="inlineStr">
        <is>
          <t xml:space="preserve">d20260923</t>
        </is>
      </c>
      <c r="D1143" s="0" t="inlineStr">
        <is>
          <t xml:space="preserve">NTSK</t>
        </is>
      </c>
      <c r="E1143" s="0" t="inlineStr">
        <is>
          <t xml:space="preserve">technology</t>
        </is>
      </c>
      <c r="F1143" s="4">
        <v>42</v>
      </c>
    </row>
    <row r="1144">
      <c r="A1144" s="0" t="inlineStr">
        <is>
          <t xml:space="preserve">random_02_NWL</t>
        </is>
      </c>
      <c r="B1144" s="0" t="inlineStr">
        <is>
          <t xml:space="preserve">random_02</t>
        </is>
      </c>
      <c r="C1144" s="0" t="inlineStr">
        <is>
          <t xml:space="preserve">d20260923</t>
        </is>
      </c>
      <c r="D1144" s="0" t="inlineStr">
        <is>
          <t xml:space="preserve">NWL</t>
        </is>
      </c>
      <c r="E1144" s="0" t="inlineStr">
        <is>
          <t xml:space="preserve">consumer_defensive</t>
        </is>
      </c>
      <c r="F1144" s="4">
        <v>43</v>
      </c>
    </row>
    <row r="1145">
      <c r="A1145" s="0" t="inlineStr">
        <is>
          <t xml:space="preserve">random_02_FAF</t>
        </is>
      </c>
      <c r="B1145" s="0" t="inlineStr">
        <is>
          <t xml:space="preserve">random_02</t>
        </is>
      </c>
      <c r="C1145" s="0" t="inlineStr">
        <is>
          <t xml:space="preserve">d20260923</t>
        </is>
      </c>
      <c r="D1145" s="0" t="inlineStr">
        <is>
          <t xml:space="preserve">FAF</t>
        </is>
      </c>
      <c r="E1145" s="0" t="inlineStr">
        <is>
          <t xml:space="preserve">financial_services</t>
        </is>
      </c>
      <c r="F1145" s="4">
        <v>44</v>
      </c>
    </row>
    <row r="1146">
      <c r="A1146" s="0" t="inlineStr">
        <is>
          <t xml:space="preserve">random_02_SF</t>
        </is>
      </c>
      <c r="B1146" s="0" t="inlineStr">
        <is>
          <t xml:space="preserve">random_02</t>
        </is>
      </c>
      <c r="C1146" s="0" t="inlineStr">
        <is>
          <t xml:space="preserve">d20260923</t>
        </is>
      </c>
      <c r="D1146" s="0" t="inlineStr">
        <is>
          <t xml:space="preserve">SF</t>
        </is>
      </c>
      <c r="E1146" s="0" t="inlineStr">
        <is>
          <t xml:space="preserve">financial_services</t>
        </is>
      </c>
      <c r="F1146" s="4">
        <v>45</v>
      </c>
    </row>
    <row r="1147">
      <c r="A1147" s="0" t="inlineStr">
        <is>
          <t xml:space="preserve">random_02_SBRA</t>
        </is>
      </c>
      <c r="B1147" s="0" t="inlineStr">
        <is>
          <t xml:space="preserve">random_02</t>
        </is>
      </c>
      <c r="C1147" s="0" t="inlineStr">
        <is>
          <t xml:space="preserve">d20260923</t>
        </is>
      </c>
      <c r="D1147" s="0" t="inlineStr">
        <is>
          <t xml:space="preserve">SBRA</t>
        </is>
      </c>
      <c r="E1147" s="0" t="inlineStr">
        <is>
          <t xml:space="preserve">real_estate</t>
        </is>
      </c>
      <c r="F1147" s="4">
        <v>46</v>
      </c>
    </row>
    <row r="1148">
      <c r="A1148" s="0" t="inlineStr">
        <is>
          <t xml:space="preserve">random_02_SDRL</t>
        </is>
      </c>
      <c r="B1148" s="0" t="inlineStr">
        <is>
          <t xml:space="preserve">random_02</t>
        </is>
      </c>
      <c r="C1148" s="0" t="inlineStr">
        <is>
          <t xml:space="preserve">d20260923</t>
        </is>
      </c>
      <c r="D1148" s="0" t="inlineStr">
        <is>
          <t xml:space="preserve">SDRL</t>
        </is>
      </c>
      <c r="E1148" s="0" t="inlineStr">
        <is>
          <t xml:space="preserve">energy</t>
        </is>
      </c>
      <c r="F1148" s="4">
        <v>47</v>
      </c>
    </row>
    <row r="1149">
      <c r="A1149" s="0" t="inlineStr">
        <is>
          <t xml:space="preserve">random_02_SKWD</t>
        </is>
      </c>
      <c r="B1149" s="0" t="inlineStr">
        <is>
          <t xml:space="preserve">random_02</t>
        </is>
      </c>
      <c r="C1149" s="0" t="inlineStr">
        <is>
          <t xml:space="preserve">d20260923</t>
        </is>
      </c>
      <c r="D1149" s="0" t="inlineStr">
        <is>
          <t xml:space="preserve">SKWD</t>
        </is>
      </c>
      <c r="E1149" s="0" t="inlineStr">
        <is>
          <t xml:space="preserve">financial_services</t>
        </is>
      </c>
      <c r="F1149" s="4">
        <v>48</v>
      </c>
    </row>
    <row r="1150">
      <c r="A1150" s="0" t="inlineStr">
        <is>
          <t xml:space="preserve">random_02_FRVO</t>
        </is>
      </c>
      <c r="B1150" s="0" t="inlineStr">
        <is>
          <t xml:space="preserve">random_02</t>
        </is>
      </c>
      <c r="C1150" s="0" t="inlineStr">
        <is>
          <t xml:space="preserve">d20260923</t>
        </is>
      </c>
      <c r="D1150" s="0" t="inlineStr">
        <is>
          <t xml:space="preserve">FRVO</t>
        </is>
      </c>
      <c r="E1150" s="0" t="inlineStr">
        <is>
          <t xml:space="preserve">utilities</t>
        </is>
      </c>
      <c r="F1150" s="4">
        <v>49</v>
      </c>
    </row>
    <row r="1151">
      <c r="A1151" s="0" t="inlineStr">
        <is>
          <t xml:space="preserve">random_02_NATL</t>
        </is>
      </c>
      <c r="B1151" s="0" t="inlineStr">
        <is>
          <t xml:space="preserve">random_02</t>
        </is>
      </c>
      <c r="C1151" s="0" t="inlineStr">
        <is>
          <t xml:space="preserve">d20260923</t>
        </is>
      </c>
      <c r="D1151" s="0" t="inlineStr">
        <is>
          <t xml:space="preserve">NATL</t>
        </is>
      </c>
      <c r="E1151" s="0" t="inlineStr">
        <is>
          <t xml:space="preserve">technology</t>
        </is>
      </c>
      <c r="F1151" s="4">
        <v>50</v>
      </c>
    </row>
    <row r="1152">
      <c r="A1152" s="0" t="inlineStr">
        <is>
          <t xml:space="preserve">random_02_HLI</t>
        </is>
      </c>
      <c r="B1152" s="0" t="inlineStr">
        <is>
          <t xml:space="preserve">random_02</t>
        </is>
      </c>
      <c r="C1152" s="0" t="inlineStr">
        <is>
          <t xml:space="preserve">d20260923</t>
        </is>
      </c>
      <c r="D1152" s="0" t="inlineStr">
        <is>
          <t xml:space="preserve">HLI</t>
        </is>
      </c>
      <c r="E1152" s="0" t="inlineStr">
        <is>
          <t xml:space="preserve">financial_services</t>
        </is>
      </c>
      <c r="F1152" s="4">
        <v>51</v>
      </c>
    </row>
    <row r="1153">
      <c r="A1153" s="0" t="inlineStr">
        <is>
          <t xml:space="preserve">random_02_CDNA</t>
        </is>
      </c>
      <c r="B1153" s="0" t="inlineStr">
        <is>
          <t xml:space="preserve">random_02</t>
        </is>
      </c>
      <c r="C1153" s="0" t="inlineStr">
        <is>
          <t xml:space="preserve">d20260923</t>
        </is>
      </c>
      <c r="D1153" s="0" t="inlineStr">
        <is>
          <t xml:space="preserve">CDNA</t>
        </is>
      </c>
      <c r="E1153" s="0" t="inlineStr">
        <is>
          <t xml:space="preserve">healthcare</t>
        </is>
      </c>
      <c r="F1153" s="4">
        <v>52</v>
      </c>
    </row>
    <row r="1154">
      <c r="A1154" s="0" t="inlineStr">
        <is>
          <t xml:space="preserve">random_02_ZETA</t>
        </is>
      </c>
      <c r="B1154" s="0" t="inlineStr">
        <is>
          <t xml:space="preserve">random_02</t>
        </is>
      </c>
      <c r="C1154" s="0" t="inlineStr">
        <is>
          <t xml:space="preserve">d20260923</t>
        </is>
      </c>
      <c r="D1154" s="0" t="inlineStr">
        <is>
          <t xml:space="preserve">ZETA</t>
        </is>
      </c>
      <c r="E1154" s="0" t="inlineStr">
        <is>
          <t xml:space="preserve">technology</t>
        </is>
      </c>
      <c r="F1154" s="4">
        <v>53</v>
      </c>
    </row>
    <row r="1155">
      <c r="A1155" s="0" t="inlineStr">
        <is>
          <t xml:space="preserve">random_02_TTD</t>
        </is>
      </c>
      <c r="B1155" s="0" t="inlineStr">
        <is>
          <t xml:space="preserve">random_02</t>
        </is>
      </c>
      <c r="C1155" s="0" t="inlineStr">
        <is>
          <t xml:space="preserve">d20260923</t>
        </is>
      </c>
      <c r="D1155" s="0" t="inlineStr">
        <is>
          <t xml:space="preserve">TTD</t>
        </is>
      </c>
      <c r="E1155" s="0" t="inlineStr">
        <is>
          <t xml:space="preserve">communication_services</t>
        </is>
      </c>
      <c r="F1155" s="4">
        <v>54</v>
      </c>
    </row>
    <row r="1156">
      <c r="A1156" s="0" t="inlineStr">
        <is>
          <t xml:space="preserve">random_02_FUL</t>
        </is>
      </c>
      <c r="B1156" s="0" t="inlineStr">
        <is>
          <t xml:space="preserve">random_02</t>
        </is>
      </c>
      <c r="C1156" s="0" t="inlineStr">
        <is>
          <t xml:space="preserve">d20260923</t>
        </is>
      </c>
      <c r="D1156" s="0" t="inlineStr">
        <is>
          <t xml:space="preserve">FUL</t>
        </is>
      </c>
      <c r="E1156" s="0" t="inlineStr">
        <is>
          <t xml:space="preserve">basic_materials</t>
        </is>
      </c>
      <c r="F1156" s="4">
        <v>55</v>
      </c>
    </row>
    <row r="1157">
      <c r="A1157" s="0" t="inlineStr">
        <is>
          <t xml:space="preserve">random_02_KRMN</t>
        </is>
      </c>
      <c r="B1157" s="0" t="inlineStr">
        <is>
          <t xml:space="preserve">random_02</t>
        </is>
      </c>
      <c r="C1157" s="0" t="inlineStr">
        <is>
          <t xml:space="preserve">d20260923</t>
        </is>
      </c>
      <c r="D1157" s="0" t="inlineStr">
        <is>
          <t xml:space="preserve">KRMN</t>
        </is>
      </c>
      <c r="E1157" s="0" t="inlineStr">
        <is>
          <t xml:space="preserve">industrials</t>
        </is>
      </c>
      <c r="F1157" s="4">
        <v>56</v>
      </c>
    </row>
    <row r="1158">
      <c r="A1158" s="0" t="inlineStr">
        <is>
          <t xml:space="preserve">random_02_AAMI</t>
        </is>
      </c>
      <c r="B1158" s="0" t="inlineStr">
        <is>
          <t xml:space="preserve">random_02</t>
        </is>
      </c>
      <c r="C1158" s="0" t="inlineStr">
        <is>
          <t xml:space="preserve">d20260923</t>
        </is>
      </c>
      <c r="D1158" s="0" t="inlineStr">
        <is>
          <t xml:space="preserve">AAMI</t>
        </is>
      </c>
      <c r="E1158" s="0" t="inlineStr">
        <is>
          <t xml:space="preserve">financial_services</t>
        </is>
      </c>
      <c r="F1158" s="4">
        <v>57</v>
      </c>
    </row>
    <row r="1159">
      <c r="A1159" s="0" t="inlineStr">
        <is>
          <t xml:space="preserve">random_02_CBRS</t>
        </is>
      </c>
      <c r="B1159" s="0" t="inlineStr">
        <is>
          <t xml:space="preserve">random_02</t>
        </is>
      </c>
      <c r="C1159" s="0" t="inlineStr">
        <is>
          <t xml:space="preserve">d20260923</t>
        </is>
      </c>
      <c r="D1159" s="0" t="inlineStr">
        <is>
          <t xml:space="preserve">CBRS</t>
        </is>
      </c>
      <c r="E1159" s="0" t="inlineStr">
        <is>
          <t xml:space="preserve">technology</t>
        </is>
      </c>
      <c r="F1159" s="4">
        <v>58</v>
      </c>
    </row>
    <row r="1160">
      <c r="A1160" s="0" t="inlineStr">
        <is>
          <t xml:space="preserve">random_02_PRAX</t>
        </is>
      </c>
      <c r="B1160" s="0" t="inlineStr">
        <is>
          <t xml:space="preserve">random_02</t>
        </is>
      </c>
      <c r="C1160" s="0" t="inlineStr">
        <is>
          <t xml:space="preserve">d20260923</t>
        </is>
      </c>
      <c r="D1160" s="0" t="inlineStr">
        <is>
          <t xml:space="preserve">PRAX</t>
        </is>
      </c>
      <c r="E1160" s="0" t="inlineStr">
        <is>
          <t xml:space="preserve">healthcare</t>
        </is>
      </c>
      <c r="F1160" s="4">
        <v>59</v>
      </c>
    </row>
    <row r="1161">
      <c r="A1161" s="0" t="inlineStr">
        <is>
          <t xml:space="preserve">random_02_AM</t>
        </is>
      </c>
      <c r="B1161" s="0" t="inlineStr">
        <is>
          <t xml:space="preserve">random_02</t>
        </is>
      </c>
      <c r="C1161" s="0" t="inlineStr">
        <is>
          <t xml:space="preserve">d20260923</t>
        </is>
      </c>
      <c r="D1161" s="0" t="inlineStr">
        <is>
          <t xml:space="preserve">AM</t>
        </is>
      </c>
      <c r="E1161" s="0" t="inlineStr">
        <is>
          <t xml:space="preserve">energy</t>
        </is>
      </c>
      <c r="F1161" s="4">
        <v>60</v>
      </c>
    </row>
    <row r="1162">
      <c r="A1162" s="0" t="inlineStr">
        <is>
          <t xml:space="preserve">random_02_VAC</t>
        </is>
      </c>
      <c r="B1162" s="0" t="inlineStr">
        <is>
          <t xml:space="preserve">random_02</t>
        </is>
      </c>
      <c r="C1162" s="0" t="inlineStr">
        <is>
          <t xml:space="preserve">d20260923</t>
        </is>
      </c>
      <c r="D1162" s="0" t="inlineStr">
        <is>
          <t xml:space="preserve">VAC</t>
        </is>
      </c>
      <c r="E1162" s="0" t="inlineStr">
        <is>
          <t xml:space="preserve">consumer_cyclical</t>
        </is>
      </c>
      <c r="F1162" s="4">
        <v>61</v>
      </c>
    </row>
    <row r="1163">
      <c r="A1163" s="0" t="inlineStr">
        <is>
          <t xml:space="preserve">random_02_INGR</t>
        </is>
      </c>
      <c r="B1163" s="0" t="inlineStr">
        <is>
          <t xml:space="preserve">random_02</t>
        </is>
      </c>
      <c r="C1163" s="0" t="inlineStr">
        <is>
          <t xml:space="preserve">d20260923</t>
        </is>
      </c>
      <c r="D1163" s="0" t="inlineStr">
        <is>
          <t xml:space="preserve">INGR</t>
        </is>
      </c>
      <c r="E1163" s="0" t="inlineStr">
        <is>
          <t xml:space="preserve">consumer_defensive</t>
        </is>
      </c>
      <c r="F1163" s="4">
        <v>62</v>
      </c>
    </row>
    <row r="1164">
      <c r="A1164" s="0" t="inlineStr">
        <is>
          <t xml:space="preserve">random_02_MAIN</t>
        </is>
      </c>
      <c r="B1164" s="0" t="inlineStr">
        <is>
          <t xml:space="preserve">random_02</t>
        </is>
      </c>
      <c r="C1164" s="0" t="inlineStr">
        <is>
          <t xml:space="preserve">d20260923</t>
        </is>
      </c>
      <c r="D1164" s="0" t="inlineStr">
        <is>
          <t xml:space="preserve">MAIN</t>
        </is>
      </c>
      <c r="E1164" s="0" t="inlineStr">
        <is>
          <t xml:space="preserve">financial_services</t>
        </is>
      </c>
      <c r="F1164" s="4">
        <v>63</v>
      </c>
    </row>
    <row r="1165">
      <c r="A1165" s="0" t="inlineStr">
        <is>
          <t xml:space="preserve">random_02_AEP</t>
        </is>
      </c>
      <c r="B1165" s="0" t="inlineStr">
        <is>
          <t xml:space="preserve">random_02</t>
        </is>
      </c>
      <c r="C1165" s="0" t="inlineStr">
        <is>
          <t xml:space="preserve">d20260923</t>
        </is>
      </c>
      <c r="D1165" s="0" t="inlineStr">
        <is>
          <t xml:space="preserve">AEP</t>
        </is>
      </c>
      <c r="E1165" s="0" t="inlineStr">
        <is>
          <t xml:space="preserve">utilities</t>
        </is>
      </c>
      <c r="F1165" s="4">
        <v>64</v>
      </c>
    </row>
    <row r="1166">
      <c r="A1166" s="0" t="inlineStr">
        <is>
          <t xml:space="preserve">random_02_DLTR</t>
        </is>
      </c>
      <c r="B1166" s="0" t="inlineStr">
        <is>
          <t xml:space="preserve">random_02</t>
        </is>
      </c>
      <c r="C1166" s="0" t="inlineStr">
        <is>
          <t xml:space="preserve">d20260923</t>
        </is>
      </c>
      <c r="D1166" s="0" t="inlineStr">
        <is>
          <t xml:space="preserve">DLTR</t>
        </is>
      </c>
      <c r="E1166" s="0" t="inlineStr">
        <is>
          <t xml:space="preserve">consumer_defensive</t>
        </is>
      </c>
      <c r="F1166" s="4">
        <v>65</v>
      </c>
    </row>
    <row r="1167">
      <c r="A1167" s="0" t="inlineStr">
        <is>
          <t xml:space="preserve">random_02_RVTY</t>
        </is>
      </c>
      <c r="B1167" s="0" t="inlineStr">
        <is>
          <t xml:space="preserve">random_02</t>
        </is>
      </c>
      <c r="C1167" s="0" t="inlineStr">
        <is>
          <t xml:space="preserve">d20260923</t>
        </is>
      </c>
      <c r="D1167" s="0" t="inlineStr">
        <is>
          <t xml:space="preserve">RVTY</t>
        </is>
      </c>
      <c r="E1167" s="0" t="inlineStr">
        <is>
          <t xml:space="preserve">healthcare</t>
        </is>
      </c>
      <c r="F1167" s="4">
        <v>66</v>
      </c>
    </row>
    <row r="1168">
      <c r="A1168" s="0" t="inlineStr">
        <is>
          <t xml:space="preserve">random_02_OGS</t>
        </is>
      </c>
      <c r="B1168" s="0" t="inlineStr">
        <is>
          <t xml:space="preserve">random_02</t>
        </is>
      </c>
      <c r="C1168" s="0" t="inlineStr">
        <is>
          <t xml:space="preserve">d20260923</t>
        </is>
      </c>
      <c r="D1168" s="0" t="inlineStr">
        <is>
          <t xml:space="preserve">OGS</t>
        </is>
      </c>
      <c r="E1168" s="0" t="inlineStr">
        <is>
          <t xml:space="preserve">utilities</t>
        </is>
      </c>
      <c r="F1168" s="4">
        <v>67</v>
      </c>
    </row>
    <row r="1169">
      <c r="A1169" s="0" t="inlineStr">
        <is>
          <t xml:space="preserve">random_02_NVDA</t>
        </is>
      </c>
      <c r="B1169" s="0" t="inlineStr">
        <is>
          <t xml:space="preserve">random_02</t>
        </is>
      </c>
      <c r="C1169" s="0" t="inlineStr">
        <is>
          <t xml:space="preserve">d20260923</t>
        </is>
      </c>
      <c r="D1169" s="0" t="inlineStr">
        <is>
          <t xml:space="preserve">NVDA</t>
        </is>
      </c>
      <c r="E1169" s="0" t="inlineStr">
        <is>
          <t xml:space="preserve">technology</t>
        </is>
      </c>
      <c r="F1169" s="4">
        <v>68</v>
      </c>
    </row>
    <row r="1170">
      <c r="A1170" s="0" t="inlineStr">
        <is>
          <t xml:space="preserve">random_02_QRVO</t>
        </is>
      </c>
      <c r="B1170" s="0" t="inlineStr">
        <is>
          <t xml:space="preserve">random_02</t>
        </is>
      </c>
      <c r="C1170" s="0" t="inlineStr">
        <is>
          <t xml:space="preserve">d20260923</t>
        </is>
      </c>
      <c r="D1170" s="0" t="inlineStr">
        <is>
          <t xml:space="preserve">QRVO</t>
        </is>
      </c>
      <c r="E1170" s="0" t="inlineStr">
        <is>
          <t xml:space="preserve">technology</t>
        </is>
      </c>
      <c r="F1170" s="4">
        <v>69</v>
      </c>
    </row>
    <row r="1171">
      <c r="A1171" s="0" t="inlineStr">
        <is>
          <t xml:space="preserve">random_02_LCII</t>
        </is>
      </c>
      <c r="B1171" s="0" t="inlineStr">
        <is>
          <t xml:space="preserve">random_02</t>
        </is>
      </c>
      <c r="C1171" s="0" t="inlineStr">
        <is>
          <t xml:space="preserve">d20260923</t>
        </is>
      </c>
      <c r="D1171" s="0" t="inlineStr">
        <is>
          <t xml:space="preserve">LCII</t>
        </is>
      </c>
      <c r="E1171" s="0" t="inlineStr">
        <is>
          <t xml:space="preserve">consumer_cyclical</t>
        </is>
      </c>
      <c r="F1171" s="4">
        <v>70</v>
      </c>
    </row>
    <row r="1172">
      <c r="A1172" s="0" t="inlineStr">
        <is>
          <t xml:space="preserve">random_02_NN</t>
        </is>
      </c>
      <c r="B1172" s="0" t="inlineStr">
        <is>
          <t xml:space="preserve">random_02</t>
        </is>
      </c>
      <c r="C1172" s="0" t="inlineStr">
        <is>
          <t xml:space="preserve">d20260923</t>
        </is>
      </c>
      <c r="D1172" s="0" t="inlineStr">
        <is>
          <t xml:space="preserve">NN</t>
        </is>
      </c>
      <c r="E1172" s="0" t="inlineStr">
        <is>
          <t xml:space="preserve">technology</t>
        </is>
      </c>
      <c r="F1172" s="4">
        <v>71</v>
      </c>
    </row>
    <row r="1173">
      <c r="A1173" s="0" t="inlineStr">
        <is>
          <t xml:space="preserve">random_02_ELAN</t>
        </is>
      </c>
      <c r="B1173" s="0" t="inlineStr">
        <is>
          <t xml:space="preserve">random_02</t>
        </is>
      </c>
      <c r="C1173" s="0" t="inlineStr">
        <is>
          <t xml:space="preserve">d20260923</t>
        </is>
      </c>
      <c r="D1173" s="0" t="inlineStr">
        <is>
          <t xml:space="preserve">ELAN</t>
        </is>
      </c>
      <c r="E1173" s="0" t="inlineStr">
        <is>
          <t xml:space="preserve">healthcare</t>
        </is>
      </c>
      <c r="F1173" s="4">
        <v>72</v>
      </c>
    </row>
    <row r="1174">
      <c r="A1174" s="0" t="inlineStr">
        <is>
          <t xml:space="preserve">random_02_XYZ</t>
        </is>
      </c>
      <c r="B1174" s="0" t="inlineStr">
        <is>
          <t xml:space="preserve">random_02</t>
        </is>
      </c>
      <c r="C1174" s="0" t="inlineStr">
        <is>
          <t xml:space="preserve">d20260923</t>
        </is>
      </c>
      <c r="D1174" s="0" t="inlineStr">
        <is>
          <t xml:space="preserve">XYZ</t>
        </is>
      </c>
      <c r="E1174" s="0" t="inlineStr">
        <is>
          <t xml:space="preserve">technology</t>
        </is>
      </c>
      <c r="F1174" s="4">
        <v>73</v>
      </c>
    </row>
    <row r="1175">
      <c r="A1175" s="0" t="inlineStr">
        <is>
          <t xml:space="preserve">random_02_PRIM</t>
        </is>
      </c>
      <c r="B1175" s="0" t="inlineStr">
        <is>
          <t xml:space="preserve">random_02</t>
        </is>
      </c>
      <c r="C1175" s="0" t="inlineStr">
        <is>
          <t xml:space="preserve">d20260923</t>
        </is>
      </c>
      <c r="D1175" s="0" t="inlineStr">
        <is>
          <t xml:space="preserve">PRIM</t>
        </is>
      </c>
      <c r="E1175" s="0" t="inlineStr">
        <is>
          <t xml:space="preserve">industrials</t>
        </is>
      </c>
      <c r="F1175" s="4">
        <v>74</v>
      </c>
    </row>
    <row r="1176">
      <c r="A1176" s="0" t="inlineStr">
        <is>
          <t xml:space="preserve">random_02_SWX</t>
        </is>
      </c>
      <c r="B1176" s="0" t="inlineStr">
        <is>
          <t xml:space="preserve">random_02</t>
        </is>
      </c>
      <c r="C1176" s="0" t="inlineStr">
        <is>
          <t xml:space="preserve">d20260923</t>
        </is>
      </c>
      <c r="D1176" s="0" t="inlineStr">
        <is>
          <t xml:space="preserve">SWX</t>
        </is>
      </c>
      <c r="E1176" s="0" t="inlineStr">
        <is>
          <t xml:space="preserve">utilities</t>
        </is>
      </c>
      <c r="F1176" s="4">
        <v>75</v>
      </c>
    </row>
    <row r="1177">
      <c r="A1177" s="0" t="inlineStr">
        <is>
          <t xml:space="preserve">random_02_RAL</t>
        </is>
      </c>
      <c r="B1177" s="0" t="inlineStr">
        <is>
          <t xml:space="preserve">random_02</t>
        </is>
      </c>
      <c r="C1177" s="0" t="inlineStr">
        <is>
          <t xml:space="preserve">d20260923</t>
        </is>
      </c>
      <c r="D1177" s="0" t="inlineStr">
        <is>
          <t xml:space="preserve">RAL</t>
        </is>
      </c>
      <c r="E1177" s="0" t="inlineStr">
        <is>
          <t xml:space="preserve">technology</t>
        </is>
      </c>
      <c r="F1177" s="4">
        <v>76</v>
      </c>
    </row>
    <row r="1178">
      <c r="A1178" s="0" t="inlineStr">
        <is>
          <t xml:space="preserve">random_02_INGM</t>
        </is>
      </c>
      <c r="B1178" s="0" t="inlineStr">
        <is>
          <t xml:space="preserve">random_02</t>
        </is>
      </c>
      <c r="C1178" s="0" t="inlineStr">
        <is>
          <t xml:space="preserve">d20260923</t>
        </is>
      </c>
      <c r="D1178" s="0" t="inlineStr">
        <is>
          <t xml:space="preserve">INGM</t>
        </is>
      </c>
      <c r="E1178" s="0" t="inlineStr">
        <is>
          <t xml:space="preserve">technology</t>
        </is>
      </c>
      <c r="F1178" s="4">
        <v>77</v>
      </c>
    </row>
    <row r="1179">
      <c r="A1179" s="0" t="inlineStr">
        <is>
          <t xml:space="preserve">random_02_URBN</t>
        </is>
      </c>
      <c r="B1179" s="0" t="inlineStr">
        <is>
          <t xml:space="preserve">random_02</t>
        </is>
      </c>
      <c r="C1179" s="0" t="inlineStr">
        <is>
          <t xml:space="preserve">d20260923</t>
        </is>
      </c>
      <c r="D1179" s="0" t="inlineStr">
        <is>
          <t xml:space="preserve">URBN</t>
        </is>
      </c>
      <c r="E1179" s="0" t="inlineStr">
        <is>
          <t xml:space="preserve">consumer_cyclical</t>
        </is>
      </c>
      <c r="F1179" s="4">
        <v>78</v>
      </c>
    </row>
    <row r="1180">
      <c r="A1180" s="0" t="inlineStr">
        <is>
          <t xml:space="preserve">random_02_UFPI</t>
        </is>
      </c>
      <c r="B1180" s="0" t="inlineStr">
        <is>
          <t xml:space="preserve">random_02</t>
        </is>
      </c>
      <c r="C1180" s="0" t="inlineStr">
        <is>
          <t xml:space="preserve">d20260923</t>
        </is>
      </c>
      <c r="D1180" s="0" t="inlineStr">
        <is>
          <t xml:space="preserve">UFPI</t>
        </is>
      </c>
      <c r="E1180" s="0" t="inlineStr">
        <is>
          <t xml:space="preserve">basic_materials</t>
        </is>
      </c>
      <c r="F1180" s="4">
        <v>79</v>
      </c>
    </row>
    <row r="1181">
      <c r="A1181" s="0" t="inlineStr">
        <is>
          <t xml:space="preserve">random_02_OTF</t>
        </is>
      </c>
      <c r="B1181" s="0" t="inlineStr">
        <is>
          <t xml:space="preserve">random_02</t>
        </is>
      </c>
      <c r="C1181" s="0" t="inlineStr">
        <is>
          <t xml:space="preserve">d20260923</t>
        </is>
      </c>
      <c r="D1181" s="0" t="inlineStr">
        <is>
          <t xml:space="preserve">OTF</t>
        </is>
      </c>
      <c r="E1181" s="0" t="inlineStr">
        <is>
          <t xml:space="preserve">financial_services</t>
        </is>
      </c>
      <c r="F1181" s="4">
        <v>80</v>
      </c>
    </row>
    <row r="1182">
      <c r="A1182" s="0" t="inlineStr">
        <is>
          <t xml:space="preserve">random_02_TSLA</t>
        </is>
      </c>
      <c r="B1182" s="0" t="inlineStr">
        <is>
          <t xml:space="preserve">random_02</t>
        </is>
      </c>
      <c r="C1182" s="0" t="inlineStr">
        <is>
          <t xml:space="preserve">d20260923</t>
        </is>
      </c>
      <c r="D1182" s="0" t="inlineStr">
        <is>
          <t xml:space="preserve">TSLA</t>
        </is>
      </c>
      <c r="E1182" s="0" t="inlineStr">
        <is>
          <t xml:space="preserve">consumer_cyclical</t>
        </is>
      </c>
      <c r="F1182" s="4">
        <v>81</v>
      </c>
    </row>
    <row r="1183">
      <c r="A1183" s="0" t="inlineStr">
        <is>
          <t xml:space="preserve">random_02_LEU</t>
        </is>
      </c>
      <c r="B1183" s="0" t="inlineStr">
        <is>
          <t xml:space="preserve">random_02</t>
        </is>
      </c>
      <c r="C1183" s="0" t="inlineStr">
        <is>
          <t xml:space="preserve">d20260923</t>
        </is>
      </c>
      <c r="D1183" s="0" t="inlineStr">
        <is>
          <t xml:space="preserve">LEU</t>
        </is>
      </c>
      <c r="E1183" s="0" t="inlineStr">
        <is>
          <t xml:space="preserve">energy</t>
        </is>
      </c>
      <c r="F1183" s="4">
        <v>82</v>
      </c>
    </row>
    <row r="1184">
      <c r="A1184" s="0" t="inlineStr">
        <is>
          <t xml:space="preserve">random_02_APH</t>
        </is>
      </c>
      <c r="B1184" s="0" t="inlineStr">
        <is>
          <t xml:space="preserve">random_02</t>
        </is>
      </c>
      <c r="C1184" s="0" t="inlineStr">
        <is>
          <t xml:space="preserve">d20260923</t>
        </is>
      </c>
      <c r="D1184" s="0" t="inlineStr">
        <is>
          <t xml:space="preserve">APH</t>
        </is>
      </c>
      <c r="E1184" s="0" t="inlineStr">
        <is>
          <t xml:space="preserve">technology</t>
        </is>
      </c>
      <c r="F1184" s="4">
        <v>83</v>
      </c>
    </row>
    <row r="1185">
      <c r="A1185" s="0" t="inlineStr">
        <is>
          <t xml:space="preserve">random_02_VRSN</t>
        </is>
      </c>
      <c r="B1185" s="0" t="inlineStr">
        <is>
          <t xml:space="preserve">random_02</t>
        </is>
      </c>
      <c r="C1185" s="0" t="inlineStr">
        <is>
          <t xml:space="preserve">d20260923</t>
        </is>
      </c>
      <c r="D1185" s="0" t="inlineStr">
        <is>
          <t xml:space="preserve">VRSN</t>
        </is>
      </c>
      <c r="E1185" s="0" t="inlineStr">
        <is>
          <t xml:space="preserve">technology</t>
        </is>
      </c>
      <c r="F1185" s="4">
        <v>84</v>
      </c>
    </row>
    <row r="1186">
      <c r="A1186" s="0" t="inlineStr">
        <is>
          <t xml:space="preserve">random_02_SATA</t>
        </is>
      </c>
      <c r="B1186" s="0" t="inlineStr">
        <is>
          <t xml:space="preserve">random_02</t>
        </is>
      </c>
      <c r="C1186" s="0" t="inlineStr">
        <is>
          <t xml:space="preserve">d20260923</t>
        </is>
      </c>
      <c r="D1186" s="0" t="inlineStr">
        <is>
          <t xml:space="preserve">SATA</t>
        </is>
      </c>
      <c r="E1186" s="0" t="inlineStr">
        <is>
          <t xml:space="preserve">financial_services</t>
        </is>
      </c>
      <c r="F1186" s="4">
        <v>85</v>
      </c>
    </row>
    <row r="1187">
      <c r="A1187" s="0" t="inlineStr">
        <is>
          <t xml:space="preserve">random_02_STRL</t>
        </is>
      </c>
      <c r="B1187" s="0" t="inlineStr">
        <is>
          <t xml:space="preserve">random_02</t>
        </is>
      </c>
      <c r="C1187" s="0" t="inlineStr">
        <is>
          <t xml:space="preserve">d20260923</t>
        </is>
      </c>
      <c r="D1187" s="0" t="inlineStr">
        <is>
          <t xml:space="preserve">STRL</t>
        </is>
      </c>
      <c r="E1187" s="0" t="inlineStr">
        <is>
          <t xml:space="preserve">industrials</t>
        </is>
      </c>
      <c r="F1187" s="4">
        <v>86</v>
      </c>
    </row>
    <row r="1188">
      <c r="A1188" s="0" t="inlineStr">
        <is>
          <t xml:space="preserve">random_02_HAL</t>
        </is>
      </c>
      <c r="B1188" s="0" t="inlineStr">
        <is>
          <t xml:space="preserve">random_02</t>
        </is>
      </c>
      <c r="C1188" s="0" t="inlineStr">
        <is>
          <t xml:space="preserve">d20260923</t>
        </is>
      </c>
      <c r="D1188" s="0" t="inlineStr">
        <is>
          <t xml:space="preserve">HAL</t>
        </is>
      </c>
      <c r="E1188" s="0" t="inlineStr">
        <is>
          <t xml:space="preserve">energy</t>
        </is>
      </c>
      <c r="F1188" s="4">
        <v>87</v>
      </c>
    </row>
    <row r="1189">
      <c r="A1189" s="0" t="inlineStr">
        <is>
          <t xml:space="preserve">random_02_AX</t>
        </is>
      </c>
      <c r="B1189" s="0" t="inlineStr">
        <is>
          <t xml:space="preserve">random_02</t>
        </is>
      </c>
      <c r="C1189" s="0" t="inlineStr">
        <is>
          <t xml:space="preserve">d20260923</t>
        </is>
      </c>
      <c r="D1189" s="0" t="inlineStr">
        <is>
          <t xml:space="preserve">AX</t>
        </is>
      </c>
      <c r="E1189" s="0" t="inlineStr">
        <is>
          <t xml:space="preserve">financial_services</t>
        </is>
      </c>
      <c r="F1189" s="4">
        <v>88</v>
      </c>
    </row>
    <row r="1190">
      <c r="A1190" s="0" t="inlineStr">
        <is>
          <t xml:space="preserve">random_02_ALLY</t>
        </is>
      </c>
      <c r="B1190" s="0" t="inlineStr">
        <is>
          <t xml:space="preserve">random_02</t>
        </is>
      </c>
      <c r="C1190" s="0" t="inlineStr">
        <is>
          <t xml:space="preserve">d20260923</t>
        </is>
      </c>
      <c r="D1190" s="0" t="inlineStr">
        <is>
          <t xml:space="preserve">ALLY</t>
        </is>
      </c>
      <c r="E1190" s="0" t="inlineStr">
        <is>
          <t xml:space="preserve">financial_services</t>
        </is>
      </c>
      <c r="F1190" s="4">
        <v>89</v>
      </c>
    </row>
    <row r="1191">
      <c r="A1191" s="0" t="inlineStr">
        <is>
          <t xml:space="preserve">random_02_FERG</t>
        </is>
      </c>
      <c r="B1191" s="0" t="inlineStr">
        <is>
          <t xml:space="preserve">random_02</t>
        </is>
      </c>
      <c r="C1191" s="0" t="inlineStr">
        <is>
          <t xml:space="preserve">d20260923</t>
        </is>
      </c>
      <c r="D1191" s="0" t="inlineStr">
        <is>
          <t xml:space="preserve">FERG</t>
        </is>
      </c>
      <c r="E1191" s="0" t="inlineStr">
        <is>
          <t xml:space="preserve">industrials</t>
        </is>
      </c>
      <c r="F1191" s="4">
        <v>90</v>
      </c>
    </row>
    <row r="1192">
      <c r="A1192" s="0" t="inlineStr">
        <is>
          <t xml:space="preserve">random_02_PBLS</t>
        </is>
      </c>
      <c r="B1192" s="0" t="inlineStr">
        <is>
          <t xml:space="preserve">random_02</t>
        </is>
      </c>
      <c r="C1192" s="0" t="inlineStr">
        <is>
          <t xml:space="preserve">d20260923</t>
        </is>
      </c>
      <c r="D1192" s="0" t="inlineStr">
        <is>
          <t xml:space="preserve">PBLS</t>
        </is>
      </c>
      <c r="E1192" s="0" t="inlineStr">
        <is>
          <t xml:space="preserve">healthcare</t>
        </is>
      </c>
      <c r="F1192" s="4">
        <v>91</v>
      </c>
    </row>
    <row r="1193">
      <c r="A1193" s="0" t="inlineStr">
        <is>
          <t xml:space="preserve">random_02_SOFI</t>
        </is>
      </c>
      <c r="B1193" s="0" t="inlineStr">
        <is>
          <t xml:space="preserve">random_02</t>
        </is>
      </c>
      <c r="C1193" s="0" t="inlineStr">
        <is>
          <t xml:space="preserve">d20260923</t>
        </is>
      </c>
      <c r="D1193" s="0" t="inlineStr">
        <is>
          <t xml:space="preserve">SOFI</t>
        </is>
      </c>
      <c r="E1193" s="0" t="inlineStr">
        <is>
          <t xml:space="preserve">financial_services</t>
        </is>
      </c>
      <c r="F1193" s="4">
        <v>92</v>
      </c>
    </row>
    <row r="1194">
      <c r="A1194" s="0" t="inlineStr">
        <is>
          <t xml:space="preserve">random_02_VICR</t>
        </is>
      </c>
      <c r="B1194" s="0" t="inlineStr">
        <is>
          <t xml:space="preserve">random_02</t>
        </is>
      </c>
      <c r="C1194" s="0" t="inlineStr">
        <is>
          <t xml:space="preserve">d20260923</t>
        </is>
      </c>
      <c r="D1194" s="0" t="inlineStr">
        <is>
          <t xml:space="preserve">VICR</t>
        </is>
      </c>
      <c r="E1194" s="0" t="inlineStr">
        <is>
          <t xml:space="preserve">technology</t>
        </is>
      </c>
      <c r="F1194" s="4">
        <v>93</v>
      </c>
    </row>
    <row r="1195">
      <c r="A1195" s="0" t="inlineStr">
        <is>
          <t xml:space="preserve">random_02_MTZ</t>
        </is>
      </c>
      <c r="B1195" s="0" t="inlineStr">
        <is>
          <t xml:space="preserve">random_02</t>
        </is>
      </c>
      <c r="C1195" s="0" t="inlineStr">
        <is>
          <t xml:space="preserve">d20260923</t>
        </is>
      </c>
      <c r="D1195" s="0" t="inlineStr">
        <is>
          <t xml:space="preserve">MTZ</t>
        </is>
      </c>
      <c r="E1195" s="0" t="inlineStr">
        <is>
          <t xml:space="preserve">industrials</t>
        </is>
      </c>
      <c r="F1195" s="4">
        <v>94</v>
      </c>
    </row>
    <row r="1196">
      <c r="A1196" s="0" t="inlineStr">
        <is>
          <t xml:space="preserve">random_02_HSY</t>
        </is>
      </c>
      <c r="B1196" s="0" t="inlineStr">
        <is>
          <t xml:space="preserve">random_02</t>
        </is>
      </c>
      <c r="C1196" s="0" t="inlineStr">
        <is>
          <t xml:space="preserve">d20260923</t>
        </is>
      </c>
      <c r="D1196" s="0" t="inlineStr">
        <is>
          <t xml:space="preserve">HSY</t>
        </is>
      </c>
      <c r="E1196" s="0" t="inlineStr">
        <is>
          <t xml:space="preserve">consumer_defensive</t>
        </is>
      </c>
      <c r="F1196" s="4">
        <v>95</v>
      </c>
    </row>
    <row r="1197">
      <c r="A1197" s="0" t="inlineStr">
        <is>
          <t xml:space="preserve">random_02_NIQ</t>
        </is>
      </c>
      <c r="B1197" s="0" t="inlineStr">
        <is>
          <t xml:space="preserve">random_02</t>
        </is>
      </c>
      <c r="C1197" s="0" t="inlineStr">
        <is>
          <t xml:space="preserve">d20260923</t>
        </is>
      </c>
      <c r="D1197" s="0" t="inlineStr">
        <is>
          <t xml:space="preserve">NIQ</t>
        </is>
      </c>
      <c r="E1197" s="0" t="inlineStr">
        <is>
          <t xml:space="preserve">technology</t>
        </is>
      </c>
      <c r="F1197" s="4">
        <v>96</v>
      </c>
    </row>
    <row r="1198">
      <c r="A1198" s="0" t="inlineStr">
        <is>
          <t xml:space="preserve">random_02_FBIN</t>
        </is>
      </c>
      <c r="B1198" s="0" t="inlineStr">
        <is>
          <t xml:space="preserve">random_02</t>
        </is>
      </c>
      <c r="C1198" s="0" t="inlineStr">
        <is>
          <t xml:space="preserve">d20260923</t>
        </is>
      </c>
      <c r="D1198" s="0" t="inlineStr">
        <is>
          <t xml:space="preserve">FBIN</t>
        </is>
      </c>
      <c r="E1198" s="0" t="inlineStr">
        <is>
          <t xml:space="preserve">basic_materials</t>
        </is>
      </c>
      <c r="F1198" s="4">
        <v>97</v>
      </c>
    </row>
    <row r="1199">
      <c r="A1199" s="0" t="inlineStr">
        <is>
          <t xml:space="preserve">random_02_OGE</t>
        </is>
      </c>
      <c r="B1199" s="0" t="inlineStr">
        <is>
          <t xml:space="preserve">random_02</t>
        </is>
      </c>
      <c r="C1199" s="0" t="inlineStr">
        <is>
          <t xml:space="preserve">d20260923</t>
        </is>
      </c>
      <c r="D1199" s="0" t="inlineStr">
        <is>
          <t xml:space="preserve">OGE</t>
        </is>
      </c>
      <c r="E1199" s="0" t="inlineStr">
        <is>
          <t xml:space="preserve">utilities</t>
        </is>
      </c>
      <c r="F1199" s="4">
        <v>98</v>
      </c>
    </row>
    <row r="1200">
      <c r="A1200" s="0" t="inlineStr">
        <is>
          <t xml:space="preserve">random_02_CYTK</t>
        </is>
      </c>
      <c r="B1200" s="0" t="inlineStr">
        <is>
          <t xml:space="preserve">random_02</t>
        </is>
      </c>
      <c r="C1200" s="0" t="inlineStr">
        <is>
          <t xml:space="preserve">d20260923</t>
        </is>
      </c>
      <c r="D1200" s="0" t="inlineStr">
        <is>
          <t xml:space="preserve">CYTK</t>
        </is>
      </c>
      <c r="E1200" s="0" t="inlineStr">
        <is>
          <t xml:space="preserve">healthcare</t>
        </is>
      </c>
      <c r="F1200" s="4">
        <v>99</v>
      </c>
    </row>
    <row r="1201">
      <c r="A1201" s="0" t="inlineStr">
        <is>
          <t xml:space="preserve">random_02_MAA</t>
        </is>
      </c>
      <c r="B1201" s="0" t="inlineStr">
        <is>
          <t xml:space="preserve">random_02</t>
        </is>
      </c>
      <c r="C1201" s="0" t="inlineStr">
        <is>
          <t xml:space="preserve">d20260923</t>
        </is>
      </c>
      <c r="D1201" s="0" t="inlineStr">
        <is>
          <t xml:space="preserve">MAA</t>
        </is>
      </c>
      <c r="E1201" s="0" t="inlineStr">
        <is>
          <t xml:space="preserve">real_estate</t>
        </is>
      </c>
      <c r="F1201" s="4">
        <v>100</v>
      </c>
    </row>
    <row r="1202">
      <c r="A1202" s="0" t="inlineStr">
        <is>
          <t xml:space="preserve">random_03_FBIN</t>
        </is>
      </c>
      <c r="B1202" s="0" t="inlineStr">
        <is>
          <t xml:space="preserve">random_03</t>
        </is>
      </c>
      <c r="C1202" s="0" t="inlineStr">
        <is>
          <t xml:space="preserve">d20260923</t>
        </is>
      </c>
      <c r="D1202" s="0" t="inlineStr">
        <is>
          <t xml:space="preserve">FBIN</t>
        </is>
      </c>
      <c r="E1202" s="0" t="inlineStr">
        <is>
          <t xml:space="preserve">basic_materials</t>
        </is>
      </c>
      <c r="F1202" s="4">
        <v>1</v>
      </c>
    </row>
    <row r="1203">
      <c r="A1203" s="0" t="inlineStr">
        <is>
          <t xml:space="preserve">random_03_EVRG</t>
        </is>
      </c>
      <c r="B1203" s="0" t="inlineStr">
        <is>
          <t xml:space="preserve">random_03</t>
        </is>
      </c>
      <c r="C1203" s="0" t="inlineStr">
        <is>
          <t xml:space="preserve">d20260923</t>
        </is>
      </c>
      <c r="D1203" s="0" t="inlineStr">
        <is>
          <t xml:space="preserve">EVRG</t>
        </is>
      </c>
      <c r="E1203" s="0" t="inlineStr">
        <is>
          <t xml:space="preserve">utilities</t>
        </is>
      </c>
      <c r="F1203" s="4">
        <v>2</v>
      </c>
    </row>
    <row r="1204">
      <c r="A1204" s="0" t="inlineStr">
        <is>
          <t xml:space="preserve">random_03_VIRT</t>
        </is>
      </c>
      <c r="B1204" s="0" t="inlineStr">
        <is>
          <t xml:space="preserve">random_03</t>
        </is>
      </c>
      <c r="C1204" s="0" t="inlineStr">
        <is>
          <t xml:space="preserve">d20260923</t>
        </is>
      </c>
      <c r="D1204" s="0" t="inlineStr">
        <is>
          <t xml:space="preserve">VIRT</t>
        </is>
      </c>
      <c r="E1204" s="0" t="inlineStr">
        <is>
          <t xml:space="preserve">financial_services</t>
        </is>
      </c>
      <c r="F1204" s="4">
        <v>3</v>
      </c>
    </row>
    <row r="1205">
      <c r="A1205" s="0" t="inlineStr">
        <is>
          <t xml:space="preserve">random_03_STGW</t>
        </is>
      </c>
      <c r="B1205" s="0" t="inlineStr">
        <is>
          <t xml:space="preserve">random_03</t>
        </is>
      </c>
      <c r="C1205" s="0" t="inlineStr">
        <is>
          <t xml:space="preserve">d20260923</t>
        </is>
      </c>
      <c r="D1205" s="0" t="inlineStr">
        <is>
          <t xml:space="preserve">STGW</t>
        </is>
      </c>
      <c r="E1205" s="0" t="inlineStr">
        <is>
          <t xml:space="preserve">communication_services</t>
        </is>
      </c>
      <c r="F1205" s="4">
        <v>4</v>
      </c>
    </row>
    <row r="1206">
      <c r="A1206" s="0" t="inlineStr">
        <is>
          <t xml:space="preserve">random_03_XMTR</t>
        </is>
      </c>
      <c r="B1206" s="0" t="inlineStr">
        <is>
          <t xml:space="preserve">random_03</t>
        </is>
      </c>
      <c r="C1206" s="0" t="inlineStr">
        <is>
          <t xml:space="preserve">d20260923</t>
        </is>
      </c>
      <c r="D1206" s="0" t="inlineStr">
        <is>
          <t xml:space="preserve">XMTR</t>
        </is>
      </c>
      <c r="E1206" s="0" t="inlineStr">
        <is>
          <t xml:space="preserve">industrials</t>
        </is>
      </c>
      <c r="F1206" s="4">
        <v>5</v>
      </c>
    </row>
    <row r="1207">
      <c r="A1207" s="0" t="inlineStr">
        <is>
          <t xml:space="preserve">random_03_IOVA</t>
        </is>
      </c>
      <c r="B1207" s="0" t="inlineStr">
        <is>
          <t xml:space="preserve">random_03</t>
        </is>
      </c>
      <c r="C1207" s="0" t="inlineStr">
        <is>
          <t xml:space="preserve">d20260923</t>
        </is>
      </c>
      <c r="D1207" s="0" t="inlineStr">
        <is>
          <t xml:space="preserve">IOVA</t>
        </is>
      </c>
      <c r="E1207" s="0" t="inlineStr">
        <is>
          <t xml:space="preserve">healthcare</t>
        </is>
      </c>
      <c r="F1207" s="4">
        <v>6</v>
      </c>
    </row>
    <row r="1208">
      <c r="A1208" s="0" t="inlineStr">
        <is>
          <t xml:space="preserve">random_03_FROG</t>
        </is>
      </c>
      <c r="B1208" s="0" t="inlineStr">
        <is>
          <t xml:space="preserve">random_03</t>
        </is>
      </c>
      <c r="C1208" s="0" t="inlineStr">
        <is>
          <t xml:space="preserve">d20260923</t>
        </is>
      </c>
      <c r="D1208" s="0" t="inlineStr">
        <is>
          <t xml:space="preserve">FROG</t>
        </is>
      </c>
      <c r="E1208" s="0" t="inlineStr">
        <is>
          <t xml:space="preserve">technology</t>
        </is>
      </c>
      <c r="F1208" s="4">
        <v>7</v>
      </c>
    </row>
    <row r="1209">
      <c r="A1209" s="0" t="inlineStr">
        <is>
          <t xml:space="preserve">random_03_MTN</t>
        </is>
      </c>
      <c r="B1209" s="0" t="inlineStr">
        <is>
          <t xml:space="preserve">random_03</t>
        </is>
      </c>
      <c r="C1209" s="0" t="inlineStr">
        <is>
          <t xml:space="preserve">d20260923</t>
        </is>
      </c>
      <c r="D1209" s="0" t="inlineStr">
        <is>
          <t xml:space="preserve">MTN</t>
        </is>
      </c>
      <c r="E1209" s="0" t="inlineStr">
        <is>
          <t xml:space="preserve">consumer_cyclical</t>
        </is>
      </c>
      <c r="F1209" s="4">
        <v>8</v>
      </c>
    </row>
    <row r="1210">
      <c r="A1210" s="0" t="inlineStr">
        <is>
          <t xml:space="preserve">random_03_MTG</t>
        </is>
      </c>
      <c r="B1210" s="0" t="inlineStr">
        <is>
          <t xml:space="preserve">random_03</t>
        </is>
      </c>
      <c r="C1210" s="0" t="inlineStr">
        <is>
          <t xml:space="preserve">d20260923</t>
        </is>
      </c>
      <c r="D1210" s="0" t="inlineStr">
        <is>
          <t xml:space="preserve">MTG</t>
        </is>
      </c>
      <c r="E1210" s="0" t="inlineStr">
        <is>
          <t xml:space="preserve">financial_services</t>
        </is>
      </c>
      <c r="F1210" s="4">
        <v>9</v>
      </c>
    </row>
    <row r="1211">
      <c r="A1211" s="0" t="inlineStr">
        <is>
          <t xml:space="preserve">random_03_COST</t>
        </is>
      </c>
      <c r="B1211" s="0" t="inlineStr">
        <is>
          <t xml:space="preserve">random_03</t>
        </is>
      </c>
      <c r="C1211" s="0" t="inlineStr">
        <is>
          <t xml:space="preserve">d20260923</t>
        </is>
      </c>
      <c r="D1211" s="0" t="inlineStr">
        <is>
          <t xml:space="preserve">COST</t>
        </is>
      </c>
      <c r="E1211" s="0" t="inlineStr">
        <is>
          <t xml:space="preserve">consumer_defensive</t>
        </is>
      </c>
      <c r="F1211" s="4">
        <v>10</v>
      </c>
    </row>
    <row r="1212">
      <c r="A1212" s="0" t="inlineStr">
        <is>
          <t xml:space="preserve">random_03_PAYX</t>
        </is>
      </c>
      <c r="B1212" s="0" t="inlineStr">
        <is>
          <t xml:space="preserve">random_03</t>
        </is>
      </c>
      <c r="C1212" s="0" t="inlineStr">
        <is>
          <t xml:space="preserve">d20260923</t>
        </is>
      </c>
      <c r="D1212" s="0" t="inlineStr">
        <is>
          <t xml:space="preserve">PAYX</t>
        </is>
      </c>
      <c r="E1212" s="0" t="inlineStr">
        <is>
          <t xml:space="preserve">industrials</t>
        </is>
      </c>
      <c r="F1212" s="4">
        <v>11</v>
      </c>
    </row>
    <row r="1213">
      <c r="A1213" s="0" t="inlineStr">
        <is>
          <t xml:space="preserve">random_03_MIAX</t>
        </is>
      </c>
      <c r="B1213" s="0" t="inlineStr">
        <is>
          <t xml:space="preserve">random_03</t>
        </is>
      </c>
      <c r="C1213" s="0" t="inlineStr">
        <is>
          <t xml:space="preserve">d20260923</t>
        </is>
      </c>
      <c r="D1213" s="0" t="inlineStr">
        <is>
          <t xml:space="preserve">MIAX</t>
        </is>
      </c>
      <c r="E1213" s="0" t="inlineStr">
        <is>
          <t xml:space="preserve">financial_services</t>
        </is>
      </c>
      <c r="F1213" s="4">
        <v>12</v>
      </c>
    </row>
    <row r="1214">
      <c r="A1214" s="0" t="inlineStr">
        <is>
          <t xml:space="preserve">random_03_CELH</t>
        </is>
      </c>
      <c r="B1214" s="0" t="inlineStr">
        <is>
          <t xml:space="preserve">random_03</t>
        </is>
      </c>
      <c r="C1214" s="0" t="inlineStr">
        <is>
          <t xml:space="preserve">d20260923</t>
        </is>
      </c>
      <c r="D1214" s="0" t="inlineStr">
        <is>
          <t xml:space="preserve">CELH</t>
        </is>
      </c>
      <c r="E1214" s="0" t="inlineStr">
        <is>
          <t xml:space="preserve">consumer_defensive</t>
        </is>
      </c>
      <c r="F1214" s="4">
        <v>13</v>
      </c>
    </row>
    <row r="1215">
      <c r="A1215" s="0" t="inlineStr">
        <is>
          <t xml:space="preserve">random_03_UEC</t>
        </is>
      </c>
      <c r="B1215" s="0" t="inlineStr">
        <is>
          <t xml:space="preserve">random_03</t>
        </is>
      </c>
      <c r="C1215" s="0" t="inlineStr">
        <is>
          <t xml:space="preserve">d20260923</t>
        </is>
      </c>
      <c r="D1215" s="0" t="inlineStr">
        <is>
          <t xml:space="preserve">UEC</t>
        </is>
      </c>
      <c r="E1215" s="0" t="inlineStr">
        <is>
          <t xml:space="preserve">energy</t>
        </is>
      </c>
      <c r="F1215" s="4">
        <v>14</v>
      </c>
    </row>
    <row r="1216">
      <c r="A1216" s="0" t="inlineStr">
        <is>
          <t xml:space="preserve">random_03_NCNO</t>
        </is>
      </c>
      <c r="B1216" s="0" t="inlineStr">
        <is>
          <t xml:space="preserve">random_03</t>
        </is>
      </c>
      <c r="C1216" s="0" t="inlineStr">
        <is>
          <t xml:space="preserve">d20260923</t>
        </is>
      </c>
      <c r="D1216" s="0" t="inlineStr">
        <is>
          <t xml:space="preserve">NCNO</t>
        </is>
      </c>
      <c r="E1216" s="0" t="inlineStr">
        <is>
          <t xml:space="preserve">technology</t>
        </is>
      </c>
      <c r="F1216" s="4">
        <v>15</v>
      </c>
    </row>
    <row r="1217">
      <c r="A1217" s="0" t="inlineStr">
        <is>
          <t xml:space="preserve">random_03_ZETA</t>
        </is>
      </c>
      <c r="B1217" s="0" t="inlineStr">
        <is>
          <t xml:space="preserve">random_03</t>
        </is>
      </c>
      <c r="C1217" s="0" t="inlineStr">
        <is>
          <t xml:space="preserve">d20260923</t>
        </is>
      </c>
      <c r="D1217" s="0" t="inlineStr">
        <is>
          <t xml:space="preserve">ZETA</t>
        </is>
      </c>
      <c r="E1217" s="0" t="inlineStr">
        <is>
          <t xml:space="preserve">technology</t>
        </is>
      </c>
      <c r="F1217" s="4">
        <v>16</v>
      </c>
    </row>
    <row r="1218">
      <c r="A1218" s="0" t="inlineStr">
        <is>
          <t xml:space="preserve">random_03_KRC</t>
        </is>
      </c>
      <c r="B1218" s="0" t="inlineStr">
        <is>
          <t xml:space="preserve">random_03</t>
        </is>
      </c>
      <c r="C1218" s="0" t="inlineStr">
        <is>
          <t xml:space="preserve">d20260923</t>
        </is>
      </c>
      <c r="D1218" s="0" t="inlineStr">
        <is>
          <t xml:space="preserve">KRC</t>
        </is>
      </c>
      <c r="E1218" s="0" t="inlineStr">
        <is>
          <t xml:space="preserve">real_estate</t>
        </is>
      </c>
      <c r="F1218" s="4">
        <v>17</v>
      </c>
    </row>
    <row r="1219">
      <c r="A1219" s="0" t="inlineStr">
        <is>
          <t xml:space="preserve">random_03_HIG</t>
        </is>
      </c>
      <c r="B1219" s="0" t="inlineStr">
        <is>
          <t xml:space="preserve">random_03</t>
        </is>
      </c>
      <c r="C1219" s="0" t="inlineStr">
        <is>
          <t xml:space="preserve">d20260923</t>
        </is>
      </c>
      <c r="D1219" s="0" t="inlineStr">
        <is>
          <t xml:space="preserve">HIG</t>
        </is>
      </c>
      <c r="E1219" s="0" t="inlineStr">
        <is>
          <t xml:space="preserve">financial_services</t>
        </is>
      </c>
      <c r="F1219" s="4">
        <v>18</v>
      </c>
    </row>
    <row r="1220">
      <c r="A1220" s="0" t="inlineStr">
        <is>
          <t xml:space="preserve">random_03_J</t>
        </is>
      </c>
      <c r="B1220" s="0" t="inlineStr">
        <is>
          <t xml:space="preserve">random_03</t>
        </is>
      </c>
      <c r="C1220" s="0" t="inlineStr">
        <is>
          <t xml:space="preserve">d20260923</t>
        </is>
      </c>
      <c r="D1220" s="0" t="inlineStr">
        <is>
          <t xml:space="preserve">J</t>
        </is>
      </c>
      <c r="E1220" s="0" t="inlineStr">
        <is>
          <t xml:space="preserve">industrials</t>
        </is>
      </c>
      <c r="F1220" s="4">
        <v>19</v>
      </c>
    </row>
    <row r="1221">
      <c r="A1221" s="0" t="inlineStr">
        <is>
          <t xml:space="preserve">random_03_TRVI</t>
        </is>
      </c>
      <c r="B1221" s="0" t="inlineStr">
        <is>
          <t xml:space="preserve">random_03</t>
        </is>
      </c>
      <c r="C1221" s="0" t="inlineStr">
        <is>
          <t xml:space="preserve">d20260923</t>
        </is>
      </c>
      <c r="D1221" s="0" t="inlineStr">
        <is>
          <t xml:space="preserve">TRVI</t>
        </is>
      </c>
      <c r="E1221" s="0" t="inlineStr">
        <is>
          <t xml:space="preserve">healthcare</t>
        </is>
      </c>
      <c r="F1221" s="4">
        <v>20</v>
      </c>
    </row>
    <row r="1222">
      <c r="A1222" s="0" t="inlineStr">
        <is>
          <t xml:space="preserve">random_03_D</t>
        </is>
      </c>
      <c r="B1222" s="0" t="inlineStr">
        <is>
          <t xml:space="preserve">random_03</t>
        </is>
      </c>
      <c r="C1222" s="0" t="inlineStr">
        <is>
          <t xml:space="preserve">d20260923</t>
        </is>
      </c>
      <c r="D1222" s="0" t="inlineStr">
        <is>
          <t xml:space="preserve">D</t>
        </is>
      </c>
      <c r="E1222" s="0" t="inlineStr">
        <is>
          <t xml:space="preserve">utilities</t>
        </is>
      </c>
      <c r="F1222" s="4">
        <v>21</v>
      </c>
    </row>
    <row r="1223">
      <c r="A1223" s="0" t="inlineStr">
        <is>
          <t xml:space="preserve">random_03_MRSH</t>
        </is>
      </c>
      <c r="B1223" s="0" t="inlineStr">
        <is>
          <t xml:space="preserve">random_03</t>
        </is>
      </c>
      <c r="C1223" s="0" t="inlineStr">
        <is>
          <t xml:space="preserve">d20260923</t>
        </is>
      </c>
      <c r="D1223" s="0" t="inlineStr">
        <is>
          <t xml:space="preserve">MRSH</t>
        </is>
      </c>
      <c r="E1223" s="0" t="inlineStr">
        <is>
          <t xml:space="preserve">financial_services</t>
        </is>
      </c>
      <c r="F1223" s="4">
        <v>22</v>
      </c>
    </row>
    <row r="1224">
      <c r="A1224" s="0" t="inlineStr">
        <is>
          <t xml:space="preserve">random_03_O</t>
        </is>
      </c>
      <c r="B1224" s="0" t="inlineStr">
        <is>
          <t xml:space="preserve">random_03</t>
        </is>
      </c>
      <c r="C1224" s="0" t="inlineStr">
        <is>
          <t xml:space="preserve">d20260923</t>
        </is>
      </c>
      <c r="D1224" s="0" t="inlineStr">
        <is>
          <t xml:space="preserve">O</t>
        </is>
      </c>
      <c r="E1224" s="0" t="inlineStr">
        <is>
          <t xml:space="preserve">real_estate</t>
        </is>
      </c>
      <c r="F1224" s="4">
        <v>23</v>
      </c>
    </row>
    <row r="1225">
      <c r="A1225" s="0" t="inlineStr">
        <is>
          <t xml:space="preserve">random_03_VZ</t>
        </is>
      </c>
      <c r="B1225" s="0" t="inlineStr">
        <is>
          <t xml:space="preserve">random_03</t>
        </is>
      </c>
      <c r="C1225" s="0" t="inlineStr">
        <is>
          <t xml:space="preserve">d20260923</t>
        </is>
      </c>
      <c r="D1225" s="0" t="inlineStr">
        <is>
          <t xml:space="preserve">VZ</t>
        </is>
      </c>
      <c r="E1225" s="0" t="inlineStr">
        <is>
          <t xml:space="preserve">communication_services</t>
        </is>
      </c>
      <c r="F1225" s="4">
        <v>24</v>
      </c>
    </row>
    <row r="1226">
      <c r="A1226" s="0" t="inlineStr">
        <is>
          <t xml:space="preserve">random_03_INTU</t>
        </is>
      </c>
      <c r="B1226" s="0" t="inlineStr">
        <is>
          <t xml:space="preserve">random_03</t>
        </is>
      </c>
      <c r="C1226" s="0" t="inlineStr">
        <is>
          <t xml:space="preserve">d20260923</t>
        </is>
      </c>
      <c r="D1226" s="0" t="inlineStr">
        <is>
          <t xml:space="preserve">INTU</t>
        </is>
      </c>
      <c r="E1226" s="0" t="inlineStr">
        <is>
          <t xml:space="preserve">technology</t>
        </is>
      </c>
      <c r="F1226" s="4">
        <v>25</v>
      </c>
    </row>
    <row r="1227">
      <c r="A1227" s="0" t="inlineStr">
        <is>
          <t xml:space="preserve">random_03_MSM</t>
        </is>
      </c>
      <c r="B1227" s="0" t="inlineStr">
        <is>
          <t xml:space="preserve">random_03</t>
        </is>
      </c>
      <c r="C1227" s="0" t="inlineStr">
        <is>
          <t xml:space="preserve">d20260923</t>
        </is>
      </c>
      <c r="D1227" s="0" t="inlineStr">
        <is>
          <t xml:space="preserve">MSM</t>
        </is>
      </c>
      <c r="E1227" s="0" t="inlineStr">
        <is>
          <t xml:space="preserve">industrials</t>
        </is>
      </c>
      <c r="F1227" s="4">
        <v>26</v>
      </c>
    </row>
    <row r="1228">
      <c r="A1228" s="0" t="inlineStr">
        <is>
          <t xml:space="preserve">random_03_NRG</t>
        </is>
      </c>
      <c r="B1228" s="0" t="inlineStr">
        <is>
          <t xml:space="preserve">random_03</t>
        </is>
      </c>
      <c r="C1228" s="0" t="inlineStr">
        <is>
          <t xml:space="preserve">d20260923</t>
        </is>
      </c>
      <c r="D1228" s="0" t="inlineStr">
        <is>
          <t xml:space="preserve">NRG</t>
        </is>
      </c>
      <c r="E1228" s="0" t="inlineStr">
        <is>
          <t xml:space="preserve">utilities</t>
        </is>
      </c>
      <c r="F1228" s="4">
        <v>27</v>
      </c>
    </row>
    <row r="1229">
      <c r="A1229" s="0" t="inlineStr">
        <is>
          <t xml:space="preserve">random_03_HCC</t>
        </is>
      </c>
      <c r="B1229" s="0" t="inlineStr">
        <is>
          <t xml:space="preserve">random_03</t>
        </is>
      </c>
      <c r="C1229" s="0" t="inlineStr">
        <is>
          <t xml:space="preserve">d20260923</t>
        </is>
      </c>
      <c r="D1229" s="0" t="inlineStr">
        <is>
          <t xml:space="preserve">HCC</t>
        </is>
      </c>
      <c r="E1229" s="0" t="inlineStr">
        <is>
          <t xml:space="preserve">energy</t>
        </is>
      </c>
      <c r="F1229" s="4">
        <v>28</v>
      </c>
    </row>
    <row r="1230">
      <c r="A1230" s="0" t="inlineStr">
        <is>
          <t xml:space="preserve">random_03_VNT</t>
        </is>
      </c>
      <c r="B1230" s="0" t="inlineStr">
        <is>
          <t xml:space="preserve">random_03</t>
        </is>
      </c>
      <c r="C1230" s="0" t="inlineStr">
        <is>
          <t xml:space="preserve">d20260923</t>
        </is>
      </c>
      <c r="D1230" s="0" t="inlineStr">
        <is>
          <t xml:space="preserve">VNT</t>
        </is>
      </c>
      <c r="E1230" s="0" t="inlineStr">
        <is>
          <t xml:space="preserve">technology</t>
        </is>
      </c>
      <c r="F1230" s="4">
        <v>29</v>
      </c>
    </row>
    <row r="1231">
      <c r="A1231" s="0" t="inlineStr">
        <is>
          <t xml:space="preserve">random_03_SDRL</t>
        </is>
      </c>
      <c r="B1231" s="0" t="inlineStr">
        <is>
          <t xml:space="preserve">random_03</t>
        </is>
      </c>
      <c r="C1231" s="0" t="inlineStr">
        <is>
          <t xml:space="preserve">d20260923</t>
        </is>
      </c>
      <c r="D1231" s="0" t="inlineStr">
        <is>
          <t xml:space="preserve">SDRL</t>
        </is>
      </c>
      <c r="E1231" s="0" t="inlineStr">
        <is>
          <t xml:space="preserve">energy</t>
        </is>
      </c>
      <c r="F1231" s="4">
        <v>30</v>
      </c>
    </row>
    <row r="1232">
      <c r="A1232" s="0" t="inlineStr">
        <is>
          <t xml:space="preserve">random_03_BXSL</t>
        </is>
      </c>
      <c r="B1232" s="0" t="inlineStr">
        <is>
          <t xml:space="preserve">random_03</t>
        </is>
      </c>
      <c r="C1232" s="0" t="inlineStr">
        <is>
          <t xml:space="preserve">d20260923</t>
        </is>
      </c>
      <c r="D1232" s="0" t="inlineStr">
        <is>
          <t xml:space="preserve">BXSL</t>
        </is>
      </c>
      <c r="E1232" s="0" t="inlineStr">
        <is>
          <t xml:space="preserve">financial_services</t>
        </is>
      </c>
      <c r="F1232" s="4">
        <v>31</v>
      </c>
    </row>
    <row r="1233">
      <c r="A1233" s="0" t="inlineStr">
        <is>
          <t xml:space="preserve">random_03_XOM</t>
        </is>
      </c>
      <c r="B1233" s="0" t="inlineStr">
        <is>
          <t xml:space="preserve">random_03</t>
        </is>
      </c>
      <c r="C1233" s="0" t="inlineStr">
        <is>
          <t xml:space="preserve">d20260923</t>
        </is>
      </c>
      <c r="D1233" s="0" t="inlineStr">
        <is>
          <t xml:space="preserve">XOM</t>
        </is>
      </c>
      <c r="E1233" s="0" t="inlineStr">
        <is>
          <t xml:space="preserve">energy</t>
        </is>
      </c>
      <c r="F1233" s="4">
        <v>32</v>
      </c>
    </row>
    <row r="1234">
      <c r="A1234" s="0" t="inlineStr">
        <is>
          <t xml:space="preserve">random_03_HST</t>
        </is>
      </c>
      <c r="B1234" s="0" t="inlineStr">
        <is>
          <t xml:space="preserve">random_03</t>
        </is>
      </c>
      <c r="C1234" s="0" t="inlineStr">
        <is>
          <t xml:space="preserve">d20260923</t>
        </is>
      </c>
      <c r="D1234" s="0" t="inlineStr">
        <is>
          <t xml:space="preserve">HST</t>
        </is>
      </c>
      <c r="E1234" s="0" t="inlineStr">
        <is>
          <t xml:space="preserve">real_estate</t>
        </is>
      </c>
      <c r="F1234" s="4">
        <v>33</v>
      </c>
    </row>
    <row r="1235">
      <c r="A1235" s="0" t="inlineStr">
        <is>
          <t xml:space="preserve">random_03_NUE</t>
        </is>
      </c>
      <c r="B1235" s="0" t="inlineStr">
        <is>
          <t xml:space="preserve">random_03</t>
        </is>
      </c>
      <c r="C1235" s="0" t="inlineStr">
        <is>
          <t xml:space="preserve">d20260923</t>
        </is>
      </c>
      <c r="D1235" s="0" t="inlineStr">
        <is>
          <t xml:space="preserve">NUE</t>
        </is>
      </c>
      <c r="E1235" s="0" t="inlineStr">
        <is>
          <t xml:space="preserve">basic_materials</t>
        </is>
      </c>
      <c r="F1235" s="4">
        <v>34</v>
      </c>
    </row>
    <row r="1236">
      <c r="A1236" s="0" t="inlineStr">
        <is>
          <t xml:space="preserve">random_03_DX</t>
        </is>
      </c>
      <c r="B1236" s="0" t="inlineStr">
        <is>
          <t xml:space="preserve">random_03</t>
        </is>
      </c>
      <c r="C1236" s="0" t="inlineStr">
        <is>
          <t xml:space="preserve">d20260923</t>
        </is>
      </c>
      <c r="D1236" s="0" t="inlineStr">
        <is>
          <t xml:space="preserve">DX</t>
        </is>
      </c>
      <c r="E1236" s="0" t="inlineStr">
        <is>
          <t xml:space="preserve">real_estate</t>
        </is>
      </c>
      <c r="F1236" s="4">
        <v>35</v>
      </c>
    </row>
    <row r="1237">
      <c r="A1237" s="0" t="inlineStr">
        <is>
          <t xml:space="preserve">random_03_TSN</t>
        </is>
      </c>
      <c r="B1237" s="0" t="inlineStr">
        <is>
          <t xml:space="preserve">random_03</t>
        </is>
      </c>
      <c r="C1237" s="0" t="inlineStr">
        <is>
          <t xml:space="preserve">d20260923</t>
        </is>
      </c>
      <c r="D1237" s="0" t="inlineStr">
        <is>
          <t xml:space="preserve">TSN</t>
        </is>
      </c>
      <c r="E1237" s="0" t="inlineStr">
        <is>
          <t xml:space="preserve">consumer_defensive</t>
        </is>
      </c>
      <c r="F1237" s="4">
        <v>36</v>
      </c>
    </row>
    <row r="1238">
      <c r="A1238" s="0" t="inlineStr">
        <is>
          <t xml:space="preserve">random_03_VVX</t>
        </is>
      </c>
      <c r="B1238" s="0" t="inlineStr">
        <is>
          <t xml:space="preserve">random_03</t>
        </is>
      </c>
      <c r="C1238" s="0" t="inlineStr">
        <is>
          <t xml:space="preserve">d20260923</t>
        </is>
      </c>
      <c r="D1238" s="0" t="inlineStr">
        <is>
          <t xml:space="preserve">VVX</t>
        </is>
      </c>
      <c r="E1238" s="0" t="inlineStr">
        <is>
          <t xml:space="preserve">industrials</t>
        </is>
      </c>
      <c r="F1238" s="4">
        <v>37</v>
      </c>
    </row>
    <row r="1239">
      <c r="A1239" s="0" t="inlineStr">
        <is>
          <t xml:space="preserve">random_03_SYRE</t>
        </is>
      </c>
      <c r="B1239" s="0" t="inlineStr">
        <is>
          <t xml:space="preserve">random_03</t>
        </is>
      </c>
      <c r="C1239" s="0" t="inlineStr">
        <is>
          <t xml:space="preserve">d20260923</t>
        </is>
      </c>
      <c r="D1239" s="0" t="inlineStr">
        <is>
          <t xml:space="preserve">SYRE</t>
        </is>
      </c>
      <c r="E1239" s="0" t="inlineStr">
        <is>
          <t xml:space="preserve">healthcare</t>
        </is>
      </c>
      <c r="F1239" s="4">
        <v>38</v>
      </c>
    </row>
    <row r="1240">
      <c r="A1240" s="0" t="inlineStr">
        <is>
          <t xml:space="preserve">random_03_KNX</t>
        </is>
      </c>
      <c r="B1240" s="0" t="inlineStr">
        <is>
          <t xml:space="preserve">random_03</t>
        </is>
      </c>
      <c r="C1240" s="0" t="inlineStr">
        <is>
          <t xml:space="preserve">d20260923</t>
        </is>
      </c>
      <c r="D1240" s="0" t="inlineStr">
        <is>
          <t xml:space="preserve">KNX</t>
        </is>
      </c>
      <c r="E1240" s="0" t="inlineStr">
        <is>
          <t xml:space="preserve">industrials</t>
        </is>
      </c>
      <c r="F1240" s="4">
        <v>39</v>
      </c>
    </row>
    <row r="1241">
      <c r="A1241" s="0" t="inlineStr">
        <is>
          <t xml:space="preserve">random_03_PTC</t>
        </is>
      </c>
      <c r="B1241" s="0" t="inlineStr">
        <is>
          <t xml:space="preserve">random_03</t>
        </is>
      </c>
      <c r="C1241" s="0" t="inlineStr">
        <is>
          <t xml:space="preserve">d20260923</t>
        </is>
      </c>
      <c r="D1241" s="0" t="inlineStr">
        <is>
          <t xml:space="preserve">PTC</t>
        </is>
      </c>
      <c r="E1241" s="0" t="inlineStr">
        <is>
          <t xml:space="preserve">technology</t>
        </is>
      </c>
      <c r="F1241" s="4">
        <v>40</v>
      </c>
    </row>
    <row r="1242">
      <c r="A1242" s="0" t="inlineStr">
        <is>
          <t xml:space="preserve">random_03_IR</t>
        </is>
      </c>
      <c r="B1242" s="0" t="inlineStr">
        <is>
          <t xml:space="preserve">random_03</t>
        </is>
      </c>
      <c r="C1242" s="0" t="inlineStr">
        <is>
          <t xml:space="preserve">d20260923</t>
        </is>
      </c>
      <c r="D1242" s="0" t="inlineStr">
        <is>
          <t xml:space="preserve">IR</t>
        </is>
      </c>
      <c r="E1242" s="0" t="inlineStr">
        <is>
          <t xml:space="preserve">industrials</t>
        </is>
      </c>
      <c r="F1242" s="4">
        <v>41</v>
      </c>
    </row>
    <row r="1243">
      <c r="A1243" s="0" t="inlineStr">
        <is>
          <t xml:space="preserve">random_03_AGYS</t>
        </is>
      </c>
      <c r="B1243" s="0" t="inlineStr">
        <is>
          <t xml:space="preserve">random_03</t>
        </is>
      </c>
      <c r="C1243" s="0" t="inlineStr">
        <is>
          <t xml:space="preserve">d20260923</t>
        </is>
      </c>
      <c r="D1243" s="0" t="inlineStr">
        <is>
          <t xml:space="preserve">AGYS</t>
        </is>
      </c>
      <c r="E1243" s="0" t="inlineStr">
        <is>
          <t xml:space="preserve">technology</t>
        </is>
      </c>
      <c r="F1243" s="4">
        <v>42</v>
      </c>
    </row>
    <row r="1244">
      <c r="A1244" s="0" t="inlineStr">
        <is>
          <t xml:space="preserve">random_03_MAIN</t>
        </is>
      </c>
      <c r="B1244" s="0" t="inlineStr">
        <is>
          <t xml:space="preserve">random_03</t>
        </is>
      </c>
      <c r="C1244" s="0" t="inlineStr">
        <is>
          <t xml:space="preserve">d20260923</t>
        </is>
      </c>
      <c r="D1244" s="0" t="inlineStr">
        <is>
          <t xml:space="preserve">MAIN</t>
        </is>
      </c>
      <c r="E1244" s="0" t="inlineStr">
        <is>
          <t xml:space="preserve">financial_services</t>
        </is>
      </c>
      <c r="F1244" s="4">
        <v>43</v>
      </c>
    </row>
    <row r="1245">
      <c r="A1245" s="0" t="inlineStr">
        <is>
          <t xml:space="preserve">random_03_NUVB</t>
        </is>
      </c>
      <c r="B1245" s="0" t="inlineStr">
        <is>
          <t xml:space="preserve">random_03</t>
        </is>
      </c>
      <c r="C1245" s="0" t="inlineStr">
        <is>
          <t xml:space="preserve">d20260923</t>
        </is>
      </c>
      <c r="D1245" s="0" t="inlineStr">
        <is>
          <t xml:space="preserve">NUVB</t>
        </is>
      </c>
      <c r="E1245" s="0" t="inlineStr">
        <is>
          <t xml:space="preserve">healthcare</t>
        </is>
      </c>
      <c r="F1245" s="4">
        <v>44</v>
      </c>
    </row>
    <row r="1246">
      <c r="A1246" s="0" t="inlineStr">
        <is>
          <t xml:space="preserve">random_03_MXL</t>
        </is>
      </c>
      <c r="B1246" s="0" t="inlineStr">
        <is>
          <t xml:space="preserve">random_03</t>
        </is>
      </c>
      <c r="C1246" s="0" t="inlineStr">
        <is>
          <t xml:space="preserve">d20260923</t>
        </is>
      </c>
      <c r="D1246" s="0" t="inlineStr">
        <is>
          <t xml:space="preserve">MXL</t>
        </is>
      </c>
      <c r="E1246" s="0" t="inlineStr">
        <is>
          <t xml:space="preserve">technology</t>
        </is>
      </c>
      <c r="F1246" s="4">
        <v>45</v>
      </c>
    </row>
    <row r="1247">
      <c r="A1247" s="0" t="inlineStr">
        <is>
          <t xml:space="preserve">random_03_AAON</t>
        </is>
      </c>
      <c r="B1247" s="0" t="inlineStr">
        <is>
          <t xml:space="preserve">random_03</t>
        </is>
      </c>
      <c r="C1247" s="0" t="inlineStr">
        <is>
          <t xml:space="preserve">d20260923</t>
        </is>
      </c>
      <c r="D1247" s="0" t="inlineStr">
        <is>
          <t xml:space="preserve">AAON</t>
        </is>
      </c>
      <c r="E1247" s="0" t="inlineStr">
        <is>
          <t xml:space="preserve">industrials</t>
        </is>
      </c>
      <c r="F1247" s="4">
        <v>46</v>
      </c>
    </row>
    <row r="1248">
      <c r="A1248" s="0" t="inlineStr">
        <is>
          <t xml:space="preserve">random_03_GL</t>
        </is>
      </c>
      <c r="B1248" s="0" t="inlineStr">
        <is>
          <t xml:space="preserve">random_03</t>
        </is>
      </c>
      <c r="C1248" s="0" t="inlineStr">
        <is>
          <t xml:space="preserve">d20260923</t>
        </is>
      </c>
      <c r="D1248" s="0" t="inlineStr">
        <is>
          <t xml:space="preserve">GL</t>
        </is>
      </c>
      <c r="E1248" s="0" t="inlineStr">
        <is>
          <t xml:space="preserve">financial_services</t>
        </is>
      </c>
      <c r="F1248" s="4">
        <v>47</v>
      </c>
    </row>
    <row r="1249">
      <c r="A1249" s="0" t="inlineStr">
        <is>
          <t xml:space="preserve">random_03_MAA</t>
        </is>
      </c>
      <c r="B1249" s="0" t="inlineStr">
        <is>
          <t xml:space="preserve">random_03</t>
        </is>
      </c>
      <c r="C1249" s="0" t="inlineStr">
        <is>
          <t xml:space="preserve">d20260923</t>
        </is>
      </c>
      <c r="D1249" s="0" t="inlineStr">
        <is>
          <t xml:space="preserve">MAA</t>
        </is>
      </c>
      <c r="E1249" s="0" t="inlineStr">
        <is>
          <t xml:space="preserve">real_estate</t>
        </is>
      </c>
      <c r="F1249" s="4">
        <v>48</v>
      </c>
    </row>
    <row r="1250">
      <c r="A1250" s="0" t="inlineStr">
        <is>
          <t xml:space="preserve">random_03_CRS</t>
        </is>
      </c>
      <c r="B1250" s="0" t="inlineStr">
        <is>
          <t xml:space="preserve">random_03</t>
        </is>
      </c>
      <c r="C1250" s="0" t="inlineStr">
        <is>
          <t xml:space="preserve">d20260923</t>
        </is>
      </c>
      <c r="D1250" s="0" t="inlineStr">
        <is>
          <t xml:space="preserve">CRS</t>
        </is>
      </c>
      <c r="E1250" s="0" t="inlineStr">
        <is>
          <t xml:space="preserve">basic_materials</t>
        </is>
      </c>
      <c r="F1250" s="4">
        <v>49</v>
      </c>
    </row>
    <row r="1251">
      <c r="A1251" s="0" t="inlineStr">
        <is>
          <t xml:space="preserve">random_03_DOW</t>
        </is>
      </c>
      <c r="B1251" s="0" t="inlineStr">
        <is>
          <t xml:space="preserve">random_03</t>
        </is>
      </c>
      <c r="C1251" s="0" t="inlineStr">
        <is>
          <t xml:space="preserve">d20260923</t>
        </is>
      </c>
      <c r="D1251" s="0" t="inlineStr">
        <is>
          <t xml:space="preserve">DOW</t>
        </is>
      </c>
      <c r="E1251" s="0" t="inlineStr">
        <is>
          <t xml:space="preserve">basic_materials</t>
        </is>
      </c>
      <c r="F1251" s="4">
        <v>50</v>
      </c>
    </row>
    <row r="1252">
      <c r="A1252" s="0" t="inlineStr">
        <is>
          <t xml:space="preserve">random_03_WEC</t>
        </is>
      </c>
      <c r="B1252" s="0" t="inlineStr">
        <is>
          <t xml:space="preserve">random_03</t>
        </is>
      </c>
      <c r="C1252" s="0" t="inlineStr">
        <is>
          <t xml:space="preserve">d20260923</t>
        </is>
      </c>
      <c r="D1252" s="0" t="inlineStr">
        <is>
          <t xml:space="preserve">WEC</t>
        </is>
      </c>
      <c r="E1252" s="0" t="inlineStr">
        <is>
          <t xml:space="preserve">utilities</t>
        </is>
      </c>
      <c r="F1252" s="4">
        <v>51</v>
      </c>
    </row>
    <row r="1253">
      <c r="A1253" s="0" t="inlineStr">
        <is>
          <t xml:space="preserve">random_03_LPG</t>
        </is>
      </c>
      <c r="B1253" s="0" t="inlineStr">
        <is>
          <t xml:space="preserve">random_03</t>
        </is>
      </c>
      <c r="C1253" s="0" t="inlineStr">
        <is>
          <t xml:space="preserve">d20260923</t>
        </is>
      </c>
      <c r="D1253" s="0" t="inlineStr">
        <is>
          <t xml:space="preserve">LPG</t>
        </is>
      </c>
      <c r="E1253" s="0" t="inlineStr">
        <is>
          <t xml:space="preserve">energy</t>
        </is>
      </c>
      <c r="F1253" s="4">
        <v>52</v>
      </c>
    </row>
    <row r="1254">
      <c r="A1254" s="0" t="inlineStr">
        <is>
          <t xml:space="preserve">random_03_CVLT</t>
        </is>
      </c>
      <c r="B1254" s="0" t="inlineStr">
        <is>
          <t xml:space="preserve">random_03</t>
        </is>
      </c>
      <c r="C1254" s="0" t="inlineStr">
        <is>
          <t xml:space="preserve">d20260923</t>
        </is>
      </c>
      <c r="D1254" s="0" t="inlineStr">
        <is>
          <t xml:space="preserve">CVLT</t>
        </is>
      </c>
      <c r="E1254" s="0" t="inlineStr">
        <is>
          <t xml:space="preserve">technology</t>
        </is>
      </c>
      <c r="F1254" s="4">
        <v>53</v>
      </c>
    </row>
    <row r="1255">
      <c r="A1255" s="0" t="inlineStr">
        <is>
          <t xml:space="preserve">random_03_GDDY</t>
        </is>
      </c>
      <c r="B1255" s="0" t="inlineStr">
        <is>
          <t xml:space="preserve">random_03</t>
        </is>
      </c>
      <c r="C1255" s="0" t="inlineStr">
        <is>
          <t xml:space="preserve">d20260923</t>
        </is>
      </c>
      <c r="D1255" s="0" t="inlineStr">
        <is>
          <t xml:space="preserve">GDDY</t>
        </is>
      </c>
      <c r="E1255" s="0" t="inlineStr">
        <is>
          <t xml:space="preserve">technology</t>
        </is>
      </c>
      <c r="F1255" s="4">
        <v>54</v>
      </c>
    </row>
    <row r="1256">
      <c r="A1256" s="0" t="inlineStr">
        <is>
          <t xml:space="preserve">random_03_BAC</t>
        </is>
      </c>
      <c r="B1256" s="0" t="inlineStr">
        <is>
          <t xml:space="preserve">random_03</t>
        </is>
      </c>
      <c r="C1256" s="0" t="inlineStr">
        <is>
          <t xml:space="preserve">d20260923</t>
        </is>
      </c>
      <c r="D1256" s="0" t="inlineStr">
        <is>
          <t xml:space="preserve">BAC</t>
        </is>
      </c>
      <c r="E1256" s="0" t="inlineStr">
        <is>
          <t xml:space="preserve">financial_services</t>
        </is>
      </c>
      <c r="F1256" s="4">
        <v>55</v>
      </c>
    </row>
    <row r="1257">
      <c r="A1257" s="0" t="inlineStr">
        <is>
          <t xml:space="preserve">random_03_TXG</t>
        </is>
      </c>
      <c r="B1257" s="0" t="inlineStr">
        <is>
          <t xml:space="preserve">random_03</t>
        </is>
      </c>
      <c r="C1257" s="0" t="inlineStr">
        <is>
          <t xml:space="preserve">d20260923</t>
        </is>
      </c>
      <c r="D1257" s="0" t="inlineStr">
        <is>
          <t xml:space="preserve">TXG</t>
        </is>
      </c>
      <c r="E1257" s="0" t="inlineStr">
        <is>
          <t xml:space="preserve">healthcare</t>
        </is>
      </c>
      <c r="F1257" s="4">
        <v>56</v>
      </c>
    </row>
    <row r="1258">
      <c r="A1258" s="0" t="inlineStr">
        <is>
          <t xml:space="preserve">random_03_PPC</t>
        </is>
      </c>
      <c r="B1258" s="0" t="inlineStr">
        <is>
          <t xml:space="preserve">random_03</t>
        </is>
      </c>
      <c r="C1258" s="0" t="inlineStr">
        <is>
          <t xml:space="preserve">d20260923</t>
        </is>
      </c>
      <c r="D1258" s="0" t="inlineStr">
        <is>
          <t xml:space="preserve">PPC</t>
        </is>
      </c>
      <c r="E1258" s="0" t="inlineStr">
        <is>
          <t xml:space="preserve">consumer_defensive</t>
        </is>
      </c>
      <c r="F1258" s="4">
        <v>57</v>
      </c>
    </row>
    <row r="1259">
      <c r="A1259" s="0" t="inlineStr">
        <is>
          <t xml:space="preserve">random_03_NRIX</t>
        </is>
      </c>
      <c r="B1259" s="0" t="inlineStr">
        <is>
          <t xml:space="preserve">random_03</t>
        </is>
      </c>
      <c r="C1259" s="0" t="inlineStr">
        <is>
          <t xml:space="preserve">d20260923</t>
        </is>
      </c>
      <c r="D1259" s="0" t="inlineStr">
        <is>
          <t xml:space="preserve">NRIX</t>
        </is>
      </c>
      <c r="E1259" s="0" t="inlineStr">
        <is>
          <t xml:space="preserve">healthcare</t>
        </is>
      </c>
      <c r="F1259" s="4">
        <v>58</v>
      </c>
    </row>
    <row r="1260">
      <c r="A1260" s="0" t="inlineStr">
        <is>
          <t xml:space="preserve">random_03_ASTS</t>
        </is>
      </c>
      <c r="B1260" s="0" t="inlineStr">
        <is>
          <t xml:space="preserve">random_03</t>
        </is>
      </c>
      <c r="C1260" s="0" t="inlineStr">
        <is>
          <t xml:space="preserve">d20260923</t>
        </is>
      </c>
      <c r="D1260" s="0" t="inlineStr">
        <is>
          <t xml:space="preserve">ASTS</t>
        </is>
      </c>
      <c r="E1260" s="0" t="inlineStr">
        <is>
          <t xml:space="preserve">communication_services</t>
        </is>
      </c>
      <c r="F1260" s="4">
        <v>59</v>
      </c>
    </row>
    <row r="1261">
      <c r="A1261" s="0" t="inlineStr">
        <is>
          <t xml:space="preserve">random_03_RRR</t>
        </is>
      </c>
      <c r="B1261" s="0" t="inlineStr">
        <is>
          <t xml:space="preserve">random_03</t>
        </is>
      </c>
      <c r="C1261" s="0" t="inlineStr">
        <is>
          <t xml:space="preserve">d20260923</t>
        </is>
      </c>
      <c r="D1261" s="0" t="inlineStr">
        <is>
          <t xml:space="preserve">RRR</t>
        </is>
      </c>
      <c r="E1261" s="0" t="inlineStr">
        <is>
          <t xml:space="preserve">consumer_cyclical</t>
        </is>
      </c>
      <c r="F1261" s="4">
        <v>60</v>
      </c>
    </row>
    <row r="1262">
      <c r="A1262" s="0" t="inlineStr">
        <is>
          <t xml:space="preserve">random_03_BKD</t>
        </is>
      </c>
      <c r="B1262" s="0" t="inlineStr">
        <is>
          <t xml:space="preserve">random_03</t>
        </is>
      </c>
      <c r="C1262" s="0" t="inlineStr">
        <is>
          <t xml:space="preserve">d20260923</t>
        </is>
      </c>
      <c r="D1262" s="0" t="inlineStr">
        <is>
          <t xml:space="preserve">BKD</t>
        </is>
      </c>
      <c r="E1262" s="0" t="inlineStr">
        <is>
          <t xml:space="preserve">healthcare</t>
        </is>
      </c>
      <c r="F1262" s="4">
        <v>61</v>
      </c>
    </row>
    <row r="1263">
      <c r="A1263" s="0" t="inlineStr">
        <is>
          <t xml:space="preserve">random_03_AWI</t>
        </is>
      </c>
      <c r="B1263" s="0" t="inlineStr">
        <is>
          <t xml:space="preserve">random_03</t>
        </is>
      </c>
      <c r="C1263" s="0" t="inlineStr">
        <is>
          <t xml:space="preserve">d20260923</t>
        </is>
      </c>
      <c r="D1263" s="0" t="inlineStr">
        <is>
          <t xml:space="preserve">AWI</t>
        </is>
      </c>
      <c r="E1263" s="0" t="inlineStr">
        <is>
          <t xml:space="preserve">basic_materials</t>
        </is>
      </c>
      <c r="F1263" s="4">
        <v>62</v>
      </c>
    </row>
    <row r="1264">
      <c r="A1264" s="0" t="inlineStr">
        <is>
          <t xml:space="preserve">random_03_PB</t>
        </is>
      </c>
      <c r="B1264" s="0" t="inlineStr">
        <is>
          <t xml:space="preserve">random_03</t>
        </is>
      </c>
      <c r="C1264" s="0" t="inlineStr">
        <is>
          <t xml:space="preserve">d20260923</t>
        </is>
      </c>
      <c r="D1264" s="0" t="inlineStr">
        <is>
          <t xml:space="preserve">PB</t>
        </is>
      </c>
      <c r="E1264" s="0" t="inlineStr">
        <is>
          <t xml:space="preserve">financial_services</t>
        </is>
      </c>
      <c r="F1264" s="4">
        <v>63</v>
      </c>
    </row>
    <row r="1265">
      <c r="A1265" s="0" t="inlineStr">
        <is>
          <t xml:space="preserve">random_03_BMNR</t>
        </is>
      </c>
      <c r="B1265" s="0" t="inlineStr">
        <is>
          <t xml:space="preserve">random_03</t>
        </is>
      </c>
      <c r="C1265" s="0" t="inlineStr">
        <is>
          <t xml:space="preserve">d20260923</t>
        </is>
      </c>
      <c r="D1265" s="0" t="inlineStr">
        <is>
          <t xml:space="preserve">BMNR</t>
        </is>
      </c>
      <c r="E1265" s="0" t="inlineStr">
        <is>
          <t xml:space="preserve">financial_services</t>
        </is>
      </c>
      <c r="F1265" s="4">
        <v>64</v>
      </c>
    </row>
    <row r="1266">
      <c r="A1266" s="0" t="inlineStr">
        <is>
          <t xml:space="preserve">random_03_RCUS</t>
        </is>
      </c>
      <c r="B1266" s="0" t="inlineStr">
        <is>
          <t xml:space="preserve">random_03</t>
        </is>
      </c>
      <c r="C1266" s="0" t="inlineStr">
        <is>
          <t xml:space="preserve">d20260923</t>
        </is>
      </c>
      <c r="D1266" s="0" t="inlineStr">
        <is>
          <t xml:space="preserve">RCUS</t>
        </is>
      </c>
      <c r="E1266" s="0" t="inlineStr">
        <is>
          <t xml:space="preserve">healthcare</t>
        </is>
      </c>
      <c r="F1266" s="4">
        <v>65</v>
      </c>
    </row>
    <row r="1267">
      <c r="A1267" s="0" t="inlineStr">
        <is>
          <t xml:space="preserve">random_03_TDC</t>
        </is>
      </c>
      <c r="B1267" s="0" t="inlineStr">
        <is>
          <t xml:space="preserve">random_03</t>
        </is>
      </c>
      <c r="C1267" s="0" t="inlineStr">
        <is>
          <t xml:space="preserve">d20260923</t>
        </is>
      </c>
      <c r="D1267" s="0" t="inlineStr">
        <is>
          <t xml:space="preserve">TDC</t>
        </is>
      </c>
      <c r="E1267" s="0" t="inlineStr">
        <is>
          <t xml:space="preserve">technology</t>
        </is>
      </c>
      <c r="F1267" s="4">
        <v>66</v>
      </c>
    </row>
    <row r="1268">
      <c r="A1268" s="0" t="inlineStr">
        <is>
          <t xml:space="preserve">random_03_COF</t>
        </is>
      </c>
      <c r="B1268" s="0" t="inlineStr">
        <is>
          <t xml:space="preserve">random_03</t>
        </is>
      </c>
      <c r="C1268" s="0" t="inlineStr">
        <is>
          <t xml:space="preserve">d20260923</t>
        </is>
      </c>
      <c r="D1268" s="0" t="inlineStr">
        <is>
          <t xml:space="preserve">COF</t>
        </is>
      </c>
      <c r="E1268" s="0" t="inlineStr">
        <is>
          <t xml:space="preserve">financial_services</t>
        </is>
      </c>
      <c r="F1268" s="4">
        <v>67</v>
      </c>
    </row>
    <row r="1269">
      <c r="A1269" s="0" t="inlineStr">
        <is>
          <t xml:space="preserve">random_03_NIQ</t>
        </is>
      </c>
      <c r="B1269" s="0" t="inlineStr">
        <is>
          <t xml:space="preserve">random_03</t>
        </is>
      </c>
      <c r="C1269" s="0" t="inlineStr">
        <is>
          <t xml:space="preserve">d20260923</t>
        </is>
      </c>
      <c r="D1269" s="0" t="inlineStr">
        <is>
          <t xml:space="preserve">NIQ</t>
        </is>
      </c>
      <c r="E1269" s="0" t="inlineStr">
        <is>
          <t xml:space="preserve">technology</t>
        </is>
      </c>
      <c r="F1269" s="4">
        <v>68</v>
      </c>
    </row>
    <row r="1270">
      <c r="A1270" s="0" t="inlineStr">
        <is>
          <t xml:space="preserve">random_03_CVI</t>
        </is>
      </c>
      <c r="B1270" s="0" t="inlineStr">
        <is>
          <t xml:space="preserve">random_03</t>
        </is>
      </c>
      <c r="C1270" s="0" t="inlineStr">
        <is>
          <t xml:space="preserve">d20260923</t>
        </is>
      </c>
      <c r="D1270" s="0" t="inlineStr">
        <is>
          <t xml:space="preserve">CVI</t>
        </is>
      </c>
      <c r="E1270" s="0" t="inlineStr">
        <is>
          <t xml:space="preserve">energy</t>
        </is>
      </c>
      <c r="F1270" s="4">
        <v>69</v>
      </c>
    </row>
    <row r="1271">
      <c r="A1271" s="0" t="inlineStr">
        <is>
          <t xml:space="preserve">random_03_SXT</t>
        </is>
      </c>
      <c r="B1271" s="0" t="inlineStr">
        <is>
          <t xml:space="preserve">random_03</t>
        </is>
      </c>
      <c r="C1271" s="0" t="inlineStr">
        <is>
          <t xml:space="preserve">d20260923</t>
        </is>
      </c>
      <c r="D1271" s="0" t="inlineStr">
        <is>
          <t xml:space="preserve">SXT</t>
        </is>
      </c>
      <c r="E1271" s="0" t="inlineStr">
        <is>
          <t xml:space="preserve">basic_materials</t>
        </is>
      </c>
      <c r="F1271" s="4">
        <v>70</v>
      </c>
    </row>
    <row r="1272">
      <c r="A1272" s="0" t="inlineStr">
        <is>
          <t xml:space="preserve">random_03_REGN</t>
        </is>
      </c>
      <c r="B1272" s="0" t="inlineStr">
        <is>
          <t xml:space="preserve">random_03</t>
        </is>
      </c>
      <c r="C1272" s="0" t="inlineStr">
        <is>
          <t xml:space="preserve">d20260923</t>
        </is>
      </c>
      <c r="D1272" s="0" t="inlineStr">
        <is>
          <t xml:space="preserve">REGN</t>
        </is>
      </c>
      <c r="E1272" s="0" t="inlineStr">
        <is>
          <t xml:space="preserve">healthcare</t>
        </is>
      </c>
      <c r="F1272" s="4">
        <v>71</v>
      </c>
    </row>
    <row r="1273">
      <c r="A1273" s="0" t="inlineStr">
        <is>
          <t xml:space="preserve">random_03_CAVA</t>
        </is>
      </c>
      <c r="B1273" s="0" t="inlineStr">
        <is>
          <t xml:space="preserve">random_03</t>
        </is>
      </c>
      <c r="C1273" s="0" t="inlineStr">
        <is>
          <t xml:space="preserve">d20260923</t>
        </is>
      </c>
      <c r="D1273" s="0" t="inlineStr">
        <is>
          <t xml:space="preserve">CAVA</t>
        </is>
      </c>
      <c r="E1273" s="0" t="inlineStr">
        <is>
          <t xml:space="preserve">consumer_cyclical</t>
        </is>
      </c>
      <c r="F1273" s="4">
        <v>72</v>
      </c>
    </row>
    <row r="1274">
      <c r="A1274" s="0" t="inlineStr">
        <is>
          <t xml:space="preserve">random_03_HIW</t>
        </is>
      </c>
      <c r="B1274" s="0" t="inlineStr">
        <is>
          <t xml:space="preserve">random_03</t>
        </is>
      </c>
      <c r="C1274" s="0" t="inlineStr">
        <is>
          <t xml:space="preserve">d20260923</t>
        </is>
      </c>
      <c r="D1274" s="0" t="inlineStr">
        <is>
          <t xml:space="preserve">HIW</t>
        </is>
      </c>
      <c r="E1274" s="0" t="inlineStr">
        <is>
          <t xml:space="preserve">real_estate</t>
        </is>
      </c>
      <c r="F1274" s="4">
        <v>73</v>
      </c>
    </row>
    <row r="1275">
      <c r="A1275" s="0" t="inlineStr">
        <is>
          <t xml:space="preserve">random_03_EXP</t>
        </is>
      </c>
      <c r="B1275" s="0" t="inlineStr">
        <is>
          <t xml:space="preserve">random_03</t>
        </is>
      </c>
      <c r="C1275" s="0" t="inlineStr">
        <is>
          <t xml:space="preserve">d20260923</t>
        </is>
      </c>
      <c r="D1275" s="0" t="inlineStr">
        <is>
          <t xml:space="preserve">EXP</t>
        </is>
      </c>
      <c r="E1275" s="0" t="inlineStr">
        <is>
          <t xml:space="preserve">basic_materials</t>
        </is>
      </c>
      <c r="F1275" s="4">
        <v>74</v>
      </c>
    </row>
    <row r="1276">
      <c r="A1276" s="0" t="inlineStr">
        <is>
          <t xml:space="preserve">random_03_XPO</t>
        </is>
      </c>
      <c r="B1276" s="0" t="inlineStr">
        <is>
          <t xml:space="preserve">random_03</t>
        </is>
      </c>
      <c r="C1276" s="0" t="inlineStr">
        <is>
          <t xml:space="preserve">d20260923</t>
        </is>
      </c>
      <c r="D1276" s="0" t="inlineStr">
        <is>
          <t xml:space="preserve">XPO</t>
        </is>
      </c>
      <c r="E1276" s="0" t="inlineStr">
        <is>
          <t xml:space="preserve">industrials</t>
        </is>
      </c>
      <c r="F1276" s="4">
        <v>75</v>
      </c>
    </row>
    <row r="1277">
      <c r="A1277" s="0" t="inlineStr">
        <is>
          <t xml:space="preserve">random_03_SCCO</t>
        </is>
      </c>
      <c r="B1277" s="0" t="inlineStr">
        <is>
          <t xml:space="preserve">random_03</t>
        </is>
      </c>
      <c r="C1277" s="0" t="inlineStr">
        <is>
          <t xml:space="preserve">d20260923</t>
        </is>
      </c>
      <c r="D1277" s="0" t="inlineStr">
        <is>
          <t xml:space="preserve">SCCO</t>
        </is>
      </c>
      <c r="E1277" s="0" t="inlineStr">
        <is>
          <t xml:space="preserve">basic_materials</t>
        </is>
      </c>
      <c r="F1277" s="4">
        <v>76</v>
      </c>
    </row>
    <row r="1278">
      <c r="A1278" s="0" t="inlineStr">
        <is>
          <t xml:space="preserve">random_03_NLY</t>
        </is>
      </c>
      <c r="B1278" s="0" t="inlineStr">
        <is>
          <t xml:space="preserve">random_03</t>
        </is>
      </c>
      <c r="C1278" s="0" t="inlineStr">
        <is>
          <t xml:space="preserve">d20260923</t>
        </is>
      </c>
      <c r="D1278" s="0" t="inlineStr">
        <is>
          <t xml:space="preserve">NLY</t>
        </is>
      </c>
      <c r="E1278" s="0" t="inlineStr">
        <is>
          <t xml:space="preserve">real_estate</t>
        </is>
      </c>
      <c r="F1278" s="4">
        <v>77</v>
      </c>
    </row>
    <row r="1279">
      <c r="A1279" s="0" t="inlineStr">
        <is>
          <t xml:space="preserve">random_03_ALB</t>
        </is>
      </c>
      <c r="B1279" s="0" t="inlineStr">
        <is>
          <t xml:space="preserve">random_03</t>
        </is>
      </c>
      <c r="C1279" s="0" t="inlineStr">
        <is>
          <t xml:space="preserve">d20260923</t>
        </is>
      </c>
      <c r="D1279" s="0" t="inlineStr">
        <is>
          <t xml:space="preserve">ALB</t>
        </is>
      </c>
      <c r="E1279" s="0" t="inlineStr">
        <is>
          <t xml:space="preserve">basic_materials</t>
        </is>
      </c>
      <c r="F1279" s="4">
        <v>78</v>
      </c>
    </row>
    <row r="1280">
      <c r="A1280" s="0" t="inlineStr">
        <is>
          <t xml:space="preserve">random_03_FCPT</t>
        </is>
      </c>
      <c r="B1280" s="0" t="inlineStr">
        <is>
          <t xml:space="preserve">random_03</t>
        </is>
      </c>
      <c r="C1280" s="0" t="inlineStr">
        <is>
          <t xml:space="preserve">d20260923</t>
        </is>
      </c>
      <c r="D1280" s="0" t="inlineStr">
        <is>
          <t xml:space="preserve">FCPT</t>
        </is>
      </c>
      <c r="E1280" s="0" t="inlineStr">
        <is>
          <t xml:space="preserve">real_estate</t>
        </is>
      </c>
      <c r="F1280" s="4">
        <v>79</v>
      </c>
    </row>
    <row r="1281">
      <c r="A1281" s="0" t="inlineStr">
        <is>
          <t xml:space="preserve">random_03_HTO</t>
        </is>
      </c>
      <c r="B1281" s="0" t="inlineStr">
        <is>
          <t xml:space="preserve">random_03</t>
        </is>
      </c>
      <c r="C1281" s="0" t="inlineStr">
        <is>
          <t xml:space="preserve">d20260923</t>
        </is>
      </c>
      <c r="D1281" s="0" t="inlineStr">
        <is>
          <t xml:space="preserve">HTO</t>
        </is>
      </c>
      <c r="E1281" s="0" t="inlineStr">
        <is>
          <t xml:space="preserve">utilities</t>
        </is>
      </c>
      <c r="F1281" s="4">
        <v>80</v>
      </c>
    </row>
    <row r="1282">
      <c r="A1282" s="0" t="inlineStr">
        <is>
          <t xml:space="preserve">random_03_VLTO</t>
        </is>
      </c>
      <c r="B1282" s="0" t="inlineStr">
        <is>
          <t xml:space="preserve">random_03</t>
        </is>
      </c>
      <c r="C1282" s="0" t="inlineStr">
        <is>
          <t xml:space="preserve">d20260923</t>
        </is>
      </c>
      <c r="D1282" s="0" t="inlineStr">
        <is>
          <t xml:space="preserve">VLTO</t>
        </is>
      </c>
      <c r="E1282" s="0" t="inlineStr">
        <is>
          <t xml:space="preserve">industrials</t>
        </is>
      </c>
      <c r="F1282" s="4">
        <v>81</v>
      </c>
    </row>
    <row r="1283">
      <c r="A1283" s="0" t="inlineStr">
        <is>
          <t xml:space="preserve">random_03_SATA</t>
        </is>
      </c>
      <c r="B1283" s="0" t="inlineStr">
        <is>
          <t xml:space="preserve">random_03</t>
        </is>
      </c>
      <c r="C1283" s="0" t="inlineStr">
        <is>
          <t xml:space="preserve">d20260923</t>
        </is>
      </c>
      <c r="D1283" s="0" t="inlineStr">
        <is>
          <t xml:space="preserve">SATA</t>
        </is>
      </c>
      <c r="E1283" s="0" t="inlineStr">
        <is>
          <t xml:space="preserve">financial_services</t>
        </is>
      </c>
      <c r="F1283" s="4">
        <v>82</v>
      </c>
    </row>
    <row r="1284">
      <c r="A1284" s="0" t="inlineStr">
        <is>
          <t xml:space="preserve">random_03_FFBC</t>
        </is>
      </c>
      <c r="B1284" s="0" t="inlineStr">
        <is>
          <t xml:space="preserve">random_03</t>
        </is>
      </c>
      <c r="C1284" s="0" t="inlineStr">
        <is>
          <t xml:space="preserve">d20260923</t>
        </is>
      </c>
      <c r="D1284" s="0" t="inlineStr">
        <is>
          <t xml:space="preserve">FFBC</t>
        </is>
      </c>
      <c r="E1284" s="0" t="inlineStr">
        <is>
          <t xml:space="preserve">financial_services</t>
        </is>
      </c>
      <c r="F1284" s="4">
        <v>83</v>
      </c>
    </row>
    <row r="1285">
      <c r="A1285" s="0" t="inlineStr">
        <is>
          <t xml:space="preserve">random_03_JLL</t>
        </is>
      </c>
      <c r="B1285" s="0" t="inlineStr">
        <is>
          <t xml:space="preserve">random_03</t>
        </is>
      </c>
      <c r="C1285" s="0" t="inlineStr">
        <is>
          <t xml:space="preserve">d20260923</t>
        </is>
      </c>
      <c r="D1285" s="0" t="inlineStr">
        <is>
          <t xml:space="preserve">JLL</t>
        </is>
      </c>
      <c r="E1285" s="0" t="inlineStr">
        <is>
          <t xml:space="preserve">real_estate</t>
        </is>
      </c>
      <c r="F1285" s="4">
        <v>84</v>
      </c>
    </row>
    <row r="1286">
      <c r="A1286" s="0" t="inlineStr">
        <is>
          <t xml:space="preserve">random_03_GS</t>
        </is>
      </c>
      <c r="B1286" s="0" t="inlineStr">
        <is>
          <t xml:space="preserve">random_03</t>
        </is>
      </c>
      <c r="C1286" s="0" t="inlineStr">
        <is>
          <t xml:space="preserve">d20260923</t>
        </is>
      </c>
      <c r="D1286" s="0" t="inlineStr">
        <is>
          <t xml:space="preserve">GS</t>
        </is>
      </c>
      <c r="E1286" s="0" t="inlineStr">
        <is>
          <t xml:space="preserve">financial_services</t>
        </is>
      </c>
      <c r="F1286" s="4">
        <v>85</v>
      </c>
    </row>
    <row r="1287">
      <c r="A1287" s="0" t="inlineStr">
        <is>
          <t xml:space="preserve">random_03_CMS</t>
        </is>
      </c>
      <c r="B1287" s="0" t="inlineStr">
        <is>
          <t xml:space="preserve">random_03</t>
        </is>
      </c>
      <c r="C1287" s="0" t="inlineStr">
        <is>
          <t xml:space="preserve">d20260923</t>
        </is>
      </c>
      <c r="D1287" s="0" t="inlineStr">
        <is>
          <t xml:space="preserve">CMS</t>
        </is>
      </c>
      <c r="E1287" s="0" t="inlineStr">
        <is>
          <t xml:space="preserve">utilities</t>
        </is>
      </c>
      <c r="F1287" s="4">
        <v>86</v>
      </c>
    </row>
    <row r="1288">
      <c r="A1288" s="0" t="inlineStr">
        <is>
          <t xml:space="preserve">random_03_LYFT</t>
        </is>
      </c>
      <c r="B1288" s="0" t="inlineStr">
        <is>
          <t xml:space="preserve">random_03</t>
        </is>
      </c>
      <c r="C1288" s="0" t="inlineStr">
        <is>
          <t xml:space="preserve">d20260923</t>
        </is>
      </c>
      <c r="D1288" s="0" t="inlineStr">
        <is>
          <t xml:space="preserve">LYFT</t>
        </is>
      </c>
      <c r="E1288" s="0" t="inlineStr">
        <is>
          <t xml:space="preserve">technology</t>
        </is>
      </c>
      <c r="F1288" s="4">
        <v>87</v>
      </c>
    </row>
    <row r="1289">
      <c r="A1289" s="0" t="inlineStr">
        <is>
          <t xml:space="preserve">random_03_TPC</t>
        </is>
      </c>
      <c r="B1289" s="0" t="inlineStr">
        <is>
          <t xml:space="preserve">random_03</t>
        </is>
      </c>
      <c r="C1289" s="0" t="inlineStr">
        <is>
          <t xml:space="preserve">d20260923</t>
        </is>
      </c>
      <c r="D1289" s="0" t="inlineStr">
        <is>
          <t xml:space="preserve">TPC</t>
        </is>
      </c>
      <c r="E1289" s="0" t="inlineStr">
        <is>
          <t xml:space="preserve">industrials</t>
        </is>
      </c>
      <c r="F1289" s="4">
        <v>88</v>
      </c>
    </row>
    <row r="1290">
      <c r="A1290" s="0" t="inlineStr">
        <is>
          <t xml:space="preserve">random_03_ACA</t>
        </is>
      </c>
      <c r="B1290" s="0" t="inlineStr">
        <is>
          <t xml:space="preserve">random_03</t>
        </is>
      </c>
      <c r="C1290" s="0" t="inlineStr">
        <is>
          <t xml:space="preserve">d20260923</t>
        </is>
      </c>
      <c r="D1290" s="0" t="inlineStr">
        <is>
          <t xml:space="preserve">ACA</t>
        </is>
      </c>
      <c r="E1290" s="0" t="inlineStr">
        <is>
          <t xml:space="preserve">basic_materials</t>
        </is>
      </c>
      <c r="F1290" s="4">
        <v>89</v>
      </c>
    </row>
    <row r="1291">
      <c r="A1291" s="0" t="inlineStr">
        <is>
          <t xml:space="preserve">random_03_INDB</t>
        </is>
      </c>
      <c r="B1291" s="0" t="inlineStr">
        <is>
          <t xml:space="preserve">random_03</t>
        </is>
      </c>
      <c r="C1291" s="0" t="inlineStr">
        <is>
          <t xml:space="preserve">d20260923</t>
        </is>
      </c>
      <c r="D1291" s="0" t="inlineStr">
        <is>
          <t xml:space="preserve">INDB</t>
        </is>
      </c>
      <c r="E1291" s="0" t="inlineStr">
        <is>
          <t xml:space="preserve">financial_services</t>
        </is>
      </c>
      <c r="F1291" s="4">
        <v>90</v>
      </c>
    </row>
    <row r="1292">
      <c r="A1292" s="0" t="inlineStr">
        <is>
          <t xml:space="preserve">random_03_FIG</t>
        </is>
      </c>
      <c r="B1292" s="0" t="inlineStr">
        <is>
          <t xml:space="preserve">random_03</t>
        </is>
      </c>
      <c r="C1292" s="0" t="inlineStr">
        <is>
          <t xml:space="preserve">d20260923</t>
        </is>
      </c>
      <c r="D1292" s="0" t="inlineStr">
        <is>
          <t xml:space="preserve">FIG</t>
        </is>
      </c>
      <c r="E1292" s="0" t="inlineStr">
        <is>
          <t xml:space="preserve">technology</t>
        </is>
      </c>
      <c r="F1292" s="4">
        <v>91</v>
      </c>
    </row>
    <row r="1293">
      <c r="A1293" s="0" t="inlineStr">
        <is>
          <t xml:space="preserve">random_03_SYNA</t>
        </is>
      </c>
      <c r="B1293" s="0" t="inlineStr">
        <is>
          <t xml:space="preserve">random_03</t>
        </is>
      </c>
      <c r="C1293" s="0" t="inlineStr">
        <is>
          <t xml:space="preserve">d20260923</t>
        </is>
      </c>
      <c r="D1293" s="0" t="inlineStr">
        <is>
          <t xml:space="preserve">SYNA</t>
        </is>
      </c>
      <c r="E1293" s="0" t="inlineStr">
        <is>
          <t xml:space="preserve">technology</t>
        </is>
      </c>
      <c r="F1293" s="4">
        <v>92</v>
      </c>
    </row>
    <row r="1294">
      <c r="A1294" s="0" t="inlineStr">
        <is>
          <t xml:space="preserve">random_03_RH</t>
        </is>
      </c>
      <c r="B1294" s="0" t="inlineStr">
        <is>
          <t xml:space="preserve">random_03</t>
        </is>
      </c>
      <c r="C1294" s="0" t="inlineStr">
        <is>
          <t xml:space="preserve">d20260923</t>
        </is>
      </c>
      <c r="D1294" s="0" t="inlineStr">
        <is>
          <t xml:space="preserve">RH</t>
        </is>
      </c>
      <c r="E1294" s="0" t="inlineStr">
        <is>
          <t xml:space="preserve">consumer_cyclical</t>
        </is>
      </c>
      <c r="F1294" s="4">
        <v>93</v>
      </c>
    </row>
    <row r="1295">
      <c r="A1295" s="0" t="inlineStr">
        <is>
          <t xml:space="preserve">random_03_PCAR</t>
        </is>
      </c>
      <c r="B1295" s="0" t="inlineStr">
        <is>
          <t xml:space="preserve">random_03</t>
        </is>
      </c>
      <c r="C1295" s="0" t="inlineStr">
        <is>
          <t xml:space="preserve">d20260923</t>
        </is>
      </c>
      <c r="D1295" s="0" t="inlineStr">
        <is>
          <t xml:space="preserve">PCAR</t>
        </is>
      </c>
      <c r="E1295" s="0" t="inlineStr">
        <is>
          <t xml:space="preserve">industrials</t>
        </is>
      </c>
      <c r="F1295" s="4">
        <v>94</v>
      </c>
    </row>
    <row r="1296">
      <c r="A1296" s="0" t="inlineStr">
        <is>
          <t xml:space="preserve">random_03_STRC</t>
        </is>
      </c>
      <c r="B1296" s="0" t="inlineStr">
        <is>
          <t xml:space="preserve">random_03</t>
        </is>
      </c>
      <c r="C1296" s="0" t="inlineStr">
        <is>
          <t xml:space="preserve">d20260923</t>
        </is>
      </c>
      <c r="D1296" s="0" t="inlineStr">
        <is>
          <t xml:space="preserve">STRC</t>
        </is>
      </c>
      <c r="E1296" s="0" t="inlineStr">
        <is>
          <t xml:space="preserve">technology</t>
        </is>
      </c>
      <c r="F1296" s="4">
        <v>95</v>
      </c>
    </row>
    <row r="1297">
      <c r="A1297" s="0" t="inlineStr">
        <is>
          <t xml:space="preserve">random_03_BRO</t>
        </is>
      </c>
      <c r="B1297" s="0" t="inlineStr">
        <is>
          <t xml:space="preserve">random_03</t>
        </is>
      </c>
      <c r="C1297" s="0" t="inlineStr">
        <is>
          <t xml:space="preserve">d20260923</t>
        </is>
      </c>
      <c r="D1297" s="0" t="inlineStr">
        <is>
          <t xml:space="preserve">BRO</t>
        </is>
      </c>
      <c r="E1297" s="0" t="inlineStr">
        <is>
          <t xml:space="preserve">financial_services</t>
        </is>
      </c>
      <c r="F1297" s="4">
        <v>96</v>
      </c>
    </row>
    <row r="1298">
      <c r="A1298" s="0" t="inlineStr">
        <is>
          <t xml:space="preserve">random_03_WM</t>
        </is>
      </c>
      <c r="B1298" s="0" t="inlineStr">
        <is>
          <t xml:space="preserve">random_03</t>
        </is>
      </c>
      <c r="C1298" s="0" t="inlineStr">
        <is>
          <t xml:space="preserve">d20260923</t>
        </is>
      </c>
      <c r="D1298" s="0" t="inlineStr">
        <is>
          <t xml:space="preserve">WM</t>
        </is>
      </c>
      <c r="E1298" s="0" t="inlineStr">
        <is>
          <t xml:space="preserve">industrials</t>
        </is>
      </c>
      <c r="F1298" s="4">
        <v>97</v>
      </c>
    </row>
    <row r="1299">
      <c r="A1299" s="0" t="inlineStr">
        <is>
          <t xml:space="preserve">random_03_FCN</t>
        </is>
      </c>
      <c r="B1299" s="0" t="inlineStr">
        <is>
          <t xml:space="preserve">random_03</t>
        </is>
      </c>
      <c r="C1299" s="0" t="inlineStr">
        <is>
          <t xml:space="preserve">d20260923</t>
        </is>
      </c>
      <c r="D1299" s="0" t="inlineStr">
        <is>
          <t xml:space="preserve">FCN</t>
        </is>
      </c>
      <c r="E1299" s="0" t="inlineStr">
        <is>
          <t xml:space="preserve">industrials</t>
        </is>
      </c>
      <c r="F1299" s="4">
        <v>98</v>
      </c>
    </row>
    <row r="1300">
      <c r="A1300" s="0" t="inlineStr">
        <is>
          <t xml:space="preserve">random_03_VG</t>
        </is>
      </c>
      <c r="B1300" s="0" t="inlineStr">
        <is>
          <t xml:space="preserve">random_03</t>
        </is>
      </c>
      <c r="C1300" s="0" t="inlineStr">
        <is>
          <t xml:space="preserve">d20260923</t>
        </is>
      </c>
      <c r="D1300" s="0" t="inlineStr">
        <is>
          <t xml:space="preserve">VG</t>
        </is>
      </c>
      <c r="E1300" s="0" t="inlineStr">
        <is>
          <t xml:space="preserve">energy</t>
        </is>
      </c>
      <c r="F1300" s="4">
        <v>99</v>
      </c>
    </row>
    <row r="1301">
      <c r="A1301" s="0" t="inlineStr">
        <is>
          <t xml:space="preserve">random_03_LOPE</t>
        </is>
      </c>
      <c r="B1301" s="0" t="inlineStr">
        <is>
          <t xml:space="preserve">random_03</t>
        </is>
      </c>
      <c r="C1301" s="0" t="inlineStr">
        <is>
          <t xml:space="preserve">d20260923</t>
        </is>
      </c>
      <c r="D1301" s="0" t="inlineStr">
        <is>
          <t xml:space="preserve">LOPE</t>
        </is>
      </c>
      <c r="E1301" s="0" t="inlineStr">
        <is>
          <t xml:space="preserve">consumer_defensive</t>
        </is>
      </c>
      <c r="F1301" s="4">
        <v>100</v>
      </c>
    </row>
    <row r="1302">
      <c r="A1302" s="0" t="inlineStr">
        <is>
          <t xml:space="preserve">random_04_KMI</t>
        </is>
      </c>
      <c r="B1302" s="0" t="inlineStr">
        <is>
          <t xml:space="preserve">random_04</t>
        </is>
      </c>
      <c r="C1302" s="0" t="inlineStr">
        <is>
          <t xml:space="preserve">d20260923</t>
        </is>
      </c>
      <c r="D1302" s="0" t="inlineStr">
        <is>
          <t xml:space="preserve">KMI</t>
        </is>
      </c>
      <c r="E1302" s="0" t="inlineStr">
        <is>
          <t xml:space="preserve">energy</t>
        </is>
      </c>
      <c r="F1302" s="4">
        <v>1</v>
      </c>
    </row>
    <row r="1303">
      <c r="A1303" s="0" t="inlineStr">
        <is>
          <t xml:space="preserve">random_04_CINF</t>
        </is>
      </c>
      <c r="B1303" s="0" t="inlineStr">
        <is>
          <t xml:space="preserve">random_04</t>
        </is>
      </c>
      <c r="C1303" s="0" t="inlineStr">
        <is>
          <t xml:space="preserve">d20260923</t>
        </is>
      </c>
      <c r="D1303" s="0" t="inlineStr">
        <is>
          <t xml:space="preserve">CINF</t>
        </is>
      </c>
      <c r="E1303" s="0" t="inlineStr">
        <is>
          <t xml:space="preserve">financial_services</t>
        </is>
      </c>
      <c r="F1303" s="4">
        <v>2</v>
      </c>
    </row>
    <row r="1304">
      <c r="A1304" s="0" t="inlineStr">
        <is>
          <t xml:space="preserve">random_04_AN</t>
        </is>
      </c>
      <c r="B1304" s="0" t="inlineStr">
        <is>
          <t xml:space="preserve">random_04</t>
        </is>
      </c>
      <c r="C1304" s="0" t="inlineStr">
        <is>
          <t xml:space="preserve">d20260923</t>
        </is>
      </c>
      <c r="D1304" s="0" t="inlineStr">
        <is>
          <t xml:space="preserve">AN</t>
        </is>
      </c>
      <c r="E1304" s="0" t="inlineStr">
        <is>
          <t xml:space="preserve">consumer_cyclical</t>
        </is>
      </c>
      <c r="F1304" s="4">
        <v>3</v>
      </c>
    </row>
    <row r="1305">
      <c r="A1305" s="0" t="inlineStr">
        <is>
          <t xml:space="preserve">random_04_TALO</t>
        </is>
      </c>
      <c r="B1305" s="0" t="inlineStr">
        <is>
          <t xml:space="preserve">random_04</t>
        </is>
      </c>
      <c r="C1305" s="0" t="inlineStr">
        <is>
          <t xml:space="preserve">d20260923</t>
        </is>
      </c>
      <c r="D1305" s="0" t="inlineStr">
        <is>
          <t xml:space="preserve">TALO</t>
        </is>
      </c>
      <c r="E1305" s="0" t="inlineStr">
        <is>
          <t xml:space="preserve">energy</t>
        </is>
      </c>
      <c r="F1305" s="4">
        <v>4</v>
      </c>
    </row>
    <row r="1306">
      <c r="A1306" s="0" t="inlineStr">
        <is>
          <t xml:space="preserve">random_04_MGM</t>
        </is>
      </c>
      <c r="B1306" s="0" t="inlineStr">
        <is>
          <t xml:space="preserve">random_04</t>
        </is>
      </c>
      <c r="C1306" s="0" t="inlineStr">
        <is>
          <t xml:space="preserve">d20260923</t>
        </is>
      </c>
      <c r="D1306" s="0" t="inlineStr">
        <is>
          <t xml:space="preserve">MGM</t>
        </is>
      </c>
      <c r="E1306" s="0" t="inlineStr">
        <is>
          <t xml:space="preserve">consumer_cyclical</t>
        </is>
      </c>
      <c r="F1306" s="4">
        <v>5</v>
      </c>
    </row>
    <row r="1307">
      <c r="A1307" s="0" t="inlineStr">
        <is>
          <t xml:space="preserve">random_04_SPCX</t>
        </is>
      </c>
      <c r="B1307" s="0" t="inlineStr">
        <is>
          <t xml:space="preserve">random_04</t>
        </is>
      </c>
      <c r="C1307" s="0" t="inlineStr">
        <is>
          <t xml:space="preserve">d20260923</t>
        </is>
      </c>
      <c r="D1307" s="0" t="inlineStr">
        <is>
          <t xml:space="preserve">SPCX</t>
        </is>
      </c>
      <c r="E1307" s="0" t="inlineStr">
        <is>
          <t xml:space="preserve">industrials</t>
        </is>
      </c>
      <c r="F1307" s="4">
        <v>6</v>
      </c>
    </row>
    <row r="1308">
      <c r="A1308" s="0" t="inlineStr">
        <is>
          <t xml:space="preserve">random_04_VICR</t>
        </is>
      </c>
      <c r="B1308" s="0" t="inlineStr">
        <is>
          <t xml:space="preserve">random_04</t>
        </is>
      </c>
      <c r="C1308" s="0" t="inlineStr">
        <is>
          <t xml:space="preserve">d20260923</t>
        </is>
      </c>
      <c r="D1308" s="0" t="inlineStr">
        <is>
          <t xml:space="preserve">VICR</t>
        </is>
      </c>
      <c r="E1308" s="0" t="inlineStr">
        <is>
          <t xml:space="preserve">technology</t>
        </is>
      </c>
      <c r="F1308" s="4">
        <v>7</v>
      </c>
    </row>
    <row r="1309">
      <c r="A1309" s="0" t="inlineStr">
        <is>
          <t xml:space="preserve">random_04_CPB</t>
        </is>
      </c>
      <c r="B1309" s="0" t="inlineStr">
        <is>
          <t xml:space="preserve">random_04</t>
        </is>
      </c>
      <c r="C1309" s="0" t="inlineStr">
        <is>
          <t xml:space="preserve">d20260923</t>
        </is>
      </c>
      <c r="D1309" s="0" t="inlineStr">
        <is>
          <t xml:space="preserve">CPB</t>
        </is>
      </c>
      <c r="E1309" s="0" t="inlineStr">
        <is>
          <t xml:space="preserve">consumer_defensive</t>
        </is>
      </c>
      <c r="F1309" s="4">
        <v>8</v>
      </c>
    </row>
    <row r="1310">
      <c r="A1310" s="0" t="inlineStr">
        <is>
          <t xml:space="preserve">random_04_VRSK</t>
        </is>
      </c>
      <c r="B1310" s="0" t="inlineStr">
        <is>
          <t xml:space="preserve">random_04</t>
        </is>
      </c>
      <c r="C1310" s="0" t="inlineStr">
        <is>
          <t xml:space="preserve">d20260923</t>
        </is>
      </c>
      <c r="D1310" s="0" t="inlineStr">
        <is>
          <t xml:space="preserve">VRSK</t>
        </is>
      </c>
      <c r="E1310" s="0" t="inlineStr">
        <is>
          <t xml:space="preserve">technology</t>
        </is>
      </c>
      <c r="F1310" s="4">
        <v>9</v>
      </c>
    </row>
    <row r="1311">
      <c r="A1311" s="0" t="inlineStr">
        <is>
          <t xml:space="preserve">random_04_BOX</t>
        </is>
      </c>
      <c r="B1311" s="0" t="inlineStr">
        <is>
          <t xml:space="preserve">random_04</t>
        </is>
      </c>
      <c r="C1311" s="0" t="inlineStr">
        <is>
          <t xml:space="preserve">d20260923</t>
        </is>
      </c>
      <c r="D1311" s="0" t="inlineStr">
        <is>
          <t xml:space="preserve">BOX</t>
        </is>
      </c>
      <c r="E1311" s="0" t="inlineStr">
        <is>
          <t xml:space="preserve">technology</t>
        </is>
      </c>
      <c r="F1311" s="4">
        <v>10</v>
      </c>
    </row>
    <row r="1312">
      <c r="A1312" s="0" t="inlineStr">
        <is>
          <t xml:space="preserve">random_04_GTLB</t>
        </is>
      </c>
      <c r="B1312" s="0" t="inlineStr">
        <is>
          <t xml:space="preserve">random_04</t>
        </is>
      </c>
      <c r="C1312" s="0" t="inlineStr">
        <is>
          <t xml:space="preserve">d20260923</t>
        </is>
      </c>
      <c r="D1312" s="0" t="inlineStr">
        <is>
          <t xml:space="preserve">GTLB</t>
        </is>
      </c>
      <c r="E1312" s="0" t="inlineStr">
        <is>
          <t xml:space="preserve">technology</t>
        </is>
      </c>
      <c r="F1312" s="4">
        <v>11</v>
      </c>
    </row>
    <row r="1313">
      <c r="A1313" s="0" t="inlineStr">
        <is>
          <t xml:space="preserve">random_04_NN</t>
        </is>
      </c>
      <c r="B1313" s="0" t="inlineStr">
        <is>
          <t xml:space="preserve">random_04</t>
        </is>
      </c>
      <c r="C1313" s="0" t="inlineStr">
        <is>
          <t xml:space="preserve">d20260923</t>
        </is>
      </c>
      <c r="D1313" s="0" t="inlineStr">
        <is>
          <t xml:space="preserve">NN</t>
        </is>
      </c>
      <c r="E1313" s="0" t="inlineStr">
        <is>
          <t xml:space="preserve">technology</t>
        </is>
      </c>
      <c r="F1313" s="4">
        <v>12</v>
      </c>
    </row>
    <row r="1314">
      <c r="A1314" s="0" t="inlineStr">
        <is>
          <t xml:space="preserve">random_04_VZ</t>
        </is>
      </c>
      <c r="B1314" s="0" t="inlineStr">
        <is>
          <t xml:space="preserve">random_04</t>
        </is>
      </c>
      <c r="C1314" s="0" t="inlineStr">
        <is>
          <t xml:space="preserve">d20260923</t>
        </is>
      </c>
      <c r="D1314" s="0" t="inlineStr">
        <is>
          <t xml:space="preserve">VZ</t>
        </is>
      </c>
      <c r="E1314" s="0" t="inlineStr">
        <is>
          <t xml:space="preserve">communication_services</t>
        </is>
      </c>
      <c r="F1314" s="4">
        <v>13</v>
      </c>
    </row>
    <row r="1315">
      <c r="A1315" s="0" t="inlineStr">
        <is>
          <t xml:space="preserve">random_04_RSG</t>
        </is>
      </c>
      <c r="B1315" s="0" t="inlineStr">
        <is>
          <t xml:space="preserve">random_04</t>
        </is>
      </c>
      <c r="C1315" s="0" t="inlineStr">
        <is>
          <t xml:space="preserve">d20260923</t>
        </is>
      </c>
      <c r="D1315" s="0" t="inlineStr">
        <is>
          <t xml:space="preserve">RSG</t>
        </is>
      </c>
      <c r="E1315" s="0" t="inlineStr">
        <is>
          <t xml:space="preserve">industrials</t>
        </is>
      </c>
      <c r="F1315" s="4">
        <v>14</v>
      </c>
    </row>
    <row r="1316">
      <c r="A1316" s="0" t="inlineStr">
        <is>
          <t xml:space="preserve">random_04_NVDA</t>
        </is>
      </c>
      <c r="B1316" s="0" t="inlineStr">
        <is>
          <t xml:space="preserve">random_04</t>
        </is>
      </c>
      <c r="C1316" s="0" t="inlineStr">
        <is>
          <t xml:space="preserve">d20260923</t>
        </is>
      </c>
      <c r="D1316" s="0" t="inlineStr">
        <is>
          <t xml:space="preserve">NVDA</t>
        </is>
      </c>
      <c r="E1316" s="0" t="inlineStr">
        <is>
          <t xml:space="preserve">technology</t>
        </is>
      </c>
      <c r="F1316" s="4">
        <v>15</v>
      </c>
    </row>
    <row r="1317">
      <c r="A1317" s="0" t="inlineStr">
        <is>
          <t xml:space="preserve">random_04_VIRT</t>
        </is>
      </c>
      <c r="B1317" s="0" t="inlineStr">
        <is>
          <t xml:space="preserve">random_04</t>
        </is>
      </c>
      <c r="C1317" s="0" t="inlineStr">
        <is>
          <t xml:space="preserve">d20260923</t>
        </is>
      </c>
      <c r="D1317" s="0" t="inlineStr">
        <is>
          <t xml:space="preserve">VIRT</t>
        </is>
      </c>
      <c r="E1317" s="0" t="inlineStr">
        <is>
          <t xml:space="preserve">financial_services</t>
        </is>
      </c>
      <c r="F1317" s="4">
        <v>16</v>
      </c>
    </row>
    <row r="1318">
      <c r="A1318" s="0" t="inlineStr">
        <is>
          <t xml:space="preserve">random_04_COST</t>
        </is>
      </c>
      <c r="B1318" s="0" t="inlineStr">
        <is>
          <t xml:space="preserve">random_04</t>
        </is>
      </c>
      <c r="C1318" s="0" t="inlineStr">
        <is>
          <t xml:space="preserve">d20260923</t>
        </is>
      </c>
      <c r="D1318" s="0" t="inlineStr">
        <is>
          <t xml:space="preserve">COST</t>
        </is>
      </c>
      <c r="E1318" s="0" t="inlineStr">
        <is>
          <t xml:space="preserve">consumer_defensive</t>
        </is>
      </c>
      <c r="F1318" s="4">
        <v>17</v>
      </c>
    </row>
    <row r="1319">
      <c r="A1319" s="0" t="inlineStr">
        <is>
          <t xml:space="preserve">random_04_COO</t>
        </is>
      </c>
      <c r="B1319" s="0" t="inlineStr">
        <is>
          <t xml:space="preserve">random_04</t>
        </is>
      </c>
      <c r="C1319" s="0" t="inlineStr">
        <is>
          <t xml:space="preserve">d20260923</t>
        </is>
      </c>
      <c r="D1319" s="0" t="inlineStr">
        <is>
          <t xml:space="preserve">COO</t>
        </is>
      </c>
      <c r="E1319" s="0" t="inlineStr">
        <is>
          <t xml:space="preserve">healthcare</t>
        </is>
      </c>
      <c r="F1319" s="4">
        <v>18</v>
      </c>
    </row>
    <row r="1320">
      <c r="A1320" s="0" t="inlineStr">
        <is>
          <t xml:space="preserve">random_04_ST</t>
        </is>
      </c>
      <c r="B1320" s="0" t="inlineStr">
        <is>
          <t xml:space="preserve">random_04</t>
        </is>
      </c>
      <c r="C1320" s="0" t="inlineStr">
        <is>
          <t xml:space="preserve">d20260923</t>
        </is>
      </c>
      <c r="D1320" s="0" t="inlineStr">
        <is>
          <t xml:space="preserve">ST</t>
        </is>
      </c>
      <c r="E1320" s="0" t="inlineStr">
        <is>
          <t xml:space="preserve">technology</t>
        </is>
      </c>
      <c r="F1320" s="4">
        <v>19</v>
      </c>
    </row>
    <row r="1321">
      <c r="A1321" s="0" t="inlineStr">
        <is>
          <t xml:space="preserve">random_04_MSGE</t>
        </is>
      </c>
      <c r="B1321" s="0" t="inlineStr">
        <is>
          <t xml:space="preserve">random_04</t>
        </is>
      </c>
      <c r="C1321" s="0" t="inlineStr">
        <is>
          <t xml:space="preserve">d20260923</t>
        </is>
      </c>
      <c r="D1321" s="0" t="inlineStr">
        <is>
          <t xml:space="preserve">MSGE</t>
        </is>
      </c>
      <c r="E1321" s="0" t="inlineStr">
        <is>
          <t xml:space="preserve">communication_services</t>
        </is>
      </c>
      <c r="F1321" s="4">
        <v>20</v>
      </c>
    </row>
    <row r="1322">
      <c r="A1322" s="0" t="inlineStr">
        <is>
          <t xml:space="preserve">random_04_GWRE</t>
        </is>
      </c>
      <c r="B1322" s="0" t="inlineStr">
        <is>
          <t xml:space="preserve">random_04</t>
        </is>
      </c>
      <c r="C1322" s="0" t="inlineStr">
        <is>
          <t xml:space="preserve">d20260923</t>
        </is>
      </c>
      <c r="D1322" s="0" t="inlineStr">
        <is>
          <t xml:space="preserve">GWRE</t>
        </is>
      </c>
      <c r="E1322" s="0" t="inlineStr">
        <is>
          <t xml:space="preserve">technology</t>
        </is>
      </c>
      <c r="F1322" s="4">
        <v>21</v>
      </c>
    </row>
    <row r="1323">
      <c r="A1323" s="0" t="inlineStr">
        <is>
          <t xml:space="preserve">random_04_CZR</t>
        </is>
      </c>
      <c r="B1323" s="0" t="inlineStr">
        <is>
          <t xml:space="preserve">random_04</t>
        </is>
      </c>
      <c r="C1323" s="0" t="inlineStr">
        <is>
          <t xml:space="preserve">d20260923</t>
        </is>
      </c>
      <c r="D1323" s="0" t="inlineStr">
        <is>
          <t xml:space="preserve">CZR</t>
        </is>
      </c>
      <c r="E1323" s="0" t="inlineStr">
        <is>
          <t xml:space="preserve">consumer_cyclical</t>
        </is>
      </c>
      <c r="F1323" s="4">
        <v>22</v>
      </c>
    </row>
    <row r="1324">
      <c r="A1324" s="0" t="inlineStr">
        <is>
          <t xml:space="preserve">random_04_YUM</t>
        </is>
      </c>
      <c r="B1324" s="0" t="inlineStr">
        <is>
          <t xml:space="preserve">random_04</t>
        </is>
      </c>
      <c r="C1324" s="0" t="inlineStr">
        <is>
          <t xml:space="preserve">d20260923</t>
        </is>
      </c>
      <c r="D1324" s="0" t="inlineStr">
        <is>
          <t xml:space="preserve">YUM</t>
        </is>
      </c>
      <c r="E1324" s="0" t="inlineStr">
        <is>
          <t xml:space="preserve">consumer_cyclical</t>
        </is>
      </c>
      <c r="F1324" s="4">
        <v>23</v>
      </c>
    </row>
    <row r="1325">
      <c r="A1325" s="0" t="inlineStr">
        <is>
          <t xml:space="preserve">random_04_OUST</t>
        </is>
      </c>
      <c r="B1325" s="0" t="inlineStr">
        <is>
          <t xml:space="preserve">random_04</t>
        </is>
      </c>
      <c r="C1325" s="0" t="inlineStr">
        <is>
          <t xml:space="preserve">d20260923</t>
        </is>
      </c>
      <c r="D1325" s="0" t="inlineStr">
        <is>
          <t xml:space="preserve">OUST</t>
        </is>
      </c>
      <c r="E1325" s="0" t="inlineStr">
        <is>
          <t xml:space="preserve">technology</t>
        </is>
      </c>
      <c r="F1325" s="4">
        <v>24</v>
      </c>
    </row>
    <row r="1326">
      <c r="A1326" s="0" t="inlineStr">
        <is>
          <t xml:space="preserve">random_04_FICO</t>
        </is>
      </c>
      <c r="B1326" s="0" t="inlineStr">
        <is>
          <t xml:space="preserve">random_04</t>
        </is>
      </c>
      <c r="C1326" s="0" t="inlineStr">
        <is>
          <t xml:space="preserve">d20260923</t>
        </is>
      </c>
      <c r="D1326" s="0" t="inlineStr">
        <is>
          <t xml:space="preserve">FICO</t>
        </is>
      </c>
      <c r="E1326" s="0" t="inlineStr">
        <is>
          <t xml:space="preserve">technology</t>
        </is>
      </c>
      <c r="F1326" s="4">
        <v>25</v>
      </c>
    </row>
    <row r="1327">
      <c r="A1327" s="0" t="inlineStr">
        <is>
          <t xml:space="preserve">random_04_ORLY</t>
        </is>
      </c>
      <c r="B1327" s="0" t="inlineStr">
        <is>
          <t xml:space="preserve">random_04</t>
        </is>
      </c>
      <c r="C1327" s="0" t="inlineStr">
        <is>
          <t xml:space="preserve">d20260923</t>
        </is>
      </c>
      <c r="D1327" s="0" t="inlineStr">
        <is>
          <t xml:space="preserve">ORLY</t>
        </is>
      </c>
      <c r="E1327" s="0" t="inlineStr">
        <is>
          <t xml:space="preserve">consumer_cyclical</t>
        </is>
      </c>
      <c r="F1327" s="4">
        <v>26</v>
      </c>
    </row>
    <row r="1328">
      <c r="A1328" s="0" t="inlineStr">
        <is>
          <t xml:space="preserve">random_04_PRIM</t>
        </is>
      </c>
      <c r="B1328" s="0" t="inlineStr">
        <is>
          <t xml:space="preserve">random_04</t>
        </is>
      </c>
      <c r="C1328" s="0" t="inlineStr">
        <is>
          <t xml:space="preserve">d20260923</t>
        </is>
      </c>
      <c r="D1328" s="0" t="inlineStr">
        <is>
          <t xml:space="preserve">PRIM</t>
        </is>
      </c>
      <c r="E1328" s="0" t="inlineStr">
        <is>
          <t xml:space="preserve">industrials</t>
        </is>
      </c>
      <c r="F1328" s="4">
        <v>27</v>
      </c>
    </row>
    <row r="1329">
      <c r="A1329" s="0" t="inlineStr">
        <is>
          <t xml:space="preserve">random_04_PSA</t>
        </is>
      </c>
      <c r="B1329" s="0" t="inlineStr">
        <is>
          <t xml:space="preserve">random_04</t>
        </is>
      </c>
      <c r="C1329" s="0" t="inlineStr">
        <is>
          <t xml:space="preserve">d20260923</t>
        </is>
      </c>
      <c r="D1329" s="0" t="inlineStr">
        <is>
          <t xml:space="preserve">PSA</t>
        </is>
      </c>
      <c r="E1329" s="0" t="inlineStr">
        <is>
          <t xml:space="preserve">real_estate</t>
        </is>
      </c>
      <c r="F1329" s="4">
        <v>28</v>
      </c>
    </row>
    <row r="1330">
      <c r="A1330" s="0" t="inlineStr">
        <is>
          <t xml:space="preserve">random_04_AVT</t>
        </is>
      </c>
      <c r="B1330" s="0" t="inlineStr">
        <is>
          <t xml:space="preserve">random_04</t>
        </is>
      </c>
      <c r="C1330" s="0" t="inlineStr">
        <is>
          <t xml:space="preserve">d20260923</t>
        </is>
      </c>
      <c r="D1330" s="0" t="inlineStr">
        <is>
          <t xml:space="preserve">AVT</t>
        </is>
      </c>
      <c r="E1330" s="0" t="inlineStr">
        <is>
          <t xml:space="preserve">technology</t>
        </is>
      </c>
      <c r="F1330" s="4">
        <v>29</v>
      </c>
    </row>
    <row r="1331">
      <c r="A1331" s="0" t="inlineStr">
        <is>
          <t xml:space="preserve">random_04_FCFS</t>
        </is>
      </c>
      <c r="B1331" s="0" t="inlineStr">
        <is>
          <t xml:space="preserve">random_04</t>
        </is>
      </c>
      <c r="C1331" s="0" t="inlineStr">
        <is>
          <t xml:space="preserve">d20260923</t>
        </is>
      </c>
      <c r="D1331" s="0" t="inlineStr">
        <is>
          <t xml:space="preserve">FCFS</t>
        </is>
      </c>
      <c r="E1331" s="0" t="inlineStr">
        <is>
          <t xml:space="preserve">financial_services</t>
        </is>
      </c>
      <c r="F1331" s="4">
        <v>30</v>
      </c>
    </row>
    <row r="1332">
      <c r="A1332" s="0" t="inlineStr">
        <is>
          <t xml:space="preserve">random_04_AM</t>
        </is>
      </c>
      <c r="B1332" s="0" t="inlineStr">
        <is>
          <t xml:space="preserve">random_04</t>
        </is>
      </c>
      <c r="C1332" s="0" t="inlineStr">
        <is>
          <t xml:space="preserve">d20260923</t>
        </is>
      </c>
      <c r="D1332" s="0" t="inlineStr">
        <is>
          <t xml:space="preserve">AM</t>
        </is>
      </c>
      <c r="E1332" s="0" t="inlineStr">
        <is>
          <t xml:space="preserve">energy</t>
        </is>
      </c>
      <c r="F1332" s="4">
        <v>31</v>
      </c>
    </row>
    <row r="1333">
      <c r="A1333" s="0" t="inlineStr">
        <is>
          <t xml:space="preserve">random_04_DAN</t>
        </is>
      </c>
      <c r="B1333" s="0" t="inlineStr">
        <is>
          <t xml:space="preserve">random_04</t>
        </is>
      </c>
      <c r="C1333" s="0" t="inlineStr">
        <is>
          <t xml:space="preserve">d20260923</t>
        </is>
      </c>
      <c r="D1333" s="0" t="inlineStr">
        <is>
          <t xml:space="preserve">DAN</t>
        </is>
      </c>
      <c r="E1333" s="0" t="inlineStr">
        <is>
          <t xml:space="preserve">consumer_cyclical</t>
        </is>
      </c>
      <c r="F1333" s="4">
        <v>32</v>
      </c>
    </row>
    <row r="1334">
      <c r="A1334" s="0" t="inlineStr">
        <is>
          <t xml:space="preserve">random_04_EMN</t>
        </is>
      </c>
      <c r="B1334" s="0" t="inlineStr">
        <is>
          <t xml:space="preserve">random_04</t>
        </is>
      </c>
      <c r="C1334" s="0" t="inlineStr">
        <is>
          <t xml:space="preserve">d20260923</t>
        </is>
      </c>
      <c r="D1334" s="0" t="inlineStr">
        <is>
          <t xml:space="preserve">EMN</t>
        </is>
      </c>
      <c r="E1334" s="0" t="inlineStr">
        <is>
          <t xml:space="preserve">basic_materials</t>
        </is>
      </c>
      <c r="F1334" s="4">
        <v>33</v>
      </c>
    </row>
    <row r="1335">
      <c r="A1335" s="0" t="inlineStr">
        <is>
          <t xml:space="preserve">random_04_XEL</t>
        </is>
      </c>
      <c r="B1335" s="0" t="inlineStr">
        <is>
          <t xml:space="preserve">random_04</t>
        </is>
      </c>
      <c r="C1335" s="0" t="inlineStr">
        <is>
          <t xml:space="preserve">d20260923</t>
        </is>
      </c>
      <c r="D1335" s="0" t="inlineStr">
        <is>
          <t xml:space="preserve">XEL</t>
        </is>
      </c>
      <c r="E1335" s="0" t="inlineStr">
        <is>
          <t xml:space="preserve">utilities</t>
        </is>
      </c>
      <c r="F1335" s="4">
        <v>34</v>
      </c>
    </row>
    <row r="1336">
      <c r="A1336" s="0" t="inlineStr">
        <is>
          <t xml:space="preserve">random_04_MD</t>
        </is>
      </c>
      <c r="B1336" s="0" t="inlineStr">
        <is>
          <t xml:space="preserve">random_04</t>
        </is>
      </c>
      <c r="C1336" s="0" t="inlineStr">
        <is>
          <t xml:space="preserve">d20260923</t>
        </is>
      </c>
      <c r="D1336" s="0" t="inlineStr">
        <is>
          <t xml:space="preserve">MD</t>
        </is>
      </c>
      <c r="E1336" s="0" t="inlineStr">
        <is>
          <t xml:space="preserve">healthcare</t>
        </is>
      </c>
      <c r="F1336" s="4">
        <v>35</v>
      </c>
    </row>
    <row r="1337">
      <c r="A1337" s="0" t="inlineStr">
        <is>
          <t xml:space="preserve">random_04_INSW</t>
        </is>
      </c>
      <c r="B1337" s="0" t="inlineStr">
        <is>
          <t xml:space="preserve">random_04</t>
        </is>
      </c>
      <c r="C1337" s="0" t="inlineStr">
        <is>
          <t xml:space="preserve">d20260923</t>
        </is>
      </c>
      <c r="D1337" s="0" t="inlineStr">
        <is>
          <t xml:space="preserve">INSW</t>
        </is>
      </c>
      <c r="E1337" s="0" t="inlineStr">
        <is>
          <t xml:space="preserve">industrials</t>
        </is>
      </c>
      <c r="F1337" s="4">
        <v>36</v>
      </c>
    </row>
    <row r="1338">
      <c r="A1338" s="0" t="inlineStr">
        <is>
          <t xml:space="preserve">random_04_TRVI</t>
        </is>
      </c>
      <c r="B1338" s="0" t="inlineStr">
        <is>
          <t xml:space="preserve">random_04</t>
        </is>
      </c>
      <c r="C1338" s="0" t="inlineStr">
        <is>
          <t xml:space="preserve">d20260923</t>
        </is>
      </c>
      <c r="D1338" s="0" t="inlineStr">
        <is>
          <t xml:space="preserve">TRVI</t>
        </is>
      </c>
      <c r="E1338" s="0" t="inlineStr">
        <is>
          <t xml:space="preserve">healthcare</t>
        </is>
      </c>
      <c r="F1338" s="4">
        <v>37</v>
      </c>
    </row>
    <row r="1339">
      <c r="A1339" s="0" t="inlineStr">
        <is>
          <t xml:space="preserve">random_04_NRIX</t>
        </is>
      </c>
      <c r="B1339" s="0" t="inlineStr">
        <is>
          <t xml:space="preserve">random_04</t>
        </is>
      </c>
      <c r="C1339" s="0" t="inlineStr">
        <is>
          <t xml:space="preserve">d20260923</t>
        </is>
      </c>
      <c r="D1339" s="0" t="inlineStr">
        <is>
          <t xml:space="preserve">NRIX</t>
        </is>
      </c>
      <c r="E1339" s="0" t="inlineStr">
        <is>
          <t xml:space="preserve">healthcare</t>
        </is>
      </c>
      <c r="F1339" s="4">
        <v>38</v>
      </c>
    </row>
    <row r="1340">
      <c r="A1340" s="0" t="inlineStr">
        <is>
          <t xml:space="preserve">random_04_AUGO</t>
        </is>
      </c>
      <c r="B1340" s="0" t="inlineStr">
        <is>
          <t xml:space="preserve">random_04</t>
        </is>
      </c>
      <c r="C1340" s="0" t="inlineStr">
        <is>
          <t xml:space="preserve">d20260923</t>
        </is>
      </c>
      <c r="D1340" s="0" t="inlineStr">
        <is>
          <t xml:space="preserve">AUGO</t>
        </is>
      </c>
      <c r="E1340" s="0" t="inlineStr">
        <is>
          <t xml:space="preserve">basic_materials</t>
        </is>
      </c>
      <c r="F1340" s="4">
        <v>39</v>
      </c>
    </row>
    <row r="1341">
      <c r="A1341" s="0" t="inlineStr">
        <is>
          <t xml:space="preserve">random_04_DHR</t>
        </is>
      </c>
      <c r="B1341" s="0" t="inlineStr">
        <is>
          <t xml:space="preserve">random_04</t>
        </is>
      </c>
      <c r="C1341" s="0" t="inlineStr">
        <is>
          <t xml:space="preserve">d20260923</t>
        </is>
      </c>
      <c r="D1341" s="0" t="inlineStr">
        <is>
          <t xml:space="preserve">DHR</t>
        </is>
      </c>
      <c r="E1341" s="0" t="inlineStr">
        <is>
          <t xml:space="preserve">healthcare</t>
        </is>
      </c>
      <c r="F1341" s="4">
        <v>40</v>
      </c>
    </row>
    <row r="1342">
      <c r="A1342" s="0" t="inlineStr">
        <is>
          <t xml:space="preserve">random_04_MLM</t>
        </is>
      </c>
      <c r="B1342" s="0" t="inlineStr">
        <is>
          <t xml:space="preserve">random_04</t>
        </is>
      </c>
      <c r="C1342" s="0" t="inlineStr">
        <is>
          <t xml:space="preserve">d20260923</t>
        </is>
      </c>
      <c r="D1342" s="0" t="inlineStr">
        <is>
          <t xml:space="preserve">MLM</t>
        </is>
      </c>
      <c r="E1342" s="0" t="inlineStr">
        <is>
          <t xml:space="preserve">basic_materials</t>
        </is>
      </c>
      <c r="F1342" s="4">
        <v>41</v>
      </c>
    </row>
    <row r="1343">
      <c r="A1343" s="0" t="inlineStr">
        <is>
          <t xml:space="preserve">random_04_FISV</t>
        </is>
      </c>
      <c r="B1343" s="0" t="inlineStr">
        <is>
          <t xml:space="preserve">random_04</t>
        </is>
      </c>
      <c r="C1343" s="0" t="inlineStr">
        <is>
          <t xml:space="preserve">d20260923</t>
        </is>
      </c>
      <c r="D1343" s="0" t="inlineStr">
        <is>
          <t xml:space="preserve">FISV</t>
        </is>
      </c>
      <c r="E1343" s="0" t="inlineStr">
        <is>
          <t xml:space="preserve">technology</t>
        </is>
      </c>
      <c r="F1343" s="4">
        <v>42</v>
      </c>
    </row>
    <row r="1344">
      <c r="A1344" s="0" t="inlineStr">
        <is>
          <t xml:space="preserve">random_04_AMGN</t>
        </is>
      </c>
      <c r="B1344" s="0" t="inlineStr">
        <is>
          <t xml:space="preserve">random_04</t>
        </is>
      </c>
      <c r="C1344" s="0" t="inlineStr">
        <is>
          <t xml:space="preserve">d20260923</t>
        </is>
      </c>
      <c r="D1344" s="0" t="inlineStr">
        <is>
          <t xml:space="preserve">AMGN</t>
        </is>
      </c>
      <c r="E1344" s="0" t="inlineStr">
        <is>
          <t xml:space="preserve">healthcare</t>
        </is>
      </c>
      <c r="F1344" s="4">
        <v>43</v>
      </c>
    </row>
    <row r="1345">
      <c r="A1345" s="0" t="inlineStr">
        <is>
          <t xml:space="preserve">random_04_SDGR</t>
        </is>
      </c>
      <c r="B1345" s="0" t="inlineStr">
        <is>
          <t xml:space="preserve">random_04</t>
        </is>
      </c>
      <c r="C1345" s="0" t="inlineStr">
        <is>
          <t xml:space="preserve">d20260923</t>
        </is>
      </c>
      <c r="D1345" s="0" t="inlineStr">
        <is>
          <t xml:space="preserve">SDGR</t>
        </is>
      </c>
      <c r="E1345" s="0" t="inlineStr">
        <is>
          <t xml:space="preserve">technology</t>
        </is>
      </c>
      <c r="F1345" s="4">
        <v>44</v>
      </c>
    </row>
    <row r="1346">
      <c r="A1346" s="0" t="inlineStr">
        <is>
          <t xml:space="preserve">random_04_ABT</t>
        </is>
      </c>
      <c r="B1346" s="0" t="inlineStr">
        <is>
          <t xml:space="preserve">random_04</t>
        </is>
      </c>
      <c r="C1346" s="0" t="inlineStr">
        <is>
          <t xml:space="preserve">d20260923</t>
        </is>
      </c>
      <c r="D1346" s="0" t="inlineStr">
        <is>
          <t xml:space="preserve">ABT</t>
        </is>
      </c>
      <c r="E1346" s="0" t="inlineStr">
        <is>
          <t xml:space="preserve">healthcare</t>
        </is>
      </c>
      <c r="F1346" s="4">
        <v>45</v>
      </c>
    </row>
    <row r="1347">
      <c r="A1347" s="0" t="inlineStr">
        <is>
          <t xml:space="preserve">random_04_PBF</t>
        </is>
      </c>
      <c r="B1347" s="0" t="inlineStr">
        <is>
          <t xml:space="preserve">random_04</t>
        </is>
      </c>
      <c r="C1347" s="0" t="inlineStr">
        <is>
          <t xml:space="preserve">d20260923</t>
        </is>
      </c>
      <c r="D1347" s="0" t="inlineStr">
        <is>
          <t xml:space="preserve">PBF</t>
        </is>
      </c>
      <c r="E1347" s="0" t="inlineStr">
        <is>
          <t xml:space="preserve">energy</t>
        </is>
      </c>
      <c r="F1347" s="4">
        <v>46</v>
      </c>
    </row>
    <row r="1348">
      <c r="A1348" s="0" t="inlineStr">
        <is>
          <t xml:space="preserve">random_04_VRNS</t>
        </is>
      </c>
      <c r="B1348" s="0" t="inlineStr">
        <is>
          <t xml:space="preserve">random_04</t>
        </is>
      </c>
      <c r="C1348" s="0" t="inlineStr">
        <is>
          <t xml:space="preserve">d20260923</t>
        </is>
      </c>
      <c r="D1348" s="0" t="inlineStr">
        <is>
          <t xml:space="preserve">VRNS</t>
        </is>
      </c>
      <c r="E1348" s="0" t="inlineStr">
        <is>
          <t xml:space="preserve">technology</t>
        </is>
      </c>
      <c r="F1348" s="4">
        <v>47</v>
      </c>
    </row>
    <row r="1349">
      <c r="A1349" s="0" t="inlineStr">
        <is>
          <t xml:space="preserve">random_04_KRYS</t>
        </is>
      </c>
      <c r="B1349" s="0" t="inlineStr">
        <is>
          <t xml:space="preserve">random_04</t>
        </is>
      </c>
      <c r="C1349" s="0" t="inlineStr">
        <is>
          <t xml:space="preserve">d20260923</t>
        </is>
      </c>
      <c r="D1349" s="0" t="inlineStr">
        <is>
          <t xml:space="preserve">KRYS</t>
        </is>
      </c>
      <c r="E1349" s="0" t="inlineStr">
        <is>
          <t xml:space="preserve">healthcare</t>
        </is>
      </c>
      <c r="F1349" s="4">
        <v>48</v>
      </c>
    </row>
    <row r="1350">
      <c r="A1350" s="0" t="inlineStr">
        <is>
          <t xml:space="preserve">random_04_FTDR</t>
        </is>
      </c>
      <c r="B1350" s="0" t="inlineStr">
        <is>
          <t xml:space="preserve">random_04</t>
        </is>
      </c>
      <c r="C1350" s="0" t="inlineStr">
        <is>
          <t xml:space="preserve">d20260923</t>
        </is>
      </c>
      <c r="D1350" s="0" t="inlineStr">
        <is>
          <t xml:space="preserve">FTDR</t>
        </is>
      </c>
      <c r="E1350" s="0" t="inlineStr">
        <is>
          <t xml:space="preserve">consumer_cyclical</t>
        </is>
      </c>
      <c r="F1350" s="4">
        <v>49</v>
      </c>
    </row>
    <row r="1351">
      <c r="A1351" s="0" t="inlineStr">
        <is>
          <t xml:space="preserve">random_04_DGX</t>
        </is>
      </c>
      <c r="B1351" s="0" t="inlineStr">
        <is>
          <t xml:space="preserve">random_04</t>
        </is>
      </c>
      <c r="C1351" s="0" t="inlineStr">
        <is>
          <t xml:space="preserve">d20260923</t>
        </is>
      </c>
      <c r="D1351" s="0" t="inlineStr">
        <is>
          <t xml:space="preserve">DGX</t>
        </is>
      </c>
      <c r="E1351" s="0" t="inlineStr">
        <is>
          <t xml:space="preserve">healthcare</t>
        </is>
      </c>
      <c r="F1351" s="4">
        <v>50</v>
      </c>
    </row>
    <row r="1352">
      <c r="A1352" s="0" t="inlineStr">
        <is>
          <t xml:space="preserve">random_04_SDRL</t>
        </is>
      </c>
      <c r="B1352" s="0" t="inlineStr">
        <is>
          <t xml:space="preserve">random_04</t>
        </is>
      </c>
      <c r="C1352" s="0" t="inlineStr">
        <is>
          <t xml:space="preserve">d20260923</t>
        </is>
      </c>
      <c r="D1352" s="0" t="inlineStr">
        <is>
          <t xml:space="preserve">SDRL</t>
        </is>
      </c>
      <c r="E1352" s="0" t="inlineStr">
        <is>
          <t xml:space="preserve">energy</t>
        </is>
      </c>
      <c r="F1352" s="4">
        <v>51</v>
      </c>
    </row>
    <row r="1353">
      <c r="A1353" s="0" t="inlineStr">
        <is>
          <t xml:space="preserve">random_04_MFP</t>
        </is>
      </c>
      <c r="B1353" s="0" t="inlineStr">
        <is>
          <t xml:space="preserve">random_04</t>
        </is>
      </c>
      <c r="C1353" s="0" t="inlineStr">
        <is>
          <t xml:space="preserve">d20260923</t>
        </is>
      </c>
      <c r="D1353" s="0" t="inlineStr">
        <is>
          <t xml:space="preserve">MFP</t>
        </is>
      </c>
      <c r="E1353" s="0" t="inlineStr">
        <is>
          <t xml:space="preserve">industrials</t>
        </is>
      </c>
      <c r="F1353" s="4">
        <v>52</v>
      </c>
    </row>
    <row r="1354">
      <c r="A1354" s="0" t="inlineStr">
        <is>
          <t xml:space="preserve">random_04_AGX</t>
        </is>
      </c>
      <c r="B1354" s="0" t="inlineStr">
        <is>
          <t xml:space="preserve">random_04</t>
        </is>
      </c>
      <c r="C1354" s="0" t="inlineStr">
        <is>
          <t xml:space="preserve">d20260923</t>
        </is>
      </c>
      <c r="D1354" s="0" t="inlineStr">
        <is>
          <t xml:space="preserve">AGX</t>
        </is>
      </c>
      <c r="E1354" s="0" t="inlineStr">
        <is>
          <t xml:space="preserve">industrials</t>
        </is>
      </c>
      <c r="F1354" s="4">
        <v>53</v>
      </c>
    </row>
    <row r="1355">
      <c r="A1355" s="0" t="inlineStr">
        <is>
          <t xml:space="preserve">random_04_AMAT</t>
        </is>
      </c>
      <c r="B1355" s="0" t="inlineStr">
        <is>
          <t xml:space="preserve">random_04</t>
        </is>
      </c>
      <c r="C1355" s="0" t="inlineStr">
        <is>
          <t xml:space="preserve">d20260923</t>
        </is>
      </c>
      <c r="D1355" s="0" t="inlineStr">
        <is>
          <t xml:space="preserve">AMAT</t>
        </is>
      </c>
      <c r="E1355" s="0" t="inlineStr">
        <is>
          <t xml:space="preserve">technology</t>
        </is>
      </c>
      <c r="F1355" s="4">
        <v>54</v>
      </c>
    </row>
    <row r="1356">
      <c r="A1356" s="0" t="inlineStr">
        <is>
          <t xml:space="preserve">random_04_MANH</t>
        </is>
      </c>
      <c r="B1356" s="0" t="inlineStr">
        <is>
          <t xml:space="preserve">random_04</t>
        </is>
      </c>
      <c r="C1356" s="0" t="inlineStr">
        <is>
          <t xml:space="preserve">d20260923</t>
        </is>
      </c>
      <c r="D1356" s="0" t="inlineStr">
        <is>
          <t xml:space="preserve">MANH</t>
        </is>
      </c>
      <c r="E1356" s="0" t="inlineStr">
        <is>
          <t xml:space="preserve">technology</t>
        </is>
      </c>
      <c r="F1356" s="4">
        <v>55</v>
      </c>
    </row>
    <row r="1357">
      <c r="A1357" s="0" t="inlineStr">
        <is>
          <t xml:space="preserve">random_04_KD</t>
        </is>
      </c>
      <c r="B1357" s="0" t="inlineStr">
        <is>
          <t xml:space="preserve">random_04</t>
        </is>
      </c>
      <c r="C1357" s="0" t="inlineStr">
        <is>
          <t xml:space="preserve">d20260923</t>
        </is>
      </c>
      <c r="D1357" s="0" t="inlineStr">
        <is>
          <t xml:space="preserve">KD</t>
        </is>
      </c>
      <c r="E1357" s="0" t="inlineStr">
        <is>
          <t xml:space="preserve">technology</t>
        </is>
      </c>
      <c r="F1357" s="4">
        <v>56</v>
      </c>
    </row>
    <row r="1358">
      <c r="A1358" s="0" t="inlineStr">
        <is>
          <t xml:space="preserve">random_04_OGE</t>
        </is>
      </c>
      <c r="B1358" s="0" t="inlineStr">
        <is>
          <t xml:space="preserve">random_04</t>
        </is>
      </c>
      <c r="C1358" s="0" t="inlineStr">
        <is>
          <t xml:space="preserve">d20260923</t>
        </is>
      </c>
      <c r="D1358" s="0" t="inlineStr">
        <is>
          <t xml:space="preserve">OGE</t>
        </is>
      </c>
      <c r="E1358" s="0" t="inlineStr">
        <is>
          <t xml:space="preserve">utilities</t>
        </is>
      </c>
      <c r="F1358" s="4">
        <v>57</v>
      </c>
    </row>
    <row r="1359">
      <c r="A1359" s="0" t="inlineStr">
        <is>
          <t xml:space="preserve">random_04_CWEN</t>
        </is>
      </c>
      <c r="B1359" s="0" t="inlineStr">
        <is>
          <t xml:space="preserve">random_04</t>
        </is>
      </c>
      <c r="C1359" s="0" t="inlineStr">
        <is>
          <t xml:space="preserve">d20260923</t>
        </is>
      </c>
      <c r="D1359" s="0" t="inlineStr">
        <is>
          <t xml:space="preserve">CWEN</t>
        </is>
      </c>
      <c r="E1359" s="0" t="inlineStr">
        <is>
          <t xml:space="preserve">utilities</t>
        </is>
      </c>
      <c r="F1359" s="4">
        <v>58</v>
      </c>
    </row>
    <row r="1360">
      <c r="A1360" s="0" t="inlineStr">
        <is>
          <t xml:space="preserve">random_04_PFGC</t>
        </is>
      </c>
      <c r="B1360" s="0" t="inlineStr">
        <is>
          <t xml:space="preserve">random_04</t>
        </is>
      </c>
      <c r="C1360" s="0" t="inlineStr">
        <is>
          <t xml:space="preserve">d20260923</t>
        </is>
      </c>
      <c r="D1360" s="0" t="inlineStr">
        <is>
          <t xml:space="preserve">PFGC</t>
        </is>
      </c>
      <c r="E1360" s="0" t="inlineStr">
        <is>
          <t xml:space="preserve">consumer_defensive</t>
        </is>
      </c>
      <c r="F1360" s="4">
        <v>59</v>
      </c>
    </row>
    <row r="1361">
      <c r="A1361" s="0" t="inlineStr">
        <is>
          <t xml:space="preserve">random_04_PRMB</t>
        </is>
      </c>
      <c r="B1361" s="0" t="inlineStr">
        <is>
          <t xml:space="preserve">random_04</t>
        </is>
      </c>
      <c r="C1361" s="0" t="inlineStr">
        <is>
          <t xml:space="preserve">d20260923</t>
        </is>
      </c>
      <c r="D1361" s="0" t="inlineStr">
        <is>
          <t xml:space="preserve">PRMB</t>
        </is>
      </c>
      <c r="E1361" s="0" t="inlineStr">
        <is>
          <t xml:space="preserve">consumer_defensive</t>
        </is>
      </c>
      <c r="F1361" s="4">
        <v>60</v>
      </c>
    </row>
    <row r="1362">
      <c r="A1362" s="0" t="inlineStr">
        <is>
          <t xml:space="preserve">random_04_DNTH</t>
        </is>
      </c>
      <c r="B1362" s="0" t="inlineStr">
        <is>
          <t xml:space="preserve">random_04</t>
        </is>
      </c>
      <c r="C1362" s="0" t="inlineStr">
        <is>
          <t xml:space="preserve">d20260923</t>
        </is>
      </c>
      <c r="D1362" s="0" t="inlineStr">
        <is>
          <t xml:space="preserve">DNTH</t>
        </is>
      </c>
      <c r="E1362" s="0" t="inlineStr">
        <is>
          <t xml:space="preserve">healthcare</t>
        </is>
      </c>
      <c r="F1362" s="4">
        <v>61</v>
      </c>
    </row>
    <row r="1363">
      <c r="A1363" s="0" t="inlineStr">
        <is>
          <t xml:space="preserve">random_04_CDE</t>
        </is>
      </c>
      <c r="B1363" s="0" t="inlineStr">
        <is>
          <t xml:space="preserve">random_04</t>
        </is>
      </c>
      <c r="C1363" s="0" t="inlineStr">
        <is>
          <t xml:space="preserve">d20260923</t>
        </is>
      </c>
      <c r="D1363" s="0" t="inlineStr">
        <is>
          <t xml:space="preserve">CDE</t>
        </is>
      </c>
      <c r="E1363" s="0" t="inlineStr">
        <is>
          <t xml:space="preserve">basic_materials</t>
        </is>
      </c>
      <c r="F1363" s="4">
        <v>62</v>
      </c>
    </row>
    <row r="1364">
      <c r="A1364" s="0" t="inlineStr">
        <is>
          <t xml:space="preserve">random_04_SBAC</t>
        </is>
      </c>
      <c r="B1364" s="0" t="inlineStr">
        <is>
          <t xml:space="preserve">random_04</t>
        </is>
      </c>
      <c r="C1364" s="0" t="inlineStr">
        <is>
          <t xml:space="preserve">d20260923</t>
        </is>
      </c>
      <c r="D1364" s="0" t="inlineStr">
        <is>
          <t xml:space="preserve">SBAC</t>
        </is>
      </c>
      <c r="E1364" s="0" t="inlineStr">
        <is>
          <t xml:space="preserve">real_estate</t>
        </is>
      </c>
      <c r="F1364" s="4">
        <v>63</v>
      </c>
    </row>
    <row r="1365">
      <c r="A1365" s="0" t="inlineStr">
        <is>
          <t xml:space="preserve">random_04_MSFT</t>
        </is>
      </c>
      <c r="B1365" s="0" t="inlineStr">
        <is>
          <t xml:space="preserve">random_04</t>
        </is>
      </c>
      <c r="C1365" s="0" t="inlineStr">
        <is>
          <t xml:space="preserve">d20260923</t>
        </is>
      </c>
      <c r="D1365" s="0" t="inlineStr">
        <is>
          <t xml:space="preserve">MSFT</t>
        </is>
      </c>
      <c r="E1365" s="0" t="inlineStr">
        <is>
          <t xml:space="preserve">technology</t>
        </is>
      </c>
      <c r="F1365" s="4">
        <v>64</v>
      </c>
    </row>
    <row r="1366">
      <c r="A1366" s="0" t="inlineStr">
        <is>
          <t xml:space="preserve">random_04_RLI</t>
        </is>
      </c>
      <c r="B1366" s="0" t="inlineStr">
        <is>
          <t xml:space="preserve">random_04</t>
        </is>
      </c>
      <c r="C1366" s="0" t="inlineStr">
        <is>
          <t xml:space="preserve">d20260923</t>
        </is>
      </c>
      <c r="D1366" s="0" t="inlineStr">
        <is>
          <t xml:space="preserve">RLI</t>
        </is>
      </c>
      <c r="E1366" s="0" t="inlineStr">
        <is>
          <t xml:space="preserve">financial_services</t>
        </is>
      </c>
      <c r="F1366" s="4">
        <v>65</v>
      </c>
    </row>
    <row r="1367">
      <c r="A1367" s="0" t="inlineStr">
        <is>
          <t xml:space="preserve">random_04_XMTR</t>
        </is>
      </c>
      <c r="B1367" s="0" t="inlineStr">
        <is>
          <t xml:space="preserve">random_04</t>
        </is>
      </c>
      <c r="C1367" s="0" t="inlineStr">
        <is>
          <t xml:space="preserve">d20260923</t>
        </is>
      </c>
      <c r="D1367" s="0" t="inlineStr">
        <is>
          <t xml:space="preserve">XMTR</t>
        </is>
      </c>
      <c r="E1367" s="0" t="inlineStr">
        <is>
          <t xml:space="preserve">industrials</t>
        </is>
      </c>
      <c r="F1367" s="4">
        <v>66</v>
      </c>
    </row>
    <row r="1368">
      <c r="A1368" s="0" t="inlineStr">
        <is>
          <t xml:space="preserve">random_04_SYRE</t>
        </is>
      </c>
      <c r="B1368" s="0" t="inlineStr">
        <is>
          <t xml:space="preserve">random_04</t>
        </is>
      </c>
      <c r="C1368" s="0" t="inlineStr">
        <is>
          <t xml:space="preserve">d20260923</t>
        </is>
      </c>
      <c r="D1368" s="0" t="inlineStr">
        <is>
          <t xml:space="preserve">SYRE</t>
        </is>
      </c>
      <c r="E1368" s="0" t="inlineStr">
        <is>
          <t xml:space="preserve">healthcare</t>
        </is>
      </c>
      <c r="F1368" s="4">
        <v>67</v>
      </c>
    </row>
    <row r="1369">
      <c r="A1369" s="0" t="inlineStr">
        <is>
          <t xml:space="preserve">random_04_TRMK</t>
        </is>
      </c>
      <c r="B1369" s="0" t="inlineStr">
        <is>
          <t xml:space="preserve">random_04</t>
        </is>
      </c>
      <c r="C1369" s="0" t="inlineStr">
        <is>
          <t xml:space="preserve">d20260923</t>
        </is>
      </c>
      <c r="D1369" s="0" t="inlineStr">
        <is>
          <t xml:space="preserve">TRMK</t>
        </is>
      </c>
      <c r="E1369" s="0" t="inlineStr">
        <is>
          <t xml:space="preserve">financial_services</t>
        </is>
      </c>
      <c r="F1369" s="4">
        <v>68</v>
      </c>
    </row>
    <row r="1370">
      <c r="A1370" s="0" t="inlineStr">
        <is>
          <t xml:space="preserve">random_04_HII</t>
        </is>
      </c>
      <c r="B1370" s="0" t="inlineStr">
        <is>
          <t xml:space="preserve">random_04</t>
        </is>
      </c>
      <c r="C1370" s="0" t="inlineStr">
        <is>
          <t xml:space="preserve">d20260923</t>
        </is>
      </c>
      <c r="D1370" s="0" t="inlineStr">
        <is>
          <t xml:space="preserve">HII</t>
        </is>
      </c>
      <c r="E1370" s="0" t="inlineStr">
        <is>
          <t xml:space="preserve">industrials</t>
        </is>
      </c>
      <c r="F1370" s="4">
        <v>69</v>
      </c>
    </row>
    <row r="1371">
      <c r="A1371" s="0" t="inlineStr">
        <is>
          <t xml:space="preserve">random_04_AEP</t>
        </is>
      </c>
      <c r="B1371" s="0" t="inlineStr">
        <is>
          <t xml:space="preserve">random_04</t>
        </is>
      </c>
      <c r="C1371" s="0" t="inlineStr">
        <is>
          <t xml:space="preserve">d20260923</t>
        </is>
      </c>
      <c r="D1371" s="0" t="inlineStr">
        <is>
          <t xml:space="preserve">AEP</t>
        </is>
      </c>
      <c r="E1371" s="0" t="inlineStr">
        <is>
          <t xml:space="preserve">utilities</t>
        </is>
      </c>
      <c r="F1371" s="4">
        <v>70</v>
      </c>
    </row>
    <row r="1372">
      <c r="A1372" s="0" t="inlineStr">
        <is>
          <t xml:space="preserve">random_04_GEHC</t>
        </is>
      </c>
      <c r="B1372" s="0" t="inlineStr">
        <is>
          <t xml:space="preserve">random_04</t>
        </is>
      </c>
      <c r="C1372" s="0" t="inlineStr">
        <is>
          <t xml:space="preserve">d20260923</t>
        </is>
      </c>
      <c r="D1372" s="0" t="inlineStr">
        <is>
          <t xml:space="preserve">GEHC</t>
        </is>
      </c>
      <c r="E1372" s="0" t="inlineStr">
        <is>
          <t xml:space="preserve">healthcare</t>
        </is>
      </c>
      <c r="F1372" s="4">
        <v>71</v>
      </c>
    </row>
    <row r="1373">
      <c r="A1373" s="0" t="inlineStr">
        <is>
          <t xml:space="preserve">random_04_LPG</t>
        </is>
      </c>
      <c r="B1373" s="0" t="inlineStr">
        <is>
          <t xml:space="preserve">random_04</t>
        </is>
      </c>
      <c r="C1373" s="0" t="inlineStr">
        <is>
          <t xml:space="preserve">d20260923</t>
        </is>
      </c>
      <c r="D1373" s="0" t="inlineStr">
        <is>
          <t xml:space="preserve">LPG</t>
        </is>
      </c>
      <c r="E1373" s="0" t="inlineStr">
        <is>
          <t xml:space="preserve">energy</t>
        </is>
      </c>
      <c r="F1373" s="4">
        <v>72</v>
      </c>
    </row>
    <row r="1374">
      <c r="A1374" s="0" t="inlineStr">
        <is>
          <t xml:space="preserve">random_04_NXST</t>
        </is>
      </c>
      <c r="B1374" s="0" t="inlineStr">
        <is>
          <t xml:space="preserve">random_04</t>
        </is>
      </c>
      <c r="C1374" s="0" t="inlineStr">
        <is>
          <t xml:space="preserve">d20260923</t>
        </is>
      </c>
      <c r="D1374" s="0" t="inlineStr">
        <is>
          <t xml:space="preserve">NXST</t>
        </is>
      </c>
      <c r="E1374" s="0" t="inlineStr">
        <is>
          <t xml:space="preserve">communication_services</t>
        </is>
      </c>
      <c r="F1374" s="4">
        <v>73</v>
      </c>
    </row>
    <row r="1375">
      <c r="A1375" s="0" t="inlineStr">
        <is>
          <t xml:space="preserve">random_04_MSM</t>
        </is>
      </c>
      <c r="B1375" s="0" t="inlineStr">
        <is>
          <t xml:space="preserve">random_04</t>
        </is>
      </c>
      <c r="C1375" s="0" t="inlineStr">
        <is>
          <t xml:space="preserve">d20260923</t>
        </is>
      </c>
      <c r="D1375" s="0" t="inlineStr">
        <is>
          <t xml:space="preserve">MSM</t>
        </is>
      </c>
      <c r="E1375" s="0" t="inlineStr">
        <is>
          <t xml:space="preserve">industrials</t>
        </is>
      </c>
      <c r="F1375" s="4">
        <v>74</v>
      </c>
    </row>
    <row r="1376">
      <c r="A1376" s="0" t="inlineStr">
        <is>
          <t xml:space="preserve">random_04_TCBI</t>
        </is>
      </c>
      <c r="B1376" s="0" t="inlineStr">
        <is>
          <t xml:space="preserve">random_04</t>
        </is>
      </c>
      <c r="C1376" s="0" t="inlineStr">
        <is>
          <t xml:space="preserve">d20260923</t>
        </is>
      </c>
      <c r="D1376" s="0" t="inlineStr">
        <is>
          <t xml:space="preserve">TCBI</t>
        </is>
      </c>
      <c r="E1376" s="0" t="inlineStr">
        <is>
          <t xml:space="preserve">financial_services</t>
        </is>
      </c>
      <c r="F1376" s="4">
        <v>75</v>
      </c>
    </row>
    <row r="1377">
      <c r="A1377" s="0" t="inlineStr">
        <is>
          <t xml:space="preserve">random_04_JNJ</t>
        </is>
      </c>
      <c r="B1377" s="0" t="inlineStr">
        <is>
          <t xml:space="preserve">random_04</t>
        </is>
      </c>
      <c r="C1377" s="0" t="inlineStr">
        <is>
          <t xml:space="preserve">d20260923</t>
        </is>
      </c>
      <c r="D1377" s="0" t="inlineStr">
        <is>
          <t xml:space="preserve">JNJ</t>
        </is>
      </c>
      <c r="E1377" s="0" t="inlineStr">
        <is>
          <t xml:space="preserve">healthcare</t>
        </is>
      </c>
      <c r="F1377" s="4">
        <v>76</v>
      </c>
    </row>
    <row r="1378">
      <c r="A1378" s="0" t="inlineStr">
        <is>
          <t xml:space="preserve">random_04_BBWI</t>
        </is>
      </c>
      <c r="B1378" s="0" t="inlineStr">
        <is>
          <t xml:space="preserve">random_04</t>
        </is>
      </c>
      <c r="C1378" s="0" t="inlineStr">
        <is>
          <t xml:space="preserve">d20260923</t>
        </is>
      </c>
      <c r="D1378" s="0" t="inlineStr">
        <is>
          <t xml:space="preserve">BBWI</t>
        </is>
      </c>
      <c r="E1378" s="0" t="inlineStr">
        <is>
          <t xml:space="preserve">consumer_cyclical</t>
        </is>
      </c>
      <c r="F1378" s="4">
        <v>77</v>
      </c>
    </row>
    <row r="1379">
      <c r="A1379" s="0" t="inlineStr">
        <is>
          <t xml:space="preserve">random_04_QNT</t>
        </is>
      </c>
      <c r="B1379" s="0" t="inlineStr">
        <is>
          <t xml:space="preserve">random_04</t>
        </is>
      </c>
      <c r="C1379" s="0" t="inlineStr">
        <is>
          <t xml:space="preserve">d20260923</t>
        </is>
      </c>
      <c r="D1379" s="0" t="inlineStr">
        <is>
          <t xml:space="preserve">QNT</t>
        </is>
      </c>
      <c r="E1379" s="0" t="inlineStr">
        <is>
          <t xml:space="preserve">technology</t>
        </is>
      </c>
      <c r="F1379" s="4">
        <v>78</v>
      </c>
    </row>
    <row r="1380">
      <c r="A1380" s="0" t="inlineStr">
        <is>
          <t xml:space="preserve">random_04_SCHW</t>
        </is>
      </c>
      <c r="B1380" s="0" t="inlineStr">
        <is>
          <t xml:space="preserve">random_04</t>
        </is>
      </c>
      <c r="C1380" s="0" t="inlineStr">
        <is>
          <t xml:space="preserve">d20260923</t>
        </is>
      </c>
      <c r="D1380" s="0" t="inlineStr">
        <is>
          <t xml:space="preserve">SCHW</t>
        </is>
      </c>
      <c r="E1380" s="0" t="inlineStr">
        <is>
          <t xml:space="preserve">financial_services</t>
        </is>
      </c>
      <c r="F1380" s="4">
        <v>79</v>
      </c>
    </row>
    <row r="1381">
      <c r="A1381" s="0" t="inlineStr">
        <is>
          <t xml:space="preserve">random_04_SHO</t>
        </is>
      </c>
      <c r="B1381" s="0" t="inlineStr">
        <is>
          <t xml:space="preserve">random_04</t>
        </is>
      </c>
      <c r="C1381" s="0" t="inlineStr">
        <is>
          <t xml:space="preserve">d20260923</t>
        </is>
      </c>
      <c r="D1381" s="0" t="inlineStr">
        <is>
          <t xml:space="preserve">SHO</t>
        </is>
      </c>
      <c r="E1381" s="0" t="inlineStr">
        <is>
          <t xml:space="preserve">real_estate</t>
        </is>
      </c>
      <c r="F1381" s="4">
        <v>80</v>
      </c>
    </row>
    <row r="1382">
      <c r="A1382" s="0" t="inlineStr">
        <is>
          <t xml:space="preserve">random_04_PM</t>
        </is>
      </c>
      <c r="B1382" s="0" t="inlineStr">
        <is>
          <t xml:space="preserve">random_04</t>
        </is>
      </c>
      <c r="C1382" s="0" t="inlineStr">
        <is>
          <t xml:space="preserve">d20260923</t>
        </is>
      </c>
      <c r="D1382" s="0" t="inlineStr">
        <is>
          <t xml:space="preserve">PM</t>
        </is>
      </c>
      <c r="E1382" s="0" t="inlineStr">
        <is>
          <t xml:space="preserve">consumer_defensive</t>
        </is>
      </c>
      <c r="F1382" s="4">
        <v>81</v>
      </c>
    </row>
    <row r="1383">
      <c r="A1383" s="0" t="inlineStr">
        <is>
          <t xml:space="preserve">random_04_BBT</t>
        </is>
      </c>
      <c r="B1383" s="0" t="inlineStr">
        <is>
          <t xml:space="preserve">random_04</t>
        </is>
      </c>
      <c r="C1383" s="0" t="inlineStr">
        <is>
          <t xml:space="preserve">d20260923</t>
        </is>
      </c>
      <c r="D1383" s="0" t="inlineStr">
        <is>
          <t xml:space="preserve">BBT</t>
        </is>
      </c>
      <c r="E1383" s="0" t="inlineStr">
        <is>
          <t xml:space="preserve">financial_services</t>
        </is>
      </c>
      <c r="F1383" s="4">
        <v>82</v>
      </c>
    </row>
    <row r="1384">
      <c r="A1384" s="0" t="inlineStr">
        <is>
          <t xml:space="preserve">random_04_SHAZ</t>
        </is>
      </c>
      <c r="B1384" s="0" t="inlineStr">
        <is>
          <t xml:space="preserve">random_04</t>
        </is>
      </c>
      <c r="C1384" s="0" t="inlineStr">
        <is>
          <t xml:space="preserve">d20260923</t>
        </is>
      </c>
      <c r="D1384" s="0" t="inlineStr">
        <is>
          <t xml:space="preserve">SHAZ</t>
        </is>
      </c>
      <c r="E1384" s="0" t="inlineStr">
        <is>
          <t xml:space="preserve">technology</t>
        </is>
      </c>
      <c r="F1384" s="4">
        <v>83</v>
      </c>
    </row>
    <row r="1385">
      <c r="A1385" s="0" t="inlineStr">
        <is>
          <t xml:space="preserve">random_04_IEP</t>
        </is>
      </c>
      <c r="B1385" s="0" t="inlineStr">
        <is>
          <t xml:space="preserve">random_04</t>
        </is>
      </c>
      <c r="C1385" s="0" t="inlineStr">
        <is>
          <t xml:space="preserve">d20260923</t>
        </is>
      </c>
      <c r="D1385" s="0" t="inlineStr">
        <is>
          <t xml:space="preserve">IEP</t>
        </is>
      </c>
      <c r="E1385" s="0" t="inlineStr">
        <is>
          <t xml:space="preserve">energy</t>
        </is>
      </c>
      <c r="F1385" s="4">
        <v>84</v>
      </c>
    </row>
    <row r="1386">
      <c r="A1386" s="0" t="inlineStr">
        <is>
          <t xml:space="preserve">random_04_DVA</t>
        </is>
      </c>
      <c r="B1386" s="0" t="inlineStr">
        <is>
          <t xml:space="preserve">random_04</t>
        </is>
      </c>
      <c r="C1386" s="0" t="inlineStr">
        <is>
          <t xml:space="preserve">d20260923</t>
        </is>
      </c>
      <c r="D1386" s="0" t="inlineStr">
        <is>
          <t xml:space="preserve">DVA</t>
        </is>
      </c>
      <c r="E1386" s="0" t="inlineStr">
        <is>
          <t xml:space="preserve">healthcare</t>
        </is>
      </c>
      <c r="F1386" s="4">
        <v>85</v>
      </c>
    </row>
    <row r="1387">
      <c r="A1387" s="0" t="inlineStr">
        <is>
          <t xml:space="preserve">random_04_IP</t>
        </is>
      </c>
      <c r="B1387" s="0" t="inlineStr">
        <is>
          <t xml:space="preserve">random_04</t>
        </is>
      </c>
      <c r="C1387" s="0" t="inlineStr">
        <is>
          <t xml:space="preserve">d20260923</t>
        </is>
      </c>
      <c r="D1387" s="0" t="inlineStr">
        <is>
          <t xml:space="preserve">IP</t>
        </is>
      </c>
      <c r="E1387" s="0" t="inlineStr">
        <is>
          <t xml:space="preserve">basic_materials</t>
        </is>
      </c>
      <c r="F1387" s="4">
        <v>86</v>
      </c>
    </row>
    <row r="1388">
      <c r="A1388" s="0" t="inlineStr">
        <is>
          <t xml:space="preserve">random_04_STZ</t>
        </is>
      </c>
      <c r="B1388" s="0" t="inlineStr">
        <is>
          <t xml:space="preserve">random_04</t>
        </is>
      </c>
      <c r="C1388" s="0" t="inlineStr">
        <is>
          <t xml:space="preserve">d20260923</t>
        </is>
      </c>
      <c r="D1388" s="0" t="inlineStr">
        <is>
          <t xml:space="preserve">STZ</t>
        </is>
      </c>
      <c r="E1388" s="0" t="inlineStr">
        <is>
          <t xml:space="preserve">consumer_defensive</t>
        </is>
      </c>
      <c r="F1388" s="4">
        <v>87</v>
      </c>
    </row>
    <row r="1389">
      <c r="A1389" s="0" t="inlineStr">
        <is>
          <t xml:space="preserve">random_04_GSAT</t>
        </is>
      </c>
      <c r="B1389" s="0" t="inlineStr">
        <is>
          <t xml:space="preserve">random_04</t>
        </is>
      </c>
      <c r="C1389" s="0" t="inlineStr">
        <is>
          <t xml:space="preserve">d20260923</t>
        </is>
      </c>
      <c r="D1389" s="0" t="inlineStr">
        <is>
          <t xml:space="preserve">GSAT</t>
        </is>
      </c>
      <c r="E1389" s="0" t="inlineStr">
        <is>
          <t xml:space="preserve">communication_services</t>
        </is>
      </c>
      <c r="F1389" s="4">
        <v>88</v>
      </c>
    </row>
    <row r="1390">
      <c r="A1390" s="0" t="inlineStr">
        <is>
          <t xml:space="preserve">random_04_FIVN</t>
        </is>
      </c>
      <c r="B1390" s="0" t="inlineStr">
        <is>
          <t xml:space="preserve">random_04</t>
        </is>
      </c>
      <c r="C1390" s="0" t="inlineStr">
        <is>
          <t xml:space="preserve">d20260923</t>
        </is>
      </c>
      <c r="D1390" s="0" t="inlineStr">
        <is>
          <t xml:space="preserve">FIVN</t>
        </is>
      </c>
      <c r="E1390" s="0" t="inlineStr">
        <is>
          <t xml:space="preserve">technology</t>
        </is>
      </c>
      <c r="F1390" s="4">
        <v>89</v>
      </c>
    </row>
    <row r="1391">
      <c r="A1391" s="0" t="inlineStr">
        <is>
          <t xml:space="preserve">random_04_OII</t>
        </is>
      </c>
      <c r="B1391" s="0" t="inlineStr">
        <is>
          <t xml:space="preserve">random_04</t>
        </is>
      </c>
      <c r="C1391" s="0" t="inlineStr">
        <is>
          <t xml:space="preserve">d20260923</t>
        </is>
      </c>
      <c r="D1391" s="0" t="inlineStr">
        <is>
          <t xml:space="preserve">OII</t>
        </is>
      </c>
      <c r="E1391" s="0" t="inlineStr">
        <is>
          <t xml:space="preserve">energy</t>
        </is>
      </c>
      <c r="F1391" s="4">
        <v>90</v>
      </c>
    </row>
    <row r="1392">
      <c r="A1392" s="0" t="inlineStr">
        <is>
          <t xml:space="preserve">random_04_PBH</t>
        </is>
      </c>
      <c r="B1392" s="0" t="inlineStr">
        <is>
          <t xml:space="preserve">random_04</t>
        </is>
      </c>
      <c r="C1392" s="0" t="inlineStr">
        <is>
          <t xml:space="preserve">d20260923</t>
        </is>
      </c>
      <c r="D1392" s="0" t="inlineStr">
        <is>
          <t xml:space="preserve">PBH</t>
        </is>
      </c>
      <c r="E1392" s="0" t="inlineStr">
        <is>
          <t xml:space="preserve">healthcare</t>
        </is>
      </c>
      <c r="F1392" s="4">
        <v>91</v>
      </c>
    </row>
    <row r="1393">
      <c r="A1393" s="0" t="inlineStr">
        <is>
          <t xml:space="preserve">random_04_PR</t>
        </is>
      </c>
      <c r="B1393" s="0" t="inlineStr">
        <is>
          <t xml:space="preserve">random_04</t>
        </is>
      </c>
      <c r="C1393" s="0" t="inlineStr">
        <is>
          <t xml:space="preserve">d20260923</t>
        </is>
      </c>
      <c r="D1393" s="0" t="inlineStr">
        <is>
          <t xml:space="preserve">PR</t>
        </is>
      </c>
      <c r="E1393" s="0" t="inlineStr">
        <is>
          <t xml:space="preserve">energy</t>
        </is>
      </c>
      <c r="F1393" s="4">
        <v>92</v>
      </c>
    </row>
    <row r="1394">
      <c r="A1394" s="0" t="inlineStr">
        <is>
          <t xml:space="preserve">random_04_DV</t>
        </is>
      </c>
      <c r="B1394" s="0" t="inlineStr">
        <is>
          <t xml:space="preserve">random_04</t>
        </is>
      </c>
      <c r="C1394" s="0" t="inlineStr">
        <is>
          <t xml:space="preserve">d20260923</t>
        </is>
      </c>
      <c r="D1394" s="0" t="inlineStr">
        <is>
          <t xml:space="preserve">DV</t>
        </is>
      </c>
      <c r="E1394" s="0" t="inlineStr">
        <is>
          <t xml:space="preserve">technology</t>
        </is>
      </c>
      <c r="F1394" s="4">
        <v>93</v>
      </c>
    </row>
    <row r="1395">
      <c r="A1395" s="0" t="inlineStr">
        <is>
          <t xml:space="preserve">random_04_TSLA</t>
        </is>
      </c>
      <c r="B1395" s="0" t="inlineStr">
        <is>
          <t xml:space="preserve">random_04</t>
        </is>
      </c>
      <c r="C1395" s="0" t="inlineStr">
        <is>
          <t xml:space="preserve">d20260923</t>
        </is>
      </c>
      <c r="D1395" s="0" t="inlineStr">
        <is>
          <t xml:space="preserve">TSLA</t>
        </is>
      </c>
      <c r="E1395" s="0" t="inlineStr">
        <is>
          <t xml:space="preserve">consumer_cyclical</t>
        </is>
      </c>
      <c r="F1395" s="4">
        <v>94</v>
      </c>
    </row>
    <row r="1396">
      <c r="A1396" s="0" t="inlineStr">
        <is>
          <t xml:space="preserve">random_04_RKLB</t>
        </is>
      </c>
      <c r="B1396" s="0" t="inlineStr">
        <is>
          <t xml:space="preserve">random_04</t>
        </is>
      </c>
      <c r="C1396" s="0" t="inlineStr">
        <is>
          <t xml:space="preserve">d20260923</t>
        </is>
      </c>
      <c r="D1396" s="0" t="inlineStr">
        <is>
          <t xml:space="preserve">RKLB</t>
        </is>
      </c>
      <c r="E1396" s="0" t="inlineStr">
        <is>
          <t xml:space="preserve">industrials</t>
        </is>
      </c>
      <c r="F1396" s="4">
        <v>95</v>
      </c>
    </row>
    <row r="1397">
      <c r="A1397" s="0" t="inlineStr">
        <is>
          <t xml:space="preserve">random_04_CRUS</t>
        </is>
      </c>
      <c r="B1397" s="0" t="inlineStr">
        <is>
          <t xml:space="preserve">random_04</t>
        </is>
      </c>
      <c r="C1397" s="0" t="inlineStr">
        <is>
          <t xml:space="preserve">d20260923</t>
        </is>
      </c>
      <c r="D1397" s="0" t="inlineStr">
        <is>
          <t xml:space="preserve">CRUS</t>
        </is>
      </c>
      <c r="E1397" s="0" t="inlineStr">
        <is>
          <t xml:space="preserve">technology</t>
        </is>
      </c>
      <c r="F1397" s="4">
        <v>96</v>
      </c>
    </row>
    <row r="1398">
      <c r="A1398" s="0" t="inlineStr">
        <is>
          <t xml:space="preserve">random_04_ALK</t>
        </is>
      </c>
      <c r="B1398" s="0" t="inlineStr">
        <is>
          <t xml:space="preserve">random_04</t>
        </is>
      </c>
      <c r="C1398" s="0" t="inlineStr">
        <is>
          <t xml:space="preserve">d20260923</t>
        </is>
      </c>
      <c r="D1398" s="0" t="inlineStr">
        <is>
          <t xml:space="preserve">ALK</t>
        </is>
      </c>
      <c r="E1398" s="0" t="inlineStr">
        <is>
          <t xml:space="preserve">industrials</t>
        </is>
      </c>
      <c r="F1398" s="4">
        <v>97</v>
      </c>
    </row>
    <row r="1399">
      <c r="A1399" s="0" t="inlineStr">
        <is>
          <t xml:space="preserve">random_04_LTC</t>
        </is>
      </c>
      <c r="B1399" s="0" t="inlineStr">
        <is>
          <t xml:space="preserve">random_04</t>
        </is>
      </c>
      <c r="C1399" s="0" t="inlineStr">
        <is>
          <t xml:space="preserve">d20260923</t>
        </is>
      </c>
      <c r="D1399" s="0" t="inlineStr">
        <is>
          <t xml:space="preserve">LTC</t>
        </is>
      </c>
      <c r="E1399" s="0" t="inlineStr">
        <is>
          <t xml:space="preserve">real_estate</t>
        </is>
      </c>
      <c r="F1399" s="4">
        <v>98</v>
      </c>
    </row>
    <row r="1400">
      <c r="A1400" s="0" t="inlineStr">
        <is>
          <t xml:space="preserve">random_04_STE</t>
        </is>
      </c>
      <c r="B1400" s="0" t="inlineStr">
        <is>
          <t xml:space="preserve">random_04</t>
        </is>
      </c>
      <c r="C1400" s="0" t="inlineStr">
        <is>
          <t xml:space="preserve">d20260923</t>
        </is>
      </c>
      <c r="D1400" s="0" t="inlineStr">
        <is>
          <t xml:space="preserve">STE</t>
        </is>
      </c>
      <c r="E1400" s="0" t="inlineStr">
        <is>
          <t xml:space="preserve">healthcare</t>
        </is>
      </c>
      <c r="F1400" s="4">
        <v>99</v>
      </c>
    </row>
    <row r="1401">
      <c r="A1401" s="0" t="inlineStr">
        <is>
          <t xml:space="preserve">random_04_IRM</t>
        </is>
      </c>
      <c r="B1401" s="0" t="inlineStr">
        <is>
          <t xml:space="preserve">random_04</t>
        </is>
      </c>
      <c r="C1401" s="0" t="inlineStr">
        <is>
          <t xml:space="preserve">d20260923</t>
        </is>
      </c>
      <c r="D1401" s="0" t="inlineStr">
        <is>
          <t xml:space="preserve">IRM</t>
        </is>
      </c>
      <c r="E1401" s="0" t="inlineStr">
        <is>
          <t xml:space="preserve">real_estate</t>
        </is>
      </c>
      <c r="F1401" s="4">
        <v>100</v>
      </c>
    </row>
    <row r="1402">
      <c r="A1402" s="0" t="inlineStr">
        <is>
          <t xml:space="preserve">random_05_CMCSA</t>
        </is>
      </c>
      <c r="B1402" s="0" t="inlineStr">
        <is>
          <t xml:space="preserve">random_05</t>
        </is>
      </c>
      <c r="C1402" s="0" t="inlineStr">
        <is>
          <t xml:space="preserve">d20260923</t>
        </is>
      </c>
      <c r="D1402" s="0" t="inlineStr">
        <is>
          <t xml:space="preserve">CMCSA</t>
        </is>
      </c>
      <c r="E1402" s="0" t="inlineStr">
        <is>
          <t xml:space="preserve">communication_services</t>
        </is>
      </c>
      <c r="F1402" s="4">
        <v>1</v>
      </c>
    </row>
    <row r="1403">
      <c r="A1403" s="0" t="inlineStr">
        <is>
          <t xml:space="preserve">random_05_HRI</t>
        </is>
      </c>
      <c r="B1403" s="0" t="inlineStr">
        <is>
          <t xml:space="preserve">random_05</t>
        </is>
      </c>
      <c r="C1403" s="0" t="inlineStr">
        <is>
          <t xml:space="preserve">d20260923</t>
        </is>
      </c>
      <c r="D1403" s="0" t="inlineStr">
        <is>
          <t xml:space="preserve">HRI</t>
        </is>
      </c>
      <c r="E1403" s="0" t="inlineStr">
        <is>
          <t xml:space="preserve">industrials</t>
        </is>
      </c>
      <c r="F1403" s="4">
        <v>2</v>
      </c>
    </row>
    <row r="1404">
      <c r="A1404" s="0" t="inlineStr">
        <is>
          <t xml:space="preserve">random_05_PTCT</t>
        </is>
      </c>
      <c r="B1404" s="0" t="inlineStr">
        <is>
          <t xml:space="preserve">random_05</t>
        </is>
      </c>
      <c r="C1404" s="0" t="inlineStr">
        <is>
          <t xml:space="preserve">d20260923</t>
        </is>
      </c>
      <c r="D1404" s="0" t="inlineStr">
        <is>
          <t xml:space="preserve">PTCT</t>
        </is>
      </c>
      <c r="E1404" s="0" t="inlineStr">
        <is>
          <t xml:space="preserve">healthcare</t>
        </is>
      </c>
      <c r="F1404" s="4">
        <v>3</v>
      </c>
    </row>
    <row r="1405">
      <c r="A1405" s="0" t="inlineStr">
        <is>
          <t xml:space="preserve">random_05_COCO</t>
        </is>
      </c>
      <c r="B1405" s="0" t="inlineStr">
        <is>
          <t xml:space="preserve">random_05</t>
        </is>
      </c>
      <c r="C1405" s="0" t="inlineStr">
        <is>
          <t xml:space="preserve">d20260923</t>
        </is>
      </c>
      <c r="D1405" s="0" t="inlineStr">
        <is>
          <t xml:space="preserve">COCO</t>
        </is>
      </c>
      <c r="E1405" s="0" t="inlineStr">
        <is>
          <t xml:space="preserve">consumer_defensive</t>
        </is>
      </c>
      <c r="F1405" s="4">
        <v>4</v>
      </c>
    </row>
    <row r="1406">
      <c r="A1406" s="0" t="inlineStr">
        <is>
          <t xml:space="preserve">random_05_MRSH</t>
        </is>
      </c>
      <c r="B1406" s="0" t="inlineStr">
        <is>
          <t xml:space="preserve">random_05</t>
        </is>
      </c>
      <c r="C1406" s="0" t="inlineStr">
        <is>
          <t xml:space="preserve">d20260923</t>
        </is>
      </c>
      <c r="D1406" s="0" t="inlineStr">
        <is>
          <t xml:space="preserve">MRSH</t>
        </is>
      </c>
      <c r="E1406" s="0" t="inlineStr">
        <is>
          <t xml:space="preserve">financial_services</t>
        </is>
      </c>
      <c r="F1406" s="4">
        <v>5</v>
      </c>
    </row>
    <row r="1407">
      <c r="A1407" s="0" t="inlineStr">
        <is>
          <t xml:space="preserve">random_05_ADT</t>
        </is>
      </c>
      <c r="B1407" s="0" t="inlineStr">
        <is>
          <t xml:space="preserve">random_05</t>
        </is>
      </c>
      <c r="C1407" s="0" t="inlineStr">
        <is>
          <t xml:space="preserve">d20260923</t>
        </is>
      </c>
      <c r="D1407" s="0" t="inlineStr">
        <is>
          <t xml:space="preserve">ADT</t>
        </is>
      </c>
      <c r="E1407" s="0" t="inlineStr">
        <is>
          <t xml:space="preserve">industrials</t>
        </is>
      </c>
      <c r="F1407" s="4">
        <v>6</v>
      </c>
    </row>
    <row r="1408">
      <c r="A1408" s="0" t="inlineStr">
        <is>
          <t xml:space="preserve">random_05_LUNR</t>
        </is>
      </c>
      <c r="B1408" s="0" t="inlineStr">
        <is>
          <t xml:space="preserve">random_05</t>
        </is>
      </c>
      <c r="C1408" s="0" t="inlineStr">
        <is>
          <t xml:space="preserve">d20260923</t>
        </is>
      </c>
      <c r="D1408" s="0" t="inlineStr">
        <is>
          <t xml:space="preserve">LUNR</t>
        </is>
      </c>
      <c r="E1408" s="0" t="inlineStr">
        <is>
          <t xml:space="preserve">industrials</t>
        </is>
      </c>
      <c r="F1408" s="4">
        <v>7</v>
      </c>
    </row>
    <row r="1409">
      <c r="A1409" s="0" t="inlineStr">
        <is>
          <t xml:space="preserve">random_05_TWST</t>
        </is>
      </c>
      <c r="B1409" s="0" t="inlineStr">
        <is>
          <t xml:space="preserve">random_05</t>
        </is>
      </c>
      <c r="C1409" s="0" t="inlineStr">
        <is>
          <t xml:space="preserve">d20260923</t>
        </is>
      </c>
      <c r="D1409" s="0" t="inlineStr">
        <is>
          <t xml:space="preserve">TWST</t>
        </is>
      </c>
      <c r="E1409" s="0" t="inlineStr">
        <is>
          <t xml:space="preserve">healthcare</t>
        </is>
      </c>
      <c r="F1409" s="4">
        <v>8</v>
      </c>
    </row>
    <row r="1410">
      <c r="A1410" s="0" t="inlineStr">
        <is>
          <t xml:space="preserve">random_05_EXC</t>
        </is>
      </c>
      <c r="B1410" s="0" t="inlineStr">
        <is>
          <t xml:space="preserve">random_05</t>
        </is>
      </c>
      <c r="C1410" s="0" t="inlineStr">
        <is>
          <t xml:space="preserve">d20260923</t>
        </is>
      </c>
      <c r="D1410" s="0" t="inlineStr">
        <is>
          <t xml:space="preserve">EXC</t>
        </is>
      </c>
      <c r="E1410" s="0" t="inlineStr">
        <is>
          <t xml:space="preserve">utilities</t>
        </is>
      </c>
      <c r="F1410" s="4">
        <v>9</v>
      </c>
    </row>
    <row r="1411">
      <c r="A1411" s="0" t="inlineStr">
        <is>
          <t xml:space="preserve">random_05_ESI</t>
        </is>
      </c>
      <c r="B1411" s="0" t="inlineStr">
        <is>
          <t xml:space="preserve">random_05</t>
        </is>
      </c>
      <c r="C1411" s="0" t="inlineStr">
        <is>
          <t xml:space="preserve">d20260923</t>
        </is>
      </c>
      <c r="D1411" s="0" t="inlineStr">
        <is>
          <t xml:space="preserve">ESI</t>
        </is>
      </c>
      <c r="E1411" s="0" t="inlineStr">
        <is>
          <t xml:space="preserve">basic_materials</t>
        </is>
      </c>
      <c r="F1411" s="4">
        <v>10</v>
      </c>
    </row>
    <row r="1412">
      <c r="A1412" s="0" t="inlineStr">
        <is>
          <t xml:space="preserve">random_05_ARCB</t>
        </is>
      </c>
      <c r="B1412" s="0" t="inlineStr">
        <is>
          <t xml:space="preserve">random_05</t>
        </is>
      </c>
      <c r="C1412" s="0" t="inlineStr">
        <is>
          <t xml:space="preserve">d20260923</t>
        </is>
      </c>
      <c r="D1412" s="0" t="inlineStr">
        <is>
          <t xml:space="preserve">ARCB</t>
        </is>
      </c>
      <c r="E1412" s="0" t="inlineStr">
        <is>
          <t xml:space="preserve">industrials</t>
        </is>
      </c>
      <c r="F1412" s="4">
        <v>11</v>
      </c>
    </row>
    <row r="1413">
      <c r="A1413" s="0" t="inlineStr">
        <is>
          <t xml:space="preserve">random_05_ADSK</t>
        </is>
      </c>
      <c r="B1413" s="0" t="inlineStr">
        <is>
          <t xml:space="preserve">random_05</t>
        </is>
      </c>
      <c r="C1413" s="0" t="inlineStr">
        <is>
          <t xml:space="preserve">d20260923</t>
        </is>
      </c>
      <c r="D1413" s="0" t="inlineStr">
        <is>
          <t xml:space="preserve">ADSK</t>
        </is>
      </c>
      <c r="E1413" s="0" t="inlineStr">
        <is>
          <t xml:space="preserve">technology</t>
        </is>
      </c>
      <c r="F1413" s="4">
        <v>12</v>
      </c>
    </row>
    <row r="1414">
      <c r="A1414" s="0" t="inlineStr">
        <is>
          <t xml:space="preserve">random_05_CLF</t>
        </is>
      </c>
      <c r="B1414" s="0" t="inlineStr">
        <is>
          <t xml:space="preserve">random_05</t>
        </is>
      </c>
      <c r="C1414" s="0" t="inlineStr">
        <is>
          <t xml:space="preserve">d20260923</t>
        </is>
      </c>
      <c r="D1414" s="0" t="inlineStr">
        <is>
          <t xml:space="preserve">CLF</t>
        </is>
      </c>
      <c r="E1414" s="0" t="inlineStr">
        <is>
          <t xml:space="preserve">basic_materials</t>
        </is>
      </c>
      <c r="F1414" s="4">
        <v>13</v>
      </c>
    </row>
    <row r="1415">
      <c r="A1415" s="0" t="inlineStr">
        <is>
          <t xml:space="preserve">random_05_ODFL</t>
        </is>
      </c>
      <c r="B1415" s="0" t="inlineStr">
        <is>
          <t xml:space="preserve">random_05</t>
        </is>
      </c>
      <c r="C1415" s="0" t="inlineStr">
        <is>
          <t xml:space="preserve">d20260923</t>
        </is>
      </c>
      <c r="D1415" s="0" t="inlineStr">
        <is>
          <t xml:space="preserve">ODFL</t>
        </is>
      </c>
      <c r="E1415" s="0" t="inlineStr">
        <is>
          <t xml:space="preserve">industrials</t>
        </is>
      </c>
      <c r="F1415" s="4">
        <v>14</v>
      </c>
    </row>
    <row r="1416">
      <c r="A1416" s="0" t="inlineStr">
        <is>
          <t xml:space="preserve">random_05_VSAT</t>
        </is>
      </c>
      <c r="B1416" s="0" t="inlineStr">
        <is>
          <t xml:space="preserve">random_05</t>
        </is>
      </c>
      <c r="C1416" s="0" t="inlineStr">
        <is>
          <t xml:space="preserve">d20260923</t>
        </is>
      </c>
      <c r="D1416" s="0" t="inlineStr">
        <is>
          <t xml:space="preserve">VSAT</t>
        </is>
      </c>
      <c r="E1416" s="0" t="inlineStr">
        <is>
          <t xml:space="preserve">technology</t>
        </is>
      </c>
      <c r="F1416" s="4">
        <v>15</v>
      </c>
    </row>
    <row r="1417">
      <c r="A1417" s="0" t="inlineStr">
        <is>
          <t xml:space="preserve">random_05_HNI</t>
        </is>
      </c>
      <c r="B1417" s="0" t="inlineStr">
        <is>
          <t xml:space="preserve">random_05</t>
        </is>
      </c>
      <c r="C1417" s="0" t="inlineStr">
        <is>
          <t xml:space="preserve">d20260923</t>
        </is>
      </c>
      <c r="D1417" s="0" t="inlineStr">
        <is>
          <t xml:space="preserve">HNI</t>
        </is>
      </c>
      <c r="E1417" s="0" t="inlineStr">
        <is>
          <t xml:space="preserve">consumer_cyclical</t>
        </is>
      </c>
      <c r="F1417" s="4">
        <v>16</v>
      </c>
    </row>
    <row r="1418">
      <c r="A1418" s="0" t="inlineStr">
        <is>
          <t xml:space="preserve">random_05_IRT</t>
        </is>
      </c>
      <c r="B1418" s="0" t="inlineStr">
        <is>
          <t xml:space="preserve">random_05</t>
        </is>
      </c>
      <c r="C1418" s="0" t="inlineStr">
        <is>
          <t xml:space="preserve">d20260923</t>
        </is>
      </c>
      <c r="D1418" s="0" t="inlineStr">
        <is>
          <t xml:space="preserve">IRT</t>
        </is>
      </c>
      <c r="E1418" s="0" t="inlineStr">
        <is>
          <t xml:space="preserve">real_estate</t>
        </is>
      </c>
      <c r="F1418" s="4">
        <v>17</v>
      </c>
    </row>
    <row r="1419">
      <c r="A1419" s="0" t="inlineStr">
        <is>
          <t xml:space="preserve">random_05_KEX</t>
        </is>
      </c>
      <c r="B1419" s="0" t="inlineStr">
        <is>
          <t xml:space="preserve">random_05</t>
        </is>
      </c>
      <c r="C1419" s="0" t="inlineStr">
        <is>
          <t xml:space="preserve">d20260923</t>
        </is>
      </c>
      <c r="D1419" s="0" t="inlineStr">
        <is>
          <t xml:space="preserve">KEX</t>
        </is>
      </c>
      <c r="E1419" s="0" t="inlineStr">
        <is>
          <t xml:space="preserve">industrials</t>
        </is>
      </c>
      <c r="F1419" s="4">
        <v>18</v>
      </c>
    </row>
    <row r="1420">
      <c r="A1420" s="0" t="inlineStr">
        <is>
          <t xml:space="preserve">random_05_D</t>
        </is>
      </c>
      <c r="B1420" s="0" t="inlineStr">
        <is>
          <t xml:space="preserve">random_05</t>
        </is>
      </c>
      <c r="C1420" s="0" t="inlineStr">
        <is>
          <t xml:space="preserve">d20260923</t>
        </is>
      </c>
      <c r="D1420" s="0" t="inlineStr">
        <is>
          <t xml:space="preserve">D</t>
        </is>
      </c>
      <c r="E1420" s="0" t="inlineStr">
        <is>
          <t xml:space="preserve">utilities</t>
        </is>
      </c>
      <c r="F1420" s="4">
        <v>19</v>
      </c>
    </row>
    <row r="1421">
      <c r="A1421" s="0" t="inlineStr">
        <is>
          <t xml:space="preserve">random_05_AUB</t>
        </is>
      </c>
      <c r="B1421" s="0" t="inlineStr">
        <is>
          <t xml:space="preserve">random_05</t>
        </is>
      </c>
      <c r="C1421" s="0" t="inlineStr">
        <is>
          <t xml:space="preserve">d20260923</t>
        </is>
      </c>
      <c r="D1421" s="0" t="inlineStr">
        <is>
          <t xml:space="preserve">AUB</t>
        </is>
      </c>
      <c r="E1421" s="0" t="inlineStr">
        <is>
          <t xml:space="preserve">financial_services</t>
        </is>
      </c>
      <c r="F1421" s="4">
        <v>20</v>
      </c>
    </row>
    <row r="1422">
      <c r="A1422" s="0" t="inlineStr">
        <is>
          <t xml:space="preserve">random_05_CHRD</t>
        </is>
      </c>
      <c r="B1422" s="0" t="inlineStr">
        <is>
          <t xml:space="preserve">random_05</t>
        </is>
      </c>
      <c r="C1422" s="0" t="inlineStr">
        <is>
          <t xml:space="preserve">d20260923</t>
        </is>
      </c>
      <c r="D1422" s="0" t="inlineStr">
        <is>
          <t xml:space="preserve">CHRD</t>
        </is>
      </c>
      <c r="E1422" s="0" t="inlineStr">
        <is>
          <t xml:space="preserve">energy</t>
        </is>
      </c>
      <c r="F1422" s="4">
        <v>21</v>
      </c>
    </row>
    <row r="1423">
      <c r="A1423" s="0" t="inlineStr">
        <is>
          <t xml:space="preserve">random_05_DE</t>
        </is>
      </c>
      <c r="B1423" s="0" t="inlineStr">
        <is>
          <t xml:space="preserve">random_05</t>
        </is>
      </c>
      <c r="C1423" s="0" t="inlineStr">
        <is>
          <t xml:space="preserve">d20260923</t>
        </is>
      </c>
      <c r="D1423" s="0" t="inlineStr">
        <is>
          <t xml:space="preserve">DE</t>
        </is>
      </c>
      <c r="E1423" s="0" t="inlineStr">
        <is>
          <t xml:space="preserve">industrials</t>
        </is>
      </c>
      <c r="F1423" s="4">
        <v>22</v>
      </c>
    </row>
    <row r="1424">
      <c r="A1424" s="0" t="inlineStr">
        <is>
          <t xml:space="preserve">random_05_LDOS</t>
        </is>
      </c>
      <c r="B1424" s="0" t="inlineStr">
        <is>
          <t xml:space="preserve">random_05</t>
        </is>
      </c>
      <c r="C1424" s="0" t="inlineStr">
        <is>
          <t xml:space="preserve">d20260923</t>
        </is>
      </c>
      <c r="D1424" s="0" t="inlineStr">
        <is>
          <t xml:space="preserve">LDOS</t>
        </is>
      </c>
      <c r="E1424" s="0" t="inlineStr">
        <is>
          <t xml:space="preserve">technology</t>
        </is>
      </c>
      <c r="F1424" s="4">
        <v>23</v>
      </c>
    </row>
    <row r="1425">
      <c r="A1425" s="0" t="inlineStr">
        <is>
          <t xml:space="preserve">random_05_UHS</t>
        </is>
      </c>
      <c r="B1425" s="0" t="inlineStr">
        <is>
          <t xml:space="preserve">random_05</t>
        </is>
      </c>
      <c r="C1425" s="0" t="inlineStr">
        <is>
          <t xml:space="preserve">d20260923</t>
        </is>
      </c>
      <c r="D1425" s="0" t="inlineStr">
        <is>
          <t xml:space="preserve">UHS</t>
        </is>
      </c>
      <c r="E1425" s="0" t="inlineStr">
        <is>
          <t xml:space="preserve">healthcare</t>
        </is>
      </c>
      <c r="F1425" s="4">
        <v>24</v>
      </c>
    </row>
    <row r="1426">
      <c r="A1426" s="0" t="inlineStr">
        <is>
          <t xml:space="preserve">random_05_MGNI</t>
        </is>
      </c>
      <c r="B1426" s="0" t="inlineStr">
        <is>
          <t xml:space="preserve">random_05</t>
        </is>
      </c>
      <c r="C1426" s="0" t="inlineStr">
        <is>
          <t xml:space="preserve">d20260923</t>
        </is>
      </c>
      <c r="D1426" s="0" t="inlineStr">
        <is>
          <t xml:space="preserve">MGNI</t>
        </is>
      </c>
      <c r="E1426" s="0" t="inlineStr">
        <is>
          <t xml:space="preserve">communication_services</t>
        </is>
      </c>
      <c r="F1426" s="4">
        <v>25</v>
      </c>
    </row>
    <row r="1427">
      <c r="A1427" s="0" t="inlineStr">
        <is>
          <t xml:space="preserve">random_05_NEE</t>
        </is>
      </c>
      <c r="B1427" s="0" t="inlineStr">
        <is>
          <t xml:space="preserve">random_05</t>
        </is>
      </c>
      <c r="C1427" s="0" t="inlineStr">
        <is>
          <t xml:space="preserve">d20260923</t>
        </is>
      </c>
      <c r="D1427" s="0" t="inlineStr">
        <is>
          <t xml:space="preserve">NEE</t>
        </is>
      </c>
      <c r="E1427" s="0" t="inlineStr">
        <is>
          <t xml:space="preserve">utilities</t>
        </is>
      </c>
      <c r="F1427" s="4">
        <v>26</v>
      </c>
    </row>
    <row r="1428">
      <c r="A1428" s="0" t="inlineStr">
        <is>
          <t xml:space="preserve">random_05_JPM</t>
        </is>
      </c>
      <c r="B1428" s="0" t="inlineStr">
        <is>
          <t xml:space="preserve">random_05</t>
        </is>
      </c>
      <c r="C1428" s="0" t="inlineStr">
        <is>
          <t xml:space="preserve">d20260923</t>
        </is>
      </c>
      <c r="D1428" s="0" t="inlineStr">
        <is>
          <t xml:space="preserve">JPM</t>
        </is>
      </c>
      <c r="E1428" s="0" t="inlineStr">
        <is>
          <t xml:space="preserve">financial_services</t>
        </is>
      </c>
      <c r="F1428" s="4">
        <v>27</v>
      </c>
    </row>
    <row r="1429">
      <c r="A1429" s="0" t="inlineStr">
        <is>
          <t xml:space="preserve">random_05_SAIA</t>
        </is>
      </c>
      <c r="B1429" s="0" t="inlineStr">
        <is>
          <t xml:space="preserve">random_05</t>
        </is>
      </c>
      <c r="C1429" s="0" t="inlineStr">
        <is>
          <t xml:space="preserve">d20260923</t>
        </is>
      </c>
      <c r="D1429" s="0" t="inlineStr">
        <is>
          <t xml:space="preserve">SAIA</t>
        </is>
      </c>
      <c r="E1429" s="0" t="inlineStr">
        <is>
          <t xml:space="preserve">industrials</t>
        </is>
      </c>
      <c r="F1429" s="4">
        <v>28</v>
      </c>
    </row>
    <row r="1430">
      <c r="A1430" s="0" t="inlineStr">
        <is>
          <t xml:space="preserve">random_05_CORT</t>
        </is>
      </c>
      <c r="B1430" s="0" t="inlineStr">
        <is>
          <t xml:space="preserve">random_05</t>
        </is>
      </c>
      <c r="C1430" s="0" t="inlineStr">
        <is>
          <t xml:space="preserve">d20260923</t>
        </is>
      </c>
      <c r="D1430" s="0" t="inlineStr">
        <is>
          <t xml:space="preserve">CORT</t>
        </is>
      </c>
      <c r="E1430" s="0" t="inlineStr">
        <is>
          <t xml:space="preserve">healthcare</t>
        </is>
      </c>
      <c r="F1430" s="4">
        <v>29</v>
      </c>
    </row>
    <row r="1431">
      <c r="A1431" s="0" t="inlineStr">
        <is>
          <t xml:space="preserve">random_05_STUB</t>
        </is>
      </c>
      <c r="B1431" s="0" t="inlineStr">
        <is>
          <t xml:space="preserve">random_05</t>
        </is>
      </c>
      <c r="C1431" s="0" t="inlineStr">
        <is>
          <t xml:space="preserve">d20260923</t>
        </is>
      </c>
      <c r="D1431" s="0" t="inlineStr">
        <is>
          <t xml:space="preserve">STUB</t>
        </is>
      </c>
      <c r="E1431" s="0" t="inlineStr">
        <is>
          <t xml:space="preserve">communication_services</t>
        </is>
      </c>
      <c r="F1431" s="4">
        <v>30</v>
      </c>
    </row>
    <row r="1432">
      <c r="A1432" s="0" t="inlineStr">
        <is>
          <t xml:space="preserve">random_05_CCC</t>
        </is>
      </c>
      <c r="B1432" s="0" t="inlineStr">
        <is>
          <t xml:space="preserve">random_05</t>
        </is>
      </c>
      <c r="C1432" s="0" t="inlineStr">
        <is>
          <t xml:space="preserve">d20260923</t>
        </is>
      </c>
      <c r="D1432" s="0" t="inlineStr">
        <is>
          <t xml:space="preserve">CCC</t>
        </is>
      </c>
      <c r="E1432" s="0" t="inlineStr">
        <is>
          <t xml:space="preserve">technology</t>
        </is>
      </c>
      <c r="F1432" s="4">
        <v>31</v>
      </c>
    </row>
    <row r="1433">
      <c r="A1433" s="0" t="inlineStr">
        <is>
          <t xml:space="preserve">random_05_ASST</t>
        </is>
      </c>
      <c r="B1433" s="0" t="inlineStr">
        <is>
          <t xml:space="preserve">random_05</t>
        </is>
      </c>
      <c r="C1433" s="0" t="inlineStr">
        <is>
          <t xml:space="preserve">d20260923</t>
        </is>
      </c>
      <c r="D1433" s="0" t="inlineStr">
        <is>
          <t xml:space="preserve">ASST</t>
        </is>
      </c>
      <c r="E1433" s="0" t="inlineStr">
        <is>
          <t xml:space="preserve">financial_services</t>
        </is>
      </c>
      <c r="F1433" s="4">
        <v>32</v>
      </c>
    </row>
    <row r="1434">
      <c r="A1434" s="0" t="inlineStr">
        <is>
          <t xml:space="preserve">random_05_NTCT</t>
        </is>
      </c>
      <c r="B1434" s="0" t="inlineStr">
        <is>
          <t xml:space="preserve">random_05</t>
        </is>
      </c>
      <c r="C1434" s="0" t="inlineStr">
        <is>
          <t xml:space="preserve">d20260923</t>
        </is>
      </c>
      <c r="D1434" s="0" t="inlineStr">
        <is>
          <t xml:space="preserve">NTCT</t>
        </is>
      </c>
      <c r="E1434" s="0" t="inlineStr">
        <is>
          <t xml:space="preserve">technology</t>
        </is>
      </c>
      <c r="F1434" s="4">
        <v>33</v>
      </c>
    </row>
    <row r="1435">
      <c r="A1435" s="0" t="inlineStr">
        <is>
          <t xml:space="preserve">random_05_GLW</t>
        </is>
      </c>
      <c r="B1435" s="0" t="inlineStr">
        <is>
          <t xml:space="preserve">random_05</t>
        </is>
      </c>
      <c r="C1435" s="0" t="inlineStr">
        <is>
          <t xml:space="preserve">d20260923</t>
        </is>
      </c>
      <c r="D1435" s="0" t="inlineStr">
        <is>
          <t xml:space="preserve">GLW</t>
        </is>
      </c>
      <c r="E1435" s="0" t="inlineStr">
        <is>
          <t xml:space="preserve">technology</t>
        </is>
      </c>
      <c r="F1435" s="4">
        <v>34</v>
      </c>
    </row>
    <row r="1436">
      <c r="A1436" s="0" t="inlineStr">
        <is>
          <t xml:space="preserve">random_05_CHD</t>
        </is>
      </c>
      <c r="B1436" s="0" t="inlineStr">
        <is>
          <t xml:space="preserve">random_05</t>
        </is>
      </c>
      <c r="C1436" s="0" t="inlineStr">
        <is>
          <t xml:space="preserve">d20260923</t>
        </is>
      </c>
      <c r="D1436" s="0" t="inlineStr">
        <is>
          <t xml:space="preserve">CHD</t>
        </is>
      </c>
      <c r="E1436" s="0" t="inlineStr">
        <is>
          <t xml:space="preserve">consumer_defensive</t>
        </is>
      </c>
      <c r="F1436" s="4">
        <v>35</v>
      </c>
    </row>
    <row r="1437">
      <c r="A1437" s="0" t="inlineStr">
        <is>
          <t xml:space="preserve">random_05_DRS</t>
        </is>
      </c>
      <c r="B1437" s="0" t="inlineStr">
        <is>
          <t xml:space="preserve">random_05</t>
        </is>
      </c>
      <c r="C1437" s="0" t="inlineStr">
        <is>
          <t xml:space="preserve">d20260923</t>
        </is>
      </c>
      <c r="D1437" s="0" t="inlineStr">
        <is>
          <t xml:space="preserve">DRS</t>
        </is>
      </c>
      <c r="E1437" s="0" t="inlineStr">
        <is>
          <t xml:space="preserve">industrials</t>
        </is>
      </c>
      <c r="F1437" s="4">
        <v>36</v>
      </c>
    </row>
    <row r="1438">
      <c r="A1438" s="0" t="inlineStr">
        <is>
          <t xml:space="preserve">random_05_EL</t>
        </is>
      </c>
      <c r="B1438" s="0" t="inlineStr">
        <is>
          <t xml:space="preserve">random_05</t>
        </is>
      </c>
      <c r="C1438" s="0" t="inlineStr">
        <is>
          <t xml:space="preserve">d20260923</t>
        </is>
      </c>
      <c r="D1438" s="0" t="inlineStr">
        <is>
          <t xml:space="preserve">EL</t>
        </is>
      </c>
      <c r="E1438" s="0" t="inlineStr">
        <is>
          <t xml:space="preserve">consumer_defensive</t>
        </is>
      </c>
      <c r="F1438" s="4">
        <v>37</v>
      </c>
    </row>
    <row r="1439">
      <c r="A1439" s="0" t="inlineStr">
        <is>
          <t xml:space="preserve">random_05_APLD</t>
        </is>
      </c>
      <c r="B1439" s="0" t="inlineStr">
        <is>
          <t xml:space="preserve">random_05</t>
        </is>
      </c>
      <c r="C1439" s="0" t="inlineStr">
        <is>
          <t xml:space="preserve">d20260923</t>
        </is>
      </c>
      <c r="D1439" s="0" t="inlineStr">
        <is>
          <t xml:space="preserve">APLD</t>
        </is>
      </c>
      <c r="E1439" s="0" t="inlineStr">
        <is>
          <t xml:space="preserve">technology</t>
        </is>
      </c>
      <c r="F1439" s="4">
        <v>38</v>
      </c>
    </row>
    <row r="1440">
      <c r="A1440" s="0" t="inlineStr">
        <is>
          <t xml:space="preserve">random_05_GGG</t>
        </is>
      </c>
      <c r="B1440" s="0" t="inlineStr">
        <is>
          <t xml:space="preserve">random_05</t>
        </is>
      </c>
      <c r="C1440" s="0" t="inlineStr">
        <is>
          <t xml:space="preserve">d20260923</t>
        </is>
      </c>
      <c r="D1440" s="0" t="inlineStr">
        <is>
          <t xml:space="preserve">GGG</t>
        </is>
      </c>
      <c r="E1440" s="0" t="inlineStr">
        <is>
          <t xml:space="preserve">industrials</t>
        </is>
      </c>
      <c r="F1440" s="4">
        <v>39</v>
      </c>
    </row>
    <row r="1441">
      <c r="A1441" s="0" t="inlineStr">
        <is>
          <t xml:space="preserve">random_05_MIAX</t>
        </is>
      </c>
      <c r="B1441" s="0" t="inlineStr">
        <is>
          <t xml:space="preserve">random_05</t>
        </is>
      </c>
      <c r="C1441" s="0" t="inlineStr">
        <is>
          <t xml:space="preserve">d20260923</t>
        </is>
      </c>
      <c r="D1441" s="0" t="inlineStr">
        <is>
          <t xml:space="preserve">MIAX</t>
        </is>
      </c>
      <c r="E1441" s="0" t="inlineStr">
        <is>
          <t xml:space="preserve">financial_services</t>
        </is>
      </c>
      <c r="F1441" s="4">
        <v>40</v>
      </c>
    </row>
    <row r="1442">
      <c r="A1442" s="0" t="inlineStr">
        <is>
          <t xml:space="preserve">random_05_UCTT</t>
        </is>
      </c>
      <c r="B1442" s="0" t="inlineStr">
        <is>
          <t xml:space="preserve">random_05</t>
        </is>
      </c>
      <c r="C1442" s="0" t="inlineStr">
        <is>
          <t xml:space="preserve">d20260923</t>
        </is>
      </c>
      <c r="D1442" s="0" t="inlineStr">
        <is>
          <t xml:space="preserve">UCTT</t>
        </is>
      </c>
      <c r="E1442" s="0" t="inlineStr">
        <is>
          <t xml:space="preserve">technology</t>
        </is>
      </c>
      <c r="F1442" s="4">
        <v>41</v>
      </c>
    </row>
    <row r="1443">
      <c r="A1443" s="0" t="inlineStr">
        <is>
          <t xml:space="preserve">random_05_OUT</t>
        </is>
      </c>
      <c r="B1443" s="0" t="inlineStr">
        <is>
          <t xml:space="preserve">random_05</t>
        </is>
      </c>
      <c r="C1443" s="0" t="inlineStr">
        <is>
          <t xml:space="preserve">d20260923</t>
        </is>
      </c>
      <c r="D1443" s="0" t="inlineStr">
        <is>
          <t xml:space="preserve">OUT</t>
        </is>
      </c>
      <c r="E1443" s="0" t="inlineStr">
        <is>
          <t xml:space="preserve">real_estate</t>
        </is>
      </c>
      <c r="F1443" s="4">
        <v>42</v>
      </c>
    </row>
    <row r="1444">
      <c r="A1444" s="0" t="inlineStr">
        <is>
          <t xml:space="preserve">random_05_CBT</t>
        </is>
      </c>
      <c r="B1444" s="0" t="inlineStr">
        <is>
          <t xml:space="preserve">random_05</t>
        </is>
      </c>
      <c r="C1444" s="0" t="inlineStr">
        <is>
          <t xml:space="preserve">d20260923</t>
        </is>
      </c>
      <c r="D1444" s="0" t="inlineStr">
        <is>
          <t xml:space="preserve">CBT</t>
        </is>
      </c>
      <c r="E1444" s="0" t="inlineStr">
        <is>
          <t xml:space="preserve">basic_materials</t>
        </is>
      </c>
      <c r="F1444" s="4">
        <v>43</v>
      </c>
    </row>
    <row r="1445">
      <c r="A1445" s="0" t="inlineStr">
        <is>
          <t xml:space="preserve">random_05_ANDG</t>
        </is>
      </c>
      <c r="B1445" s="0" t="inlineStr">
        <is>
          <t xml:space="preserve">random_05</t>
        </is>
      </c>
      <c r="C1445" s="0" t="inlineStr">
        <is>
          <t xml:space="preserve">d20260923</t>
        </is>
      </c>
      <c r="D1445" s="0" t="inlineStr">
        <is>
          <t xml:space="preserve">ANDG</t>
        </is>
      </c>
      <c r="E1445" s="0" t="inlineStr">
        <is>
          <t xml:space="preserve">consumer_cyclical</t>
        </is>
      </c>
      <c r="F1445" s="4">
        <v>44</v>
      </c>
    </row>
    <row r="1446">
      <c r="A1446" s="0" t="inlineStr">
        <is>
          <t xml:space="preserve">random_05_PCOR</t>
        </is>
      </c>
      <c r="B1446" s="0" t="inlineStr">
        <is>
          <t xml:space="preserve">random_05</t>
        </is>
      </c>
      <c r="C1446" s="0" t="inlineStr">
        <is>
          <t xml:space="preserve">d20260923</t>
        </is>
      </c>
      <c r="D1446" s="0" t="inlineStr">
        <is>
          <t xml:space="preserve">PCOR</t>
        </is>
      </c>
      <c r="E1446" s="0" t="inlineStr">
        <is>
          <t xml:space="preserve">technology</t>
        </is>
      </c>
      <c r="F1446" s="4">
        <v>45</v>
      </c>
    </row>
    <row r="1447">
      <c r="A1447" s="0" t="inlineStr">
        <is>
          <t xml:space="preserve">random_05_FR</t>
        </is>
      </c>
      <c r="B1447" s="0" t="inlineStr">
        <is>
          <t xml:space="preserve">random_05</t>
        </is>
      </c>
      <c r="C1447" s="0" t="inlineStr">
        <is>
          <t xml:space="preserve">d20260923</t>
        </is>
      </c>
      <c r="D1447" s="0" t="inlineStr">
        <is>
          <t xml:space="preserve">FR</t>
        </is>
      </c>
      <c r="E1447" s="0" t="inlineStr">
        <is>
          <t xml:space="preserve">real_estate</t>
        </is>
      </c>
      <c r="F1447" s="4">
        <v>46</v>
      </c>
    </row>
    <row r="1448">
      <c r="A1448" s="0" t="inlineStr">
        <is>
          <t xml:space="preserve">random_05_PK</t>
        </is>
      </c>
      <c r="B1448" s="0" t="inlineStr">
        <is>
          <t xml:space="preserve">random_05</t>
        </is>
      </c>
      <c r="C1448" s="0" t="inlineStr">
        <is>
          <t xml:space="preserve">d20260923</t>
        </is>
      </c>
      <c r="D1448" s="0" t="inlineStr">
        <is>
          <t xml:space="preserve">PK</t>
        </is>
      </c>
      <c r="E1448" s="0" t="inlineStr">
        <is>
          <t xml:space="preserve">real_estate</t>
        </is>
      </c>
      <c r="F1448" s="4">
        <v>47</v>
      </c>
    </row>
    <row r="1449">
      <c r="A1449" s="0" t="inlineStr">
        <is>
          <t xml:space="preserve">random_05_PANW</t>
        </is>
      </c>
      <c r="B1449" s="0" t="inlineStr">
        <is>
          <t xml:space="preserve">random_05</t>
        </is>
      </c>
      <c r="C1449" s="0" t="inlineStr">
        <is>
          <t xml:space="preserve">d20260923</t>
        </is>
      </c>
      <c r="D1449" s="0" t="inlineStr">
        <is>
          <t xml:space="preserve">PANW</t>
        </is>
      </c>
      <c r="E1449" s="0" t="inlineStr">
        <is>
          <t xml:space="preserve">technology</t>
        </is>
      </c>
      <c r="F1449" s="4">
        <v>48</v>
      </c>
    </row>
    <row r="1450">
      <c r="A1450" s="0" t="inlineStr">
        <is>
          <t xml:space="preserve">random_05_EXE</t>
        </is>
      </c>
      <c r="B1450" s="0" t="inlineStr">
        <is>
          <t xml:space="preserve">random_05</t>
        </is>
      </c>
      <c r="C1450" s="0" t="inlineStr">
        <is>
          <t xml:space="preserve">d20260923</t>
        </is>
      </c>
      <c r="D1450" s="0" t="inlineStr">
        <is>
          <t xml:space="preserve">EXE</t>
        </is>
      </c>
      <c r="E1450" s="0" t="inlineStr">
        <is>
          <t xml:space="preserve">energy</t>
        </is>
      </c>
      <c r="F1450" s="4">
        <v>49</v>
      </c>
    </row>
    <row r="1451">
      <c r="A1451" s="0" t="inlineStr">
        <is>
          <t xml:space="preserve">random_05_KRYS</t>
        </is>
      </c>
      <c r="B1451" s="0" t="inlineStr">
        <is>
          <t xml:space="preserve">random_05</t>
        </is>
      </c>
      <c r="C1451" s="0" t="inlineStr">
        <is>
          <t xml:space="preserve">d20260923</t>
        </is>
      </c>
      <c r="D1451" s="0" t="inlineStr">
        <is>
          <t xml:space="preserve">KRYS</t>
        </is>
      </c>
      <c r="E1451" s="0" t="inlineStr">
        <is>
          <t xml:space="preserve">healthcare</t>
        </is>
      </c>
      <c r="F1451" s="4">
        <v>50</v>
      </c>
    </row>
    <row r="1452">
      <c r="A1452" s="0" t="inlineStr">
        <is>
          <t xml:space="preserve">random_05_SAIC</t>
        </is>
      </c>
      <c r="B1452" s="0" t="inlineStr">
        <is>
          <t xml:space="preserve">random_05</t>
        </is>
      </c>
      <c r="C1452" s="0" t="inlineStr">
        <is>
          <t xml:space="preserve">d20260923</t>
        </is>
      </c>
      <c r="D1452" s="0" t="inlineStr">
        <is>
          <t xml:space="preserve">SAIC</t>
        </is>
      </c>
      <c r="E1452" s="0" t="inlineStr">
        <is>
          <t xml:space="preserve">technology</t>
        </is>
      </c>
      <c r="F1452" s="4">
        <v>51</v>
      </c>
    </row>
    <row r="1453">
      <c r="A1453" s="0" t="inlineStr">
        <is>
          <t xml:space="preserve">random_05_GL</t>
        </is>
      </c>
      <c r="B1453" s="0" t="inlineStr">
        <is>
          <t xml:space="preserve">random_05</t>
        </is>
      </c>
      <c r="C1453" s="0" t="inlineStr">
        <is>
          <t xml:space="preserve">d20260923</t>
        </is>
      </c>
      <c r="D1453" s="0" t="inlineStr">
        <is>
          <t xml:space="preserve">GL</t>
        </is>
      </c>
      <c r="E1453" s="0" t="inlineStr">
        <is>
          <t xml:space="preserve">financial_services</t>
        </is>
      </c>
      <c r="F1453" s="4">
        <v>52</v>
      </c>
    </row>
    <row r="1454">
      <c r="A1454" s="0" t="inlineStr">
        <is>
          <t xml:space="preserve">random_05_CURB</t>
        </is>
      </c>
      <c r="B1454" s="0" t="inlineStr">
        <is>
          <t xml:space="preserve">random_05</t>
        </is>
      </c>
      <c r="C1454" s="0" t="inlineStr">
        <is>
          <t xml:space="preserve">d20260923</t>
        </is>
      </c>
      <c r="D1454" s="0" t="inlineStr">
        <is>
          <t xml:space="preserve">CURB</t>
        </is>
      </c>
      <c r="E1454" s="0" t="inlineStr">
        <is>
          <t xml:space="preserve">real_estate</t>
        </is>
      </c>
      <c r="F1454" s="4">
        <v>53</v>
      </c>
    </row>
    <row r="1455">
      <c r="A1455" s="0" t="inlineStr">
        <is>
          <t xml:space="preserve">random_05_CNX</t>
        </is>
      </c>
      <c r="B1455" s="0" t="inlineStr">
        <is>
          <t xml:space="preserve">random_05</t>
        </is>
      </c>
      <c r="C1455" s="0" t="inlineStr">
        <is>
          <t xml:space="preserve">d20260923</t>
        </is>
      </c>
      <c r="D1455" s="0" t="inlineStr">
        <is>
          <t xml:space="preserve">CNX</t>
        </is>
      </c>
      <c r="E1455" s="0" t="inlineStr">
        <is>
          <t xml:space="preserve">energy</t>
        </is>
      </c>
      <c r="F1455" s="4">
        <v>54</v>
      </c>
    </row>
    <row r="1456">
      <c r="A1456" s="0" t="inlineStr">
        <is>
          <t xml:space="preserve">random_05_WTFC</t>
        </is>
      </c>
      <c r="B1456" s="0" t="inlineStr">
        <is>
          <t xml:space="preserve">random_05</t>
        </is>
      </c>
      <c r="C1456" s="0" t="inlineStr">
        <is>
          <t xml:space="preserve">d20260923</t>
        </is>
      </c>
      <c r="D1456" s="0" t="inlineStr">
        <is>
          <t xml:space="preserve">WTFC</t>
        </is>
      </c>
      <c r="E1456" s="0" t="inlineStr">
        <is>
          <t xml:space="preserve">financial_services</t>
        </is>
      </c>
      <c r="F1456" s="4">
        <v>55</v>
      </c>
    </row>
    <row r="1457">
      <c r="A1457" s="0" t="inlineStr">
        <is>
          <t xml:space="preserve">random_05_NYT</t>
        </is>
      </c>
      <c r="B1457" s="0" t="inlineStr">
        <is>
          <t xml:space="preserve">random_05</t>
        </is>
      </c>
      <c r="C1457" s="0" t="inlineStr">
        <is>
          <t xml:space="preserve">d20260923</t>
        </is>
      </c>
      <c r="D1457" s="0" t="inlineStr">
        <is>
          <t xml:space="preserve">NYT</t>
        </is>
      </c>
      <c r="E1457" s="0" t="inlineStr">
        <is>
          <t xml:space="preserve">communication_services</t>
        </is>
      </c>
      <c r="F1457" s="4">
        <v>56</v>
      </c>
    </row>
    <row r="1458">
      <c r="A1458" s="0" t="inlineStr">
        <is>
          <t xml:space="preserve">random_05_COLB</t>
        </is>
      </c>
      <c r="B1458" s="0" t="inlineStr">
        <is>
          <t xml:space="preserve">random_05</t>
        </is>
      </c>
      <c r="C1458" s="0" t="inlineStr">
        <is>
          <t xml:space="preserve">d20260923</t>
        </is>
      </c>
      <c r="D1458" s="0" t="inlineStr">
        <is>
          <t xml:space="preserve">COLB</t>
        </is>
      </c>
      <c r="E1458" s="0" t="inlineStr">
        <is>
          <t xml:space="preserve">financial_services</t>
        </is>
      </c>
      <c r="F1458" s="4">
        <v>57</v>
      </c>
    </row>
    <row r="1459">
      <c r="A1459" s="0" t="inlineStr">
        <is>
          <t xml:space="preserve">random_05_HLNE</t>
        </is>
      </c>
      <c r="B1459" s="0" t="inlineStr">
        <is>
          <t xml:space="preserve">random_05</t>
        </is>
      </c>
      <c r="C1459" s="0" t="inlineStr">
        <is>
          <t xml:space="preserve">d20260923</t>
        </is>
      </c>
      <c r="D1459" s="0" t="inlineStr">
        <is>
          <t xml:space="preserve">HLNE</t>
        </is>
      </c>
      <c r="E1459" s="0" t="inlineStr">
        <is>
          <t xml:space="preserve">financial_services</t>
        </is>
      </c>
      <c r="F1459" s="4">
        <v>58</v>
      </c>
    </row>
    <row r="1460">
      <c r="A1460" s="0" t="inlineStr">
        <is>
          <t xml:space="preserve">random_05_ADC</t>
        </is>
      </c>
      <c r="B1460" s="0" t="inlineStr">
        <is>
          <t xml:space="preserve">random_05</t>
        </is>
      </c>
      <c r="C1460" s="0" t="inlineStr">
        <is>
          <t xml:space="preserve">d20260923</t>
        </is>
      </c>
      <c r="D1460" s="0" t="inlineStr">
        <is>
          <t xml:space="preserve">ADC</t>
        </is>
      </c>
      <c r="E1460" s="0" t="inlineStr">
        <is>
          <t xml:space="preserve">real_estate</t>
        </is>
      </c>
      <c r="F1460" s="4">
        <v>59</v>
      </c>
    </row>
    <row r="1461">
      <c r="A1461" s="0" t="inlineStr">
        <is>
          <t xml:space="preserve">random_05_PPG</t>
        </is>
      </c>
      <c r="B1461" s="0" t="inlineStr">
        <is>
          <t xml:space="preserve">random_05</t>
        </is>
      </c>
      <c r="C1461" s="0" t="inlineStr">
        <is>
          <t xml:space="preserve">d20260923</t>
        </is>
      </c>
      <c r="D1461" s="0" t="inlineStr">
        <is>
          <t xml:space="preserve">PPG</t>
        </is>
      </c>
      <c r="E1461" s="0" t="inlineStr">
        <is>
          <t xml:space="preserve">basic_materials</t>
        </is>
      </c>
      <c r="F1461" s="4">
        <v>60</v>
      </c>
    </row>
    <row r="1462">
      <c r="A1462" s="0" t="inlineStr">
        <is>
          <t xml:space="preserve">random_05_PYPL</t>
        </is>
      </c>
      <c r="B1462" s="0" t="inlineStr">
        <is>
          <t xml:space="preserve">random_05</t>
        </is>
      </c>
      <c r="C1462" s="0" t="inlineStr">
        <is>
          <t xml:space="preserve">d20260923</t>
        </is>
      </c>
      <c r="D1462" s="0" t="inlineStr">
        <is>
          <t xml:space="preserve">PYPL</t>
        </is>
      </c>
      <c r="E1462" s="0" t="inlineStr">
        <is>
          <t xml:space="preserve">financial_services</t>
        </is>
      </c>
      <c r="F1462" s="4">
        <v>61</v>
      </c>
    </row>
    <row r="1463">
      <c r="A1463" s="0" t="inlineStr">
        <is>
          <t xml:space="preserve">random_05_MLM</t>
        </is>
      </c>
      <c r="B1463" s="0" t="inlineStr">
        <is>
          <t xml:space="preserve">random_05</t>
        </is>
      </c>
      <c r="C1463" s="0" t="inlineStr">
        <is>
          <t xml:space="preserve">d20260923</t>
        </is>
      </c>
      <c r="D1463" s="0" t="inlineStr">
        <is>
          <t xml:space="preserve">MLM</t>
        </is>
      </c>
      <c r="E1463" s="0" t="inlineStr">
        <is>
          <t xml:space="preserve">basic_materials</t>
        </is>
      </c>
      <c r="F1463" s="4">
        <v>62</v>
      </c>
    </row>
    <row r="1464">
      <c r="A1464" s="0" t="inlineStr">
        <is>
          <t xml:space="preserve">random_05_FCF</t>
        </is>
      </c>
      <c r="B1464" s="0" t="inlineStr">
        <is>
          <t xml:space="preserve">random_05</t>
        </is>
      </c>
      <c r="C1464" s="0" t="inlineStr">
        <is>
          <t xml:space="preserve">d20260923</t>
        </is>
      </c>
      <c r="D1464" s="0" t="inlineStr">
        <is>
          <t xml:space="preserve">FCF</t>
        </is>
      </c>
      <c r="E1464" s="0" t="inlineStr">
        <is>
          <t xml:space="preserve">financial_services</t>
        </is>
      </c>
      <c r="F1464" s="4">
        <v>63</v>
      </c>
    </row>
    <row r="1465">
      <c r="A1465" s="0" t="inlineStr">
        <is>
          <t xml:space="preserve">random_05_IDXX</t>
        </is>
      </c>
      <c r="B1465" s="0" t="inlineStr">
        <is>
          <t xml:space="preserve">random_05</t>
        </is>
      </c>
      <c r="C1465" s="0" t="inlineStr">
        <is>
          <t xml:space="preserve">d20260923</t>
        </is>
      </c>
      <c r="D1465" s="0" t="inlineStr">
        <is>
          <t xml:space="preserve">IDXX</t>
        </is>
      </c>
      <c r="E1465" s="0" t="inlineStr">
        <is>
          <t xml:space="preserve">healthcare</t>
        </is>
      </c>
      <c r="F1465" s="4">
        <v>64</v>
      </c>
    </row>
    <row r="1466">
      <c r="A1466" s="0" t="inlineStr">
        <is>
          <t xml:space="preserve">random_05_CALM</t>
        </is>
      </c>
      <c r="B1466" s="0" t="inlineStr">
        <is>
          <t xml:space="preserve">random_05</t>
        </is>
      </c>
      <c r="C1466" s="0" t="inlineStr">
        <is>
          <t xml:space="preserve">d20260923</t>
        </is>
      </c>
      <c r="D1466" s="0" t="inlineStr">
        <is>
          <t xml:space="preserve">CALM</t>
        </is>
      </c>
      <c r="E1466" s="0" t="inlineStr">
        <is>
          <t xml:space="preserve">consumer_defensive</t>
        </is>
      </c>
      <c r="F1466" s="4">
        <v>65</v>
      </c>
    </row>
    <row r="1467">
      <c r="A1467" s="0" t="inlineStr">
        <is>
          <t xml:space="preserve">random_05_SN</t>
        </is>
      </c>
      <c r="B1467" s="0" t="inlineStr">
        <is>
          <t xml:space="preserve">random_05</t>
        </is>
      </c>
      <c r="C1467" s="0" t="inlineStr">
        <is>
          <t xml:space="preserve">d20260923</t>
        </is>
      </c>
      <c r="D1467" s="0" t="inlineStr">
        <is>
          <t xml:space="preserve">SN</t>
        </is>
      </c>
      <c r="E1467" s="0" t="inlineStr">
        <is>
          <t xml:space="preserve">consumer_cyclical</t>
        </is>
      </c>
      <c r="F1467" s="4">
        <v>66</v>
      </c>
    </row>
    <row r="1468">
      <c r="A1468" s="0" t="inlineStr">
        <is>
          <t xml:space="preserve">random_05_NOVT</t>
        </is>
      </c>
      <c r="B1468" s="0" t="inlineStr">
        <is>
          <t xml:space="preserve">random_05</t>
        </is>
      </c>
      <c r="C1468" s="0" t="inlineStr">
        <is>
          <t xml:space="preserve">d20260923</t>
        </is>
      </c>
      <c r="D1468" s="0" t="inlineStr">
        <is>
          <t xml:space="preserve">NOVT</t>
        </is>
      </c>
      <c r="E1468" s="0" t="inlineStr">
        <is>
          <t xml:space="preserve">technology</t>
        </is>
      </c>
      <c r="F1468" s="4">
        <v>67</v>
      </c>
    </row>
    <row r="1469">
      <c r="A1469" s="0" t="inlineStr">
        <is>
          <t xml:space="preserve">random_05_CCL</t>
        </is>
      </c>
      <c r="B1469" s="0" t="inlineStr">
        <is>
          <t xml:space="preserve">random_05</t>
        </is>
      </c>
      <c r="C1469" s="0" t="inlineStr">
        <is>
          <t xml:space="preserve">d20260923</t>
        </is>
      </c>
      <c r="D1469" s="0" t="inlineStr">
        <is>
          <t xml:space="preserve">CCL</t>
        </is>
      </c>
      <c r="E1469" s="0" t="inlineStr">
        <is>
          <t xml:space="preserve">consumer_cyclical</t>
        </is>
      </c>
      <c r="F1469" s="4">
        <v>68</v>
      </c>
    </row>
    <row r="1470">
      <c r="A1470" s="0" t="inlineStr">
        <is>
          <t xml:space="preserve">random_05_WRBY</t>
        </is>
      </c>
      <c r="B1470" s="0" t="inlineStr">
        <is>
          <t xml:space="preserve">random_05</t>
        </is>
      </c>
      <c r="C1470" s="0" t="inlineStr">
        <is>
          <t xml:space="preserve">d20260923</t>
        </is>
      </c>
      <c r="D1470" s="0" t="inlineStr">
        <is>
          <t xml:space="preserve">WRBY</t>
        </is>
      </c>
      <c r="E1470" s="0" t="inlineStr">
        <is>
          <t xml:space="preserve">consumer_cyclical</t>
        </is>
      </c>
      <c r="F1470" s="4">
        <v>69</v>
      </c>
    </row>
    <row r="1471">
      <c r="A1471" s="0" t="inlineStr">
        <is>
          <t xml:space="preserve">random_05_UBER</t>
        </is>
      </c>
      <c r="B1471" s="0" t="inlineStr">
        <is>
          <t xml:space="preserve">random_05</t>
        </is>
      </c>
      <c r="C1471" s="0" t="inlineStr">
        <is>
          <t xml:space="preserve">d20260923</t>
        </is>
      </c>
      <c r="D1471" s="0" t="inlineStr">
        <is>
          <t xml:space="preserve">UBER</t>
        </is>
      </c>
      <c r="E1471" s="0" t="inlineStr">
        <is>
          <t xml:space="preserve">technology</t>
        </is>
      </c>
      <c r="F1471" s="4">
        <v>70</v>
      </c>
    </row>
    <row r="1472">
      <c r="A1472" s="0" t="inlineStr">
        <is>
          <t xml:space="preserve">random_05_VLTO</t>
        </is>
      </c>
      <c r="B1472" s="0" t="inlineStr">
        <is>
          <t xml:space="preserve">random_05</t>
        </is>
      </c>
      <c r="C1472" s="0" t="inlineStr">
        <is>
          <t xml:space="preserve">d20260923</t>
        </is>
      </c>
      <c r="D1472" s="0" t="inlineStr">
        <is>
          <t xml:space="preserve">VLTO</t>
        </is>
      </c>
      <c r="E1472" s="0" t="inlineStr">
        <is>
          <t xml:space="preserve">industrials</t>
        </is>
      </c>
      <c r="F1472" s="4">
        <v>71</v>
      </c>
    </row>
    <row r="1473">
      <c r="A1473" s="0" t="inlineStr">
        <is>
          <t xml:space="preserve">random_05_OKLO</t>
        </is>
      </c>
      <c r="B1473" s="0" t="inlineStr">
        <is>
          <t xml:space="preserve">random_05</t>
        </is>
      </c>
      <c r="C1473" s="0" t="inlineStr">
        <is>
          <t xml:space="preserve">d20260923</t>
        </is>
      </c>
      <c r="D1473" s="0" t="inlineStr">
        <is>
          <t xml:space="preserve">OKLO</t>
        </is>
      </c>
      <c r="E1473" s="0" t="inlineStr">
        <is>
          <t xml:space="preserve">utilities</t>
        </is>
      </c>
      <c r="F1473" s="4">
        <v>72</v>
      </c>
    </row>
    <row r="1474">
      <c r="A1474" s="0" t="inlineStr">
        <is>
          <t xml:space="preserve">random_05_SLS</t>
        </is>
      </c>
      <c r="B1474" s="0" t="inlineStr">
        <is>
          <t xml:space="preserve">random_05</t>
        </is>
      </c>
      <c r="C1474" s="0" t="inlineStr">
        <is>
          <t xml:space="preserve">d20260923</t>
        </is>
      </c>
      <c r="D1474" s="0" t="inlineStr">
        <is>
          <t xml:space="preserve">SLS</t>
        </is>
      </c>
      <c r="E1474" s="0" t="inlineStr">
        <is>
          <t xml:space="preserve">healthcare</t>
        </is>
      </c>
      <c r="F1474" s="4">
        <v>73</v>
      </c>
    </row>
    <row r="1475">
      <c r="A1475" s="0" t="inlineStr">
        <is>
          <t xml:space="preserve">random_05_BANR</t>
        </is>
      </c>
      <c r="B1475" s="0" t="inlineStr">
        <is>
          <t xml:space="preserve">random_05</t>
        </is>
      </c>
      <c r="C1475" s="0" t="inlineStr">
        <is>
          <t xml:space="preserve">d20260923</t>
        </is>
      </c>
      <c r="D1475" s="0" t="inlineStr">
        <is>
          <t xml:space="preserve">BANR</t>
        </is>
      </c>
      <c r="E1475" s="0" t="inlineStr">
        <is>
          <t xml:space="preserve">financial_services</t>
        </is>
      </c>
      <c r="F1475" s="4">
        <v>74</v>
      </c>
    </row>
    <row r="1476">
      <c r="A1476" s="0" t="inlineStr">
        <is>
          <t xml:space="preserve">random_05_MBX</t>
        </is>
      </c>
      <c r="B1476" s="0" t="inlineStr">
        <is>
          <t xml:space="preserve">random_05</t>
        </is>
      </c>
      <c r="C1476" s="0" t="inlineStr">
        <is>
          <t xml:space="preserve">d20260923</t>
        </is>
      </c>
      <c r="D1476" s="0" t="inlineStr">
        <is>
          <t xml:space="preserve">MBX</t>
        </is>
      </c>
      <c r="E1476" s="0" t="inlineStr">
        <is>
          <t xml:space="preserve">healthcare</t>
        </is>
      </c>
      <c r="F1476" s="4">
        <v>75</v>
      </c>
    </row>
    <row r="1477">
      <c r="A1477" s="0" t="inlineStr">
        <is>
          <t xml:space="preserve">random_05_LH</t>
        </is>
      </c>
      <c r="B1477" s="0" t="inlineStr">
        <is>
          <t xml:space="preserve">random_05</t>
        </is>
      </c>
      <c r="C1477" s="0" t="inlineStr">
        <is>
          <t xml:space="preserve">d20260923</t>
        </is>
      </c>
      <c r="D1477" s="0" t="inlineStr">
        <is>
          <t xml:space="preserve">LH</t>
        </is>
      </c>
      <c r="E1477" s="0" t="inlineStr">
        <is>
          <t xml:space="preserve">healthcare</t>
        </is>
      </c>
      <c r="F1477" s="4">
        <v>76</v>
      </c>
    </row>
    <row r="1478">
      <c r="A1478" s="0" t="inlineStr">
        <is>
          <t xml:space="preserve">random_05_NTRA</t>
        </is>
      </c>
      <c r="B1478" s="0" t="inlineStr">
        <is>
          <t xml:space="preserve">random_05</t>
        </is>
      </c>
      <c r="C1478" s="0" t="inlineStr">
        <is>
          <t xml:space="preserve">d20260923</t>
        </is>
      </c>
      <c r="D1478" s="0" t="inlineStr">
        <is>
          <t xml:space="preserve">NTRA</t>
        </is>
      </c>
      <c r="E1478" s="0" t="inlineStr">
        <is>
          <t xml:space="preserve">healthcare</t>
        </is>
      </c>
      <c r="F1478" s="4">
        <v>77</v>
      </c>
    </row>
    <row r="1479">
      <c r="A1479" s="0" t="inlineStr">
        <is>
          <t xml:space="preserve">random_05_SARO</t>
        </is>
      </c>
      <c r="B1479" s="0" t="inlineStr">
        <is>
          <t xml:space="preserve">random_05</t>
        </is>
      </c>
      <c r="C1479" s="0" t="inlineStr">
        <is>
          <t xml:space="preserve">d20260923</t>
        </is>
      </c>
      <c r="D1479" s="0" t="inlineStr">
        <is>
          <t xml:space="preserve">SARO</t>
        </is>
      </c>
      <c r="E1479" s="0" t="inlineStr">
        <is>
          <t xml:space="preserve">industrials</t>
        </is>
      </c>
      <c r="F1479" s="4">
        <v>78</v>
      </c>
    </row>
    <row r="1480">
      <c r="A1480" s="0" t="inlineStr">
        <is>
          <t xml:space="preserve">random_05_ALH</t>
        </is>
      </c>
      <c r="B1480" s="0" t="inlineStr">
        <is>
          <t xml:space="preserve">random_05</t>
        </is>
      </c>
      <c r="C1480" s="0" t="inlineStr">
        <is>
          <t xml:space="preserve">d20260923</t>
        </is>
      </c>
      <c r="D1480" s="0" t="inlineStr">
        <is>
          <t xml:space="preserve">ALH</t>
        </is>
      </c>
      <c r="E1480" s="0" t="inlineStr">
        <is>
          <t xml:space="preserve">industrials</t>
        </is>
      </c>
      <c r="F1480" s="4">
        <v>79</v>
      </c>
    </row>
    <row r="1481">
      <c r="A1481" s="0" t="inlineStr">
        <is>
          <t xml:space="preserve">random_05_SLM</t>
        </is>
      </c>
      <c r="B1481" s="0" t="inlineStr">
        <is>
          <t xml:space="preserve">random_05</t>
        </is>
      </c>
      <c r="C1481" s="0" t="inlineStr">
        <is>
          <t xml:space="preserve">d20260923</t>
        </is>
      </c>
      <c r="D1481" s="0" t="inlineStr">
        <is>
          <t xml:space="preserve">SLM</t>
        </is>
      </c>
      <c r="E1481" s="0" t="inlineStr">
        <is>
          <t xml:space="preserve">financial_services</t>
        </is>
      </c>
      <c r="F1481" s="4">
        <v>80</v>
      </c>
    </row>
    <row r="1482">
      <c r="A1482" s="0" t="inlineStr">
        <is>
          <t xml:space="preserve">random_05_KO</t>
        </is>
      </c>
      <c r="B1482" s="0" t="inlineStr">
        <is>
          <t xml:space="preserve">random_05</t>
        </is>
      </c>
      <c r="C1482" s="0" t="inlineStr">
        <is>
          <t xml:space="preserve">d20260923</t>
        </is>
      </c>
      <c r="D1482" s="0" t="inlineStr">
        <is>
          <t xml:space="preserve">KO</t>
        </is>
      </c>
      <c r="E1482" s="0" t="inlineStr">
        <is>
          <t xml:space="preserve">consumer_defensive</t>
        </is>
      </c>
      <c r="F1482" s="4">
        <v>81</v>
      </c>
    </row>
    <row r="1483">
      <c r="A1483" s="0" t="inlineStr">
        <is>
          <t xml:space="preserve">random_05_RITM</t>
        </is>
      </c>
      <c r="B1483" s="0" t="inlineStr">
        <is>
          <t xml:space="preserve">random_05</t>
        </is>
      </c>
      <c r="C1483" s="0" t="inlineStr">
        <is>
          <t xml:space="preserve">d20260923</t>
        </is>
      </c>
      <c r="D1483" s="0" t="inlineStr">
        <is>
          <t xml:space="preserve">RITM</t>
        </is>
      </c>
      <c r="E1483" s="0" t="inlineStr">
        <is>
          <t xml:space="preserve">real_estate</t>
        </is>
      </c>
      <c r="F1483" s="4">
        <v>82</v>
      </c>
    </row>
    <row r="1484">
      <c r="A1484" s="0" t="inlineStr">
        <is>
          <t xml:space="preserve">random_05_CBC</t>
        </is>
      </c>
      <c r="B1484" s="0" t="inlineStr">
        <is>
          <t xml:space="preserve">random_05</t>
        </is>
      </c>
      <c r="C1484" s="0" t="inlineStr">
        <is>
          <t xml:space="preserve">d20260923</t>
        </is>
      </c>
      <c r="D1484" s="0" t="inlineStr">
        <is>
          <t xml:space="preserve">CBC</t>
        </is>
      </c>
      <c r="E1484" s="0" t="inlineStr">
        <is>
          <t xml:space="preserve">financial_services</t>
        </is>
      </c>
      <c r="F1484" s="4">
        <v>83</v>
      </c>
    </row>
    <row r="1485">
      <c r="A1485" s="0" t="inlineStr">
        <is>
          <t xml:space="preserve">random_05_OXY</t>
        </is>
      </c>
      <c r="B1485" s="0" t="inlineStr">
        <is>
          <t xml:space="preserve">random_05</t>
        </is>
      </c>
      <c r="C1485" s="0" t="inlineStr">
        <is>
          <t xml:space="preserve">d20260923</t>
        </is>
      </c>
      <c r="D1485" s="0" t="inlineStr">
        <is>
          <t xml:space="preserve">OXY</t>
        </is>
      </c>
      <c r="E1485" s="0" t="inlineStr">
        <is>
          <t xml:space="preserve">energy</t>
        </is>
      </c>
      <c r="F1485" s="4">
        <v>84</v>
      </c>
    </row>
    <row r="1486">
      <c r="A1486" s="0" t="inlineStr">
        <is>
          <t xml:space="preserve">random_05_SSB</t>
        </is>
      </c>
      <c r="B1486" s="0" t="inlineStr">
        <is>
          <t xml:space="preserve">random_05</t>
        </is>
      </c>
      <c r="C1486" s="0" t="inlineStr">
        <is>
          <t xml:space="preserve">d20260923</t>
        </is>
      </c>
      <c r="D1486" s="0" t="inlineStr">
        <is>
          <t xml:space="preserve">SSB</t>
        </is>
      </c>
      <c r="E1486" s="0" t="inlineStr">
        <is>
          <t xml:space="preserve">financial_services</t>
        </is>
      </c>
      <c r="F1486" s="4">
        <v>85</v>
      </c>
    </row>
    <row r="1487">
      <c r="A1487" s="0" t="inlineStr">
        <is>
          <t xml:space="preserve">random_05_FRT</t>
        </is>
      </c>
      <c r="B1487" s="0" t="inlineStr">
        <is>
          <t xml:space="preserve">random_05</t>
        </is>
      </c>
      <c r="C1487" s="0" t="inlineStr">
        <is>
          <t xml:space="preserve">d20260923</t>
        </is>
      </c>
      <c r="D1487" s="0" t="inlineStr">
        <is>
          <t xml:space="preserve">FRT</t>
        </is>
      </c>
      <c r="E1487" s="0" t="inlineStr">
        <is>
          <t xml:space="preserve">real_estate</t>
        </is>
      </c>
      <c r="F1487" s="4">
        <v>86</v>
      </c>
    </row>
    <row r="1488">
      <c r="A1488" s="0" t="inlineStr">
        <is>
          <t xml:space="preserve">random_05_GPCR</t>
        </is>
      </c>
      <c r="B1488" s="0" t="inlineStr">
        <is>
          <t xml:space="preserve">random_05</t>
        </is>
      </c>
      <c r="C1488" s="0" t="inlineStr">
        <is>
          <t xml:space="preserve">d20260923</t>
        </is>
      </c>
      <c r="D1488" s="0" t="inlineStr">
        <is>
          <t xml:space="preserve">GPCR</t>
        </is>
      </c>
      <c r="E1488" s="0" t="inlineStr">
        <is>
          <t xml:space="preserve">healthcare</t>
        </is>
      </c>
      <c r="F1488" s="4">
        <v>87</v>
      </c>
    </row>
    <row r="1489">
      <c r="A1489" s="0" t="inlineStr">
        <is>
          <t xml:space="preserve">random_05_PWR</t>
        </is>
      </c>
      <c r="B1489" s="0" t="inlineStr">
        <is>
          <t xml:space="preserve">random_05</t>
        </is>
      </c>
      <c r="C1489" s="0" t="inlineStr">
        <is>
          <t xml:space="preserve">d20260923</t>
        </is>
      </c>
      <c r="D1489" s="0" t="inlineStr">
        <is>
          <t xml:space="preserve">PWR</t>
        </is>
      </c>
      <c r="E1489" s="0" t="inlineStr">
        <is>
          <t xml:space="preserve">industrials</t>
        </is>
      </c>
      <c r="F1489" s="4">
        <v>88</v>
      </c>
    </row>
    <row r="1490">
      <c r="A1490" s="0" t="inlineStr">
        <is>
          <t xml:space="preserve">random_05_XYZ</t>
        </is>
      </c>
      <c r="B1490" s="0" t="inlineStr">
        <is>
          <t xml:space="preserve">random_05</t>
        </is>
      </c>
      <c r="C1490" s="0" t="inlineStr">
        <is>
          <t xml:space="preserve">d20260923</t>
        </is>
      </c>
      <c r="D1490" s="0" t="inlineStr">
        <is>
          <t xml:space="preserve">XYZ</t>
        </is>
      </c>
      <c r="E1490" s="0" t="inlineStr">
        <is>
          <t xml:space="preserve">technology</t>
        </is>
      </c>
      <c r="F1490" s="4">
        <v>89</v>
      </c>
    </row>
    <row r="1491">
      <c r="A1491" s="0" t="inlineStr">
        <is>
          <t xml:space="preserve">random_05_OPCH</t>
        </is>
      </c>
      <c r="B1491" s="0" t="inlineStr">
        <is>
          <t xml:space="preserve">random_05</t>
        </is>
      </c>
      <c r="C1491" s="0" t="inlineStr">
        <is>
          <t xml:space="preserve">d20260923</t>
        </is>
      </c>
      <c r="D1491" s="0" t="inlineStr">
        <is>
          <t xml:space="preserve">OPCH</t>
        </is>
      </c>
      <c r="E1491" s="0" t="inlineStr">
        <is>
          <t xml:space="preserve">healthcare</t>
        </is>
      </c>
      <c r="F1491" s="4">
        <v>90</v>
      </c>
    </row>
    <row r="1492">
      <c r="A1492" s="0" t="inlineStr">
        <is>
          <t xml:space="preserve">random_05_TH</t>
        </is>
      </c>
      <c r="B1492" s="0" t="inlineStr">
        <is>
          <t xml:space="preserve">random_05</t>
        </is>
      </c>
      <c r="C1492" s="0" t="inlineStr">
        <is>
          <t xml:space="preserve">d20260923</t>
        </is>
      </c>
      <c r="D1492" s="0" t="inlineStr">
        <is>
          <t xml:space="preserve">TH</t>
        </is>
      </c>
      <c r="E1492" s="0" t="inlineStr">
        <is>
          <t xml:space="preserve">industrials</t>
        </is>
      </c>
      <c r="F1492" s="4">
        <v>91</v>
      </c>
    </row>
    <row r="1493">
      <c r="A1493" s="0" t="inlineStr">
        <is>
          <t xml:space="preserve">random_05_BOH</t>
        </is>
      </c>
      <c r="B1493" s="0" t="inlineStr">
        <is>
          <t xml:space="preserve">random_05</t>
        </is>
      </c>
      <c r="C1493" s="0" t="inlineStr">
        <is>
          <t xml:space="preserve">d20260923</t>
        </is>
      </c>
      <c r="D1493" s="0" t="inlineStr">
        <is>
          <t xml:space="preserve">BOH</t>
        </is>
      </c>
      <c r="E1493" s="0" t="inlineStr">
        <is>
          <t xml:space="preserve">financial_services</t>
        </is>
      </c>
      <c r="F1493" s="4">
        <v>92</v>
      </c>
    </row>
    <row r="1494">
      <c r="A1494" s="0" t="inlineStr">
        <is>
          <t xml:space="preserve">random_05_NWBI</t>
        </is>
      </c>
      <c r="B1494" s="0" t="inlineStr">
        <is>
          <t xml:space="preserve">random_05</t>
        </is>
      </c>
      <c r="C1494" s="0" t="inlineStr">
        <is>
          <t xml:space="preserve">d20260923</t>
        </is>
      </c>
      <c r="D1494" s="0" t="inlineStr">
        <is>
          <t xml:space="preserve">NWBI</t>
        </is>
      </c>
      <c r="E1494" s="0" t="inlineStr">
        <is>
          <t xml:space="preserve">financial_services</t>
        </is>
      </c>
      <c r="F1494" s="4">
        <v>93</v>
      </c>
    </row>
    <row r="1495">
      <c r="A1495" s="0" t="inlineStr">
        <is>
          <t xml:space="preserve">random_05_FBP</t>
        </is>
      </c>
      <c r="B1495" s="0" t="inlineStr">
        <is>
          <t xml:space="preserve">random_05</t>
        </is>
      </c>
      <c r="C1495" s="0" t="inlineStr">
        <is>
          <t xml:space="preserve">d20260923</t>
        </is>
      </c>
      <c r="D1495" s="0" t="inlineStr">
        <is>
          <t xml:space="preserve">FBP</t>
        </is>
      </c>
      <c r="E1495" s="0" t="inlineStr">
        <is>
          <t xml:space="preserve">financial_services</t>
        </is>
      </c>
      <c r="F1495" s="4">
        <v>94</v>
      </c>
    </row>
    <row r="1496">
      <c r="A1496" s="0" t="inlineStr">
        <is>
          <t xml:space="preserve">random_05_ARES</t>
        </is>
      </c>
      <c r="B1496" s="0" t="inlineStr">
        <is>
          <t xml:space="preserve">random_05</t>
        </is>
      </c>
      <c r="C1496" s="0" t="inlineStr">
        <is>
          <t xml:space="preserve">d20260923</t>
        </is>
      </c>
      <c r="D1496" s="0" t="inlineStr">
        <is>
          <t xml:space="preserve">ARES</t>
        </is>
      </c>
      <c r="E1496" s="0" t="inlineStr">
        <is>
          <t xml:space="preserve">financial_services</t>
        </is>
      </c>
      <c r="F1496" s="4">
        <v>95</v>
      </c>
    </row>
    <row r="1497">
      <c r="A1497" s="0" t="inlineStr">
        <is>
          <t xml:space="preserve">random_05_BCRX</t>
        </is>
      </c>
      <c r="B1497" s="0" t="inlineStr">
        <is>
          <t xml:space="preserve">random_05</t>
        </is>
      </c>
      <c r="C1497" s="0" t="inlineStr">
        <is>
          <t xml:space="preserve">d20260923</t>
        </is>
      </c>
      <c r="D1497" s="0" t="inlineStr">
        <is>
          <t xml:space="preserve">BCRX</t>
        </is>
      </c>
      <c r="E1497" s="0" t="inlineStr">
        <is>
          <t xml:space="preserve">healthcare</t>
        </is>
      </c>
      <c r="F1497" s="4">
        <v>96</v>
      </c>
    </row>
    <row r="1498">
      <c r="A1498" s="0" t="inlineStr">
        <is>
          <t xml:space="preserve">random_05_CVNA</t>
        </is>
      </c>
      <c r="B1498" s="0" t="inlineStr">
        <is>
          <t xml:space="preserve">random_05</t>
        </is>
      </c>
      <c r="C1498" s="0" t="inlineStr">
        <is>
          <t xml:space="preserve">d20260923</t>
        </is>
      </c>
      <c r="D1498" s="0" t="inlineStr">
        <is>
          <t xml:space="preserve">CVNA</t>
        </is>
      </c>
      <c r="E1498" s="0" t="inlineStr">
        <is>
          <t xml:space="preserve">consumer_cyclical</t>
        </is>
      </c>
      <c r="F1498" s="4">
        <v>97</v>
      </c>
    </row>
    <row r="1499">
      <c r="A1499" s="0" t="inlineStr">
        <is>
          <t xml:space="preserve">random_05_LPX</t>
        </is>
      </c>
      <c r="B1499" s="0" t="inlineStr">
        <is>
          <t xml:space="preserve">random_05</t>
        </is>
      </c>
      <c r="C1499" s="0" t="inlineStr">
        <is>
          <t xml:space="preserve">d20260923</t>
        </is>
      </c>
      <c r="D1499" s="0" t="inlineStr">
        <is>
          <t xml:space="preserve">LPX</t>
        </is>
      </c>
      <c r="E1499" s="0" t="inlineStr">
        <is>
          <t xml:space="preserve">basic_materials</t>
        </is>
      </c>
      <c r="F1499" s="4">
        <v>98</v>
      </c>
    </row>
    <row r="1500">
      <c r="A1500" s="0" t="inlineStr">
        <is>
          <t xml:space="preserve">random_05_BFLY</t>
        </is>
      </c>
      <c r="B1500" s="0" t="inlineStr">
        <is>
          <t xml:space="preserve">random_05</t>
        </is>
      </c>
      <c r="C1500" s="0" t="inlineStr">
        <is>
          <t xml:space="preserve">d20260923</t>
        </is>
      </c>
      <c r="D1500" s="0" t="inlineStr">
        <is>
          <t xml:space="preserve">BFLY</t>
        </is>
      </c>
      <c r="E1500" s="0" t="inlineStr">
        <is>
          <t xml:space="preserve">healthcare</t>
        </is>
      </c>
      <c r="F1500" s="4">
        <v>99</v>
      </c>
    </row>
    <row r="1501">
      <c r="A1501" s="0" t="inlineStr">
        <is>
          <t xml:space="preserve">random_05_ISRG</t>
        </is>
      </c>
      <c r="B1501" s="0" t="inlineStr">
        <is>
          <t xml:space="preserve">random_05</t>
        </is>
      </c>
      <c r="C1501" s="0" t="inlineStr">
        <is>
          <t xml:space="preserve">d20260923</t>
        </is>
      </c>
      <c r="D1501" s="0" t="inlineStr">
        <is>
          <t xml:space="preserve">ISRG</t>
        </is>
      </c>
      <c r="E1501" s="0" t="inlineStr">
        <is>
          <t xml:space="preserve">healthcare</t>
        </is>
      </c>
      <c r="F1501" s="4">
        <v>100</v>
      </c>
    </row>
    <row r="1502">
      <c r="A1502" s="0" t="inlineStr">
        <is>
          <t xml:space="preserve">random_06_SYNA</t>
        </is>
      </c>
      <c r="B1502" s="0" t="inlineStr">
        <is>
          <t xml:space="preserve">random_06</t>
        </is>
      </c>
      <c r="C1502" s="0" t="inlineStr">
        <is>
          <t xml:space="preserve">d20260923</t>
        </is>
      </c>
      <c r="D1502" s="0" t="inlineStr">
        <is>
          <t xml:space="preserve">SYNA</t>
        </is>
      </c>
      <c r="E1502" s="0" t="inlineStr">
        <is>
          <t xml:space="preserve">technology</t>
        </is>
      </c>
      <c r="F1502" s="4">
        <v>1</v>
      </c>
    </row>
    <row r="1503">
      <c r="A1503" s="0" t="inlineStr">
        <is>
          <t xml:space="preserve">random_06_CARG</t>
        </is>
      </c>
      <c r="B1503" s="0" t="inlineStr">
        <is>
          <t xml:space="preserve">random_06</t>
        </is>
      </c>
      <c r="C1503" s="0" t="inlineStr">
        <is>
          <t xml:space="preserve">d20260923</t>
        </is>
      </c>
      <c r="D1503" s="0" t="inlineStr">
        <is>
          <t xml:space="preserve">CARG</t>
        </is>
      </c>
      <c r="E1503" s="0" t="inlineStr">
        <is>
          <t xml:space="preserve">communication_services</t>
        </is>
      </c>
      <c r="F1503" s="4">
        <v>2</v>
      </c>
    </row>
    <row r="1504">
      <c r="A1504" s="0" t="inlineStr">
        <is>
          <t xml:space="preserve">random_06_CBC</t>
        </is>
      </c>
      <c r="B1504" s="0" t="inlineStr">
        <is>
          <t xml:space="preserve">random_06</t>
        </is>
      </c>
      <c r="C1504" s="0" t="inlineStr">
        <is>
          <t xml:space="preserve">d20260923</t>
        </is>
      </c>
      <c r="D1504" s="0" t="inlineStr">
        <is>
          <t xml:space="preserve">CBC</t>
        </is>
      </c>
      <c r="E1504" s="0" t="inlineStr">
        <is>
          <t xml:space="preserve">financial_services</t>
        </is>
      </c>
      <c r="F1504" s="4">
        <v>3</v>
      </c>
    </row>
    <row r="1505">
      <c r="A1505" s="0" t="inlineStr">
        <is>
          <t xml:space="preserve">random_06_FFIV</t>
        </is>
      </c>
      <c r="B1505" s="0" t="inlineStr">
        <is>
          <t xml:space="preserve">random_06</t>
        </is>
      </c>
      <c r="C1505" s="0" t="inlineStr">
        <is>
          <t xml:space="preserve">d20260923</t>
        </is>
      </c>
      <c r="D1505" s="0" t="inlineStr">
        <is>
          <t xml:space="preserve">FFIV</t>
        </is>
      </c>
      <c r="E1505" s="0" t="inlineStr">
        <is>
          <t xml:space="preserve">technology</t>
        </is>
      </c>
      <c r="F1505" s="4">
        <v>4</v>
      </c>
    </row>
    <row r="1506">
      <c r="A1506" s="0" t="inlineStr">
        <is>
          <t xml:space="preserve">random_06_OWL</t>
        </is>
      </c>
      <c r="B1506" s="0" t="inlineStr">
        <is>
          <t xml:space="preserve">random_06</t>
        </is>
      </c>
      <c r="C1506" s="0" t="inlineStr">
        <is>
          <t xml:space="preserve">d20260923</t>
        </is>
      </c>
      <c r="D1506" s="0" t="inlineStr">
        <is>
          <t xml:space="preserve">OWL</t>
        </is>
      </c>
      <c r="E1506" s="0" t="inlineStr">
        <is>
          <t xml:space="preserve">financial_services</t>
        </is>
      </c>
      <c r="F1506" s="4">
        <v>5</v>
      </c>
    </row>
    <row r="1507">
      <c r="A1507" s="0" t="inlineStr">
        <is>
          <t xml:space="preserve">random_06_CGNX</t>
        </is>
      </c>
      <c r="B1507" s="0" t="inlineStr">
        <is>
          <t xml:space="preserve">random_06</t>
        </is>
      </c>
      <c r="C1507" s="0" t="inlineStr">
        <is>
          <t xml:space="preserve">d20260923</t>
        </is>
      </c>
      <c r="D1507" s="0" t="inlineStr">
        <is>
          <t xml:space="preserve">CGNX</t>
        </is>
      </c>
      <c r="E1507" s="0" t="inlineStr">
        <is>
          <t xml:space="preserve">technology</t>
        </is>
      </c>
      <c r="F1507" s="4">
        <v>6</v>
      </c>
    </row>
    <row r="1508">
      <c r="A1508" s="0" t="inlineStr">
        <is>
          <t xml:space="preserve">random_06_NP</t>
        </is>
      </c>
      <c r="B1508" s="0" t="inlineStr">
        <is>
          <t xml:space="preserve">random_06</t>
        </is>
      </c>
      <c r="C1508" s="0" t="inlineStr">
        <is>
          <t xml:space="preserve">d20260923</t>
        </is>
      </c>
      <c r="D1508" s="0" t="inlineStr">
        <is>
          <t xml:space="preserve">NP</t>
        </is>
      </c>
      <c r="E1508" s="0" t="inlineStr">
        <is>
          <t xml:space="preserve">financial_services</t>
        </is>
      </c>
      <c r="F1508" s="4">
        <v>7</v>
      </c>
    </row>
    <row r="1509">
      <c r="A1509" s="0" t="inlineStr">
        <is>
          <t xml:space="preserve">random_06_NMRK</t>
        </is>
      </c>
      <c r="B1509" s="0" t="inlineStr">
        <is>
          <t xml:space="preserve">random_06</t>
        </is>
      </c>
      <c r="C1509" s="0" t="inlineStr">
        <is>
          <t xml:space="preserve">d20260923</t>
        </is>
      </c>
      <c r="D1509" s="0" t="inlineStr">
        <is>
          <t xml:space="preserve">NMRK</t>
        </is>
      </c>
      <c r="E1509" s="0" t="inlineStr">
        <is>
          <t xml:space="preserve">real_estate</t>
        </is>
      </c>
      <c r="F1509" s="4">
        <v>8</v>
      </c>
    </row>
    <row r="1510">
      <c r="A1510" s="0" t="inlineStr">
        <is>
          <t xml:space="preserve">random_06_GLXY</t>
        </is>
      </c>
      <c r="B1510" s="0" t="inlineStr">
        <is>
          <t xml:space="preserve">random_06</t>
        </is>
      </c>
      <c r="C1510" s="0" t="inlineStr">
        <is>
          <t xml:space="preserve">d20260923</t>
        </is>
      </c>
      <c r="D1510" s="0" t="inlineStr">
        <is>
          <t xml:space="preserve">GLXY</t>
        </is>
      </c>
      <c r="E1510" s="0" t="inlineStr">
        <is>
          <t xml:space="preserve">financial_services</t>
        </is>
      </c>
      <c r="F1510" s="4">
        <v>9</v>
      </c>
    </row>
    <row r="1511">
      <c r="A1511" s="0" t="inlineStr">
        <is>
          <t xml:space="preserve">random_06_APA</t>
        </is>
      </c>
      <c r="B1511" s="0" t="inlineStr">
        <is>
          <t xml:space="preserve">random_06</t>
        </is>
      </c>
      <c r="C1511" s="0" t="inlineStr">
        <is>
          <t xml:space="preserve">d20260923</t>
        </is>
      </c>
      <c r="D1511" s="0" t="inlineStr">
        <is>
          <t xml:space="preserve">APA</t>
        </is>
      </c>
      <c r="E1511" s="0" t="inlineStr">
        <is>
          <t xml:space="preserve">energy</t>
        </is>
      </c>
      <c r="F1511" s="4">
        <v>10</v>
      </c>
    </row>
    <row r="1512">
      <c r="A1512" s="0" t="inlineStr">
        <is>
          <t xml:space="preserve">random_06_CON</t>
        </is>
      </c>
      <c r="B1512" s="0" t="inlineStr">
        <is>
          <t xml:space="preserve">random_06</t>
        </is>
      </c>
      <c r="C1512" s="0" t="inlineStr">
        <is>
          <t xml:space="preserve">d20260923</t>
        </is>
      </c>
      <c r="D1512" s="0" t="inlineStr">
        <is>
          <t xml:space="preserve">CON</t>
        </is>
      </c>
      <c r="E1512" s="0" t="inlineStr">
        <is>
          <t xml:space="preserve">healthcare</t>
        </is>
      </c>
      <c r="F1512" s="4">
        <v>11</v>
      </c>
    </row>
    <row r="1513">
      <c r="A1513" s="0" t="inlineStr">
        <is>
          <t xml:space="preserve">random_06_HTGC</t>
        </is>
      </c>
      <c r="B1513" s="0" t="inlineStr">
        <is>
          <t xml:space="preserve">random_06</t>
        </is>
      </c>
      <c r="C1513" s="0" t="inlineStr">
        <is>
          <t xml:space="preserve">d20260923</t>
        </is>
      </c>
      <c r="D1513" s="0" t="inlineStr">
        <is>
          <t xml:space="preserve">HTGC</t>
        </is>
      </c>
      <c r="E1513" s="0" t="inlineStr">
        <is>
          <t xml:space="preserve">financial_services</t>
        </is>
      </c>
      <c r="F1513" s="4">
        <v>12</v>
      </c>
    </row>
    <row r="1514">
      <c r="A1514" s="0" t="inlineStr">
        <is>
          <t xml:space="preserve">random_06_CDP</t>
        </is>
      </c>
      <c r="B1514" s="0" t="inlineStr">
        <is>
          <t xml:space="preserve">random_06</t>
        </is>
      </c>
      <c r="C1514" s="0" t="inlineStr">
        <is>
          <t xml:space="preserve">d20260923</t>
        </is>
      </c>
      <c r="D1514" s="0" t="inlineStr">
        <is>
          <t xml:space="preserve">CDP</t>
        </is>
      </c>
      <c r="E1514" s="0" t="inlineStr">
        <is>
          <t xml:space="preserve">real_estate</t>
        </is>
      </c>
      <c r="F1514" s="4">
        <v>13</v>
      </c>
    </row>
    <row r="1515">
      <c r="A1515" s="0" t="inlineStr">
        <is>
          <t xml:space="preserve">random_06_ZBH</t>
        </is>
      </c>
      <c r="B1515" s="0" t="inlineStr">
        <is>
          <t xml:space="preserve">random_06</t>
        </is>
      </c>
      <c r="C1515" s="0" t="inlineStr">
        <is>
          <t xml:space="preserve">d20260923</t>
        </is>
      </c>
      <c r="D1515" s="0" t="inlineStr">
        <is>
          <t xml:space="preserve">ZBH</t>
        </is>
      </c>
      <c r="E1515" s="0" t="inlineStr">
        <is>
          <t xml:space="preserve">healthcare</t>
        </is>
      </c>
      <c r="F1515" s="4">
        <v>14</v>
      </c>
    </row>
    <row r="1516">
      <c r="A1516" s="0" t="inlineStr">
        <is>
          <t xml:space="preserve">random_06_VLY</t>
        </is>
      </c>
      <c r="B1516" s="0" t="inlineStr">
        <is>
          <t xml:space="preserve">random_06</t>
        </is>
      </c>
      <c r="C1516" s="0" t="inlineStr">
        <is>
          <t xml:space="preserve">d20260923</t>
        </is>
      </c>
      <c r="D1516" s="0" t="inlineStr">
        <is>
          <t xml:space="preserve">VLY</t>
        </is>
      </c>
      <c r="E1516" s="0" t="inlineStr">
        <is>
          <t xml:space="preserve">financial_services</t>
        </is>
      </c>
      <c r="F1516" s="4">
        <v>15</v>
      </c>
    </row>
    <row r="1517">
      <c r="A1517" s="0" t="inlineStr">
        <is>
          <t xml:space="preserve">random_06_MWA</t>
        </is>
      </c>
      <c r="B1517" s="0" t="inlineStr">
        <is>
          <t xml:space="preserve">random_06</t>
        </is>
      </c>
      <c r="C1517" s="0" t="inlineStr">
        <is>
          <t xml:space="preserve">d20260923</t>
        </is>
      </c>
      <c r="D1517" s="0" t="inlineStr">
        <is>
          <t xml:space="preserve">MWA</t>
        </is>
      </c>
      <c r="E1517" s="0" t="inlineStr">
        <is>
          <t xml:space="preserve">industrials</t>
        </is>
      </c>
      <c r="F1517" s="4">
        <v>16</v>
      </c>
    </row>
    <row r="1518">
      <c r="A1518" s="0" t="inlineStr">
        <is>
          <t xml:space="preserve">random_06_SO</t>
        </is>
      </c>
      <c r="B1518" s="0" t="inlineStr">
        <is>
          <t xml:space="preserve">random_06</t>
        </is>
      </c>
      <c r="C1518" s="0" t="inlineStr">
        <is>
          <t xml:space="preserve">d20260923</t>
        </is>
      </c>
      <c r="D1518" s="0" t="inlineStr">
        <is>
          <t xml:space="preserve">SO</t>
        </is>
      </c>
      <c r="E1518" s="0" t="inlineStr">
        <is>
          <t xml:space="preserve">utilities</t>
        </is>
      </c>
      <c r="F1518" s="4">
        <v>17</v>
      </c>
    </row>
    <row r="1519">
      <c r="A1519" s="0" t="inlineStr">
        <is>
          <t xml:space="preserve">random_06_RLI</t>
        </is>
      </c>
      <c r="B1519" s="0" t="inlineStr">
        <is>
          <t xml:space="preserve">random_06</t>
        </is>
      </c>
      <c r="C1519" s="0" t="inlineStr">
        <is>
          <t xml:space="preserve">d20260923</t>
        </is>
      </c>
      <c r="D1519" s="0" t="inlineStr">
        <is>
          <t xml:space="preserve">RLI</t>
        </is>
      </c>
      <c r="E1519" s="0" t="inlineStr">
        <is>
          <t xml:space="preserve">financial_services</t>
        </is>
      </c>
      <c r="F1519" s="4">
        <v>18</v>
      </c>
    </row>
    <row r="1520">
      <c r="A1520" s="0" t="inlineStr">
        <is>
          <t xml:space="preserve">random_06_BSM</t>
        </is>
      </c>
      <c r="B1520" s="0" t="inlineStr">
        <is>
          <t xml:space="preserve">random_06</t>
        </is>
      </c>
      <c r="C1520" s="0" t="inlineStr">
        <is>
          <t xml:space="preserve">d20260923</t>
        </is>
      </c>
      <c r="D1520" s="0" t="inlineStr">
        <is>
          <t xml:space="preserve">BSM</t>
        </is>
      </c>
      <c r="E1520" s="0" t="inlineStr">
        <is>
          <t xml:space="preserve">energy</t>
        </is>
      </c>
      <c r="F1520" s="4">
        <v>19</v>
      </c>
    </row>
    <row r="1521">
      <c r="A1521" s="0" t="inlineStr">
        <is>
          <t xml:space="preserve">random_06_WWD</t>
        </is>
      </c>
      <c r="B1521" s="0" t="inlineStr">
        <is>
          <t xml:space="preserve">random_06</t>
        </is>
      </c>
      <c r="C1521" s="0" t="inlineStr">
        <is>
          <t xml:space="preserve">d20260923</t>
        </is>
      </c>
      <c r="D1521" s="0" t="inlineStr">
        <is>
          <t xml:space="preserve">WWD</t>
        </is>
      </c>
      <c r="E1521" s="0" t="inlineStr">
        <is>
          <t xml:space="preserve">industrials</t>
        </is>
      </c>
      <c r="F1521" s="4">
        <v>20</v>
      </c>
    </row>
    <row r="1522">
      <c r="A1522" s="0" t="inlineStr">
        <is>
          <t xml:space="preserve">random_06_DGII</t>
        </is>
      </c>
      <c r="B1522" s="0" t="inlineStr">
        <is>
          <t xml:space="preserve">random_06</t>
        </is>
      </c>
      <c r="C1522" s="0" t="inlineStr">
        <is>
          <t xml:space="preserve">d20260923</t>
        </is>
      </c>
      <c r="D1522" s="0" t="inlineStr">
        <is>
          <t xml:space="preserve">DGII</t>
        </is>
      </c>
      <c r="E1522" s="0" t="inlineStr">
        <is>
          <t xml:space="preserve">technology</t>
        </is>
      </c>
      <c r="F1522" s="4">
        <v>21</v>
      </c>
    </row>
    <row r="1523">
      <c r="A1523" s="0" t="inlineStr">
        <is>
          <t xml:space="preserve">random_06_BLLN</t>
        </is>
      </c>
      <c r="B1523" s="0" t="inlineStr">
        <is>
          <t xml:space="preserve">random_06</t>
        </is>
      </c>
      <c r="C1523" s="0" t="inlineStr">
        <is>
          <t xml:space="preserve">d20260923</t>
        </is>
      </c>
      <c r="D1523" s="0" t="inlineStr">
        <is>
          <t xml:space="preserve">BLLN</t>
        </is>
      </c>
      <c r="E1523" s="0" t="inlineStr">
        <is>
          <t xml:space="preserve">healthcare</t>
        </is>
      </c>
      <c r="F1523" s="4">
        <v>22</v>
      </c>
    </row>
    <row r="1524">
      <c r="A1524" s="0" t="inlineStr">
        <is>
          <t xml:space="preserve">random_06_PLTR</t>
        </is>
      </c>
      <c r="B1524" s="0" t="inlineStr">
        <is>
          <t xml:space="preserve">random_06</t>
        </is>
      </c>
      <c r="C1524" s="0" t="inlineStr">
        <is>
          <t xml:space="preserve">d20260923</t>
        </is>
      </c>
      <c r="D1524" s="0" t="inlineStr">
        <is>
          <t xml:space="preserve">PLTR</t>
        </is>
      </c>
      <c r="E1524" s="0" t="inlineStr">
        <is>
          <t xml:space="preserve">technology</t>
        </is>
      </c>
      <c r="F1524" s="4">
        <v>23</v>
      </c>
    </row>
    <row r="1525">
      <c r="A1525" s="0" t="inlineStr">
        <is>
          <t xml:space="preserve">random_06_PFS</t>
        </is>
      </c>
      <c r="B1525" s="0" t="inlineStr">
        <is>
          <t xml:space="preserve">random_06</t>
        </is>
      </c>
      <c r="C1525" s="0" t="inlineStr">
        <is>
          <t xml:space="preserve">d20260923</t>
        </is>
      </c>
      <c r="D1525" s="0" t="inlineStr">
        <is>
          <t xml:space="preserve">PFS</t>
        </is>
      </c>
      <c r="E1525" s="0" t="inlineStr">
        <is>
          <t xml:space="preserve">financial_services</t>
        </is>
      </c>
      <c r="F1525" s="4">
        <v>24</v>
      </c>
    </row>
    <row r="1526">
      <c r="A1526" s="0" t="inlineStr">
        <is>
          <t xml:space="preserve">random_06_GEN</t>
        </is>
      </c>
      <c r="B1526" s="0" t="inlineStr">
        <is>
          <t xml:space="preserve">random_06</t>
        </is>
      </c>
      <c r="C1526" s="0" t="inlineStr">
        <is>
          <t xml:space="preserve">d20260923</t>
        </is>
      </c>
      <c r="D1526" s="0" t="inlineStr">
        <is>
          <t xml:space="preserve">GEN</t>
        </is>
      </c>
      <c r="E1526" s="0" t="inlineStr">
        <is>
          <t xml:space="preserve">technology</t>
        </is>
      </c>
      <c r="F1526" s="4">
        <v>25</v>
      </c>
    </row>
    <row r="1527">
      <c r="A1527" s="0" t="inlineStr">
        <is>
          <t xml:space="preserve">random_06_NI</t>
        </is>
      </c>
      <c r="B1527" s="0" t="inlineStr">
        <is>
          <t xml:space="preserve">random_06</t>
        </is>
      </c>
      <c r="C1527" s="0" t="inlineStr">
        <is>
          <t xml:space="preserve">d20260923</t>
        </is>
      </c>
      <c r="D1527" s="0" t="inlineStr">
        <is>
          <t xml:space="preserve">NI</t>
        </is>
      </c>
      <c r="E1527" s="0" t="inlineStr">
        <is>
          <t xml:space="preserve">utilities</t>
        </is>
      </c>
      <c r="F1527" s="4">
        <v>26</v>
      </c>
    </row>
    <row r="1528">
      <c r="A1528" s="0" t="inlineStr">
        <is>
          <t xml:space="preserve">random_06_DE</t>
        </is>
      </c>
      <c r="B1528" s="0" t="inlineStr">
        <is>
          <t xml:space="preserve">random_06</t>
        </is>
      </c>
      <c r="C1528" s="0" t="inlineStr">
        <is>
          <t xml:space="preserve">d20260923</t>
        </is>
      </c>
      <c r="D1528" s="0" t="inlineStr">
        <is>
          <t xml:space="preserve">DE</t>
        </is>
      </c>
      <c r="E1528" s="0" t="inlineStr">
        <is>
          <t xml:space="preserve">industrials</t>
        </is>
      </c>
      <c r="F1528" s="4">
        <v>27</v>
      </c>
    </row>
    <row r="1529">
      <c r="A1529" s="0" t="inlineStr">
        <is>
          <t xml:space="preserve">random_06_ONTO</t>
        </is>
      </c>
      <c r="B1529" s="0" t="inlineStr">
        <is>
          <t xml:space="preserve">random_06</t>
        </is>
      </c>
      <c r="C1529" s="0" t="inlineStr">
        <is>
          <t xml:space="preserve">d20260923</t>
        </is>
      </c>
      <c r="D1529" s="0" t="inlineStr">
        <is>
          <t xml:space="preserve">ONTO</t>
        </is>
      </c>
      <c r="E1529" s="0" t="inlineStr">
        <is>
          <t xml:space="preserve">technology</t>
        </is>
      </c>
      <c r="F1529" s="4">
        <v>28</v>
      </c>
    </row>
    <row r="1530">
      <c r="A1530" s="0" t="inlineStr">
        <is>
          <t xml:space="preserve">random_06_MOS</t>
        </is>
      </c>
      <c r="B1530" s="0" t="inlineStr">
        <is>
          <t xml:space="preserve">random_06</t>
        </is>
      </c>
      <c r="C1530" s="0" t="inlineStr">
        <is>
          <t xml:space="preserve">d20260923</t>
        </is>
      </c>
      <c r="D1530" s="0" t="inlineStr">
        <is>
          <t xml:space="preserve">MOS</t>
        </is>
      </c>
      <c r="E1530" s="0" t="inlineStr">
        <is>
          <t xml:space="preserve">basic_materials</t>
        </is>
      </c>
      <c r="F1530" s="4">
        <v>29</v>
      </c>
    </row>
    <row r="1531">
      <c r="A1531" s="0" t="inlineStr">
        <is>
          <t xml:space="preserve">random_06_PAGP</t>
        </is>
      </c>
      <c r="B1531" s="0" t="inlineStr">
        <is>
          <t xml:space="preserve">random_06</t>
        </is>
      </c>
      <c r="C1531" s="0" t="inlineStr">
        <is>
          <t xml:space="preserve">d20260923</t>
        </is>
      </c>
      <c r="D1531" s="0" t="inlineStr">
        <is>
          <t xml:space="preserve">PAGP</t>
        </is>
      </c>
      <c r="E1531" s="0" t="inlineStr">
        <is>
          <t xml:space="preserve">energy</t>
        </is>
      </c>
      <c r="F1531" s="4">
        <v>30</v>
      </c>
    </row>
    <row r="1532">
      <c r="A1532" s="0" t="inlineStr">
        <is>
          <t xml:space="preserve">random_06_BNY</t>
        </is>
      </c>
      <c r="B1532" s="0" t="inlineStr">
        <is>
          <t xml:space="preserve">random_06</t>
        </is>
      </c>
      <c r="C1532" s="0" t="inlineStr">
        <is>
          <t xml:space="preserve">d20260923</t>
        </is>
      </c>
      <c r="D1532" s="0" t="inlineStr">
        <is>
          <t xml:space="preserve">BNY</t>
        </is>
      </c>
      <c r="E1532" s="0" t="inlineStr">
        <is>
          <t xml:space="preserve">financial_services</t>
        </is>
      </c>
      <c r="F1532" s="4">
        <v>31</v>
      </c>
    </row>
    <row r="1533">
      <c r="A1533" s="0" t="inlineStr">
        <is>
          <t xml:space="preserve">random_06_FICO</t>
        </is>
      </c>
      <c r="B1533" s="0" t="inlineStr">
        <is>
          <t xml:space="preserve">random_06</t>
        </is>
      </c>
      <c r="C1533" s="0" t="inlineStr">
        <is>
          <t xml:space="preserve">d20260923</t>
        </is>
      </c>
      <c r="D1533" s="0" t="inlineStr">
        <is>
          <t xml:space="preserve">FICO</t>
        </is>
      </c>
      <c r="E1533" s="0" t="inlineStr">
        <is>
          <t xml:space="preserve">technology</t>
        </is>
      </c>
      <c r="F1533" s="4">
        <v>32</v>
      </c>
    </row>
    <row r="1534">
      <c r="A1534" s="0" t="inlineStr">
        <is>
          <t xml:space="preserve">random_06_FCFS</t>
        </is>
      </c>
      <c r="B1534" s="0" t="inlineStr">
        <is>
          <t xml:space="preserve">random_06</t>
        </is>
      </c>
      <c r="C1534" s="0" t="inlineStr">
        <is>
          <t xml:space="preserve">d20260923</t>
        </is>
      </c>
      <c r="D1534" s="0" t="inlineStr">
        <is>
          <t xml:space="preserve">FCFS</t>
        </is>
      </c>
      <c r="E1534" s="0" t="inlineStr">
        <is>
          <t xml:space="preserve">financial_services</t>
        </is>
      </c>
      <c r="F1534" s="4">
        <v>33</v>
      </c>
    </row>
    <row r="1535">
      <c r="A1535" s="0" t="inlineStr">
        <is>
          <t xml:space="preserve">random_06_PATH</t>
        </is>
      </c>
      <c r="B1535" s="0" t="inlineStr">
        <is>
          <t xml:space="preserve">random_06</t>
        </is>
      </c>
      <c r="C1535" s="0" t="inlineStr">
        <is>
          <t xml:space="preserve">d20260923</t>
        </is>
      </c>
      <c r="D1535" s="0" t="inlineStr">
        <is>
          <t xml:space="preserve">PATH</t>
        </is>
      </c>
      <c r="E1535" s="0" t="inlineStr">
        <is>
          <t xml:space="preserve">technology</t>
        </is>
      </c>
      <c r="F1535" s="4">
        <v>34</v>
      </c>
    </row>
    <row r="1536">
      <c r="A1536" s="0" t="inlineStr">
        <is>
          <t xml:space="preserve">random_06_PEGA</t>
        </is>
      </c>
      <c r="B1536" s="0" t="inlineStr">
        <is>
          <t xml:space="preserve">random_06</t>
        </is>
      </c>
      <c r="C1536" s="0" t="inlineStr">
        <is>
          <t xml:space="preserve">d20260923</t>
        </is>
      </c>
      <c r="D1536" s="0" t="inlineStr">
        <is>
          <t xml:space="preserve">PEGA</t>
        </is>
      </c>
      <c r="E1536" s="0" t="inlineStr">
        <is>
          <t xml:space="preserve">technology</t>
        </is>
      </c>
      <c r="F1536" s="4">
        <v>35</v>
      </c>
    </row>
    <row r="1537">
      <c r="A1537" s="0" t="inlineStr">
        <is>
          <t xml:space="preserve">random_06_VSH</t>
        </is>
      </c>
      <c r="B1537" s="0" t="inlineStr">
        <is>
          <t xml:space="preserve">random_06</t>
        </is>
      </c>
      <c r="C1537" s="0" t="inlineStr">
        <is>
          <t xml:space="preserve">d20260923</t>
        </is>
      </c>
      <c r="D1537" s="0" t="inlineStr">
        <is>
          <t xml:space="preserve">VSH</t>
        </is>
      </c>
      <c r="E1537" s="0" t="inlineStr">
        <is>
          <t xml:space="preserve">technology</t>
        </is>
      </c>
      <c r="F1537" s="4">
        <v>36</v>
      </c>
    </row>
    <row r="1538">
      <c r="A1538" s="0" t="inlineStr">
        <is>
          <t xml:space="preserve">random_06_TMDX</t>
        </is>
      </c>
      <c r="B1538" s="0" t="inlineStr">
        <is>
          <t xml:space="preserve">random_06</t>
        </is>
      </c>
      <c r="C1538" s="0" t="inlineStr">
        <is>
          <t xml:space="preserve">d20260923</t>
        </is>
      </c>
      <c r="D1538" s="0" t="inlineStr">
        <is>
          <t xml:space="preserve">TMDX</t>
        </is>
      </c>
      <c r="E1538" s="0" t="inlineStr">
        <is>
          <t xml:space="preserve">healthcare</t>
        </is>
      </c>
      <c r="F1538" s="4">
        <v>37</v>
      </c>
    </row>
    <row r="1539">
      <c r="A1539" s="0" t="inlineStr">
        <is>
          <t xml:space="preserve">random_06_PR</t>
        </is>
      </c>
      <c r="B1539" s="0" t="inlineStr">
        <is>
          <t xml:space="preserve">random_06</t>
        </is>
      </c>
      <c r="C1539" s="0" t="inlineStr">
        <is>
          <t xml:space="preserve">d20260923</t>
        </is>
      </c>
      <c r="D1539" s="0" t="inlineStr">
        <is>
          <t xml:space="preserve">PR</t>
        </is>
      </c>
      <c r="E1539" s="0" t="inlineStr">
        <is>
          <t xml:space="preserve">energy</t>
        </is>
      </c>
      <c r="F1539" s="4">
        <v>38</v>
      </c>
    </row>
    <row r="1540">
      <c r="A1540" s="0" t="inlineStr">
        <is>
          <t xml:space="preserve">random_06_HPQ</t>
        </is>
      </c>
      <c r="B1540" s="0" t="inlineStr">
        <is>
          <t xml:space="preserve">random_06</t>
        </is>
      </c>
      <c r="C1540" s="0" t="inlineStr">
        <is>
          <t xml:space="preserve">d20260923</t>
        </is>
      </c>
      <c r="D1540" s="0" t="inlineStr">
        <is>
          <t xml:space="preserve">HPQ</t>
        </is>
      </c>
      <c r="E1540" s="0" t="inlineStr">
        <is>
          <t xml:space="preserve">technology</t>
        </is>
      </c>
      <c r="F1540" s="4">
        <v>39</v>
      </c>
    </row>
    <row r="1541">
      <c r="A1541" s="0" t="inlineStr">
        <is>
          <t xml:space="preserve">random_06_PRAX</t>
        </is>
      </c>
      <c r="B1541" s="0" t="inlineStr">
        <is>
          <t xml:space="preserve">random_06</t>
        </is>
      </c>
      <c r="C1541" s="0" t="inlineStr">
        <is>
          <t xml:space="preserve">d20260923</t>
        </is>
      </c>
      <c r="D1541" s="0" t="inlineStr">
        <is>
          <t xml:space="preserve">PRAX</t>
        </is>
      </c>
      <c r="E1541" s="0" t="inlineStr">
        <is>
          <t xml:space="preserve">healthcare</t>
        </is>
      </c>
      <c r="F1541" s="4">
        <v>40</v>
      </c>
    </row>
    <row r="1542">
      <c r="A1542" s="0" t="inlineStr">
        <is>
          <t xml:space="preserve">random_06_PPC</t>
        </is>
      </c>
      <c r="B1542" s="0" t="inlineStr">
        <is>
          <t xml:space="preserve">random_06</t>
        </is>
      </c>
      <c r="C1542" s="0" t="inlineStr">
        <is>
          <t xml:space="preserve">d20260923</t>
        </is>
      </c>
      <c r="D1542" s="0" t="inlineStr">
        <is>
          <t xml:space="preserve">PPC</t>
        </is>
      </c>
      <c r="E1542" s="0" t="inlineStr">
        <is>
          <t xml:space="preserve">consumer_defensive</t>
        </is>
      </c>
      <c r="F1542" s="4">
        <v>41</v>
      </c>
    </row>
    <row r="1543">
      <c r="A1543" s="0" t="inlineStr">
        <is>
          <t xml:space="preserve">random_06_BRZE</t>
        </is>
      </c>
      <c r="B1543" s="0" t="inlineStr">
        <is>
          <t xml:space="preserve">random_06</t>
        </is>
      </c>
      <c r="C1543" s="0" t="inlineStr">
        <is>
          <t xml:space="preserve">d20260923</t>
        </is>
      </c>
      <c r="D1543" s="0" t="inlineStr">
        <is>
          <t xml:space="preserve">BRZE</t>
        </is>
      </c>
      <c r="E1543" s="0" t="inlineStr">
        <is>
          <t xml:space="preserve">technology</t>
        </is>
      </c>
      <c r="F1543" s="4">
        <v>42</v>
      </c>
    </row>
    <row r="1544">
      <c r="A1544" s="0" t="inlineStr">
        <is>
          <t xml:space="preserve">random_06_FOXA</t>
        </is>
      </c>
      <c r="B1544" s="0" t="inlineStr">
        <is>
          <t xml:space="preserve">random_06</t>
        </is>
      </c>
      <c r="C1544" s="0" t="inlineStr">
        <is>
          <t xml:space="preserve">d20260923</t>
        </is>
      </c>
      <c r="D1544" s="0" t="inlineStr">
        <is>
          <t xml:space="preserve">FOXA</t>
        </is>
      </c>
      <c r="E1544" s="0" t="inlineStr">
        <is>
          <t xml:space="preserve">communication_services</t>
        </is>
      </c>
      <c r="F1544" s="4">
        <v>43</v>
      </c>
    </row>
    <row r="1545">
      <c r="A1545" s="0" t="inlineStr">
        <is>
          <t xml:space="preserve">random_06_ADT</t>
        </is>
      </c>
      <c r="B1545" s="0" t="inlineStr">
        <is>
          <t xml:space="preserve">random_06</t>
        </is>
      </c>
      <c r="C1545" s="0" t="inlineStr">
        <is>
          <t xml:space="preserve">d20260923</t>
        </is>
      </c>
      <c r="D1545" s="0" t="inlineStr">
        <is>
          <t xml:space="preserve">ADT</t>
        </is>
      </c>
      <c r="E1545" s="0" t="inlineStr">
        <is>
          <t xml:space="preserve">industrials</t>
        </is>
      </c>
      <c r="F1545" s="4">
        <v>44</v>
      </c>
    </row>
    <row r="1546">
      <c r="A1546" s="0" t="inlineStr">
        <is>
          <t xml:space="preserve">random_06_NVTS</t>
        </is>
      </c>
      <c r="B1546" s="0" t="inlineStr">
        <is>
          <t xml:space="preserve">random_06</t>
        </is>
      </c>
      <c r="C1546" s="0" t="inlineStr">
        <is>
          <t xml:space="preserve">d20260923</t>
        </is>
      </c>
      <c r="D1546" s="0" t="inlineStr">
        <is>
          <t xml:space="preserve">NVTS</t>
        </is>
      </c>
      <c r="E1546" s="0" t="inlineStr">
        <is>
          <t xml:space="preserve">technology</t>
        </is>
      </c>
      <c r="F1546" s="4">
        <v>45</v>
      </c>
    </row>
    <row r="1547">
      <c r="A1547" s="0" t="inlineStr">
        <is>
          <t xml:space="preserve">random_06_DNLI</t>
        </is>
      </c>
      <c r="B1547" s="0" t="inlineStr">
        <is>
          <t xml:space="preserve">random_06</t>
        </is>
      </c>
      <c r="C1547" s="0" t="inlineStr">
        <is>
          <t xml:space="preserve">d20260923</t>
        </is>
      </c>
      <c r="D1547" s="0" t="inlineStr">
        <is>
          <t xml:space="preserve">DNLI</t>
        </is>
      </c>
      <c r="E1547" s="0" t="inlineStr">
        <is>
          <t xml:space="preserve">healthcare</t>
        </is>
      </c>
      <c r="F1547" s="4">
        <v>46</v>
      </c>
    </row>
    <row r="1548">
      <c r="A1548" s="0" t="inlineStr">
        <is>
          <t xml:space="preserve">random_06_GEO</t>
        </is>
      </c>
      <c r="B1548" s="0" t="inlineStr">
        <is>
          <t xml:space="preserve">random_06</t>
        </is>
      </c>
      <c r="C1548" s="0" t="inlineStr">
        <is>
          <t xml:space="preserve">d20260923</t>
        </is>
      </c>
      <c r="D1548" s="0" t="inlineStr">
        <is>
          <t xml:space="preserve">GEO</t>
        </is>
      </c>
      <c r="E1548" s="0" t="inlineStr">
        <is>
          <t xml:space="preserve">industrials</t>
        </is>
      </c>
      <c r="F1548" s="4">
        <v>47</v>
      </c>
    </row>
    <row r="1549">
      <c r="A1549" s="0" t="inlineStr">
        <is>
          <t xml:space="preserve">random_06_INGR</t>
        </is>
      </c>
      <c r="B1549" s="0" t="inlineStr">
        <is>
          <t xml:space="preserve">random_06</t>
        </is>
      </c>
      <c r="C1549" s="0" t="inlineStr">
        <is>
          <t xml:space="preserve">d20260923</t>
        </is>
      </c>
      <c r="D1549" s="0" t="inlineStr">
        <is>
          <t xml:space="preserve">INGR</t>
        </is>
      </c>
      <c r="E1549" s="0" t="inlineStr">
        <is>
          <t xml:space="preserve">consumer_defensive</t>
        </is>
      </c>
      <c r="F1549" s="4">
        <v>48</v>
      </c>
    </row>
    <row r="1550">
      <c r="A1550" s="0" t="inlineStr">
        <is>
          <t xml:space="preserve">random_06_AAL</t>
        </is>
      </c>
      <c r="B1550" s="0" t="inlineStr">
        <is>
          <t xml:space="preserve">random_06</t>
        </is>
      </c>
      <c r="C1550" s="0" t="inlineStr">
        <is>
          <t xml:space="preserve">d20260923</t>
        </is>
      </c>
      <c r="D1550" s="0" t="inlineStr">
        <is>
          <t xml:space="preserve">AAL</t>
        </is>
      </c>
      <c r="E1550" s="0" t="inlineStr">
        <is>
          <t xml:space="preserve">industrials</t>
        </is>
      </c>
      <c r="F1550" s="4">
        <v>49</v>
      </c>
    </row>
    <row r="1551">
      <c r="A1551" s="0" t="inlineStr">
        <is>
          <t xml:space="preserve">random_06_BLDR</t>
        </is>
      </c>
      <c r="B1551" s="0" t="inlineStr">
        <is>
          <t xml:space="preserve">random_06</t>
        </is>
      </c>
      <c r="C1551" s="0" t="inlineStr">
        <is>
          <t xml:space="preserve">d20260923</t>
        </is>
      </c>
      <c r="D1551" s="0" t="inlineStr">
        <is>
          <t xml:space="preserve">BLDR</t>
        </is>
      </c>
      <c r="E1551" s="0" t="inlineStr">
        <is>
          <t xml:space="preserve">basic_materials</t>
        </is>
      </c>
      <c r="F1551" s="4">
        <v>50</v>
      </c>
    </row>
    <row r="1552">
      <c r="A1552" s="0" t="inlineStr">
        <is>
          <t xml:space="preserve">random_06_APH</t>
        </is>
      </c>
      <c r="B1552" s="0" t="inlineStr">
        <is>
          <t xml:space="preserve">random_06</t>
        </is>
      </c>
      <c r="C1552" s="0" t="inlineStr">
        <is>
          <t xml:space="preserve">d20260923</t>
        </is>
      </c>
      <c r="D1552" s="0" t="inlineStr">
        <is>
          <t xml:space="preserve">APH</t>
        </is>
      </c>
      <c r="E1552" s="0" t="inlineStr">
        <is>
          <t xml:space="preserve">technology</t>
        </is>
      </c>
      <c r="F1552" s="4">
        <v>51</v>
      </c>
    </row>
    <row r="1553">
      <c r="A1553" s="0" t="inlineStr">
        <is>
          <t xml:space="preserve">random_06_PWR</t>
        </is>
      </c>
      <c r="B1553" s="0" t="inlineStr">
        <is>
          <t xml:space="preserve">random_06</t>
        </is>
      </c>
      <c r="C1553" s="0" t="inlineStr">
        <is>
          <t xml:space="preserve">d20260923</t>
        </is>
      </c>
      <c r="D1553" s="0" t="inlineStr">
        <is>
          <t xml:space="preserve">PWR</t>
        </is>
      </c>
      <c r="E1553" s="0" t="inlineStr">
        <is>
          <t xml:space="preserve">industrials</t>
        </is>
      </c>
      <c r="F1553" s="4">
        <v>52</v>
      </c>
    </row>
    <row r="1554">
      <c r="A1554" s="0" t="inlineStr">
        <is>
          <t xml:space="preserve">random_06_PCAR</t>
        </is>
      </c>
      <c r="B1554" s="0" t="inlineStr">
        <is>
          <t xml:space="preserve">random_06</t>
        </is>
      </c>
      <c r="C1554" s="0" t="inlineStr">
        <is>
          <t xml:space="preserve">d20260923</t>
        </is>
      </c>
      <c r="D1554" s="0" t="inlineStr">
        <is>
          <t xml:space="preserve">PCAR</t>
        </is>
      </c>
      <c r="E1554" s="0" t="inlineStr">
        <is>
          <t xml:space="preserve">industrials</t>
        </is>
      </c>
      <c r="F1554" s="4">
        <v>53</v>
      </c>
    </row>
    <row r="1555">
      <c r="A1555" s="0" t="inlineStr">
        <is>
          <t xml:space="preserve">random_06_THG</t>
        </is>
      </c>
      <c r="B1555" s="0" t="inlineStr">
        <is>
          <t xml:space="preserve">random_06</t>
        </is>
      </c>
      <c r="C1555" s="0" t="inlineStr">
        <is>
          <t xml:space="preserve">d20260923</t>
        </is>
      </c>
      <c r="D1555" s="0" t="inlineStr">
        <is>
          <t xml:space="preserve">THG</t>
        </is>
      </c>
      <c r="E1555" s="0" t="inlineStr">
        <is>
          <t xml:space="preserve">financial_services</t>
        </is>
      </c>
      <c r="F1555" s="4">
        <v>54</v>
      </c>
    </row>
    <row r="1556">
      <c r="A1556" s="0" t="inlineStr">
        <is>
          <t xml:space="preserve">random_06_ARXS</t>
        </is>
      </c>
      <c r="B1556" s="0" t="inlineStr">
        <is>
          <t xml:space="preserve">random_06</t>
        </is>
      </c>
      <c r="C1556" s="0" t="inlineStr">
        <is>
          <t xml:space="preserve">d20260923</t>
        </is>
      </c>
      <c r="D1556" s="0" t="inlineStr">
        <is>
          <t xml:space="preserve">ARXS</t>
        </is>
      </c>
      <c r="E1556" s="0" t="inlineStr">
        <is>
          <t xml:space="preserve">industrials</t>
        </is>
      </c>
      <c r="F1556" s="4">
        <v>55</v>
      </c>
    </row>
    <row r="1557">
      <c r="A1557" s="0" t="inlineStr">
        <is>
          <t xml:space="preserve">random_06_DXCM</t>
        </is>
      </c>
      <c r="B1557" s="0" t="inlineStr">
        <is>
          <t xml:space="preserve">random_06</t>
        </is>
      </c>
      <c r="C1557" s="0" t="inlineStr">
        <is>
          <t xml:space="preserve">d20260923</t>
        </is>
      </c>
      <c r="D1557" s="0" t="inlineStr">
        <is>
          <t xml:space="preserve">DXCM</t>
        </is>
      </c>
      <c r="E1557" s="0" t="inlineStr">
        <is>
          <t xml:space="preserve">healthcare</t>
        </is>
      </c>
      <c r="F1557" s="4">
        <v>56</v>
      </c>
    </row>
    <row r="1558">
      <c r="A1558" s="0" t="inlineStr">
        <is>
          <t xml:space="preserve">random_06_MIDD</t>
        </is>
      </c>
      <c r="B1558" s="0" t="inlineStr">
        <is>
          <t xml:space="preserve">random_06</t>
        </is>
      </c>
      <c r="C1558" s="0" t="inlineStr">
        <is>
          <t xml:space="preserve">d20260923</t>
        </is>
      </c>
      <c r="D1558" s="0" t="inlineStr">
        <is>
          <t xml:space="preserve">MIDD</t>
        </is>
      </c>
      <c r="E1558" s="0" t="inlineStr">
        <is>
          <t xml:space="preserve">industrials</t>
        </is>
      </c>
      <c r="F1558" s="4">
        <v>57</v>
      </c>
    </row>
    <row r="1559">
      <c r="A1559" s="0" t="inlineStr">
        <is>
          <t xml:space="preserve">random_06_KMT</t>
        </is>
      </c>
      <c r="B1559" s="0" t="inlineStr">
        <is>
          <t xml:space="preserve">random_06</t>
        </is>
      </c>
      <c r="C1559" s="0" t="inlineStr">
        <is>
          <t xml:space="preserve">d20260923</t>
        </is>
      </c>
      <c r="D1559" s="0" t="inlineStr">
        <is>
          <t xml:space="preserve">KMT</t>
        </is>
      </c>
      <c r="E1559" s="0" t="inlineStr">
        <is>
          <t xml:space="preserve">industrials</t>
        </is>
      </c>
      <c r="F1559" s="4">
        <v>58</v>
      </c>
    </row>
    <row r="1560">
      <c r="A1560" s="0" t="inlineStr">
        <is>
          <t xml:space="preserve">random_06_EME</t>
        </is>
      </c>
      <c r="B1560" s="0" t="inlineStr">
        <is>
          <t xml:space="preserve">random_06</t>
        </is>
      </c>
      <c r="C1560" s="0" t="inlineStr">
        <is>
          <t xml:space="preserve">d20260923</t>
        </is>
      </c>
      <c r="D1560" s="0" t="inlineStr">
        <is>
          <t xml:space="preserve">EME</t>
        </is>
      </c>
      <c r="E1560" s="0" t="inlineStr">
        <is>
          <t xml:space="preserve">industrials</t>
        </is>
      </c>
      <c r="F1560" s="4">
        <v>59</v>
      </c>
    </row>
    <row r="1561">
      <c r="A1561" s="0" t="inlineStr">
        <is>
          <t xml:space="preserve">random_06_EXTR</t>
        </is>
      </c>
      <c r="B1561" s="0" t="inlineStr">
        <is>
          <t xml:space="preserve">random_06</t>
        </is>
      </c>
      <c r="C1561" s="0" t="inlineStr">
        <is>
          <t xml:space="preserve">d20260923</t>
        </is>
      </c>
      <c r="D1561" s="0" t="inlineStr">
        <is>
          <t xml:space="preserve">EXTR</t>
        </is>
      </c>
      <c r="E1561" s="0" t="inlineStr">
        <is>
          <t xml:space="preserve">technology</t>
        </is>
      </c>
      <c r="F1561" s="4">
        <v>60</v>
      </c>
    </row>
    <row r="1562">
      <c r="A1562" s="0" t="inlineStr">
        <is>
          <t xml:space="preserve">random_06_BWIN</t>
        </is>
      </c>
      <c r="B1562" s="0" t="inlineStr">
        <is>
          <t xml:space="preserve">random_06</t>
        </is>
      </c>
      <c r="C1562" s="0" t="inlineStr">
        <is>
          <t xml:space="preserve">d20260923</t>
        </is>
      </c>
      <c r="D1562" s="0" t="inlineStr">
        <is>
          <t xml:space="preserve">BWIN</t>
        </is>
      </c>
      <c r="E1562" s="0" t="inlineStr">
        <is>
          <t xml:space="preserve">financial_services</t>
        </is>
      </c>
      <c r="F1562" s="4">
        <v>61</v>
      </c>
    </row>
    <row r="1563">
      <c r="A1563" s="0" t="inlineStr">
        <is>
          <t xml:space="preserve">random_06_INTC</t>
        </is>
      </c>
      <c r="B1563" s="0" t="inlineStr">
        <is>
          <t xml:space="preserve">random_06</t>
        </is>
      </c>
      <c r="C1563" s="0" t="inlineStr">
        <is>
          <t xml:space="preserve">d20260923</t>
        </is>
      </c>
      <c r="D1563" s="0" t="inlineStr">
        <is>
          <t xml:space="preserve">INTC</t>
        </is>
      </c>
      <c r="E1563" s="0" t="inlineStr">
        <is>
          <t xml:space="preserve">technology</t>
        </is>
      </c>
      <c r="F1563" s="4">
        <v>62</v>
      </c>
    </row>
    <row r="1564">
      <c r="A1564" s="0" t="inlineStr">
        <is>
          <t xml:space="preserve">random_06_GGG</t>
        </is>
      </c>
      <c r="B1564" s="0" t="inlineStr">
        <is>
          <t xml:space="preserve">random_06</t>
        </is>
      </c>
      <c r="C1564" s="0" t="inlineStr">
        <is>
          <t xml:space="preserve">d20260923</t>
        </is>
      </c>
      <c r="D1564" s="0" t="inlineStr">
        <is>
          <t xml:space="preserve">GGG</t>
        </is>
      </c>
      <c r="E1564" s="0" t="inlineStr">
        <is>
          <t xml:space="preserve">industrials</t>
        </is>
      </c>
      <c r="F1564" s="4">
        <v>63</v>
      </c>
    </row>
    <row r="1565">
      <c r="A1565" s="0" t="inlineStr">
        <is>
          <t xml:space="preserve">random_06_EWTX</t>
        </is>
      </c>
      <c r="B1565" s="0" t="inlineStr">
        <is>
          <t xml:space="preserve">random_06</t>
        </is>
      </c>
      <c r="C1565" s="0" t="inlineStr">
        <is>
          <t xml:space="preserve">d20260923</t>
        </is>
      </c>
      <c r="D1565" s="0" t="inlineStr">
        <is>
          <t xml:space="preserve">EWTX</t>
        </is>
      </c>
      <c r="E1565" s="0" t="inlineStr">
        <is>
          <t xml:space="preserve">healthcare</t>
        </is>
      </c>
      <c r="F1565" s="4">
        <v>64</v>
      </c>
    </row>
    <row r="1566">
      <c r="A1566" s="0" t="inlineStr">
        <is>
          <t xml:space="preserve">random_06_SAIC</t>
        </is>
      </c>
      <c r="B1566" s="0" t="inlineStr">
        <is>
          <t xml:space="preserve">random_06</t>
        </is>
      </c>
      <c r="C1566" s="0" t="inlineStr">
        <is>
          <t xml:space="preserve">d20260923</t>
        </is>
      </c>
      <c r="D1566" s="0" t="inlineStr">
        <is>
          <t xml:space="preserve">SAIC</t>
        </is>
      </c>
      <c r="E1566" s="0" t="inlineStr">
        <is>
          <t xml:space="preserve">technology</t>
        </is>
      </c>
      <c r="F1566" s="4">
        <v>65</v>
      </c>
    </row>
    <row r="1567">
      <c r="A1567" s="0" t="inlineStr">
        <is>
          <t xml:space="preserve">random_06_ZG</t>
        </is>
      </c>
      <c r="B1567" s="0" t="inlineStr">
        <is>
          <t xml:space="preserve">random_06</t>
        </is>
      </c>
      <c r="C1567" s="0" t="inlineStr">
        <is>
          <t xml:space="preserve">d20260923</t>
        </is>
      </c>
      <c r="D1567" s="0" t="inlineStr">
        <is>
          <t xml:space="preserve">ZG</t>
        </is>
      </c>
      <c r="E1567" s="0" t="inlineStr">
        <is>
          <t xml:space="preserve">communication_services</t>
        </is>
      </c>
      <c r="F1567" s="4">
        <v>66</v>
      </c>
    </row>
    <row r="1568">
      <c r="A1568" s="0" t="inlineStr">
        <is>
          <t xml:space="preserve">random_06_PSX</t>
        </is>
      </c>
      <c r="B1568" s="0" t="inlineStr">
        <is>
          <t xml:space="preserve">random_06</t>
        </is>
      </c>
      <c r="C1568" s="0" t="inlineStr">
        <is>
          <t xml:space="preserve">d20260923</t>
        </is>
      </c>
      <c r="D1568" s="0" t="inlineStr">
        <is>
          <t xml:space="preserve">PSX</t>
        </is>
      </c>
      <c r="E1568" s="0" t="inlineStr">
        <is>
          <t xml:space="preserve">energy</t>
        </is>
      </c>
      <c r="F1568" s="4">
        <v>67</v>
      </c>
    </row>
    <row r="1569">
      <c r="A1569" s="0" t="inlineStr">
        <is>
          <t xml:space="preserve">random_06_CLMT</t>
        </is>
      </c>
      <c r="B1569" s="0" t="inlineStr">
        <is>
          <t xml:space="preserve">random_06</t>
        </is>
      </c>
      <c r="C1569" s="0" t="inlineStr">
        <is>
          <t xml:space="preserve">d20260923</t>
        </is>
      </c>
      <c r="D1569" s="0" t="inlineStr">
        <is>
          <t xml:space="preserve">CLMT</t>
        </is>
      </c>
      <c r="E1569" s="0" t="inlineStr">
        <is>
          <t xml:space="preserve">basic_materials</t>
        </is>
      </c>
      <c r="F1569" s="4">
        <v>68</v>
      </c>
    </row>
    <row r="1570">
      <c r="A1570" s="0" t="inlineStr">
        <is>
          <t xml:space="preserve">random_06_VLTO</t>
        </is>
      </c>
      <c r="B1570" s="0" t="inlineStr">
        <is>
          <t xml:space="preserve">random_06</t>
        </is>
      </c>
      <c r="C1570" s="0" t="inlineStr">
        <is>
          <t xml:space="preserve">d20260923</t>
        </is>
      </c>
      <c r="D1570" s="0" t="inlineStr">
        <is>
          <t xml:space="preserve">VLTO</t>
        </is>
      </c>
      <c r="E1570" s="0" t="inlineStr">
        <is>
          <t xml:space="preserve">industrials</t>
        </is>
      </c>
      <c r="F1570" s="4">
        <v>69</v>
      </c>
    </row>
    <row r="1571">
      <c r="A1571" s="0" t="inlineStr">
        <is>
          <t xml:space="preserve">random_06_CCL</t>
        </is>
      </c>
      <c r="B1571" s="0" t="inlineStr">
        <is>
          <t xml:space="preserve">random_06</t>
        </is>
      </c>
      <c r="C1571" s="0" t="inlineStr">
        <is>
          <t xml:space="preserve">d20260923</t>
        </is>
      </c>
      <c r="D1571" s="0" t="inlineStr">
        <is>
          <t xml:space="preserve">CCL</t>
        </is>
      </c>
      <c r="E1571" s="0" t="inlineStr">
        <is>
          <t xml:space="preserve">consumer_cyclical</t>
        </is>
      </c>
      <c r="F1571" s="4">
        <v>70</v>
      </c>
    </row>
    <row r="1572">
      <c r="A1572" s="0" t="inlineStr">
        <is>
          <t xml:space="preserve">random_06_HQY</t>
        </is>
      </c>
      <c r="B1572" s="0" t="inlineStr">
        <is>
          <t xml:space="preserve">random_06</t>
        </is>
      </c>
      <c r="C1572" s="0" t="inlineStr">
        <is>
          <t xml:space="preserve">d20260923</t>
        </is>
      </c>
      <c r="D1572" s="0" t="inlineStr">
        <is>
          <t xml:space="preserve">HQY</t>
        </is>
      </c>
      <c r="E1572" s="0" t="inlineStr">
        <is>
          <t xml:space="preserve">healthcare</t>
        </is>
      </c>
      <c r="F1572" s="4">
        <v>71</v>
      </c>
    </row>
    <row r="1573">
      <c r="A1573" s="0" t="inlineStr">
        <is>
          <t xml:space="preserve">random_06_TMO</t>
        </is>
      </c>
      <c r="B1573" s="0" t="inlineStr">
        <is>
          <t xml:space="preserve">random_06</t>
        </is>
      </c>
      <c r="C1573" s="0" t="inlineStr">
        <is>
          <t xml:space="preserve">d20260923</t>
        </is>
      </c>
      <c r="D1573" s="0" t="inlineStr">
        <is>
          <t xml:space="preserve">TMO</t>
        </is>
      </c>
      <c r="E1573" s="0" t="inlineStr">
        <is>
          <t xml:space="preserve">healthcare</t>
        </is>
      </c>
      <c r="F1573" s="4">
        <v>72</v>
      </c>
    </row>
    <row r="1574">
      <c r="A1574" s="0" t="inlineStr">
        <is>
          <t xml:space="preserve">random_06_SFM</t>
        </is>
      </c>
      <c r="B1574" s="0" t="inlineStr">
        <is>
          <t xml:space="preserve">random_06</t>
        </is>
      </c>
      <c r="C1574" s="0" t="inlineStr">
        <is>
          <t xml:space="preserve">d20260923</t>
        </is>
      </c>
      <c r="D1574" s="0" t="inlineStr">
        <is>
          <t xml:space="preserve">SFM</t>
        </is>
      </c>
      <c r="E1574" s="0" t="inlineStr">
        <is>
          <t xml:space="preserve">consumer_defensive</t>
        </is>
      </c>
      <c r="F1574" s="4">
        <v>73</v>
      </c>
    </row>
    <row r="1575">
      <c r="A1575" s="0" t="inlineStr">
        <is>
          <t xml:space="preserve">random_06_TNGX</t>
        </is>
      </c>
      <c r="B1575" s="0" t="inlineStr">
        <is>
          <t xml:space="preserve">random_06</t>
        </is>
      </c>
      <c r="C1575" s="0" t="inlineStr">
        <is>
          <t xml:space="preserve">d20260923</t>
        </is>
      </c>
      <c r="D1575" s="0" t="inlineStr">
        <is>
          <t xml:space="preserve">TNGX</t>
        </is>
      </c>
      <c r="E1575" s="0" t="inlineStr">
        <is>
          <t xml:space="preserve">healthcare</t>
        </is>
      </c>
      <c r="F1575" s="4">
        <v>74</v>
      </c>
    </row>
    <row r="1576">
      <c r="A1576" s="0" t="inlineStr">
        <is>
          <t xml:space="preserve">random_06_APLD</t>
        </is>
      </c>
      <c r="B1576" s="0" t="inlineStr">
        <is>
          <t xml:space="preserve">random_06</t>
        </is>
      </c>
      <c r="C1576" s="0" t="inlineStr">
        <is>
          <t xml:space="preserve">d20260923</t>
        </is>
      </c>
      <c r="D1576" s="0" t="inlineStr">
        <is>
          <t xml:space="preserve">APLD</t>
        </is>
      </c>
      <c r="E1576" s="0" t="inlineStr">
        <is>
          <t xml:space="preserve">technology</t>
        </is>
      </c>
      <c r="F1576" s="4">
        <v>75</v>
      </c>
    </row>
    <row r="1577">
      <c r="A1577" s="0" t="inlineStr">
        <is>
          <t xml:space="preserve">random_06_BURL</t>
        </is>
      </c>
      <c r="B1577" s="0" t="inlineStr">
        <is>
          <t xml:space="preserve">random_06</t>
        </is>
      </c>
      <c r="C1577" s="0" t="inlineStr">
        <is>
          <t xml:space="preserve">d20260923</t>
        </is>
      </c>
      <c r="D1577" s="0" t="inlineStr">
        <is>
          <t xml:space="preserve">BURL</t>
        </is>
      </c>
      <c r="E1577" s="0" t="inlineStr">
        <is>
          <t xml:space="preserve">consumer_cyclical</t>
        </is>
      </c>
      <c r="F1577" s="4">
        <v>76</v>
      </c>
    </row>
    <row r="1578">
      <c r="A1578" s="0" t="inlineStr">
        <is>
          <t xml:space="preserve">random_06_INSW</t>
        </is>
      </c>
      <c r="B1578" s="0" t="inlineStr">
        <is>
          <t xml:space="preserve">random_06</t>
        </is>
      </c>
      <c r="C1578" s="0" t="inlineStr">
        <is>
          <t xml:space="preserve">d20260923</t>
        </is>
      </c>
      <c r="D1578" s="0" t="inlineStr">
        <is>
          <t xml:space="preserve">INSW</t>
        </is>
      </c>
      <c r="E1578" s="0" t="inlineStr">
        <is>
          <t xml:space="preserve">industrials</t>
        </is>
      </c>
      <c r="F1578" s="4">
        <v>77</v>
      </c>
    </row>
    <row r="1579">
      <c r="A1579" s="0" t="inlineStr">
        <is>
          <t xml:space="preserve">random_06_DG</t>
        </is>
      </c>
      <c r="B1579" s="0" t="inlineStr">
        <is>
          <t xml:space="preserve">random_06</t>
        </is>
      </c>
      <c r="C1579" s="0" t="inlineStr">
        <is>
          <t xml:space="preserve">d20260923</t>
        </is>
      </c>
      <c r="D1579" s="0" t="inlineStr">
        <is>
          <t xml:space="preserve">DG</t>
        </is>
      </c>
      <c r="E1579" s="0" t="inlineStr">
        <is>
          <t xml:space="preserve">consumer_defensive</t>
        </is>
      </c>
      <c r="F1579" s="4">
        <v>78</v>
      </c>
    </row>
    <row r="1580">
      <c r="A1580" s="0" t="inlineStr">
        <is>
          <t xml:space="preserve">random_06_SNX</t>
        </is>
      </c>
      <c r="B1580" s="0" t="inlineStr">
        <is>
          <t xml:space="preserve">random_06</t>
        </is>
      </c>
      <c r="C1580" s="0" t="inlineStr">
        <is>
          <t xml:space="preserve">d20260923</t>
        </is>
      </c>
      <c r="D1580" s="0" t="inlineStr">
        <is>
          <t xml:space="preserve">SNX</t>
        </is>
      </c>
      <c r="E1580" s="0" t="inlineStr">
        <is>
          <t xml:space="preserve">technology</t>
        </is>
      </c>
      <c r="F1580" s="4">
        <v>79</v>
      </c>
    </row>
    <row r="1581">
      <c r="A1581" s="0" t="inlineStr">
        <is>
          <t xml:space="preserve">random_06_VAL</t>
        </is>
      </c>
      <c r="B1581" s="0" t="inlineStr">
        <is>
          <t xml:space="preserve">random_06</t>
        </is>
      </c>
      <c r="C1581" s="0" t="inlineStr">
        <is>
          <t xml:space="preserve">d20260923</t>
        </is>
      </c>
      <c r="D1581" s="0" t="inlineStr">
        <is>
          <t xml:space="preserve">VAL</t>
        </is>
      </c>
      <c r="E1581" s="0" t="inlineStr">
        <is>
          <t xml:space="preserve">energy</t>
        </is>
      </c>
      <c r="F1581" s="4">
        <v>80</v>
      </c>
    </row>
    <row r="1582">
      <c r="A1582" s="0" t="inlineStr">
        <is>
          <t xml:space="preserve">random_06_PRDO</t>
        </is>
      </c>
      <c r="B1582" s="0" t="inlineStr">
        <is>
          <t xml:space="preserve">random_06</t>
        </is>
      </c>
      <c r="C1582" s="0" t="inlineStr">
        <is>
          <t xml:space="preserve">d20260923</t>
        </is>
      </c>
      <c r="D1582" s="0" t="inlineStr">
        <is>
          <t xml:space="preserve">PRDO</t>
        </is>
      </c>
      <c r="E1582" s="0" t="inlineStr">
        <is>
          <t xml:space="preserve">consumer_defensive</t>
        </is>
      </c>
      <c r="F1582" s="4">
        <v>81</v>
      </c>
    </row>
    <row r="1583">
      <c r="A1583" s="0" t="inlineStr">
        <is>
          <t xml:space="preserve">random_06_SITE</t>
        </is>
      </c>
      <c r="B1583" s="0" t="inlineStr">
        <is>
          <t xml:space="preserve">random_06</t>
        </is>
      </c>
      <c r="C1583" s="0" t="inlineStr">
        <is>
          <t xml:space="preserve">d20260923</t>
        </is>
      </c>
      <c r="D1583" s="0" t="inlineStr">
        <is>
          <t xml:space="preserve">SITE</t>
        </is>
      </c>
      <c r="E1583" s="0" t="inlineStr">
        <is>
          <t xml:space="preserve">industrials</t>
        </is>
      </c>
      <c r="F1583" s="4">
        <v>82</v>
      </c>
    </row>
    <row r="1584">
      <c r="A1584" s="0" t="inlineStr">
        <is>
          <t xml:space="preserve">random_06_CRL</t>
        </is>
      </c>
      <c r="B1584" s="0" t="inlineStr">
        <is>
          <t xml:space="preserve">random_06</t>
        </is>
      </c>
      <c r="C1584" s="0" t="inlineStr">
        <is>
          <t xml:space="preserve">d20260923</t>
        </is>
      </c>
      <c r="D1584" s="0" t="inlineStr">
        <is>
          <t xml:space="preserve">CRL</t>
        </is>
      </c>
      <c r="E1584" s="0" t="inlineStr">
        <is>
          <t xml:space="preserve">healthcare</t>
        </is>
      </c>
      <c r="F1584" s="4">
        <v>83</v>
      </c>
    </row>
    <row r="1585">
      <c r="A1585" s="0" t="inlineStr">
        <is>
          <t xml:space="preserve">random_06_BUSE</t>
        </is>
      </c>
      <c r="B1585" s="0" t="inlineStr">
        <is>
          <t xml:space="preserve">random_06</t>
        </is>
      </c>
      <c r="C1585" s="0" t="inlineStr">
        <is>
          <t xml:space="preserve">d20260923</t>
        </is>
      </c>
      <c r="D1585" s="0" t="inlineStr">
        <is>
          <t xml:space="preserve">BUSE</t>
        </is>
      </c>
      <c r="E1585" s="0" t="inlineStr">
        <is>
          <t xml:space="preserve">financial_services</t>
        </is>
      </c>
      <c r="F1585" s="4">
        <v>84</v>
      </c>
    </row>
    <row r="1586">
      <c r="A1586" s="0" t="inlineStr">
        <is>
          <t xml:space="preserve">random_06_IPGP</t>
        </is>
      </c>
      <c r="B1586" s="0" t="inlineStr">
        <is>
          <t xml:space="preserve">random_06</t>
        </is>
      </c>
      <c r="C1586" s="0" t="inlineStr">
        <is>
          <t xml:space="preserve">d20260923</t>
        </is>
      </c>
      <c r="D1586" s="0" t="inlineStr">
        <is>
          <t xml:space="preserve">IPGP</t>
        </is>
      </c>
      <c r="E1586" s="0" t="inlineStr">
        <is>
          <t xml:space="preserve">technology</t>
        </is>
      </c>
      <c r="F1586" s="4">
        <v>85</v>
      </c>
    </row>
    <row r="1587">
      <c r="A1587" s="0" t="inlineStr">
        <is>
          <t xml:space="preserve">random_06_HIG</t>
        </is>
      </c>
      <c r="B1587" s="0" t="inlineStr">
        <is>
          <t xml:space="preserve">random_06</t>
        </is>
      </c>
      <c r="C1587" s="0" t="inlineStr">
        <is>
          <t xml:space="preserve">d20260923</t>
        </is>
      </c>
      <c r="D1587" s="0" t="inlineStr">
        <is>
          <t xml:space="preserve">HIG</t>
        </is>
      </c>
      <c r="E1587" s="0" t="inlineStr">
        <is>
          <t xml:space="preserve">financial_services</t>
        </is>
      </c>
      <c r="F1587" s="4">
        <v>86</v>
      </c>
    </row>
    <row r="1588">
      <c r="A1588" s="0" t="inlineStr">
        <is>
          <t xml:space="preserve">random_06_ESAB</t>
        </is>
      </c>
      <c r="B1588" s="0" t="inlineStr">
        <is>
          <t xml:space="preserve">random_06</t>
        </is>
      </c>
      <c r="C1588" s="0" t="inlineStr">
        <is>
          <t xml:space="preserve">d20260923</t>
        </is>
      </c>
      <c r="D1588" s="0" t="inlineStr">
        <is>
          <t xml:space="preserve">ESAB</t>
        </is>
      </c>
      <c r="E1588" s="0" t="inlineStr">
        <is>
          <t xml:space="preserve">industrials</t>
        </is>
      </c>
      <c r="F1588" s="4">
        <v>87</v>
      </c>
    </row>
    <row r="1589">
      <c r="A1589" s="0" t="inlineStr">
        <is>
          <t xml:space="preserve">random_06_NWS</t>
        </is>
      </c>
      <c r="B1589" s="0" t="inlineStr">
        <is>
          <t xml:space="preserve">random_06</t>
        </is>
      </c>
      <c r="C1589" s="0" t="inlineStr">
        <is>
          <t xml:space="preserve">d20260923</t>
        </is>
      </c>
      <c r="D1589" s="0" t="inlineStr">
        <is>
          <t xml:space="preserve">NWS</t>
        </is>
      </c>
      <c r="E1589" s="0" t="inlineStr">
        <is>
          <t xml:space="preserve">communication_services</t>
        </is>
      </c>
      <c r="F1589" s="4">
        <v>88</v>
      </c>
    </row>
    <row r="1590">
      <c r="A1590" s="0" t="inlineStr">
        <is>
          <t xml:space="preserve">random_06_PODD</t>
        </is>
      </c>
      <c r="B1590" s="0" t="inlineStr">
        <is>
          <t xml:space="preserve">random_06</t>
        </is>
      </c>
      <c r="C1590" s="0" t="inlineStr">
        <is>
          <t xml:space="preserve">d20260923</t>
        </is>
      </c>
      <c r="D1590" s="0" t="inlineStr">
        <is>
          <t xml:space="preserve">PODD</t>
        </is>
      </c>
      <c r="E1590" s="0" t="inlineStr">
        <is>
          <t xml:space="preserve">healthcare</t>
        </is>
      </c>
      <c r="F1590" s="4">
        <v>89</v>
      </c>
    </row>
    <row r="1591">
      <c r="A1591" s="0" t="inlineStr">
        <is>
          <t xml:space="preserve">random_06_BULL</t>
        </is>
      </c>
      <c r="B1591" s="0" t="inlineStr">
        <is>
          <t xml:space="preserve">random_06</t>
        </is>
      </c>
      <c r="C1591" s="0" t="inlineStr">
        <is>
          <t xml:space="preserve">d20260923</t>
        </is>
      </c>
      <c r="D1591" s="0" t="inlineStr">
        <is>
          <t xml:space="preserve">BULL</t>
        </is>
      </c>
      <c r="E1591" s="0" t="inlineStr">
        <is>
          <t xml:space="preserve">technology</t>
        </is>
      </c>
      <c r="F1591" s="4">
        <v>90</v>
      </c>
    </row>
    <row r="1592">
      <c r="A1592" s="0" t="inlineStr">
        <is>
          <t xml:space="preserve">random_06_AVY</t>
        </is>
      </c>
      <c r="B1592" s="0" t="inlineStr">
        <is>
          <t xml:space="preserve">random_06</t>
        </is>
      </c>
      <c r="C1592" s="0" t="inlineStr">
        <is>
          <t xml:space="preserve">d20260923</t>
        </is>
      </c>
      <c r="D1592" s="0" t="inlineStr">
        <is>
          <t xml:space="preserve">AVY</t>
        </is>
      </c>
      <c r="E1592" s="0" t="inlineStr">
        <is>
          <t xml:space="preserve">consumer_cyclical</t>
        </is>
      </c>
      <c r="F1592" s="4">
        <v>91</v>
      </c>
    </row>
    <row r="1593">
      <c r="A1593" s="0" t="inlineStr">
        <is>
          <t xml:space="preserve">random_06_UMBF</t>
        </is>
      </c>
      <c r="B1593" s="0" t="inlineStr">
        <is>
          <t xml:space="preserve">random_06</t>
        </is>
      </c>
      <c r="C1593" s="0" t="inlineStr">
        <is>
          <t xml:space="preserve">d20260923</t>
        </is>
      </c>
      <c r="D1593" s="0" t="inlineStr">
        <is>
          <t xml:space="preserve">UMBF</t>
        </is>
      </c>
      <c r="E1593" s="0" t="inlineStr">
        <is>
          <t xml:space="preserve">financial_services</t>
        </is>
      </c>
      <c r="F1593" s="4">
        <v>92</v>
      </c>
    </row>
    <row r="1594">
      <c r="A1594" s="0" t="inlineStr">
        <is>
          <t xml:space="preserve">random_06_NTAP</t>
        </is>
      </c>
      <c r="B1594" s="0" t="inlineStr">
        <is>
          <t xml:space="preserve">random_06</t>
        </is>
      </c>
      <c r="C1594" s="0" t="inlineStr">
        <is>
          <t xml:space="preserve">d20260923</t>
        </is>
      </c>
      <c r="D1594" s="0" t="inlineStr">
        <is>
          <t xml:space="preserve">NTAP</t>
        </is>
      </c>
      <c r="E1594" s="0" t="inlineStr">
        <is>
          <t xml:space="preserve">technology</t>
        </is>
      </c>
      <c r="F1594" s="4">
        <v>93</v>
      </c>
    </row>
    <row r="1595">
      <c r="A1595" s="0" t="inlineStr">
        <is>
          <t xml:space="preserve">random_06_CDE</t>
        </is>
      </c>
      <c r="B1595" s="0" t="inlineStr">
        <is>
          <t xml:space="preserve">random_06</t>
        </is>
      </c>
      <c r="C1595" s="0" t="inlineStr">
        <is>
          <t xml:space="preserve">d20260923</t>
        </is>
      </c>
      <c r="D1595" s="0" t="inlineStr">
        <is>
          <t xml:space="preserve">CDE</t>
        </is>
      </c>
      <c r="E1595" s="0" t="inlineStr">
        <is>
          <t xml:space="preserve">basic_materials</t>
        </is>
      </c>
      <c r="F1595" s="4">
        <v>94</v>
      </c>
    </row>
    <row r="1596">
      <c r="A1596" s="0" t="inlineStr">
        <is>
          <t xml:space="preserve">random_06_KRMN</t>
        </is>
      </c>
      <c r="B1596" s="0" t="inlineStr">
        <is>
          <t xml:space="preserve">random_06</t>
        </is>
      </c>
      <c r="C1596" s="0" t="inlineStr">
        <is>
          <t xml:space="preserve">d20260923</t>
        </is>
      </c>
      <c r="D1596" s="0" t="inlineStr">
        <is>
          <t xml:space="preserve">KRMN</t>
        </is>
      </c>
      <c r="E1596" s="0" t="inlineStr">
        <is>
          <t xml:space="preserve">industrials</t>
        </is>
      </c>
      <c r="F1596" s="4">
        <v>95</v>
      </c>
    </row>
    <row r="1597">
      <c r="A1597" s="0" t="inlineStr">
        <is>
          <t xml:space="preserve">random_06_JKHY</t>
        </is>
      </c>
      <c r="B1597" s="0" t="inlineStr">
        <is>
          <t xml:space="preserve">random_06</t>
        </is>
      </c>
      <c r="C1597" s="0" t="inlineStr">
        <is>
          <t xml:space="preserve">d20260923</t>
        </is>
      </c>
      <c r="D1597" s="0" t="inlineStr">
        <is>
          <t xml:space="preserve">JKHY</t>
        </is>
      </c>
      <c r="E1597" s="0" t="inlineStr">
        <is>
          <t xml:space="preserve">technology</t>
        </is>
      </c>
      <c r="F1597" s="4">
        <v>96</v>
      </c>
    </row>
    <row r="1598">
      <c r="A1598" s="0" t="inlineStr">
        <is>
          <t xml:space="preserve">random_06_STDN</t>
        </is>
      </c>
      <c r="B1598" s="0" t="inlineStr">
        <is>
          <t xml:space="preserve">random_06</t>
        </is>
      </c>
      <c r="C1598" s="0" t="inlineStr">
        <is>
          <t xml:space="preserve">d20260923</t>
        </is>
      </c>
      <c r="D1598" s="0" t="inlineStr">
        <is>
          <t xml:space="preserve">STDN</t>
        </is>
      </c>
      <c r="E1598" s="0" t="inlineStr">
        <is>
          <t xml:space="preserve">basic_materials</t>
        </is>
      </c>
      <c r="F1598" s="4">
        <v>97</v>
      </c>
    </row>
    <row r="1599">
      <c r="A1599" s="0" t="inlineStr">
        <is>
          <t xml:space="preserve">random_06_MAS</t>
        </is>
      </c>
      <c r="B1599" s="0" t="inlineStr">
        <is>
          <t xml:space="preserve">random_06</t>
        </is>
      </c>
      <c r="C1599" s="0" t="inlineStr">
        <is>
          <t xml:space="preserve">d20260923</t>
        </is>
      </c>
      <c r="D1599" s="0" t="inlineStr">
        <is>
          <t xml:space="preserve">MAS</t>
        </is>
      </c>
      <c r="E1599" s="0" t="inlineStr">
        <is>
          <t xml:space="preserve">basic_materials</t>
        </is>
      </c>
      <c r="F1599" s="4">
        <v>98</v>
      </c>
    </row>
    <row r="1600">
      <c r="A1600" s="0" t="inlineStr">
        <is>
          <t xml:space="preserve">random_06_RYTM</t>
        </is>
      </c>
      <c r="B1600" s="0" t="inlineStr">
        <is>
          <t xml:space="preserve">random_06</t>
        </is>
      </c>
      <c r="C1600" s="0" t="inlineStr">
        <is>
          <t xml:space="preserve">d20260923</t>
        </is>
      </c>
      <c r="D1600" s="0" t="inlineStr">
        <is>
          <t xml:space="preserve">RYTM</t>
        </is>
      </c>
      <c r="E1600" s="0" t="inlineStr">
        <is>
          <t xml:space="preserve">healthcare</t>
        </is>
      </c>
      <c r="F1600" s="4">
        <v>99</v>
      </c>
    </row>
    <row r="1601">
      <c r="A1601" s="0" t="inlineStr">
        <is>
          <t xml:space="preserve">random_06_SHOO</t>
        </is>
      </c>
      <c r="B1601" s="0" t="inlineStr">
        <is>
          <t xml:space="preserve">random_06</t>
        </is>
      </c>
      <c r="C1601" s="0" t="inlineStr">
        <is>
          <t xml:space="preserve">d20260923</t>
        </is>
      </c>
      <c r="D1601" s="0" t="inlineStr">
        <is>
          <t xml:space="preserve">SHOO</t>
        </is>
      </c>
      <c r="E1601" s="0" t="inlineStr">
        <is>
          <t xml:space="preserve">consumer_cyclical</t>
        </is>
      </c>
      <c r="F1601" s="4">
        <v>100</v>
      </c>
    </row>
    <row r="1602">
      <c r="A1602" s="0" t="inlineStr">
        <is>
          <t xml:space="preserve">random_07_NRIX</t>
        </is>
      </c>
      <c r="B1602" s="0" t="inlineStr">
        <is>
          <t xml:space="preserve">random_07</t>
        </is>
      </c>
      <c r="C1602" s="0" t="inlineStr">
        <is>
          <t xml:space="preserve">d20260923</t>
        </is>
      </c>
      <c r="D1602" s="0" t="inlineStr">
        <is>
          <t xml:space="preserve">NRIX</t>
        </is>
      </c>
      <c r="E1602" s="0" t="inlineStr">
        <is>
          <t xml:space="preserve">healthcare</t>
        </is>
      </c>
      <c r="F1602" s="4">
        <v>1</v>
      </c>
    </row>
    <row r="1603">
      <c r="A1603" s="0" t="inlineStr">
        <is>
          <t xml:space="preserve">random_07_MU</t>
        </is>
      </c>
      <c r="B1603" s="0" t="inlineStr">
        <is>
          <t xml:space="preserve">random_07</t>
        </is>
      </c>
      <c r="C1603" s="0" t="inlineStr">
        <is>
          <t xml:space="preserve">d20260923</t>
        </is>
      </c>
      <c r="D1603" s="0" t="inlineStr">
        <is>
          <t xml:space="preserve">MU</t>
        </is>
      </c>
      <c r="E1603" s="0" t="inlineStr">
        <is>
          <t xml:space="preserve">technology</t>
        </is>
      </c>
      <c r="F1603" s="4">
        <v>2</v>
      </c>
    </row>
    <row r="1604">
      <c r="A1604" s="0" t="inlineStr">
        <is>
          <t xml:space="preserve">random_07_GDDY</t>
        </is>
      </c>
      <c r="B1604" s="0" t="inlineStr">
        <is>
          <t xml:space="preserve">random_07</t>
        </is>
      </c>
      <c r="C1604" s="0" t="inlineStr">
        <is>
          <t xml:space="preserve">d20260923</t>
        </is>
      </c>
      <c r="D1604" s="0" t="inlineStr">
        <is>
          <t xml:space="preserve">GDDY</t>
        </is>
      </c>
      <c r="E1604" s="0" t="inlineStr">
        <is>
          <t xml:space="preserve">technology</t>
        </is>
      </c>
      <c r="F1604" s="4">
        <v>3</v>
      </c>
    </row>
    <row r="1605">
      <c r="A1605" s="0" t="inlineStr">
        <is>
          <t xml:space="preserve">random_07_ALGN</t>
        </is>
      </c>
      <c r="B1605" s="0" t="inlineStr">
        <is>
          <t xml:space="preserve">random_07</t>
        </is>
      </c>
      <c r="C1605" s="0" t="inlineStr">
        <is>
          <t xml:space="preserve">d20260923</t>
        </is>
      </c>
      <c r="D1605" s="0" t="inlineStr">
        <is>
          <t xml:space="preserve">ALGN</t>
        </is>
      </c>
      <c r="E1605" s="0" t="inlineStr">
        <is>
          <t xml:space="preserve">healthcare</t>
        </is>
      </c>
      <c r="F1605" s="4">
        <v>4</v>
      </c>
    </row>
    <row r="1606">
      <c r="A1606" s="0" t="inlineStr">
        <is>
          <t xml:space="preserve">random_07_FICO</t>
        </is>
      </c>
      <c r="B1606" s="0" t="inlineStr">
        <is>
          <t xml:space="preserve">random_07</t>
        </is>
      </c>
      <c r="C1606" s="0" t="inlineStr">
        <is>
          <t xml:space="preserve">d20260923</t>
        </is>
      </c>
      <c r="D1606" s="0" t="inlineStr">
        <is>
          <t xml:space="preserve">FICO</t>
        </is>
      </c>
      <c r="E1606" s="0" t="inlineStr">
        <is>
          <t xml:space="preserve">technology</t>
        </is>
      </c>
      <c r="F1606" s="4">
        <v>5</v>
      </c>
    </row>
    <row r="1607">
      <c r="A1607" s="0" t="inlineStr">
        <is>
          <t xml:space="preserve">random_07_FCX</t>
        </is>
      </c>
      <c r="B1607" s="0" t="inlineStr">
        <is>
          <t xml:space="preserve">random_07</t>
        </is>
      </c>
      <c r="C1607" s="0" t="inlineStr">
        <is>
          <t xml:space="preserve">d20260923</t>
        </is>
      </c>
      <c r="D1607" s="0" t="inlineStr">
        <is>
          <t xml:space="preserve">FCX</t>
        </is>
      </c>
      <c r="E1607" s="0" t="inlineStr">
        <is>
          <t xml:space="preserve">basic_materials</t>
        </is>
      </c>
      <c r="F1607" s="4">
        <v>6</v>
      </c>
    </row>
    <row r="1608">
      <c r="A1608" s="0" t="inlineStr">
        <is>
          <t xml:space="preserve">random_07_VSNT</t>
        </is>
      </c>
      <c r="B1608" s="0" t="inlineStr">
        <is>
          <t xml:space="preserve">random_07</t>
        </is>
      </c>
      <c r="C1608" s="0" t="inlineStr">
        <is>
          <t xml:space="preserve">d20260923</t>
        </is>
      </c>
      <c r="D1608" s="0" t="inlineStr">
        <is>
          <t xml:space="preserve">VSNT</t>
        </is>
      </c>
      <c r="E1608" s="0" t="inlineStr">
        <is>
          <t xml:space="preserve">communication_services</t>
        </is>
      </c>
      <c r="F1608" s="4">
        <v>7</v>
      </c>
    </row>
    <row r="1609">
      <c r="A1609" s="0" t="inlineStr">
        <is>
          <t xml:space="preserve">random_07_CHEF</t>
        </is>
      </c>
      <c r="B1609" s="0" t="inlineStr">
        <is>
          <t xml:space="preserve">random_07</t>
        </is>
      </c>
      <c r="C1609" s="0" t="inlineStr">
        <is>
          <t xml:space="preserve">d20260923</t>
        </is>
      </c>
      <c r="D1609" s="0" t="inlineStr">
        <is>
          <t xml:space="preserve">CHEF</t>
        </is>
      </c>
      <c r="E1609" s="0" t="inlineStr">
        <is>
          <t xml:space="preserve">consumer_defensive</t>
        </is>
      </c>
      <c r="F1609" s="4">
        <v>8</v>
      </c>
    </row>
    <row r="1610">
      <c r="A1610" s="0" t="inlineStr">
        <is>
          <t xml:space="preserve">random_07_LHX</t>
        </is>
      </c>
      <c r="B1610" s="0" t="inlineStr">
        <is>
          <t xml:space="preserve">random_07</t>
        </is>
      </c>
      <c r="C1610" s="0" t="inlineStr">
        <is>
          <t xml:space="preserve">d20260923</t>
        </is>
      </c>
      <c r="D1610" s="0" t="inlineStr">
        <is>
          <t xml:space="preserve">LHX</t>
        </is>
      </c>
      <c r="E1610" s="0" t="inlineStr">
        <is>
          <t xml:space="preserve">industrials</t>
        </is>
      </c>
      <c r="F1610" s="4">
        <v>9</v>
      </c>
    </row>
    <row r="1611">
      <c r="A1611" s="0" t="inlineStr">
        <is>
          <t xml:space="preserve">random_07_CPNG</t>
        </is>
      </c>
      <c r="B1611" s="0" t="inlineStr">
        <is>
          <t xml:space="preserve">random_07</t>
        </is>
      </c>
      <c r="C1611" s="0" t="inlineStr">
        <is>
          <t xml:space="preserve">d20260923</t>
        </is>
      </c>
      <c r="D1611" s="0" t="inlineStr">
        <is>
          <t xml:space="preserve">CPNG</t>
        </is>
      </c>
      <c r="E1611" s="0" t="inlineStr">
        <is>
          <t xml:space="preserve">consumer_cyclical</t>
        </is>
      </c>
      <c r="F1611" s="4">
        <v>10</v>
      </c>
    </row>
    <row r="1612">
      <c r="A1612" s="0" t="inlineStr">
        <is>
          <t xml:space="preserve">random_07_NIQ</t>
        </is>
      </c>
      <c r="B1612" s="0" t="inlineStr">
        <is>
          <t xml:space="preserve">random_07</t>
        </is>
      </c>
      <c r="C1612" s="0" t="inlineStr">
        <is>
          <t xml:space="preserve">d20260923</t>
        </is>
      </c>
      <c r="D1612" s="0" t="inlineStr">
        <is>
          <t xml:space="preserve">NIQ</t>
        </is>
      </c>
      <c r="E1612" s="0" t="inlineStr">
        <is>
          <t xml:space="preserve">technology</t>
        </is>
      </c>
      <c r="F1612" s="4">
        <v>11</v>
      </c>
    </row>
    <row r="1613">
      <c r="A1613" s="0" t="inlineStr">
        <is>
          <t xml:space="preserve">random_07_TVTX</t>
        </is>
      </c>
      <c r="B1613" s="0" t="inlineStr">
        <is>
          <t xml:space="preserve">random_07</t>
        </is>
      </c>
      <c r="C1613" s="0" t="inlineStr">
        <is>
          <t xml:space="preserve">d20260923</t>
        </is>
      </c>
      <c r="D1613" s="0" t="inlineStr">
        <is>
          <t xml:space="preserve">TVTX</t>
        </is>
      </c>
      <c r="E1613" s="0" t="inlineStr">
        <is>
          <t xml:space="preserve">healthcare</t>
        </is>
      </c>
      <c r="F1613" s="4">
        <v>12</v>
      </c>
    </row>
    <row r="1614">
      <c r="A1614" s="0" t="inlineStr">
        <is>
          <t xml:space="preserve">random_07_W</t>
        </is>
      </c>
      <c r="B1614" s="0" t="inlineStr">
        <is>
          <t xml:space="preserve">random_07</t>
        </is>
      </c>
      <c r="C1614" s="0" t="inlineStr">
        <is>
          <t xml:space="preserve">d20260923</t>
        </is>
      </c>
      <c r="D1614" s="0" t="inlineStr">
        <is>
          <t xml:space="preserve">W</t>
        </is>
      </c>
      <c r="E1614" s="0" t="inlineStr">
        <is>
          <t xml:space="preserve">consumer_cyclical</t>
        </is>
      </c>
      <c r="F1614" s="4">
        <v>13</v>
      </c>
    </row>
    <row r="1615">
      <c r="A1615" s="0" t="inlineStr">
        <is>
          <t xml:space="preserve">random_07_VVX</t>
        </is>
      </c>
      <c r="B1615" s="0" t="inlineStr">
        <is>
          <t xml:space="preserve">random_07</t>
        </is>
      </c>
      <c r="C1615" s="0" t="inlineStr">
        <is>
          <t xml:space="preserve">d20260923</t>
        </is>
      </c>
      <c r="D1615" s="0" t="inlineStr">
        <is>
          <t xml:space="preserve">VVX</t>
        </is>
      </c>
      <c r="E1615" s="0" t="inlineStr">
        <is>
          <t xml:space="preserve">industrials</t>
        </is>
      </c>
      <c r="F1615" s="4">
        <v>14</v>
      </c>
    </row>
    <row r="1616">
      <c r="A1616" s="0" t="inlineStr">
        <is>
          <t xml:space="preserve">random_07_PTCT</t>
        </is>
      </c>
      <c r="B1616" s="0" t="inlineStr">
        <is>
          <t xml:space="preserve">random_07</t>
        </is>
      </c>
      <c r="C1616" s="0" t="inlineStr">
        <is>
          <t xml:space="preserve">d20260923</t>
        </is>
      </c>
      <c r="D1616" s="0" t="inlineStr">
        <is>
          <t xml:space="preserve">PTCT</t>
        </is>
      </c>
      <c r="E1616" s="0" t="inlineStr">
        <is>
          <t xml:space="preserve">healthcare</t>
        </is>
      </c>
      <c r="F1616" s="4">
        <v>15</v>
      </c>
    </row>
    <row r="1617">
      <c r="A1617" s="0" t="inlineStr">
        <is>
          <t xml:space="preserve">random_07_CURB</t>
        </is>
      </c>
      <c r="B1617" s="0" t="inlineStr">
        <is>
          <t xml:space="preserve">random_07</t>
        </is>
      </c>
      <c r="C1617" s="0" t="inlineStr">
        <is>
          <t xml:space="preserve">d20260923</t>
        </is>
      </c>
      <c r="D1617" s="0" t="inlineStr">
        <is>
          <t xml:space="preserve">CURB</t>
        </is>
      </c>
      <c r="E1617" s="0" t="inlineStr">
        <is>
          <t xml:space="preserve">real_estate</t>
        </is>
      </c>
      <c r="F1617" s="4">
        <v>16</v>
      </c>
    </row>
    <row r="1618">
      <c r="A1618" s="0" t="inlineStr">
        <is>
          <t xml:space="preserve">random_07_AFRM</t>
        </is>
      </c>
      <c r="B1618" s="0" t="inlineStr">
        <is>
          <t xml:space="preserve">random_07</t>
        </is>
      </c>
      <c r="C1618" s="0" t="inlineStr">
        <is>
          <t xml:space="preserve">d20260923</t>
        </is>
      </c>
      <c r="D1618" s="0" t="inlineStr">
        <is>
          <t xml:space="preserve">AFRM</t>
        </is>
      </c>
      <c r="E1618" s="0" t="inlineStr">
        <is>
          <t xml:space="preserve">financial_services</t>
        </is>
      </c>
      <c r="F1618" s="4">
        <v>17</v>
      </c>
    </row>
    <row r="1619">
      <c r="A1619" s="0" t="inlineStr">
        <is>
          <t xml:space="preserve">random_07_JXN</t>
        </is>
      </c>
      <c r="B1619" s="0" t="inlineStr">
        <is>
          <t xml:space="preserve">random_07</t>
        </is>
      </c>
      <c r="C1619" s="0" t="inlineStr">
        <is>
          <t xml:space="preserve">d20260923</t>
        </is>
      </c>
      <c r="D1619" s="0" t="inlineStr">
        <is>
          <t xml:space="preserve">JXN</t>
        </is>
      </c>
      <c r="E1619" s="0" t="inlineStr">
        <is>
          <t xml:space="preserve">financial_services</t>
        </is>
      </c>
      <c r="F1619" s="4">
        <v>18</v>
      </c>
    </row>
    <row r="1620">
      <c r="A1620" s="0" t="inlineStr">
        <is>
          <t xml:space="preserve">random_07_DAR</t>
        </is>
      </c>
      <c r="B1620" s="0" t="inlineStr">
        <is>
          <t xml:space="preserve">random_07</t>
        </is>
      </c>
      <c r="C1620" s="0" t="inlineStr">
        <is>
          <t xml:space="preserve">d20260923</t>
        </is>
      </c>
      <c r="D1620" s="0" t="inlineStr">
        <is>
          <t xml:space="preserve">DAR</t>
        </is>
      </c>
      <c r="E1620" s="0" t="inlineStr">
        <is>
          <t xml:space="preserve">consumer_defensive</t>
        </is>
      </c>
      <c r="F1620" s="4">
        <v>19</v>
      </c>
    </row>
    <row r="1621">
      <c r="A1621" s="0" t="inlineStr">
        <is>
          <t xml:space="preserve">random_07_AVTR</t>
        </is>
      </c>
      <c r="B1621" s="0" t="inlineStr">
        <is>
          <t xml:space="preserve">random_07</t>
        </is>
      </c>
      <c r="C1621" s="0" t="inlineStr">
        <is>
          <t xml:space="preserve">d20260923</t>
        </is>
      </c>
      <c r="D1621" s="0" t="inlineStr">
        <is>
          <t xml:space="preserve">AVTR</t>
        </is>
      </c>
      <c r="E1621" s="0" t="inlineStr">
        <is>
          <t xml:space="preserve">healthcare</t>
        </is>
      </c>
      <c r="F1621" s="4">
        <v>20</v>
      </c>
    </row>
    <row r="1622">
      <c r="A1622" s="0" t="inlineStr">
        <is>
          <t xml:space="preserve">random_07_CELH</t>
        </is>
      </c>
      <c r="B1622" s="0" t="inlineStr">
        <is>
          <t xml:space="preserve">random_07</t>
        </is>
      </c>
      <c r="C1622" s="0" t="inlineStr">
        <is>
          <t xml:space="preserve">d20260923</t>
        </is>
      </c>
      <c r="D1622" s="0" t="inlineStr">
        <is>
          <t xml:space="preserve">CELH</t>
        </is>
      </c>
      <c r="E1622" s="0" t="inlineStr">
        <is>
          <t xml:space="preserve">consumer_defensive</t>
        </is>
      </c>
      <c r="F1622" s="4">
        <v>21</v>
      </c>
    </row>
    <row r="1623">
      <c r="A1623" s="0" t="inlineStr">
        <is>
          <t xml:space="preserve">random_07_AMAT</t>
        </is>
      </c>
      <c r="B1623" s="0" t="inlineStr">
        <is>
          <t xml:space="preserve">random_07</t>
        </is>
      </c>
      <c r="C1623" s="0" t="inlineStr">
        <is>
          <t xml:space="preserve">d20260923</t>
        </is>
      </c>
      <c r="D1623" s="0" t="inlineStr">
        <is>
          <t xml:space="preserve">AMAT</t>
        </is>
      </c>
      <c r="E1623" s="0" t="inlineStr">
        <is>
          <t xml:space="preserve">technology</t>
        </is>
      </c>
      <c r="F1623" s="4">
        <v>22</v>
      </c>
    </row>
    <row r="1624">
      <c r="A1624" s="0" t="inlineStr">
        <is>
          <t xml:space="preserve">random_07_PRDO</t>
        </is>
      </c>
      <c r="B1624" s="0" t="inlineStr">
        <is>
          <t xml:space="preserve">random_07</t>
        </is>
      </c>
      <c r="C1624" s="0" t="inlineStr">
        <is>
          <t xml:space="preserve">d20260923</t>
        </is>
      </c>
      <c r="D1624" s="0" t="inlineStr">
        <is>
          <t xml:space="preserve">PRDO</t>
        </is>
      </c>
      <c r="E1624" s="0" t="inlineStr">
        <is>
          <t xml:space="preserve">consumer_defensive</t>
        </is>
      </c>
      <c r="F1624" s="4">
        <v>23</v>
      </c>
    </row>
    <row r="1625">
      <c r="A1625" s="0" t="inlineStr">
        <is>
          <t xml:space="preserve">random_07_WSC</t>
        </is>
      </c>
      <c r="B1625" s="0" t="inlineStr">
        <is>
          <t xml:space="preserve">random_07</t>
        </is>
      </c>
      <c r="C1625" s="0" t="inlineStr">
        <is>
          <t xml:space="preserve">d20260923</t>
        </is>
      </c>
      <c r="D1625" s="0" t="inlineStr">
        <is>
          <t xml:space="preserve">WSC</t>
        </is>
      </c>
      <c r="E1625" s="0" t="inlineStr">
        <is>
          <t xml:space="preserve">industrials</t>
        </is>
      </c>
      <c r="F1625" s="4">
        <v>24</v>
      </c>
    </row>
    <row r="1626">
      <c r="A1626" s="0" t="inlineStr">
        <is>
          <t xml:space="preserve">random_07_TDS</t>
        </is>
      </c>
      <c r="B1626" s="0" t="inlineStr">
        <is>
          <t xml:space="preserve">random_07</t>
        </is>
      </c>
      <c r="C1626" s="0" t="inlineStr">
        <is>
          <t xml:space="preserve">d20260923</t>
        </is>
      </c>
      <c r="D1626" s="0" t="inlineStr">
        <is>
          <t xml:space="preserve">TDS</t>
        </is>
      </c>
      <c r="E1626" s="0" t="inlineStr">
        <is>
          <t xml:space="preserve">communication_services</t>
        </is>
      </c>
      <c r="F1626" s="4">
        <v>25</v>
      </c>
    </row>
    <row r="1627">
      <c r="A1627" s="0" t="inlineStr">
        <is>
          <t xml:space="preserve">random_07_SBRA</t>
        </is>
      </c>
      <c r="B1627" s="0" t="inlineStr">
        <is>
          <t xml:space="preserve">random_07</t>
        </is>
      </c>
      <c r="C1627" s="0" t="inlineStr">
        <is>
          <t xml:space="preserve">d20260923</t>
        </is>
      </c>
      <c r="D1627" s="0" t="inlineStr">
        <is>
          <t xml:space="preserve">SBRA</t>
        </is>
      </c>
      <c r="E1627" s="0" t="inlineStr">
        <is>
          <t xml:space="preserve">real_estate</t>
        </is>
      </c>
      <c r="F1627" s="4">
        <v>26</v>
      </c>
    </row>
    <row r="1628">
      <c r="A1628" s="0" t="inlineStr">
        <is>
          <t xml:space="preserve">random_07_GFF</t>
        </is>
      </c>
      <c r="B1628" s="0" t="inlineStr">
        <is>
          <t xml:space="preserve">random_07</t>
        </is>
      </c>
      <c r="C1628" s="0" t="inlineStr">
        <is>
          <t xml:space="preserve">d20260923</t>
        </is>
      </c>
      <c r="D1628" s="0" t="inlineStr">
        <is>
          <t xml:space="preserve">GFF</t>
        </is>
      </c>
      <c r="E1628" s="0" t="inlineStr">
        <is>
          <t xml:space="preserve">basic_materials</t>
        </is>
      </c>
      <c r="F1628" s="4">
        <v>27</v>
      </c>
    </row>
    <row r="1629">
      <c r="A1629" s="0" t="inlineStr">
        <is>
          <t xml:space="preserve">random_07_CECO</t>
        </is>
      </c>
      <c r="B1629" s="0" t="inlineStr">
        <is>
          <t xml:space="preserve">random_07</t>
        </is>
      </c>
      <c r="C1629" s="0" t="inlineStr">
        <is>
          <t xml:space="preserve">d20260923</t>
        </is>
      </c>
      <c r="D1629" s="0" t="inlineStr">
        <is>
          <t xml:space="preserve">CECO</t>
        </is>
      </c>
      <c r="E1629" s="0" t="inlineStr">
        <is>
          <t xml:space="preserve">industrials</t>
        </is>
      </c>
      <c r="F1629" s="4">
        <v>28</v>
      </c>
    </row>
    <row r="1630">
      <c r="A1630" s="0" t="inlineStr">
        <is>
          <t xml:space="preserve">random_07_LPLA</t>
        </is>
      </c>
      <c r="B1630" s="0" t="inlineStr">
        <is>
          <t xml:space="preserve">random_07</t>
        </is>
      </c>
      <c r="C1630" s="0" t="inlineStr">
        <is>
          <t xml:space="preserve">d20260923</t>
        </is>
      </c>
      <c r="D1630" s="0" t="inlineStr">
        <is>
          <t xml:space="preserve">LPLA</t>
        </is>
      </c>
      <c r="E1630" s="0" t="inlineStr">
        <is>
          <t xml:space="preserve">financial_services</t>
        </is>
      </c>
      <c r="F1630" s="4">
        <v>29</v>
      </c>
    </row>
    <row r="1631">
      <c r="A1631" s="0" t="inlineStr">
        <is>
          <t xml:space="preserve">random_07_IBKR</t>
        </is>
      </c>
      <c r="B1631" s="0" t="inlineStr">
        <is>
          <t xml:space="preserve">random_07</t>
        </is>
      </c>
      <c r="C1631" s="0" t="inlineStr">
        <is>
          <t xml:space="preserve">d20260923</t>
        </is>
      </c>
      <c r="D1631" s="0" t="inlineStr">
        <is>
          <t xml:space="preserve">IBKR</t>
        </is>
      </c>
      <c r="E1631" s="0" t="inlineStr">
        <is>
          <t xml:space="preserve">financial_services</t>
        </is>
      </c>
      <c r="F1631" s="4">
        <v>30</v>
      </c>
    </row>
    <row r="1632">
      <c r="A1632" s="0" t="inlineStr">
        <is>
          <t xml:space="preserve">random_07_SAIL</t>
        </is>
      </c>
      <c r="B1632" s="0" t="inlineStr">
        <is>
          <t xml:space="preserve">random_07</t>
        </is>
      </c>
      <c r="C1632" s="0" t="inlineStr">
        <is>
          <t xml:space="preserve">d20260923</t>
        </is>
      </c>
      <c r="D1632" s="0" t="inlineStr">
        <is>
          <t xml:space="preserve">SAIL</t>
        </is>
      </c>
      <c r="E1632" s="0" t="inlineStr">
        <is>
          <t xml:space="preserve">technology</t>
        </is>
      </c>
      <c r="F1632" s="4">
        <v>31</v>
      </c>
    </row>
    <row r="1633">
      <c r="A1633" s="0" t="inlineStr">
        <is>
          <t xml:space="preserve">random_07_TRV</t>
        </is>
      </c>
      <c r="B1633" s="0" t="inlineStr">
        <is>
          <t xml:space="preserve">random_07</t>
        </is>
      </c>
      <c r="C1633" s="0" t="inlineStr">
        <is>
          <t xml:space="preserve">d20260923</t>
        </is>
      </c>
      <c r="D1633" s="0" t="inlineStr">
        <is>
          <t xml:space="preserve">TRV</t>
        </is>
      </c>
      <c r="E1633" s="0" t="inlineStr">
        <is>
          <t xml:space="preserve">financial_services</t>
        </is>
      </c>
      <c r="F1633" s="4">
        <v>32</v>
      </c>
    </row>
    <row r="1634">
      <c r="A1634" s="0" t="inlineStr">
        <is>
          <t xml:space="preserve">random_07_HD</t>
        </is>
      </c>
      <c r="B1634" s="0" t="inlineStr">
        <is>
          <t xml:space="preserve">random_07</t>
        </is>
      </c>
      <c r="C1634" s="0" t="inlineStr">
        <is>
          <t xml:space="preserve">d20260923</t>
        </is>
      </c>
      <c r="D1634" s="0" t="inlineStr">
        <is>
          <t xml:space="preserve">HD</t>
        </is>
      </c>
      <c r="E1634" s="0" t="inlineStr">
        <is>
          <t xml:space="preserve">consumer_cyclical</t>
        </is>
      </c>
      <c r="F1634" s="4">
        <v>33</v>
      </c>
    </row>
    <row r="1635">
      <c r="A1635" s="0" t="inlineStr">
        <is>
          <t xml:space="preserve">random_07_VTR</t>
        </is>
      </c>
      <c r="B1635" s="0" t="inlineStr">
        <is>
          <t xml:space="preserve">random_07</t>
        </is>
      </c>
      <c r="C1635" s="0" t="inlineStr">
        <is>
          <t xml:space="preserve">d20260923</t>
        </is>
      </c>
      <c r="D1635" s="0" t="inlineStr">
        <is>
          <t xml:space="preserve">VTR</t>
        </is>
      </c>
      <c r="E1635" s="0" t="inlineStr">
        <is>
          <t xml:space="preserve">real_estate</t>
        </is>
      </c>
      <c r="F1635" s="4">
        <v>34</v>
      </c>
    </row>
    <row r="1636">
      <c r="A1636" s="0" t="inlineStr">
        <is>
          <t xml:space="preserve">random_07_IMVT</t>
        </is>
      </c>
      <c r="B1636" s="0" t="inlineStr">
        <is>
          <t xml:space="preserve">random_07</t>
        </is>
      </c>
      <c r="C1636" s="0" t="inlineStr">
        <is>
          <t xml:space="preserve">d20260923</t>
        </is>
      </c>
      <c r="D1636" s="0" t="inlineStr">
        <is>
          <t xml:space="preserve">IMVT</t>
        </is>
      </c>
      <c r="E1636" s="0" t="inlineStr">
        <is>
          <t xml:space="preserve">healthcare</t>
        </is>
      </c>
      <c r="F1636" s="4">
        <v>35</v>
      </c>
    </row>
    <row r="1637">
      <c r="A1637" s="0" t="inlineStr">
        <is>
          <t xml:space="preserve">random_07_DBX</t>
        </is>
      </c>
      <c r="B1637" s="0" t="inlineStr">
        <is>
          <t xml:space="preserve">random_07</t>
        </is>
      </c>
      <c r="C1637" s="0" t="inlineStr">
        <is>
          <t xml:space="preserve">d20260923</t>
        </is>
      </c>
      <c r="D1637" s="0" t="inlineStr">
        <is>
          <t xml:space="preserve">DBX</t>
        </is>
      </c>
      <c r="E1637" s="0" t="inlineStr">
        <is>
          <t xml:space="preserve">technology</t>
        </is>
      </c>
      <c r="F1637" s="4">
        <v>36</v>
      </c>
    </row>
    <row r="1638">
      <c r="A1638" s="0" t="inlineStr">
        <is>
          <t xml:space="preserve">random_07_SCCO</t>
        </is>
      </c>
      <c r="B1638" s="0" t="inlineStr">
        <is>
          <t xml:space="preserve">random_07</t>
        </is>
      </c>
      <c r="C1638" s="0" t="inlineStr">
        <is>
          <t xml:space="preserve">d20260923</t>
        </is>
      </c>
      <c r="D1638" s="0" t="inlineStr">
        <is>
          <t xml:space="preserve">SCCO</t>
        </is>
      </c>
      <c r="E1638" s="0" t="inlineStr">
        <is>
          <t xml:space="preserve">basic_materials</t>
        </is>
      </c>
      <c r="F1638" s="4">
        <v>37</v>
      </c>
    </row>
    <row r="1639">
      <c r="A1639" s="0" t="inlineStr">
        <is>
          <t xml:space="preserve">random_07_PLD</t>
        </is>
      </c>
      <c r="B1639" s="0" t="inlineStr">
        <is>
          <t xml:space="preserve">random_07</t>
        </is>
      </c>
      <c r="C1639" s="0" t="inlineStr">
        <is>
          <t xml:space="preserve">d20260923</t>
        </is>
      </c>
      <c r="D1639" s="0" t="inlineStr">
        <is>
          <t xml:space="preserve">PLD</t>
        </is>
      </c>
      <c r="E1639" s="0" t="inlineStr">
        <is>
          <t xml:space="preserve">real_estate</t>
        </is>
      </c>
      <c r="F1639" s="4">
        <v>38</v>
      </c>
    </row>
    <row r="1640">
      <c r="A1640" s="0" t="inlineStr">
        <is>
          <t xml:space="preserve">random_07_FBK</t>
        </is>
      </c>
      <c r="B1640" s="0" t="inlineStr">
        <is>
          <t xml:space="preserve">random_07</t>
        </is>
      </c>
      <c r="C1640" s="0" t="inlineStr">
        <is>
          <t xml:space="preserve">d20260923</t>
        </is>
      </c>
      <c r="D1640" s="0" t="inlineStr">
        <is>
          <t xml:space="preserve">FBK</t>
        </is>
      </c>
      <c r="E1640" s="0" t="inlineStr">
        <is>
          <t xml:space="preserve">financial_services</t>
        </is>
      </c>
      <c r="F1640" s="4">
        <v>39</v>
      </c>
    </row>
    <row r="1641">
      <c r="A1641" s="0" t="inlineStr">
        <is>
          <t xml:space="preserve">random_07_WDC</t>
        </is>
      </c>
      <c r="B1641" s="0" t="inlineStr">
        <is>
          <t xml:space="preserve">random_07</t>
        </is>
      </c>
      <c r="C1641" s="0" t="inlineStr">
        <is>
          <t xml:space="preserve">d20260923</t>
        </is>
      </c>
      <c r="D1641" s="0" t="inlineStr">
        <is>
          <t xml:space="preserve">WDC</t>
        </is>
      </c>
      <c r="E1641" s="0" t="inlineStr">
        <is>
          <t xml:space="preserve">technology</t>
        </is>
      </c>
      <c r="F1641" s="4">
        <v>40</v>
      </c>
    </row>
    <row r="1642">
      <c r="A1642" s="0" t="inlineStr">
        <is>
          <t xml:space="preserve">random_07_FCN</t>
        </is>
      </c>
      <c r="B1642" s="0" t="inlineStr">
        <is>
          <t xml:space="preserve">random_07</t>
        </is>
      </c>
      <c r="C1642" s="0" t="inlineStr">
        <is>
          <t xml:space="preserve">d20260923</t>
        </is>
      </c>
      <c r="D1642" s="0" t="inlineStr">
        <is>
          <t xml:space="preserve">FCN</t>
        </is>
      </c>
      <c r="E1642" s="0" t="inlineStr">
        <is>
          <t xml:space="preserve">industrials</t>
        </is>
      </c>
      <c r="F1642" s="4">
        <v>41</v>
      </c>
    </row>
    <row r="1643">
      <c r="A1643" s="0" t="inlineStr">
        <is>
          <t xml:space="preserve">random_07_CWEN</t>
        </is>
      </c>
      <c r="B1643" s="0" t="inlineStr">
        <is>
          <t xml:space="preserve">random_07</t>
        </is>
      </c>
      <c r="C1643" s="0" t="inlineStr">
        <is>
          <t xml:space="preserve">d20260923</t>
        </is>
      </c>
      <c r="D1643" s="0" t="inlineStr">
        <is>
          <t xml:space="preserve">CWEN</t>
        </is>
      </c>
      <c r="E1643" s="0" t="inlineStr">
        <is>
          <t xml:space="preserve">utilities</t>
        </is>
      </c>
      <c r="F1643" s="4">
        <v>42</v>
      </c>
    </row>
    <row r="1644">
      <c r="A1644" s="0" t="inlineStr">
        <is>
          <t xml:space="preserve">random_07_SFNC</t>
        </is>
      </c>
      <c r="B1644" s="0" t="inlineStr">
        <is>
          <t xml:space="preserve">random_07</t>
        </is>
      </c>
      <c r="C1644" s="0" t="inlineStr">
        <is>
          <t xml:space="preserve">d20260923</t>
        </is>
      </c>
      <c r="D1644" s="0" t="inlineStr">
        <is>
          <t xml:space="preserve">SFNC</t>
        </is>
      </c>
      <c r="E1644" s="0" t="inlineStr">
        <is>
          <t xml:space="preserve">financial_services</t>
        </is>
      </c>
      <c r="F1644" s="4">
        <v>43</v>
      </c>
    </row>
    <row r="1645">
      <c r="A1645" s="0" t="inlineStr">
        <is>
          <t xml:space="preserve">random_07_ASTS</t>
        </is>
      </c>
      <c r="B1645" s="0" t="inlineStr">
        <is>
          <t xml:space="preserve">random_07</t>
        </is>
      </c>
      <c r="C1645" s="0" t="inlineStr">
        <is>
          <t xml:space="preserve">d20260923</t>
        </is>
      </c>
      <c r="D1645" s="0" t="inlineStr">
        <is>
          <t xml:space="preserve">ASTS</t>
        </is>
      </c>
      <c r="E1645" s="0" t="inlineStr">
        <is>
          <t xml:space="preserve">communication_services</t>
        </is>
      </c>
      <c r="F1645" s="4">
        <v>44</v>
      </c>
    </row>
    <row r="1646">
      <c r="A1646" s="0" t="inlineStr">
        <is>
          <t xml:space="preserve">random_07_RLI</t>
        </is>
      </c>
      <c r="B1646" s="0" t="inlineStr">
        <is>
          <t xml:space="preserve">random_07</t>
        </is>
      </c>
      <c r="C1646" s="0" t="inlineStr">
        <is>
          <t xml:space="preserve">d20260923</t>
        </is>
      </c>
      <c r="D1646" s="0" t="inlineStr">
        <is>
          <t xml:space="preserve">RLI</t>
        </is>
      </c>
      <c r="E1646" s="0" t="inlineStr">
        <is>
          <t xml:space="preserve">financial_services</t>
        </is>
      </c>
      <c r="F1646" s="4">
        <v>45</v>
      </c>
    </row>
    <row r="1647">
      <c r="A1647" s="0" t="inlineStr">
        <is>
          <t xml:space="preserve">random_07_NVST</t>
        </is>
      </c>
      <c r="B1647" s="0" t="inlineStr">
        <is>
          <t xml:space="preserve">random_07</t>
        </is>
      </c>
      <c r="C1647" s="0" t="inlineStr">
        <is>
          <t xml:space="preserve">d20260923</t>
        </is>
      </c>
      <c r="D1647" s="0" t="inlineStr">
        <is>
          <t xml:space="preserve">NVST</t>
        </is>
      </c>
      <c r="E1647" s="0" t="inlineStr">
        <is>
          <t xml:space="preserve">healthcare</t>
        </is>
      </c>
      <c r="F1647" s="4">
        <v>46</v>
      </c>
    </row>
    <row r="1648">
      <c r="A1648" s="0" t="inlineStr">
        <is>
          <t xml:space="preserve">random_07_KRMN</t>
        </is>
      </c>
      <c r="B1648" s="0" t="inlineStr">
        <is>
          <t xml:space="preserve">random_07</t>
        </is>
      </c>
      <c r="C1648" s="0" t="inlineStr">
        <is>
          <t xml:space="preserve">d20260923</t>
        </is>
      </c>
      <c r="D1648" s="0" t="inlineStr">
        <is>
          <t xml:space="preserve">KRMN</t>
        </is>
      </c>
      <c r="E1648" s="0" t="inlineStr">
        <is>
          <t xml:space="preserve">industrials</t>
        </is>
      </c>
      <c r="F1648" s="4">
        <v>47</v>
      </c>
    </row>
    <row r="1649">
      <c r="A1649" s="0" t="inlineStr">
        <is>
          <t xml:space="preserve">random_07_ORLY</t>
        </is>
      </c>
      <c r="B1649" s="0" t="inlineStr">
        <is>
          <t xml:space="preserve">random_07</t>
        </is>
      </c>
      <c r="C1649" s="0" t="inlineStr">
        <is>
          <t xml:space="preserve">d20260923</t>
        </is>
      </c>
      <c r="D1649" s="0" t="inlineStr">
        <is>
          <t xml:space="preserve">ORLY</t>
        </is>
      </c>
      <c r="E1649" s="0" t="inlineStr">
        <is>
          <t xml:space="preserve">consumer_cyclical</t>
        </is>
      </c>
      <c r="F1649" s="4">
        <v>48</v>
      </c>
    </row>
    <row r="1650">
      <c r="A1650" s="0" t="inlineStr">
        <is>
          <t xml:space="preserve">random_07_TOL</t>
        </is>
      </c>
      <c r="B1650" s="0" t="inlineStr">
        <is>
          <t xml:space="preserve">random_07</t>
        </is>
      </c>
      <c r="C1650" s="0" t="inlineStr">
        <is>
          <t xml:space="preserve">d20260923</t>
        </is>
      </c>
      <c r="D1650" s="0" t="inlineStr">
        <is>
          <t xml:space="preserve">TOL</t>
        </is>
      </c>
      <c r="E1650" s="0" t="inlineStr">
        <is>
          <t xml:space="preserve">consumer_cyclical</t>
        </is>
      </c>
      <c r="F1650" s="4">
        <v>49</v>
      </c>
    </row>
    <row r="1651">
      <c r="A1651" s="0" t="inlineStr">
        <is>
          <t xml:space="preserve">random_07_AADX</t>
        </is>
      </c>
      <c r="B1651" s="0" t="inlineStr">
        <is>
          <t xml:space="preserve">random_07</t>
        </is>
      </c>
      <c r="C1651" s="0" t="inlineStr">
        <is>
          <t xml:space="preserve">d20260923</t>
        </is>
      </c>
      <c r="D1651" s="0" t="inlineStr">
        <is>
          <t xml:space="preserve">AADX</t>
        </is>
      </c>
      <c r="E1651" s="0" t="inlineStr">
        <is>
          <t xml:space="preserve">industrials</t>
        </is>
      </c>
      <c r="F1651" s="4">
        <v>50</v>
      </c>
    </row>
    <row r="1652">
      <c r="A1652" s="0" t="inlineStr">
        <is>
          <t xml:space="preserve">random_07_SRRK</t>
        </is>
      </c>
      <c r="B1652" s="0" t="inlineStr">
        <is>
          <t xml:space="preserve">random_07</t>
        </is>
      </c>
      <c r="C1652" s="0" t="inlineStr">
        <is>
          <t xml:space="preserve">d20260923</t>
        </is>
      </c>
      <c r="D1652" s="0" t="inlineStr">
        <is>
          <t xml:space="preserve">SRRK</t>
        </is>
      </c>
      <c r="E1652" s="0" t="inlineStr">
        <is>
          <t xml:space="preserve">healthcare</t>
        </is>
      </c>
      <c r="F1652" s="4">
        <v>51</v>
      </c>
    </row>
    <row r="1653">
      <c r="A1653" s="0" t="inlineStr">
        <is>
          <t xml:space="preserve">random_07_UPS</t>
        </is>
      </c>
      <c r="B1653" s="0" t="inlineStr">
        <is>
          <t xml:space="preserve">random_07</t>
        </is>
      </c>
      <c r="C1653" s="0" t="inlineStr">
        <is>
          <t xml:space="preserve">d20260923</t>
        </is>
      </c>
      <c r="D1653" s="0" t="inlineStr">
        <is>
          <t xml:space="preserve">UPS</t>
        </is>
      </c>
      <c r="E1653" s="0" t="inlineStr">
        <is>
          <t xml:space="preserve">industrials</t>
        </is>
      </c>
      <c r="F1653" s="4">
        <v>52</v>
      </c>
    </row>
    <row r="1654">
      <c r="A1654" s="0" t="inlineStr">
        <is>
          <t xml:space="preserve">random_07_DELL</t>
        </is>
      </c>
      <c r="B1654" s="0" t="inlineStr">
        <is>
          <t xml:space="preserve">random_07</t>
        </is>
      </c>
      <c r="C1654" s="0" t="inlineStr">
        <is>
          <t xml:space="preserve">d20260923</t>
        </is>
      </c>
      <c r="D1654" s="0" t="inlineStr">
        <is>
          <t xml:space="preserve">DELL</t>
        </is>
      </c>
      <c r="E1654" s="0" t="inlineStr">
        <is>
          <t xml:space="preserve">technology</t>
        </is>
      </c>
      <c r="F1654" s="4">
        <v>53</v>
      </c>
    </row>
    <row r="1655">
      <c r="A1655" s="0" t="inlineStr">
        <is>
          <t xml:space="preserve">random_07_APLE</t>
        </is>
      </c>
      <c r="B1655" s="0" t="inlineStr">
        <is>
          <t xml:space="preserve">random_07</t>
        </is>
      </c>
      <c r="C1655" s="0" t="inlineStr">
        <is>
          <t xml:space="preserve">d20260923</t>
        </is>
      </c>
      <c r="D1655" s="0" t="inlineStr">
        <is>
          <t xml:space="preserve">APLE</t>
        </is>
      </c>
      <c r="E1655" s="0" t="inlineStr">
        <is>
          <t xml:space="preserve">real_estate</t>
        </is>
      </c>
      <c r="F1655" s="4">
        <v>54</v>
      </c>
    </row>
    <row r="1656">
      <c r="A1656" s="0" t="inlineStr">
        <is>
          <t xml:space="preserve">random_07_AU</t>
        </is>
      </c>
      <c r="B1656" s="0" t="inlineStr">
        <is>
          <t xml:space="preserve">random_07</t>
        </is>
      </c>
      <c r="C1656" s="0" t="inlineStr">
        <is>
          <t xml:space="preserve">d20260923</t>
        </is>
      </c>
      <c r="D1656" s="0" t="inlineStr">
        <is>
          <t xml:space="preserve">AU</t>
        </is>
      </c>
      <c r="E1656" s="0" t="inlineStr">
        <is>
          <t xml:space="preserve">basic_materials</t>
        </is>
      </c>
      <c r="F1656" s="4">
        <v>55</v>
      </c>
    </row>
    <row r="1657">
      <c r="A1657" s="0" t="inlineStr">
        <is>
          <t xml:space="preserve">random_07_LFST</t>
        </is>
      </c>
      <c r="B1657" s="0" t="inlineStr">
        <is>
          <t xml:space="preserve">random_07</t>
        </is>
      </c>
      <c r="C1657" s="0" t="inlineStr">
        <is>
          <t xml:space="preserve">d20260923</t>
        </is>
      </c>
      <c r="D1657" s="0" t="inlineStr">
        <is>
          <t xml:space="preserve">LFST</t>
        </is>
      </c>
      <c r="E1657" s="0" t="inlineStr">
        <is>
          <t xml:space="preserve">healthcare</t>
        </is>
      </c>
      <c r="F1657" s="4">
        <v>56</v>
      </c>
    </row>
    <row r="1658">
      <c r="A1658" s="0" t="inlineStr">
        <is>
          <t xml:space="preserve">random_07_PRVA</t>
        </is>
      </c>
      <c r="B1658" s="0" t="inlineStr">
        <is>
          <t xml:space="preserve">random_07</t>
        </is>
      </c>
      <c r="C1658" s="0" t="inlineStr">
        <is>
          <t xml:space="preserve">d20260923</t>
        </is>
      </c>
      <c r="D1658" s="0" t="inlineStr">
        <is>
          <t xml:space="preserve">PRVA</t>
        </is>
      </c>
      <c r="E1658" s="0" t="inlineStr">
        <is>
          <t xml:space="preserve">healthcare</t>
        </is>
      </c>
      <c r="F1658" s="4">
        <v>57</v>
      </c>
    </row>
    <row r="1659">
      <c r="A1659" s="0" t="inlineStr">
        <is>
          <t xml:space="preserve">random_07_ENSG</t>
        </is>
      </c>
      <c r="B1659" s="0" t="inlineStr">
        <is>
          <t xml:space="preserve">random_07</t>
        </is>
      </c>
      <c r="C1659" s="0" t="inlineStr">
        <is>
          <t xml:space="preserve">d20260923</t>
        </is>
      </c>
      <c r="D1659" s="0" t="inlineStr">
        <is>
          <t xml:space="preserve">ENSG</t>
        </is>
      </c>
      <c r="E1659" s="0" t="inlineStr">
        <is>
          <t xml:space="preserve">healthcare</t>
        </is>
      </c>
      <c r="F1659" s="4">
        <v>58</v>
      </c>
    </row>
    <row r="1660">
      <c r="A1660" s="0" t="inlineStr">
        <is>
          <t xml:space="preserve">random_07_MPC</t>
        </is>
      </c>
      <c r="B1660" s="0" t="inlineStr">
        <is>
          <t xml:space="preserve">random_07</t>
        </is>
      </c>
      <c r="C1660" s="0" t="inlineStr">
        <is>
          <t xml:space="preserve">d20260923</t>
        </is>
      </c>
      <c r="D1660" s="0" t="inlineStr">
        <is>
          <t xml:space="preserve">MPC</t>
        </is>
      </c>
      <c r="E1660" s="0" t="inlineStr">
        <is>
          <t xml:space="preserve">energy</t>
        </is>
      </c>
      <c r="F1660" s="4">
        <v>59</v>
      </c>
    </row>
    <row r="1661">
      <c r="A1661" s="0" t="inlineStr">
        <is>
          <t xml:space="preserve">random_07_FFIN</t>
        </is>
      </c>
      <c r="B1661" s="0" t="inlineStr">
        <is>
          <t xml:space="preserve">random_07</t>
        </is>
      </c>
      <c r="C1661" s="0" t="inlineStr">
        <is>
          <t xml:space="preserve">d20260923</t>
        </is>
      </c>
      <c r="D1661" s="0" t="inlineStr">
        <is>
          <t xml:space="preserve">FFIN</t>
        </is>
      </c>
      <c r="E1661" s="0" t="inlineStr">
        <is>
          <t xml:space="preserve">financial_services</t>
        </is>
      </c>
      <c r="F1661" s="4">
        <v>60</v>
      </c>
    </row>
    <row r="1662">
      <c r="A1662" s="0" t="inlineStr">
        <is>
          <t xml:space="preserve">random_07_FNF</t>
        </is>
      </c>
      <c r="B1662" s="0" t="inlineStr">
        <is>
          <t xml:space="preserve">random_07</t>
        </is>
      </c>
      <c r="C1662" s="0" t="inlineStr">
        <is>
          <t xml:space="preserve">d20260923</t>
        </is>
      </c>
      <c r="D1662" s="0" t="inlineStr">
        <is>
          <t xml:space="preserve">FNF</t>
        </is>
      </c>
      <c r="E1662" s="0" t="inlineStr">
        <is>
          <t xml:space="preserve">financial_services</t>
        </is>
      </c>
      <c r="F1662" s="4">
        <v>61</v>
      </c>
    </row>
    <row r="1663">
      <c r="A1663" s="0" t="inlineStr">
        <is>
          <t xml:space="preserve">random_07_ADP</t>
        </is>
      </c>
      <c r="B1663" s="0" t="inlineStr">
        <is>
          <t xml:space="preserve">random_07</t>
        </is>
      </c>
      <c r="C1663" s="0" t="inlineStr">
        <is>
          <t xml:space="preserve">d20260923</t>
        </is>
      </c>
      <c r="D1663" s="0" t="inlineStr">
        <is>
          <t xml:space="preserve">ADP</t>
        </is>
      </c>
      <c r="E1663" s="0" t="inlineStr">
        <is>
          <t xml:space="preserve">technology</t>
        </is>
      </c>
      <c r="F1663" s="4">
        <v>62</v>
      </c>
    </row>
    <row r="1664">
      <c r="A1664" s="0" t="inlineStr">
        <is>
          <t xml:space="preserve">random_07_MMS</t>
        </is>
      </c>
      <c r="B1664" s="0" t="inlineStr">
        <is>
          <t xml:space="preserve">random_07</t>
        </is>
      </c>
      <c r="C1664" s="0" t="inlineStr">
        <is>
          <t xml:space="preserve">d20260923</t>
        </is>
      </c>
      <c r="D1664" s="0" t="inlineStr">
        <is>
          <t xml:space="preserve">MMS</t>
        </is>
      </c>
      <c r="E1664" s="0" t="inlineStr">
        <is>
          <t xml:space="preserve">industrials</t>
        </is>
      </c>
      <c r="F1664" s="4">
        <v>63</v>
      </c>
    </row>
    <row r="1665">
      <c r="A1665" s="0" t="inlineStr">
        <is>
          <t xml:space="preserve">random_07_SNPS</t>
        </is>
      </c>
      <c r="B1665" s="0" t="inlineStr">
        <is>
          <t xml:space="preserve">random_07</t>
        </is>
      </c>
      <c r="C1665" s="0" t="inlineStr">
        <is>
          <t xml:space="preserve">d20260923</t>
        </is>
      </c>
      <c r="D1665" s="0" t="inlineStr">
        <is>
          <t xml:space="preserve">SNPS</t>
        </is>
      </c>
      <c r="E1665" s="0" t="inlineStr">
        <is>
          <t xml:space="preserve">technology</t>
        </is>
      </c>
      <c r="F1665" s="4">
        <v>64</v>
      </c>
    </row>
    <row r="1666">
      <c r="A1666" s="0" t="inlineStr">
        <is>
          <t xml:space="preserve">random_07_VIA</t>
        </is>
      </c>
      <c r="B1666" s="0" t="inlineStr">
        <is>
          <t xml:space="preserve">random_07</t>
        </is>
      </c>
      <c r="C1666" s="0" t="inlineStr">
        <is>
          <t xml:space="preserve">d20260923</t>
        </is>
      </c>
      <c r="D1666" s="0" t="inlineStr">
        <is>
          <t xml:space="preserve">VIA</t>
        </is>
      </c>
      <c r="E1666" s="0" t="inlineStr">
        <is>
          <t xml:space="preserve">technology</t>
        </is>
      </c>
      <c r="F1666" s="4">
        <v>65</v>
      </c>
    </row>
    <row r="1667">
      <c r="A1667" s="0" t="inlineStr">
        <is>
          <t xml:space="preserve">random_07_ST</t>
        </is>
      </c>
      <c r="B1667" s="0" t="inlineStr">
        <is>
          <t xml:space="preserve">random_07</t>
        </is>
      </c>
      <c r="C1667" s="0" t="inlineStr">
        <is>
          <t xml:space="preserve">d20260923</t>
        </is>
      </c>
      <c r="D1667" s="0" t="inlineStr">
        <is>
          <t xml:space="preserve">ST</t>
        </is>
      </c>
      <c r="E1667" s="0" t="inlineStr">
        <is>
          <t xml:space="preserve">technology</t>
        </is>
      </c>
      <c r="F1667" s="4">
        <v>66</v>
      </c>
    </row>
    <row r="1668">
      <c r="A1668" s="0" t="inlineStr">
        <is>
          <t xml:space="preserve">random_07_RGEN</t>
        </is>
      </c>
      <c r="B1668" s="0" t="inlineStr">
        <is>
          <t xml:space="preserve">random_07</t>
        </is>
      </c>
      <c r="C1668" s="0" t="inlineStr">
        <is>
          <t xml:space="preserve">d20260923</t>
        </is>
      </c>
      <c r="D1668" s="0" t="inlineStr">
        <is>
          <t xml:space="preserve">RGEN</t>
        </is>
      </c>
      <c r="E1668" s="0" t="inlineStr">
        <is>
          <t xml:space="preserve">healthcare</t>
        </is>
      </c>
      <c r="F1668" s="4">
        <v>67</v>
      </c>
    </row>
    <row r="1669">
      <c r="A1669" s="0" t="inlineStr">
        <is>
          <t xml:space="preserve">random_07_CNM</t>
        </is>
      </c>
      <c r="B1669" s="0" t="inlineStr">
        <is>
          <t xml:space="preserve">random_07</t>
        </is>
      </c>
      <c r="C1669" s="0" t="inlineStr">
        <is>
          <t xml:space="preserve">d20260923</t>
        </is>
      </c>
      <c r="D1669" s="0" t="inlineStr">
        <is>
          <t xml:space="preserve">CNM</t>
        </is>
      </c>
      <c r="E1669" s="0" t="inlineStr">
        <is>
          <t xml:space="preserve">industrials</t>
        </is>
      </c>
      <c r="F1669" s="4">
        <v>68</v>
      </c>
    </row>
    <row r="1670">
      <c r="A1670" s="0" t="inlineStr">
        <is>
          <t xml:space="preserve">random_07_TWST</t>
        </is>
      </c>
      <c r="B1670" s="0" t="inlineStr">
        <is>
          <t xml:space="preserve">random_07</t>
        </is>
      </c>
      <c r="C1670" s="0" t="inlineStr">
        <is>
          <t xml:space="preserve">d20260923</t>
        </is>
      </c>
      <c r="D1670" s="0" t="inlineStr">
        <is>
          <t xml:space="preserve">TWST</t>
        </is>
      </c>
      <c r="E1670" s="0" t="inlineStr">
        <is>
          <t xml:space="preserve">healthcare</t>
        </is>
      </c>
      <c r="F1670" s="4">
        <v>69</v>
      </c>
    </row>
    <row r="1671">
      <c r="A1671" s="0" t="inlineStr">
        <is>
          <t xml:space="preserve">random_07_LEN</t>
        </is>
      </c>
      <c r="B1671" s="0" t="inlineStr">
        <is>
          <t xml:space="preserve">random_07</t>
        </is>
      </c>
      <c r="C1671" s="0" t="inlineStr">
        <is>
          <t xml:space="preserve">d20260923</t>
        </is>
      </c>
      <c r="D1671" s="0" t="inlineStr">
        <is>
          <t xml:space="preserve">LEN</t>
        </is>
      </c>
      <c r="E1671" s="0" t="inlineStr">
        <is>
          <t xml:space="preserve">consumer_cyclical</t>
        </is>
      </c>
      <c r="F1671" s="4">
        <v>70</v>
      </c>
    </row>
    <row r="1672">
      <c r="A1672" s="0" t="inlineStr">
        <is>
          <t xml:space="preserve">random_07_LEVI</t>
        </is>
      </c>
      <c r="B1672" s="0" t="inlineStr">
        <is>
          <t xml:space="preserve">random_07</t>
        </is>
      </c>
      <c r="C1672" s="0" t="inlineStr">
        <is>
          <t xml:space="preserve">d20260923</t>
        </is>
      </c>
      <c r="D1672" s="0" t="inlineStr">
        <is>
          <t xml:space="preserve">LEVI</t>
        </is>
      </c>
      <c r="E1672" s="0" t="inlineStr">
        <is>
          <t xml:space="preserve">consumer_cyclical</t>
        </is>
      </c>
      <c r="F1672" s="4">
        <v>71</v>
      </c>
    </row>
    <row r="1673">
      <c r="A1673" s="0" t="inlineStr">
        <is>
          <t xml:space="preserve">random_07_PB</t>
        </is>
      </c>
      <c r="B1673" s="0" t="inlineStr">
        <is>
          <t xml:space="preserve">random_07</t>
        </is>
      </c>
      <c r="C1673" s="0" t="inlineStr">
        <is>
          <t xml:space="preserve">d20260923</t>
        </is>
      </c>
      <c r="D1673" s="0" t="inlineStr">
        <is>
          <t xml:space="preserve">PB</t>
        </is>
      </c>
      <c r="E1673" s="0" t="inlineStr">
        <is>
          <t xml:space="preserve">financial_services</t>
        </is>
      </c>
      <c r="F1673" s="4">
        <v>72</v>
      </c>
    </row>
    <row r="1674">
      <c r="A1674" s="0" t="inlineStr">
        <is>
          <t xml:space="preserve">random_07_MDB</t>
        </is>
      </c>
      <c r="B1674" s="0" t="inlineStr">
        <is>
          <t xml:space="preserve">random_07</t>
        </is>
      </c>
      <c r="C1674" s="0" t="inlineStr">
        <is>
          <t xml:space="preserve">d20260923</t>
        </is>
      </c>
      <c r="D1674" s="0" t="inlineStr">
        <is>
          <t xml:space="preserve">MDB</t>
        </is>
      </c>
      <c r="E1674" s="0" t="inlineStr">
        <is>
          <t xml:space="preserve">technology</t>
        </is>
      </c>
      <c r="F1674" s="4">
        <v>73</v>
      </c>
    </row>
    <row r="1675">
      <c r="A1675" s="0" t="inlineStr">
        <is>
          <t xml:space="preserve">random_07_KGS</t>
        </is>
      </c>
      <c r="B1675" s="0" t="inlineStr">
        <is>
          <t xml:space="preserve">random_07</t>
        </is>
      </c>
      <c r="C1675" s="0" t="inlineStr">
        <is>
          <t xml:space="preserve">d20260923</t>
        </is>
      </c>
      <c r="D1675" s="0" t="inlineStr">
        <is>
          <t xml:space="preserve">KGS</t>
        </is>
      </c>
      <c r="E1675" s="0" t="inlineStr">
        <is>
          <t xml:space="preserve">energy</t>
        </is>
      </c>
      <c r="F1675" s="4">
        <v>74</v>
      </c>
    </row>
    <row r="1676">
      <c r="A1676" s="0" t="inlineStr">
        <is>
          <t xml:space="preserve">random_07_NEE</t>
        </is>
      </c>
      <c r="B1676" s="0" t="inlineStr">
        <is>
          <t xml:space="preserve">random_07</t>
        </is>
      </c>
      <c r="C1676" s="0" t="inlineStr">
        <is>
          <t xml:space="preserve">d20260923</t>
        </is>
      </c>
      <c r="D1676" s="0" t="inlineStr">
        <is>
          <t xml:space="preserve">NEE</t>
        </is>
      </c>
      <c r="E1676" s="0" t="inlineStr">
        <is>
          <t xml:space="preserve">utilities</t>
        </is>
      </c>
      <c r="F1676" s="4">
        <v>75</v>
      </c>
    </row>
    <row r="1677">
      <c r="A1677" s="0" t="inlineStr">
        <is>
          <t xml:space="preserve">random_07_ECHO</t>
        </is>
      </c>
      <c r="B1677" s="0" t="inlineStr">
        <is>
          <t xml:space="preserve">random_07</t>
        </is>
      </c>
      <c r="C1677" s="0" t="inlineStr">
        <is>
          <t xml:space="preserve">d20260923</t>
        </is>
      </c>
      <c r="D1677" s="0" t="inlineStr">
        <is>
          <t xml:space="preserve">ECHO</t>
        </is>
      </c>
      <c r="E1677" s="0" t="inlineStr">
        <is>
          <t xml:space="preserve">communication_services</t>
        </is>
      </c>
      <c r="F1677" s="4">
        <v>76</v>
      </c>
    </row>
    <row r="1678">
      <c r="A1678" s="0" t="inlineStr">
        <is>
          <t xml:space="preserve">random_07_GNRC</t>
        </is>
      </c>
      <c r="B1678" s="0" t="inlineStr">
        <is>
          <t xml:space="preserve">random_07</t>
        </is>
      </c>
      <c r="C1678" s="0" t="inlineStr">
        <is>
          <t xml:space="preserve">d20260923</t>
        </is>
      </c>
      <c r="D1678" s="0" t="inlineStr">
        <is>
          <t xml:space="preserve">GNRC</t>
        </is>
      </c>
      <c r="E1678" s="0" t="inlineStr">
        <is>
          <t xml:space="preserve">industrials</t>
        </is>
      </c>
      <c r="F1678" s="4">
        <v>77</v>
      </c>
    </row>
    <row r="1679">
      <c r="A1679" s="0" t="inlineStr">
        <is>
          <t xml:space="preserve">random_07_GS</t>
        </is>
      </c>
      <c r="B1679" s="0" t="inlineStr">
        <is>
          <t xml:space="preserve">random_07</t>
        </is>
      </c>
      <c r="C1679" s="0" t="inlineStr">
        <is>
          <t xml:space="preserve">d20260923</t>
        </is>
      </c>
      <c r="D1679" s="0" t="inlineStr">
        <is>
          <t xml:space="preserve">GS</t>
        </is>
      </c>
      <c r="E1679" s="0" t="inlineStr">
        <is>
          <t xml:space="preserve">financial_services</t>
        </is>
      </c>
      <c r="F1679" s="4">
        <v>78</v>
      </c>
    </row>
    <row r="1680">
      <c r="A1680" s="0" t="inlineStr">
        <is>
          <t xml:space="preserve">random_07_TXG</t>
        </is>
      </c>
      <c r="B1680" s="0" t="inlineStr">
        <is>
          <t xml:space="preserve">random_07</t>
        </is>
      </c>
      <c r="C1680" s="0" t="inlineStr">
        <is>
          <t xml:space="preserve">d20260923</t>
        </is>
      </c>
      <c r="D1680" s="0" t="inlineStr">
        <is>
          <t xml:space="preserve">TXG</t>
        </is>
      </c>
      <c r="E1680" s="0" t="inlineStr">
        <is>
          <t xml:space="preserve">healthcare</t>
        </is>
      </c>
      <c r="F1680" s="4">
        <v>79</v>
      </c>
    </row>
    <row r="1681">
      <c r="A1681" s="0" t="inlineStr">
        <is>
          <t xml:space="preserve">random_07_PH</t>
        </is>
      </c>
      <c r="B1681" s="0" t="inlineStr">
        <is>
          <t xml:space="preserve">random_07</t>
        </is>
      </c>
      <c r="C1681" s="0" t="inlineStr">
        <is>
          <t xml:space="preserve">d20260923</t>
        </is>
      </c>
      <c r="D1681" s="0" t="inlineStr">
        <is>
          <t xml:space="preserve">PH</t>
        </is>
      </c>
      <c r="E1681" s="0" t="inlineStr">
        <is>
          <t xml:space="preserve">industrials</t>
        </is>
      </c>
      <c r="F1681" s="4">
        <v>80</v>
      </c>
    </row>
    <row r="1682">
      <c r="A1682" s="0" t="inlineStr">
        <is>
          <t xml:space="preserve">random_07_PLSE</t>
        </is>
      </c>
      <c r="B1682" s="0" t="inlineStr">
        <is>
          <t xml:space="preserve">random_07</t>
        </is>
      </c>
      <c r="C1682" s="0" t="inlineStr">
        <is>
          <t xml:space="preserve">d20260923</t>
        </is>
      </c>
      <c r="D1682" s="0" t="inlineStr">
        <is>
          <t xml:space="preserve">PLSE</t>
        </is>
      </c>
      <c r="E1682" s="0" t="inlineStr">
        <is>
          <t xml:space="preserve">healthcare</t>
        </is>
      </c>
      <c r="F1682" s="4">
        <v>81</v>
      </c>
    </row>
    <row r="1683">
      <c r="A1683" s="0" t="inlineStr">
        <is>
          <t xml:space="preserve">random_07_DOV</t>
        </is>
      </c>
      <c r="B1683" s="0" t="inlineStr">
        <is>
          <t xml:space="preserve">random_07</t>
        </is>
      </c>
      <c r="C1683" s="0" t="inlineStr">
        <is>
          <t xml:space="preserve">d20260923</t>
        </is>
      </c>
      <c r="D1683" s="0" t="inlineStr">
        <is>
          <t xml:space="preserve">DOV</t>
        </is>
      </c>
      <c r="E1683" s="0" t="inlineStr">
        <is>
          <t xml:space="preserve">industrials</t>
        </is>
      </c>
      <c r="F1683" s="4">
        <v>82</v>
      </c>
    </row>
    <row r="1684">
      <c r="A1684" s="0" t="inlineStr">
        <is>
          <t xml:space="preserve">random_07_VIRT</t>
        </is>
      </c>
      <c r="B1684" s="0" t="inlineStr">
        <is>
          <t xml:space="preserve">random_07</t>
        </is>
      </c>
      <c r="C1684" s="0" t="inlineStr">
        <is>
          <t xml:space="preserve">d20260923</t>
        </is>
      </c>
      <c r="D1684" s="0" t="inlineStr">
        <is>
          <t xml:space="preserve">VIRT</t>
        </is>
      </c>
      <c r="E1684" s="0" t="inlineStr">
        <is>
          <t xml:space="preserve">financial_services</t>
        </is>
      </c>
      <c r="F1684" s="4">
        <v>83</v>
      </c>
    </row>
    <row r="1685">
      <c r="A1685" s="0" t="inlineStr">
        <is>
          <t xml:space="preserve">random_07_WES</t>
        </is>
      </c>
      <c r="B1685" s="0" t="inlineStr">
        <is>
          <t xml:space="preserve">random_07</t>
        </is>
      </c>
      <c r="C1685" s="0" t="inlineStr">
        <is>
          <t xml:space="preserve">d20260923</t>
        </is>
      </c>
      <c r="D1685" s="0" t="inlineStr">
        <is>
          <t xml:space="preserve">WES</t>
        </is>
      </c>
      <c r="E1685" s="0" t="inlineStr">
        <is>
          <t xml:space="preserve">energy</t>
        </is>
      </c>
      <c r="F1685" s="4">
        <v>84</v>
      </c>
    </row>
    <row r="1686">
      <c r="A1686" s="0" t="inlineStr">
        <is>
          <t xml:space="preserve">random_07_HRB</t>
        </is>
      </c>
      <c r="B1686" s="0" t="inlineStr">
        <is>
          <t xml:space="preserve">random_07</t>
        </is>
      </c>
      <c r="C1686" s="0" t="inlineStr">
        <is>
          <t xml:space="preserve">d20260923</t>
        </is>
      </c>
      <c r="D1686" s="0" t="inlineStr">
        <is>
          <t xml:space="preserve">HRB</t>
        </is>
      </c>
      <c r="E1686" s="0" t="inlineStr">
        <is>
          <t xml:space="preserve">consumer_cyclical</t>
        </is>
      </c>
      <c r="F1686" s="4">
        <v>85</v>
      </c>
    </row>
    <row r="1687">
      <c r="A1687" s="0" t="inlineStr">
        <is>
          <t xml:space="preserve">random_07_RS</t>
        </is>
      </c>
      <c r="B1687" s="0" t="inlineStr">
        <is>
          <t xml:space="preserve">random_07</t>
        </is>
      </c>
      <c r="C1687" s="0" t="inlineStr">
        <is>
          <t xml:space="preserve">d20260923</t>
        </is>
      </c>
      <c r="D1687" s="0" t="inlineStr">
        <is>
          <t xml:space="preserve">RS</t>
        </is>
      </c>
      <c r="E1687" s="0" t="inlineStr">
        <is>
          <t xml:space="preserve">basic_materials</t>
        </is>
      </c>
      <c r="F1687" s="4">
        <v>86</v>
      </c>
    </row>
    <row r="1688">
      <c r="A1688" s="0" t="inlineStr">
        <is>
          <t xml:space="preserve">random_07_ABM</t>
        </is>
      </c>
      <c r="B1688" s="0" t="inlineStr">
        <is>
          <t xml:space="preserve">random_07</t>
        </is>
      </c>
      <c r="C1688" s="0" t="inlineStr">
        <is>
          <t xml:space="preserve">d20260923</t>
        </is>
      </c>
      <c r="D1688" s="0" t="inlineStr">
        <is>
          <t xml:space="preserve">ABM</t>
        </is>
      </c>
      <c r="E1688" s="0" t="inlineStr">
        <is>
          <t xml:space="preserve">industrials</t>
        </is>
      </c>
      <c r="F1688" s="4">
        <v>87</v>
      </c>
    </row>
    <row r="1689">
      <c r="A1689" s="0" t="inlineStr">
        <is>
          <t xml:space="preserve">random_07_EXPD</t>
        </is>
      </c>
      <c r="B1689" s="0" t="inlineStr">
        <is>
          <t xml:space="preserve">random_07</t>
        </is>
      </c>
      <c r="C1689" s="0" t="inlineStr">
        <is>
          <t xml:space="preserve">d20260923</t>
        </is>
      </c>
      <c r="D1689" s="0" t="inlineStr">
        <is>
          <t xml:space="preserve">EXPD</t>
        </is>
      </c>
      <c r="E1689" s="0" t="inlineStr">
        <is>
          <t xml:space="preserve">industrials</t>
        </is>
      </c>
      <c r="F1689" s="4">
        <v>88</v>
      </c>
    </row>
    <row r="1690">
      <c r="A1690" s="0" t="inlineStr">
        <is>
          <t xml:space="preserve">random_07_VERA</t>
        </is>
      </c>
      <c r="B1690" s="0" t="inlineStr">
        <is>
          <t xml:space="preserve">random_07</t>
        </is>
      </c>
      <c r="C1690" s="0" t="inlineStr">
        <is>
          <t xml:space="preserve">d20260923</t>
        </is>
      </c>
      <c r="D1690" s="0" t="inlineStr">
        <is>
          <t xml:space="preserve">VERA</t>
        </is>
      </c>
      <c r="E1690" s="0" t="inlineStr">
        <is>
          <t xml:space="preserve">healthcare</t>
        </is>
      </c>
      <c r="F1690" s="4">
        <v>89</v>
      </c>
    </row>
    <row r="1691">
      <c r="A1691" s="0" t="inlineStr">
        <is>
          <t xml:space="preserve">random_07_CSX</t>
        </is>
      </c>
      <c r="B1691" s="0" t="inlineStr">
        <is>
          <t xml:space="preserve">random_07</t>
        </is>
      </c>
      <c r="C1691" s="0" t="inlineStr">
        <is>
          <t xml:space="preserve">d20260923</t>
        </is>
      </c>
      <c r="D1691" s="0" t="inlineStr">
        <is>
          <t xml:space="preserve">CSX</t>
        </is>
      </c>
      <c r="E1691" s="0" t="inlineStr">
        <is>
          <t xml:space="preserve">industrials</t>
        </is>
      </c>
      <c r="F1691" s="4">
        <v>90</v>
      </c>
    </row>
    <row r="1692">
      <c r="A1692" s="0" t="inlineStr">
        <is>
          <t xml:space="preserve">random_07_AROC</t>
        </is>
      </c>
      <c r="B1692" s="0" t="inlineStr">
        <is>
          <t xml:space="preserve">random_07</t>
        </is>
      </c>
      <c r="C1692" s="0" t="inlineStr">
        <is>
          <t xml:space="preserve">d20260923</t>
        </is>
      </c>
      <c r="D1692" s="0" t="inlineStr">
        <is>
          <t xml:space="preserve">AROC</t>
        </is>
      </c>
      <c r="E1692" s="0" t="inlineStr">
        <is>
          <t xml:space="preserve">energy</t>
        </is>
      </c>
      <c r="F1692" s="4">
        <v>91</v>
      </c>
    </row>
    <row r="1693">
      <c r="A1693" s="0" t="inlineStr">
        <is>
          <t xml:space="preserve">random_07_TTAN</t>
        </is>
      </c>
      <c r="B1693" s="0" t="inlineStr">
        <is>
          <t xml:space="preserve">random_07</t>
        </is>
      </c>
      <c r="C1693" s="0" t="inlineStr">
        <is>
          <t xml:space="preserve">d20260923</t>
        </is>
      </c>
      <c r="D1693" s="0" t="inlineStr">
        <is>
          <t xml:space="preserve">TTAN</t>
        </is>
      </c>
      <c r="E1693" s="0" t="inlineStr">
        <is>
          <t xml:space="preserve">technology</t>
        </is>
      </c>
      <c r="F1693" s="4">
        <v>92</v>
      </c>
    </row>
    <row r="1694">
      <c r="A1694" s="0" t="inlineStr">
        <is>
          <t xml:space="preserve">random_07_BANC</t>
        </is>
      </c>
      <c r="B1694" s="0" t="inlineStr">
        <is>
          <t xml:space="preserve">random_07</t>
        </is>
      </c>
      <c r="C1694" s="0" t="inlineStr">
        <is>
          <t xml:space="preserve">d20260923</t>
        </is>
      </c>
      <c r="D1694" s="0" t="inlineStr">
        <is>
          <t xml:space="preserve">BANC</t>
        </is>
      </c>
      <c r="E1694" s="0" t="inlineStr">
        <is>
          <t xml:space="preserve">financial_services</t>
        </is>
      </c>
      <c r="F1694" s="4">
        <v>93</v>
      </c>
    </row>
    <row r="1695">
      <c r="A1695" s="0" t="inlineStr">
        <is>
          <t xml:space="preserve">random_07_Z</t>
        </is>
      </c>
      <c r="B1695" s="0" t="inlineStr">
        <is>
          <t xml:space="preserve">random_07</t>
        </is>
      </c>
      <c r="C1695" s="0" t="inlineStr">
        <is>
          <t xml:space="preserve">d20260923</t>
        </is>
      </c>
      <c r="D1695" s="0" t="inlineStr">
        <is>
          <t xml:space="preserve">Z</t>
        </is>
      </c>
      <c r="E1695" s="0" t="inlineStr">
        <is>
          <t xml:space="preserve">communication_services</t>
        </is>
      </c>
      <c r="F1695" s="4">
        <v>94</v>
      </c>
    </row>
    <row r="1696">
      <c r="A1696" s="0" t="inlineStr">
        <is>
          <t xml:space="preserve">random_07_BAH</t>
        </is>
      </c>
      <c r="B1696" s="0" t="inlineStr">
        <is>
          <t xml:space="preserve">random_07</t>
        </is>
      </c>
      <c r="C1696" s="0" t="inlineStr">
        <is>
          <t xml:space="preserve">d20260923</t>
        </is>
      </c>
      <c r="D1696" s="0" t="inlineStr">
        <is>
          <t xml:space="preserve">BAH</t>
        </is>
      </c>
      <c r="E1696" s="0" t="inlineStr">
        <is>
          <t xml:space="preserve">industrials</t>
        </is>
      </c>
      <c r="F1696" s="4">
        <v>95</v>
      </c>
    </row>
    <row r="1697">
      <c r="A1697" s="0" t="inlineStr">
        <is>
          <t xml:space="preserve">random_07_CLH</t>
        </is>
      </c>
      <c r="B1697" s="0" t="inlineStr">
        <is>
          <t xml:space="preserve">random_07</t>
        </is>
      </c>
      <c r="C1697" s="0" t="inlineStr">
        <is>
          <t xml:space="preserve">d20260923</t>
        </is>
      </c>
      <c r="D1697" s="0" t="inlineStr">
        <is>
          <t xml:space="preserve">CLH</t>
        </is>
      </c>
      <c r="E1697" s="0" t="inlineStr">
        <is>
          <t xml:space="preserve">industrials</t>
        </is>
      </c>
      <c r="F1697" s="4">
        <v>96</v>
      </c>
    </row>
    <row r="1698">
      <c r="A1698" s="0" t="inlineStr">
        <is>
          <t xml:space="preserve">random_07_TXNM</t>
        </is>
      </c>
      <c r="B1698" s="0" t="inlineStr">
        <is>
          <t xml:space="preserve">random_07</t>
        </is>
      </c>
      <c r="C1698" s="0" t="inlineStr">
        <is>
          <t xml:space="preserve">d20260923</t>
        </is>
      </c>
      <c r="D1698" s="0" t="inlineStr">
        <is>
          <t xml:space="preserve">TXNM</t>
        </is>
      </c>
      <c r="E1698" s="0" t="inlineStr">
        <is>
          <t xml:space="preserve">utilities</t>
        </is>
      </c>
      <c r="F1698" s="4">
        <v>97</v>
      </c>
    </row>
    <row r="1699">
      <c r="A1699" s="0" t="inlineStr">
        <is>
          <t xml:space="preserve">random_07_IESC</t>
        </is>
      </c>
      <c r="B1699" s="0" t="inlineStr">
        <is>
          <t xml:space="preserve">random_07</t>
        </is>
      </c>
      <c r="C1699" s="0" t="inlineStr">
        <is>
          <t xml:space="preserve">d20260923</t>
        </is>
      </c>
      <c r="D1699" s="0" t="inlineStr">
        <is>
          <t xml:space="preserve">IESC</t>
        </is>
      </c>
      <c r="E1699" s="0" t="inlineStr">
        <is>
          <t xml:space="preserve">industrials</t>
        </is>
      </c>
      <c r="F1699" s="4">
        <v>98</v>
      </c>
    </row>
    <row r="1700">
      <c r="A1700" s="0" t="inlineStr">
        <is>
          <t xml:space="preserve">random_07_VNOM</t>
        </is>
      </c>
      <c r="B1700" s="0" t="inlineStr">
        <is>
          <t xml:space="preserve">random_07</t>
        </is>
      </c>
      <c r="C1700" s="0" t="inlineStr">
        <is>
          <t xml:space="preserve">d20260923</t>
        </is>
      </c>
      <c r="D1700" s="0" t="inlineStr">
        <is>
          <t xml:space="preserve">VNOM</t>
        </is>
      </c>
      <c r="E1700" s="0" t="inlineStr">
        <is>
          <t xml:space="preserve">energy</t>
        </is>
      </c>
      <c r="F1700" s="4">
        <v>99</v>
      </c>
    </row>
    <row r="1701">
      <c r="A1701" s="0" t="inlineStr">
        <is>
          <t xml:space="preserve">random_07_SMMT</t>
        </is>
      </c>
      <c r="B1701" s="0" t="inlineStr">
        <is>
          <t xml:space="preserve">random_07</t>
        </is>
      </c>
      <c r="C1701" s="0" t="inlineStr">
        <is>
          <t xml:space="preserve">d20260923</t>
        </is>
      </c>
      <c r="D1701" s="0" t="inlineStr">
        <is>
          <t xml:space="preserve">SMMT</t>
        </is>
      </c>
      <c r="E1701" s="0" t="inlineStr">
        <is>
          <t xml:space="preserve">healthcare</t>
        </is>
      </c>
      <c r="F1701" s="4">
        <v>100</v>
      </c>
    </row>
    <row r="1702">
      <c r="A1702" s="0" t="inlineStr">
        <is>
          <t xml:space="preserve">random_08_PPL</t>
        </is>
      </c>
      <c r="B1702" s="0" t="inlineStr">
        <is>
          <t xml:space="preserve">random_08</t>
        </is>
      </c>
      <c r="C1702" s="0" t="inlineStr">
        <is>
          <t xml:space="preserve">d20260923</t>
        </is>
      </c>
      <c r="D1702" s="0" t="inlineStr">
        <is>
          <t xml:space="preserve">PPL</t>
        </is>
      </c>
      <c r="E1702" s="0" t="inlineStr">
        <is>
          <t xml:space="preserve">utilities</t>
        </is>
      </c>
      <c r="F1702" s="4">
        <v>1</v>
      </c>
    </row>
    <row r="1703">
      <c r="A1703" s="0" t="inlineStr">
        <is>
          <t xml:space="preserve">random_08_ROKU</t>
        </is>
      </c>
      <c r="B1703" s="0" t="inlineStr">
        <is>
          <t xml:space="preserve">random_08</t>
        </is>
      </c>
      <c r="C1703" s="0" t="inlineStr">
        <is>
          <t xml:space="preserve">d20260923</t>
        </is>
      </c>
      <c r="D1703" s="0" t="inlineStr">
        <is>
          <t xml:space="preserve">ROKU</t>
        </is>
      </c>
      <c r="E1703" s="0" t="inlineStr">
        <is>
          <t xml:space="preserve">communication_services</t>
        </is>
      </c>
      <c r="F1703" s="4">
        <v>2</v>
      </c>
    </row>
    <row r="1704">
      <c r="A1704" s="0" t="inlineStr">
        <is>
          <t xml:space="preserve">random_08_WRB</t>
        </is>
      </c>
      <c r="B1704" s="0" t="inlineStr">
        <is>
          <t xml:space="preserve">random_08</t>
        </is>
      </c>
      <c r="C1704" s="0" t="inlineStr">
        <is>
          <t xml:space="preserve">d20260923</t>
        </is>
      </c>
      <c r="D1704" s="0" t="inlineStr">
        <is>
          <t xml:space="preserve">WRB</t>
        </is>
      </c>
      <c r="E1704" s="0" t="inlineStr">
        <is>
          <t xml:space="preserve">financial_services</t>
        </is>
      </c>
      <c r="F1704" s="4">
        <v>3</v>
      </c>
    </row>
    <row r="1705">
      <c r="A1705" s="0" t="inlineStr">
        <is>
          <t xml:space="preserve">random_08_ASTS</t>
        </is>
      </c>
      <c r="B1705" s="0" t="inlineStr">
        <is>
          <t xml:space="preserve">random_08</t>
        </is>
      </c>
      <c r="C1705" s="0" t="inlineStr">
        <is>
          <t xml:space="preserve">d20260923</t>
        </is>
      </c>
      <c r="D1705" s="0" t="inlineStr">
        <is>
          <t xml:space="preserve">ASTS</t>
        </is>
      </c>
      <c r="E1705" s="0" t="inlineStr">
        <is>
          <t xml:space="preserve">communication_services</t>
        </is>
      </c>
      <c r="F1705" s="4">
        <v>4</v>
      </c>
    </row>
    <row r="1706">
      <c r="A1706" s="0" t="inlineStr">
        <is>
          <t xml:space="preserve">random_08_RCUS</t>
        </is>
      </c>
      <c r="B1706" s="0" t="inlineStr">
        <is>
          <t xml:space="preserve">random_08</t>
        </is>
      </c>
      <c r="C1706" s="0" t="inlineStr">
        <is>
          <t xml:space="preserve">d20260923</t>
        </is>
      </c>
      <c r="D1706" s="0" t="inlineStr">
        <is>
          <t xml:space="preserve">RCUS</t>
        </is>
      </c>
      <c r="E1706" s="0" t="inlineStr">
        <is>
          <t xml:space="preserve">healthcare</t>
        </is>
      </c>
      <c r="F1706" s="4">
        <v>5</v>
      </c>
    </row>
    <row r="1707">
      <c r="A1707" s="0" t="inlineStr">
        <is>
          <t xml:space="preserve">random_08_BDC</t>
        </is>
      </c>
      <c r="B1707" s="0" t="inlineStr">
        <is>
          <t xml:space="preserve">random_08</t>
        </is>
      </c>
      <c r="C1707" s="0" t="inlineStr">
        <is>
          <t xml:space="preserve">d20260923</t>
        </is>
      </c>
      <c r="D1707" s="0" t="inlineStr">
        <is>
          <t xml:space="preserve">BDC</t>
        </is>
      </c>
      <c r="E1707" s="0" t="inlineStr">
        <is>
          <t xml:space="preserve">technology</t>
        </is>
      </c>
      <c r="F1707" s="4">
        <v>6</v>
      </c>
    </row>
    <row r="1708">
      <c r="A1708" s="0" t="inlineStr">
        <is>
          <t xml:space="preserve">random_08_AIZ</t>
        </is>
      </c>
      <c r="B1708" s="0" t="inlineStr">
        <is>
          <t xml:space="preserve">random_08</t>
        </is>
      </c>
      <c r="C1708" s="0" t="inlineStr">
        <is>
          <t xml:space="preserve">d20260923</t>
        </is>
      </c>
      <c r="D1708" s="0" t="inlineStr">
        <is>
          <t xml:space="preserve">AIZ</t>
        </is>
      </c>
      <c r="E1708" s="0" t="inlineStr">
        <is>
          <t xml:space="preserve">financial_services</t>
        </is>
      </c>
      <c r="F1708" s="4">
        <v>7</v>
      </c>
    </row>
    <row r="1709">
      <c r="A1709" s="0" t="inlineStr">
        <is>
          <t xml:space="preserve">random_08_PNFP</t>
        </is>
      </c>
      <c r="B1709" s="0" t="inlineStr">
        <is>
          <t xml:space="preserve">random_08</t>
        </is>
      </c>
      <c r="C1709" s="0" t="inlineStr">
        <is>
          <t xml:space="preserve">d20260923</t>
        </is>
      </c>
      <c r="D1709" s="0" t="inlineStr">
        <is>
          <t xml:space="preserve">PNFP</t>
        </is>
      </c>
      <c r="E1709" s="0" t="inlineStr">
        <is>
          <t xml:space="preserve">financial_services</t>
        </is>
      </c>
      <c r="F1709" s="4">
        <v>8</v>
      </c>
    </row>
    <row r="1710">
      <c r="A1710" s="0" t="inlineStr">
        <is>
          <t xml:space="preserve">random_08_PBLS</t>
        </is>
      </c>
      <c r="B1710" s="0" t="inlineStr">
        <is>
          <t xml:space="preserve">random_08</t>
        </is>
      </c>
      <c r="C1710" s="0" t="inlineStr">
        <is>
          <t xml:space="preserve">d20260923</t>
        </is>
      </c>
      <c r="D1710" s="0" t="inlineStr">
        <is>
          <t xml:space="preserve">PBLS</t>
        </is>
      </c>
      <c r="E1710" s="0" t="inlineStr">
        <is>
          <t xml:space="preserve">healthcare</t>
        </is>
      </c>
      <c r="F1710" s="4">
        <v>9</v>
      </c>
    </row>
    <row r="1711">
      <c r="A1711" s="0" t="inlineStr">
        <is>
          <t xml:space="preserve">random_08_IFF</t>
        </is>
      </c>
      <c r="B1711" s="0" t="inlineStr">
        <is>
          <t xml:space="preserve">random_08</t>
        </is>
      </c>
      <c r="C1711" s="0" t="inlineStr">
        <is>
          <t xml:space="preserve">d20260923</t>
        </is>
      </c>
      <c r="D1711" s="0" t="inlineStr">
        <is>
          <t xml:space="preserve">IFF</t>
        </is>
      </c>
      <c r="E1711" s="0" t="inlineStr">
        <is>
          <t xml:space="preserve">basic_materials</t>
        </is>
      </c>
      <c r="F1711" s="4">
        <v>10</v>
      </c>
    </row>
    <row r="1712">
      <c r="A1712" s="0" t="inlineStr">
        <is>
          <t xml:space="preserve">random_08_EOG</t>
        </is>
      </c>
      <c r="B1712" s="0" t="inlineStr">
        <is>
          <t xml:space="preserve">random_08</t>
        </is>
      </c>
      <c r="C1712" s="0" t="inlineStr">
        <is>
          <t xml:space="preserve">d20260923</t>
        </is>
      </c>
      <c r="D1712" s="0" t="inlineStr">
        <is>
          <t xml:space="preserve">EOG</t>
        </is>
      </c>
      <c r="E1712" s="0" t="inlineStr">
        <is>
          <t xml:space="preserve">energy</t>
        </is>
      </c>
      <c r="F1712" s="4">
        <v>11</v>
      </c>
    </row>
    <row r="1713">
      <c r="A1713" s="0" t="inlineStr">
        <is>
          <t xml:space="preserve">random_08_J</t>
        </is>
      </c>
      <c r="B1713" s="0" t="inlineStr">
        <is>
          <t xml:space="preserve">random_08</t>
        </is>
      </c>
      <c r="C1713" s="0" t="inlineStr">
        <is>
          <t xml:space="preserve">d20260923</t>
        </is>
      </c>
      <c r="D1713" s="0" t="inlineStr">
        <is>
          <t xml:space="preserve">J</t>
        </is>
      </c>
      <c r="E1713" s="0" t="inlineStr">
        <is>
          <t xml:space="preserve">industrials</t>
        </is>
      </c>
      <c r="F1713" s="4">
        <v>12</v>
      </c>
    </row>
    <row r="1714">
      <c r="A1714" s="0" t="inlineStr">
        <is>
          <t xml:space="preserve">random_08_GRAL</t>
        </is>
      </c>
      <c r="B1714" s="0" t="inlineStr">
        <is>
          <t xml:space="preserve">random_08</t>
        </is>
      </c>
      <c r="C1714" s="0" t="inlineStr">
        <is>
          <t xml:space="preserve">d20260923</t>
        </is>
      </c>
      <c r="D1714" s="0" t="inlineStr">
        <is>
          <t xml:space="preserve">GRAL</t>
        </is>
      </c>
      <c r="E1714" s="0" t="inlineStr">
        <is>
          <t xml:space="preserve">healthcare</t>
        </is>
      </c>
      <c r="F1714" s="4">
        <v>13</v>
      </c>
    </row>
    <row r="1715">
      <c r="A1715" s="0" t="inlineStr">
        <is>
          <t xml:space="preserve">random_08_CGON</t>
        </is>
      </c>
      <c r="B1715" s="0" t="inlineStr">
        <is>
          <t xml:space="preserve">random_08</t>
        </is>
      </c>
      <c r="C1715" s="0" t="inlineStr">
        <is>
          <t xml:space="preserve">d20260923</t>
        </is>
      </c>
      <c r="D1715" s="0" t="inlineStr">
        <is>
          <t xml:space="preserve">CGON</t>
        </is>
      </c>
      <c r="E1715" s="0" t="inlineStr">
        <is>
          <t xml:space="preserve">healthcare</t>
        </is>
      </c>
      <c r="F1715" s="4">
        <v>14</v>
      </c>
    </row>
    <row r="1716">
      <c r="A1716" s="0" t="inlineStr">
        <is>
          <t xml:space="preserve">random_08_MTRN</t>
        </is>
      </c>
      <c r="B1716" s="0" t="inlineStr">
        <is>
          <t xml:space="preserve">random_08</t>
        </is>
      </c>
      <c r="C1716" s="0" t="inlineStr">
        <is>
          <t xml:space="preserve">d20260923</t>
        </is>
      </c>
      <c r="D1716" s="0" t="inlineStr">
        <is>
          <t xml:space="preserve">MTRN</t>
        </is>
      </c>
      <c r="E1716" s="0" t="inlineStr">
        <is>
          <t xml:space="preserve">basic_materials</t>
        </is>
      </c>
      <c r="F1716" s="4">
        <v>15</v>
      </c>
    </row>
    <row r="1717">
      <c r="A1717" s="0" t="inlineStr">
        <is>
          <t xml:space="preserve">random_08_IVT</t>
        </is>
      </c>
      <c r="B1717" s="0" t="inlineStr">
        <is>
          <t xml:space="preserve">random_08</t>
        </is>
      </c>
      <c r="C1717" s="0" t="inlineStr">
        <is>
          <t xml:space="preserve">d20260923</t>
        </is>
      </c>
      <c r="D1717" s="0" t="inlineStr">
        <is>
          <t xml:space="preserve">IVT</t>
        </is>
      </c>
      <c r="E1717" s="0" t="inlineStr">
        <is>
          <t xml:space="preserve">real_estate</t>
        </is>
      </c>
      <c r="F1717" s="4">
        <v>16</v>
      </c>
    </row>
    <row r="1718">
      <c r="A1718" s="0" t="inlineStr">
        <is>
          <t xml:space="preserve">random_08_EBC</t>
        </is>
      </c>
      <c r="B1718" s="0" t="inlineStr">
        <is>
          <t xml:space="preserve">random_08</t>
        </is>
      </c>
      <c r="C1718" s="0" t="inlineStr">
        <is>
          <t xml:space="preserve">d20260923</t>
        </is>
      </c>
      <c r="D1718" s="0" t="inlineStr">
        <is>
          <t xml:space="preserve">EBC</t>
        </is>
      </c>
      <c r="E1718" s="0" t="inlineStr">
        <is>
          <t xml:space="preserve">financial_services</t>
        </is>
      </c>
      <c r="F1718" s="4">
        <v>17</v>
      </c>
    </row>
    <row r="1719">
      <c r="A1719" s="0" t="inlineStr">
        <is>
          <t xml:space="preserve">random_08_BMNR</t>
        </is>
      </c>
      <c r="B1719" s="0" t="inlineStr">
        <is>
          <t xml:space="preserve">random_08</t>
        </is>
      </c>
      <c r="C1719" s="0" t="inlineStr">
        <is>
          <t xml:space="preserve">d20260923</t>
        </is>
      </c>
      <c r="D1719" s="0" t="inlineStr">
        <is>
          <t xml:space="preserve">BMNR</t>
        </is>
      </c>
      <c r="E1719" s="0" t="inlineStr">
        <is>
          <t xml:space="preserve">financial_services</t>
        </is>
      </c>
      <c r="F1719" s="4">
        <v>18</v>
      </c>
    </row>
    <row r="1720">
      <c r="A1720" s="0" t="inlineStr">
        <is>
          <t xml:space="preserve">random_08_SBUX</t>
        </is>
      </c>
      <c r="B1720" s="0" t="inlineStr">
        <is>
          <t xml:space="preserve">random_08</t>
        </is>
      </c>
      <c r="C1720" s="0" t="inlineStr">
        <is>
          <t xml:space="preserve">d20260923</t>
        </is>
      </c>
      <c r="D1720" s="0" t="inlineStr">
        <is>
          <t xml:space="preserve">SBUX</t>
        </is>
      </c>
      <c r="E1720" s="0" t="inlineStr">
        <is>
          <t xml:space="preserve">consumer_cyclical</t>
        </is>
      </c>
      <c r="F1720" s="4">
        <v>19</v>
      </c>
    </row>
    <row r="1721">
      <c r="A1721" s="0" t="inlineStr">
        <is>
          <t xml:space="preserve">random_08_CPT</t>
        </is>
      </c>
      <c r="B1721" s="0" t="inlineStr">
        <is>
          <t xml:space="preserve">random_08</t>
        </is>
      </c>
      <c r="C1721" s="0" t="inlineStr">
        <is>
          <t xml:space="preserve">d20260923</t>
        </is>
      </c>
      <c r="D1721" s="0" t="inlineStr">
        <is>
          <t xml:space="preserve">CPT</t>
        </is>
      </c>
      <c r="E1721" s="0" t="inlineStr">
        <is>
          <t xml:space="preserve">real_estate</t>
        </is>
      </c>
      <c r="F1721" s="4">
        <v>20</v>
      </c>
    </row>
    <row r="1722">
      <c r="A1722" s="0" t="inlineStr">
        <is>
          <t xml:space="preserve">random_08_SF</t>
        </is>
      </c>
      <c r="B1722" s="0" t="inlineStr">
        <is>
          <t xml:space="preserve">random_08</t>
        </is>
      </c>
      <c r="C1722" s="0" t="inlineStr">
        <is>
          <t xml:space="preserve">d20260923</t>
        </is>
      </c>
      <c r="D1722" s="0" t="inlineStr">
        <is>
          <t xml:space="preserve">SF</t>
        </is>
      </c>
      <c r="E1722" s="0" t="inlineStr">
        <is>
          <t xml:space="preserve">financial_services</t>
        </is>
      </c>
      <c r="F1722" s="4">
        <v>21</v>
      </c>
    </row>
    <row r="1723">
      <c r="A1723" s="0" t="inlineStr">
        <is>
          <t xml:space="preserve">random_08_SLAB</t>
        </is>
      </c>
      <c r="B1723" s="0" t="inlineStr">
        <is>
          <t xml:space="preserve">random_08</t>
        </is>
      </c>
      <c r="C1723" s="0" t="inlineStr">
        <is>
          <t xml:space="preserve">d20260923</t>
        </is>
      </c>
      <c r="D1723" s="0" t="inlineStr">
        <is>
          <t xml:space="preserve">SLAB</t>
        </is>
      </c>
      <c r="E1723" s="0" t="inlineStr">
        <is>
          <t xml:space="preserve">technology</t>
        </is>
      </c>
      <c r="F1723" s="4">
        <v>22</v>
      </c>
    </row>
    <row r="1724">
      <c r="A1724" s="0" t="inlineStr">
        <is>
          <t xml:space="preserve">random_08_RCL</t>
        </is>
      </c>
      <c r="B1724" s="0" t="inlineStr">
        <is>
          <t xml:space="preserve">random_08</t>
        </is>
      </c>
      <c r="C1724" s="0" t="inlineStr">
        <is>
          <t xml:space="preserve">d20260923</t>
        </is>
      </c>
      <c r="D1724" s="0" t="inlineStr">
        <is>
          <t xml:space="preserve">RCL</t>
        </is>
      </c>
      <c r="E1724" s="0" t="inlineStr">
        <is>
          <t xml:space="preserve">consumer_cyclical</t>
        </is>
      </c>
      <c r="F1724" s="4">
        <v>23</v>
      </c>
    </row>
    <row r="1725">
      <c r="A1725" s="0" t="inlineStr">
        <is>
          <t xml:space="preserve">random_08_HD</t>
        </is>
      </c>
      <c r="B1725" s="0" t="inlineStr">
        <is>
          <t xml:space="preserve">random_08</t>
        </is>
      </c>
      <c r="C1725" s="0" t="inlineStr">
        <is>
          <t xml:space="preserve">d20260923</t>
        </is>
      </c>
      <c r="D1725" s="0" t="inlineStr">
        <is>
          <t xml:space="preserve">HD</t>
        </is>
      </c>
      <c r="E1725" s="0" t="inlineStr">
        <is>
          <t xml:space="preserve">consumer_cyclical</t>
        </is>
      </c>
      <c r="F1725" s="4">
        <v>24</v>
      </c>
    </row>
    <row r="1726">
      <c r="A1726" s="0" t="inlineStr">
        <is>
          <t xml:space="preserve">random_08_KMB</t>
        </is>
      </c>
      <c r="B1726" s="0" t="inlineStr">
        <is>
          <t xml:space="preserve">random_08</t>
        </is>
      </c>
      <c r="C1726" s="0" t="inlineStr">
        <is>
          <t xml:space="preserve">d20260923</t>
        </is>
      </c>
      <c r="D1726" s="0" t="inlineStr">
        <is>
          <t xml:space="preserve">KMB</t>
        </is>
      </c>
      <c r="E1726" s="0" t="inlineStr">
        <is>
          <t xml:space="preserve">consumer_defensive</t>
        </is>
      </c>
      <c r="F1726" s="4">
        <v>25</v>
      </c>
    </row>
    <row r="1727">
      <c r="A1727" s="0" t="inlineStr">
        <is>
          <t xml:space="preserve">random_08_AOS</t>
        </is>
      </c>
      <c r="B1727" s="0" t="inlineStr">
        <is>
          <t xml:space="preserve">random_08</t>
        </is>
      </c>
      <c r="C1727" s="0" t="inlineStr">
        <is>
          <t xml:space="preserve">d20260923</t>
        </is>
      </c>
      <c r="D1727" s="0" t="inlineStr">
        <is>
          <t xml:space="preserve">AOS</t>
        </is>
      </c>
      <c r="E1727" s="0" t="inlineStr">
        <is>
          <t xml:space="preserve">industrials</t>
        </is>
      </c>
      <c r="F1727" s="4">
        <v>26</v>
      </c>
    </row>
    <row r="1728">
      <c r="A1728" s="0" t="inlineStr">
        <is>
          <t xml:space="preserve">random_08_CCL</t>
        </is>
      </c>
      <c r="B1728" s="0" t="inlineStr">
        <is>
          <t xml:space="preserve">random_08</t>
        </is>
      </c>
      <c r="C1728" s="0" t="inlineStr">
        <is>
          <t xml:space="preserve">d20260923</t>
        </is>
      </c>
      <c r="D1728" s="0" t="inlineStr">
        <is>
          <t xml:space="preserve">CCL</t>
        </is>
      </c>
      <c r="E1728" s="0" t="inlineStr">
        <is>
          <t xml:space="preserve">consumer_cyclical</t>
        </is>
      </c>
      <c r="F1728" s="4">
        <v>27</v>
      </c>
    </row>
    <row r="1729">
      <c r="A1729" s="0" t="inlineStr">
        <is>
          <t xml:space="preserve">random_08_HCC</t>
        </is>
      </c>
      <c r="B1729" s="0" t="inlineStr">
        <is>
          <t xml:space="preserve">random_08</t>
        </is>
      </c>
      <c r="C1729" s="0" t="inlineStr">
        <is>
          <t xml:space="preserve">d20260923</t>
        </is>
      </c>
      <c r="D1729" s="0" t="inlineStr">
        <is>
          <t xml:space="preserve">HCC</t>
        </is>
      </c>
      <c r="E1729" s="0" t="inlineStr">
        <is>
          <t xml:space="preserve">energy</t>
        </is>
      </c>
      <c r="F1729" s="4">
        <v>28</v>
      </c>
    </row>
    <row r="1730">
      <c r="A1730" s="0" t="inlineStr">
        <is>
          <t xml:space="preserve">random_08_HEI</t>
        </is>
      </c>
      <c r="B1730" s="0" t="inlineStr">
        <is>
          <t xml:space="preserve">random_08</t>
        </is>
      </c>
      <c r="C1730" s="0" t="inlineStr">
        <is>
          <t xml:space="preserve">d20260923</t>
        </is>
      </c>
      <c r="D1730" s="0" t="inlineStr">
        <is>
          <t xml:space="preserve">HEI</t>
        </is>
      </c>
      <c r="E1730" s="0" t="inlineStr">
        <is>
          <t xml:space="preserve">industrials</t>
        </is>
      </c>
      <c r="F1730" s="4">
        <v>29</v>
      </c>
    </row>
    <row r="1731">
      <c r="A1731" s="0" t="inlineStr">
        <is>
          <t xml:space="preserve">random_08_LOAR</t>
        </is>
      </c>
      <c r="B1731" s="0" t="inlineStr">
        <is>
          <t xml:space="preserve">random_08</t>
        </is>
      </c>
      <c r="C1731" s="0" t="inlineStr">
        <is>
          <t xml:space="preserve">d20260923</t>
        </is>
      </c>
      <c r="D1731" s="0" t="inlineStr">
        <is>
          <t xml:space="preserve">LOAR</t>
        </is>
      </c>
      <c r="E1731" s="0" t="inlineStr">
        <is>
          <t xml:space="preserve">industrials</t>
        </is>
      </c>
      <c r="F1731" s="4">
        <v>30</v>
      </c>
    </row>
    <row r="1732">
      <c r="A1732" s="0" t="inlineStr">
        <is>
          <t xml:space="preserve">random_08_DASH</t>
        </is>
      </c>
      <c r="B1732" s="0" t="inlineStr">
        <is>
          <t xml:space="preserve">random_08</t>
        </is>
      </c>
      <c r="C1732" s="0" t="inlineStr">
        <is>
          <t xml:space="preserve">d20260923</t>
        </is>
      </c>
      <c r="D1732" s="0" t="inlineStr">
        <is>
          <t xml:space="preserve">DASH</t>
        </is>
      </c>
      <c r="E1732" s="0" t="inlineStr">
        <is>
          <t xml:space="preserve">communication_services</t>
        </is>
      </c>
      <c r="F1732" s="4">
        <v>31</v>
      </c>
    </row>
    <row r="1733">
      <c r="A1733" s="0" t="inlineStr">
        <is>
          <t xml:space="preserve">random_08_CR</t>
        </is>
      </c>
      <c r="B1733" s="0" t="inlineStr">
        <is>
          <t xml:space="preserve">random_08</t>
        </is>
      </c>
      <c r="C1733" s="0" t="inlineStr">
        <is>
          <t xml:space="preserve">d20260923</t>
        </is>
      </c>
      <c r="D1733" s="0" t="inlineStr">
        <is>
          <t xml:space="preserve">CR</t>
        </is>
      </c>
      <c r="E1733" s="0" t="inlineStr">
        <is>
          <t xml:space="preserve">industrials</t>
        </is>
      </c>
      <c r="F1733" s="4">
        <v>32</v>
      </c>
    </row>
    <row r="1734">
      <c r="A1734" s="0" t="inlineStr">
        <is>
          <t xml:space="preserve">random_08_CLBK</t>
        </is>
      </c>
      <c r="B1734" s="0" t="inlineStr">
        <is>
          <t xml:space="preserve">random_08</t>
        </is>
      </c>
      <c r="C1734" s="0" t="inlineStr">
        <is>
          <t xml:space="preserve">d20260923</t>
        </is>
      </c>
      <c r="D1734" s="0" t="inlineStr">
        <is>
          <t xml:space="preserve">CLBK</t>
        </is>
      </c>
      <c r="E1734" s="0" t="inlineStr">
        <is>
          <t xml:space="preserve">financial_services</t>
        </is>
      </c>
      <c r="F1734" s="4">
        <v>33</v>
      </c>
    </row>
    <row r="1735">
      <c r="A1735" s="0" t="inlineStr">
        <is>
          <t xml:space="preserve">random_08_COF</t>
        </is>
      </c>
      <c r="B1735" s="0" t="inlineStr">
        <is>
          <t xml:space="preserve">random_08</t>
        </is>
      </c>
      <c r="C1735" s="0" t="inlineStr">
        <is>
          <t xml:space="preserve">d20260923</t>
        </is>
      </c>
      <c r="D1735" s="0" t="inlineStr">
        <is>
          <t xml:space="preserve">COF</t>
        </is>
      </c>
      <c r="E1735" s="0" t="inlineStr">
        <is>
          <t xml:space="preserve">financial_services</t>
        </is>
      </c>
      <c r="F1735" s="4">
        <v>34</v>
      </c>
    </row>
    <row r="1736">
      <c r="A1736" s="0" t="inlineStr">
        <is>
          <t xml:space="preserve">random_08_TWST</t>
        </is>
      </c>
      <c r="B1736" s="0" t="inlineStr">
        <is>
          <t xml:space="preserve">random_08</t>
        </is>
      </c>
      <c r="C1736" s="0" t="inlineStr">
        <is>
          <t xml:space="preserve">d20260923</t>
        </is>
      </c>
      <c r="D1736" s="0" t="inlineStr">
        <is>
          <t xml:space="preserve">TWST</t>
        </is>
      </c>
      <c r="E1736" s="0" t="inlineStr">
        <is>
          <t xml:space="preserve">healthcare</t>
        </is>
      </c>
      <c r="F1736" s="4">
        <v>35</v>
      </c>
    </row>
    <row r="1737">
      <c r="A1737" s="0" t="inlineStr">
        <is>
          <t xml:space="preserve">random_08_XPO</t>
        </is>
      </c>
      <c r="B1737" s="0" t="inlineStr">
        <is>
          <t xml:space="preserve">random_08</t>
        </is>
      </c>
      <c r="C1737" s="0" t="inlineStr">
        <is>
          <t xml:space="preserve">d20260923</t>
        </is>
      </c>
      <c r="D1737" s="0" t="inlineStr">
        <is>
          <t xml:space="preserve">XPO</t>
        </is>
      </c>
      <c r="E1737" s="0" t="inlineStr">
        <is>
          <t xml:space="preserve">industrials</t>
        </is>
      </c>
      <c r="F1737" s="4">
        <v>36</v>
      </c>
    </row>
    <row r="1738">
      <c r="A1738" s="0" t="inlineStr">
        <is>
          <t xml:space="preserve">random_08_SFM</t>
        </is>
      </c>
      <c r="B1738" s="0" t="inlineStr">
        <is>
          <t xml:space="preserve">random_08</t>
        </is>
      </c>
      <c r="C1738" s="0" t="inlineStr">
        <is>
          <t xml:space="preserve">d20260923</t>
        </is>
      </c>
      <c r="D1738" s="0" t="inlineStr">
        <is>
          <t xml:space="preserve">SFM</t>
        </is>
      </c>
      <c r="E1738" s="0" t="inlineStr">
        <is>
          <t xml:space="preserve">consumer_defensive</t>
        </is>
      </c>
      <c r="F1738" s="4">
        <v>37</v>
      </c>
    </row>
    <row r="1739">
      <c r="A1739" s="0" t="inlineStr">
        <is>
          <t xml:space="preserve">random_08_TRU</t>
        </is>
      </c>
      <c r="B1739" s="0" t="inlineStr">
        <is>
          <t xml:space="preserve">random_08</t>
        </is>
      </c>
      <c r="C1739" s="0" t="inlineStr">
        <is>
          <t xml:space="preserve">d20260923</t>
        </is>
      </c>
      <c r="D1739" s="0" t="inlineStr">
        <is>
          <t xml:space="preserve">TRU</t>
        </is>
      </c>
      <c r="E1739" s="0" t="inlineStr">
        <is>
          <t xml:space="preserve">financial_services</t>
        </is>
      </c>
      <c r="F1739" s="4">
        <v>38</v>
      </c>
    </row>
    <row r="1740">
      <c r="A1740" s="0" t="inlineStr">
        <is>
          <t xml:space="preserve">random_08_DELL</t>
        </is>
      </c>
      <c r="B1740" s="0" t="inlineStr">
        <is>
          <t xml:space="preserve">random_08</t>
        </is>
      </c>
      <c r="C1740" s="0" t="inlineStr">
        <is>
          <t xml:space="preserve">d20260923</t>
        </is>
      </c>
      <c r="D1740" s="0" t="inlineStr">
        <is>
          <t xml:space="preserve">DELL</t>
        </is>
      </c>
      <c r="E1740" s="0" t="inlineStr">
        <is>
          <t xml:space="preserve">technology</t>
        </is>
      </c>
      <c r="F1740" s="4">
        <v>39</v>
      </c>
    </row>
    <row r="1741">
      <c r="A1741" s="0" t="inlineStr">
        <is>
          <t xml:space="preserve">random_08_CRGY</t>
        </is>
      </c>
      <c r="B1741" s="0" t="inlineStr">
        <is>
          <t xml:space="preserve">random_08</t>
        </is>
      </c>
      <c r="C1741" s="0" t="inlineStr">
        <is>
          <t xml:space="preserve">d20260923</t>
        </is>
      </c>
      <c r="D1741" s="0" t="inlineStr">
        <is>
          <t xml:space="preserve">CRGY</t>
        </is>
      </c>
      <c r="E1741" s="0" t="inlineStr">
        <is>
          <t xml:space="preserve">energy</t>
        </is>
      </c>
      <c r="F1741" s="4">
        <v>40</v>
      </c>
    </row>
    <row r="1742">
      <c r="A1742" s="0" t="inlineStr">
        <is>
          <t xml:space="preserve">random_08_NFG</t>
        </is>
      </c>
      <c r="B1742" s="0" t="inlineStr">
        <is>
          <t xml:space="preserve">random_08</t>
        </is>
      </c>
      <c r="C1742" s="0" t="inlineStr">
        <is>
          <t xml:space="preserve">d20260923</t>
        </is>
      </c>
      <c r="D1742" s="0" t="inlineStr">
        <is>
          <t xml:space="preserve">NFG</t>
        </is>
      </c>
      <c r="E1742" s="0" t="inlineStr">
        <is>
          <t xml:space="preserve">energy</t>
        </is>
      </c>
      <c r="F1742" s="4">
        <v>41</v>
      </c>
    </row>
    <row r="1743">
      <c r="A1743" s="0" t="inlineStr">
        <is>
          <t xml:space="preserve">random_08_FOXA</t>
        </is>
      </c>
      <c r="B1743" s="0" t="inlineStr">
        <is>
          <t xml:space="preserve">random_08</t>
        </is>
      </c>
      <c r="C1743" s="0" t="inlineStr">
        <is>
          <t xml:space="preserve">d20260923</t>
        </is>
      </c>
      <c r="D1743" s="0" t="inlineStr">
        <is>
          <t xml:space="preserve">FOXA</t>
        </is>
      </c>
      <c r="E1743" s="0" t="inlineStr">
        <is>
          <t xml:space="preserve">communication_services</t>
        </is>
      </c>
      <c r="F1743" s="4">
        <v>42</v>
      </c>
    </row>
    <row r="1744">
      <c r="A1744" s="0" t="inlineStr">
        <is>
          <t xml:space="preserve">random_08_REG</t>
        </is>
      </c>
      <c r="B1744" s="0" t="inlineStr">
        <is>
          <t xml:space="preserve">random_08</t>
        </is>
      </c>
      <c r="C1744" s="0" t="inlineStr">
        <is>
          <t xml:space="preserve">d20260923</t>
        </is>
      </c>
      <c r="D1744" s="0" t="inlineStr">
        <is>
          <t xml:space="preserve">REG</t>
        </is>
      </c>
      <c r="E1744" s="0" t="inlineStr">
        <is>
          <t xml:space="preserve">real_estate</t>
        </is>
      </c>
      <c r="F1744" s="4">
        <v>43</v>
      </c>
    </row>
    <row r="1745">
      <c r="A1745" s="0" t="inlineStr">
        <is>
          <t xml:space="preserve">random_08_LAUR</t>
        </is>
      </c>
      <c r="B1745" s="0" t="inlineStr">
        <is>
          <t xml:space="preserve">random_08</t>
        </is>
      </c>
      <c r="C1745" s="0" t="inlineStr">
        <is>
          <t xml:space="preserve">d20260923</t>
        </is>
      </c>
      <c r="D1745" s="0" t="inlineStr">
        <is>
          <t xml:space="preserve">LAUR</t>
        </is>
      </c>
      <c r="E1745" s="0" t="inlineStr">
        <is>
          <t xml:space="preserve">consumer_defensive</t>
        </is>
      </c>
      <c r="F1745" s="4">
        <v>44</v>
      </c>
    </row>
    <row r="1746">
      <c r="A1746" s="0" t="inlineStr">
        <is>
          <t xml:space="preserve">random_08_ACI</t>
        </is>
      </c>
      <c r="B1746" s="0" t="inlineStr">
        <is>
          <t xml:space="preserve">random_08</t>
        </is>
      </c>
      <c r="C1746" s="0" t="inlineStr">
        <is>
          <t xml:space="preserve">d20260923</t>
        </is>
      </c>
      <c r="D1746" s="0" t="inlineStr">
        <is>
          <t xml:space="preserve">ACI</t>
        </is>
      </c>
      <c r="E1746" s="0" t="inlineStr">
        <is>
          <t xml:space="preserve">consumer_defensive</t>
        </is>
      </c>
      <c r="F1746" s="4">
        <v>45</v>
      </c>
    </row>
    <row r="1747">
      <c r="A1747" s="0" t="inlineStr">
        <is>
          <t xml:space="preserve">random_08_VC</t>
        </is>
      </c>
      <c r="B1747" s="0" t="inlineStr">
        <is>
          <t xml:space="preserve">random_08</t>
        </is>
      </c>
      <c r="C1747" s="0" t="inlineStr">
        <is>
          <t xml:space="preserve">d20260923</t>
        </is>
      </c>
      <c r="D1747" s="0" t="inlineStr">
        <is>
          <t xml:space="preserve">VC</t>
        </is>
      </c>
      <c r="E1747" s="0" t="inlineStr">
        <is>
          <t xml:space="preserve">consumer_cyclical</t>
        </is>
      </c>
      <c r="F1747" s="4">
        <v>46</v>
      </c>
    </row>
    <row r="1748">
      <c r="A1748" s="0" t="inlineStr">
        <is>
          <t xml:space="preserve">random_08_MSTR</t>
        </is>
      </c>
      <c r="B1748" s="0" t="inlineStr">
        <is>
          <t xml:space="preserve">random_08</t>
        </is>
      </c>
      <c r="C1748" s="0" t="inlineStr">
        <is>
          <t xml:space="preserve">d20260923</t>
        </is>
      </c>
      <c r="D1748" s="0" t="inlineStr">
        <is>
          <t xml:space="preserve">MSTR</t>
        </is>
      </c>
      <c r="E1748" s="0" t="inlineStr">
        <is>
          <t xml:space="preserve">technology</t>
        </is>
      </c>
      <c r="F1748" s="4">
        <v>47</v>
      </c>
    </row>
    <row r="1749">
      <c r="A1749" s="0" t="inlineStr">
        <is>
          <t xml:space="preserve">random_08_MAC</t>
        </is>
      </c>
      <c r="B1749" s="0" t="inlineStr">
        <is>
          <t xml:space="preserve">random_08</t>
        </is>
      </c>
      <c r="C1749" s="0" t="inlineStr">
        <is>
          <t xml:space="preserve">d20260923</t>
        </is>
      </c>
      <c r="D1749" s="0" t="inlineStr">
        <is>
          <t xml:space="preserve">MAC</t>
        </is>
      </c>
      <c r="E1749" s="0" t="inlineStr">
        <is>
          <t xml:space="preserve">real_estate</t>
        </is>
      </c>
      <c r="F1749" s="4">
        <v>48</v>
      </c>
    </row>
    <row r="1750">
      <c r="A1750" s="0" t="inlineStr">
        <is>
          <t xml:space="preserve">random_08_MMSI</t>
        </is>
      </c>
      <c r="B1750" s="0" t="inlineStr">
        <is>
          <t xml:space="preserve">random_08</t>
        </is>
      </c>
      <c r="C1750" s="0" t="inlineStr">
        <is>
          <t xml:space="preserve">d20260923</t>
        </is>
      </c>
      <c r="D1750" s="0" t="inlineStr">
        <is>
          <t xml:space="preserve">MMSI</t>
        </is>
      </c>
      <c r="E1750" s="0" t="inlineStr">
        <is>
          <t xml:space="preserve">healthcare</t>
        </is>
      </c>
      <c r="F1750" s="4">
        <v>49</v>
      </c>
    </row>
    <row r="1751">
      <c r="A1751" s="0" t="inlineStr">
        <is>
          <t xml:space="preserve">random_08_ELAN</t>
        </is>
      </c>
      <c r="B1751" s="0" t="inlineStr">
        <is>
          <t xml:space="preserve">random_08</t>
        </is>
      </c>
      <c r="C1751" s="0" t="inlineStr">
        <is>
          <t xml:space="preserve">d20260923</t>
        </is>
      </c>
      <c r="D1751" s="0" t="inlineStr">
        <is>
          <t xml:space="preserve">ELAN</t>
        </is>
      </c>
      <c r="E1751" s="0" t="inlineStr">
        <is>
          <t xml:space="preserve">healthcare</t>
        </is>
      </c>
      <c r="F1751" s="4">
        <v>50</v>
      </c>
    </row>
    <row r="1752">
      <c r="A1752" s="0" t="inlineStr">
        <is>
          <t xml:space="preserve">random_08_ONDS</t>
        </is>
      </c>
      <c r="B1752" s="0" t="inlineStr">
        <is>
          <t xml:space="preserve">random_08</t>
        </is>
      </c>
      <c r="C1752" s="0" t="inlineStr">
        <is>
          <t xml:space="preserve">d20260923</t>
        </is>
      </c>
      <c r="D1752" s="0" t="inlineStr">
        <is>
          <t xml:space="preserve">ONDS</t>
        </is>
      </c>
      <c r="E1752" s="0" t="inlineStr">
        <is>
          <t xml:space="preserve">technology</t>
        </is>
      </c>
      <c r="F1752" s="4">
        <v>51</v>
      </c>
    </row>
    <row r="1753">
      <c r="A1753" s="0" t="inlineStr">
        <is>
          <t xml:space="preserve">random_08_CCI</t>
        </is>
      </c>
      <c r="B1753" s="0" t="inlineStr">
        <is>
          <t xml:space="preserve">random_08</t>
        </is>
      </c>
      <c r="C1753" s="0" t="inlineStr">
        <is>
          <t xml:space="preserve">d20260923</t>
        </is>
      </c>
      <c r="D1753" s="0" t="inlineStr">
        <is>
          <t xml:space="preserve">CCI</t>
        </is>
      </c>
      <c r="E1753" s="0" t="inlineStr">
        <is>
          <t xml:space="preserve">real_estate</t>
        </is>
      </c>
      <c r="F1753" s="4">
        <v>52</v>
      </c>
    </row>
    <row r="1754">
      <c r="A1754" s="0" t="inlineStr">
        <is>
          <t xml:space="preserve">random_08_EEFT</t>
        </is>
      </c>
      <c r="B1754" s="0" t="inlineStr">
        <is>
          <t xml:space="preserve">random_08</t>
        </is>
      </c>
      <c r="C1754" s="0" t="inlineStr">
        <is>
          <t xml:space="preserve">d20260923</t>
        </is>
      </c>
      <c r="D1754" s="0" t="inlineStr">
        <is>
          <t xml:space="preserve">EEFT</t>
        </is>
      </c>
      <c r="E1754" s="0" t="inlineStr">
        <is>
          <t xml:space="preserve">technology</t>
        </is>
      </c>
      <c r="F1754" s="4">
        <v>53</v>
      </c>
    </row>
    <row r="1755">
      <c r="A1755" s="0" t="inlineStr">
        <is>
          <t xml:space="preserve">random_08_IMVT</t>
        </is>
      </c>
      <c r="B1755" s="0" t="inlineStr">
        <is>
          <t xml:space="preserve">random_08</t>
        </is>
      </c>
      <c r="C1755" s="0" t="inlineStr">
        <is>
          <t xml:space="preserve">d20260923</t>
        </is>
      </c>
      <c r="D1755" s="0" t="inlineStr">
        <is>
          <t xml:space="preserve">IMVT</t>
        </is>
      </c>
      <c r="E1755" s="0" t="inlineStr">
        <is>
          <t xml:space="preserve">healthcare</t>
        </is>
      </c>
      <c r="F1755" s="4">
        <v>54</v>
      </c>
    </row>
    <row r="1756">
      <c r="A1756" s="0" t="inlineStr">
        <is>
          <t xml:space="preserve">random_08_HTGC</t>
        </is>
      </c>
      <c r="B1756" s="0" t="inlineStr">
        <is>
          <t xml:space="preserve">random_08</t>
        </is>
      </c>
      <c r="C1756" s="0" t="inlineStr">
        <is>
          <t xml:space="preserve">d20260923</t>
        </is>
      </c>
      <c r="D1756" s="0" t="inlineStr">
        <is>
          <t xml:space="preserve">HTGC</t>
        </is>
      </c>
      <c r="E1756" s="0" t="inlineStr">
        <is>
          <t xml:space="preserve">financial_services</t>
        </is>
      </c>
      <c r="F1756" s="4">
        <v>55</v>
      </c>
    </row>
    <row r="1757">
      <c r="A1757" s="0" t="inlineStr">
        <is>
          <t xml:space="preserve">random_08_ROK</t>
        </is>
      </c>
      <c r="B1757" s="0" t="inlineStr">
        <is>
          <t xml:space="preserve">random_08</t>
        </is>
      </c>
      <c r="C1757" s="0" t="inlineStr">
        <is>
          <t xml:space="preserve">d20260923</t>
        </is>
      </c>
      <c r="D1757" s="0" t="inlineStr">
        <is>
          <t xml:space="preserve">ROK</t>
        </is>
      </c>
      <c r="E1757" s="0" t="inlineStr">
        <is>
          <t xml:space="preserve">industrials</t>
        </is>
      </c>
      <c r="F1757" s="4">
        <v>56</v>
      </c>
    </row>
    <row r="1758">
      <c r="A1758" s="0" t="inlineStr">
        <is>
          <t xml:space="preserve">random_08_ILMN</t>
        </is>
      </c>
      <c r="B1758" s="0" t="inlineStr">
        <is>
          <t xml:space="preserve">random_08</t>
        </is>
      </c>
      <c r="C1758" s="0" t="inlineStr">
        <is>
          <t xml:space="preserve">d20260923</t>
        </is>
      </c>
      <c r="D1758" s="0" t="inlineStr">
        <is>
          <t xml:space="preserve">ILMN</t>
        </is>
      </c>
      <c r="E1758" s="0" t="inlineStr">
        <is>
          <t xml:space="preserve">healthcare</t>
        </is>
      </c>
      <c r="F1758" s="4">
        <v>57</v>
      </c>
    </row>
    <row r="1759">
      <c r="A1759" s="0" t="inlineStr">
        <is>
          <t xml:space="preserve">random_08_MSM</t>
        </is>
      </c>
      <c r="B1759" s="0" t="inlineStr">
        <is>
          <t xml:space="preserve">random_08</t>
        </is>
      </c>
      <c r="C1759" s="0" t="inlineStr">
        <is>
          <t xml:space="preserve">d20260923</t>
        </is>
      </c>
      <c r="D1759" s="0" t="inlineStr">
        <is>
          <t xml:space="preserve">MSM</t>
        </is>
      </c>
      <c r="E1759" s="0" t="inlineStr">
        <is>
          <t xml:space="preserve">industrials</t>
        </is>
      </c>
      <c r="F1759" s="4">
        <v>58</v>
      </c>
    </row>
    <row r="1760">
      <c r="A1760" s="0" t="inlineStr">
        <is>
          <t xml:space="preserve">random_08_IMNM</t>
        </is>
      </c>
      <c r="B1760" s="0" t="inlineStr">
        <is>
          <t xml:space="preserve">random_08</t>
        </is>
      </c>
      <c r="C1760" s="0" t="inlineStr">
        <is>
          <t xml:space="preserve">d20260923</t>
        </is>
      </c>
      <c r="D1760" s="0" t="inlineStr">
        <is>
          <t xml:space="preserve">IMNM</t>
        </is>
      </c>
      <c r="E1760" s="0" t="inlineStr">
        <is>
          <t xml:space="preserve">healthcare</t>
        </is>
      </c>
      <c r="F1760" s="4">
        <v>59</v>
      </c>
    </row>
    <row r="1761">
      <c r="A1761" s="0" t="inlineStr">
        <is>
          <t xml:space="preserve">random_08_CBZ</t>
        </is>
      </c>
      <c r="B1761" s="0" t="inlineStr">
        <is>
          <t xml:space="preserve">random_08</t>
        </is>
      </c>
      <c r="C1761" s="0" t="inlineStr">
        <is>
          <t xml:space="preserve">d20260923</t>
        </is>
      </c>
      <c r="D1761" s="0" t="inlineStr">
        <is>
          <t xml:space="preserve">CBZ</t>
        </is>
      </c>
      <c r="E1761" s="0" t="inlineStr">
        <is>
          <t xml:space="preserve">industrials</t>
        </is>
      </c>
      <c r="F1761" s="4">
        <v>60</v>
      </c>
    </row>
    <row r="1762">
      <c r="A1762" s="0" t="inlineStr">
        <is>
          <t xml:space="preserve">random_08_NWBI</t>
        </is>
      </c>
      <c r="B1762" s="0" t="inlineStr">
        <is>
          <t xml:space="preserve">random_08</t>
        </is>
      </c>
      <c r="C1762" s="0" t="inlineStr">
        <is>
          <t xml:space="preserve">d20260923</t>
        </is>
      </c>
      <c r="D1762" s="0" t="inlineStr">
        <is>
          <t xml:space="preserve">NWBI</t>
        </is>
      </c>
      <c r="E1762" s="0" t="inlineStr">
        <is>
          <t xml:space="preserve">financial_services</t>
        </is>
      </c>
      <c r="F1762" s="4">
        <v>61</v>
      </c>
    </row>
    <row r="1763">
      <c r="A1763" s="0" t="inlineStr">
        <is>
          <t xml:space="preserve">random_08_FANG</t>
        </is>
      </c>
      <c r="B1763" s="0" t="inlineStr">
        <is>
          <t xml:space="preserve">random_08</t>
        </is>
      </c>
      <c r="C1763" s="0" t="inlineStr">
        <is>
          <t xml:space="preserve">d20260923</t>
        </is>
      </c>
      <c r="D1763" s="0" t="inlineStr">
        <is>
          <t xml:space="preserve">FANG</t>
        </is>
      </c>
      <c r="E1763" s="0" t="inlineStr">
        <is>
          <t xml:space="preserve">energy</t>
        </is>
      </c>
      <c r="F1763" s="4">
        <v>62</v>
      </c>
    </row>
    <row r="1764">
      <c r="A1764" s="0" t="inlineStr">
        <is>
          <t xml:space="preserve">random_08_CMC</t>
        </is>
      </c>
      <c r="B1764" s="0" t="inlineStr">
        <is>
          <t xml:space="preserve">random_08</t>
        </is>
      </c>
      <c r="C1764" s="0" t="inlineStr">
        <is>
          <t xml:space="preserve">d20260923</t>
        </is>
      </c>
      <c r="D1764" s="0" t="inlineStr">
        <is>
          <t xml:space="preserve">CMC</t>
        </is>
      </c>
      <c r="E1764" s="0" t="inlineStr">
        <is>
          <t xml:space="preserve">basic_materials</t>
        </is>
      </c>
      <c r="F1764" s="4">
        <v>63</v>
      </c>
    </row>
    <row r="1765">
      <c r="A1765" s="0" t="inlineStr">
        <is>
          <t xml:space="preserve">random_08_FLUT</t>
        </is>
      </c>
      <c r="B1765" s="0" t="inlineStr">
        <is>
          <t xml:space="preserve">random_08</t>
        </is>
      </c>
      <c r="C1765" s="0" t="inlineStr">
        <is>
          <t xml:space="preserve">d20260923</t>
        </is>
      </c>
      <c r="D1765" s="0" t="inlineStr">
        <is>
          <t xml:space="preserve">FLUT</t>
        </is>
      </c>
      <c r="E1765" s="0" t="inlineStr">
        <is>
          <t xml:space="preserve">consumer_cyclical</t>
        </is>
      </c>
      <c r="F1765" s="4">
        <v>64</v>
      </c>
    </row>
    <row r="1766">
      <c r="A1766" s="0" t="inlineStr">
        <is>
          <t xml:space="preserve">random_08_CIEN</t>
        </is>
      </c>
      <c r="B1766" s="0" t="inlineStr">
        <is>
          <t xml:space="preserve">random_08</t>
        </is>
      </c>
      <c r="C1766" s="0" t="inlineStr">
        <is>
          <t xml:space="preserve">d20260923</t>
        </is>
      </c>
      <c r="D1766" s="0" t="inlineStr">
        <is>
          <t xml:space="preserve">CIEN</t>
        </is>
      </c>
      <c r="E1766" s="0" t="inlineStr">
        <is>
          <t xml:space="preserve">technology</t>
        </is>
      </c>
      <c r="F1766" s="4">
        <v>65</v>
      </c>
    </row>
    <row r="1767">
      <c r="A1767" s="0" t="inlineStr">
        <is>
          <t xml:space="preserve">random_08_QLYS</t>
        </is>
      </c>
      <c r="B1767" s="0" t="inlineStr">
        <is>
          <t xml:space="preserve">random_08</t>
        </is>
      </c>
      <c r="C1767" s="0" t="inlineStr">
        <is>
          <t xml:space="preserve">d20260923</t>
        </is>
      </c>
      <c r="D1767" s="0" t="inlineStr">
        <is>
          <t xml:space="preserve">QLYS</t>
        </is>
      </c>
      <c r="E1767" s="0" t="inlineStr">
        <is>
          <t xml:space="preserve">technology</t>
        </is>
      </c>
      <c r="F1767" s="4">
        <v>66</v>
      </c>
    </row>
    <row r="1768">
      <c r="A1768" s="0" t="inlineStr">
        <is>
          <t xml:space="preserve">random_08_REYN</t>
        </is>
      </c>
      <c r="B1768" s="0" t="inlineStr">
        <is>
          <t xml:space="preserve">random_08</t>
        </is>
      </c>
      <c r="C1768" s="0" t="inlineStr">
        <is>
          <t xml:space="preserve">d20260923</t>
        </is>
      </c>
      <c r="D1768" s="0" t="inlineStr">
        <is>
          <t xml:space="preserve">REYN</t>
        </is>
      </c>
      <c r="E1768" s="0" t="inlineStr">
        <is>
          <t xml:space="preserve">consumer_defensive</t>
        </is>
      </c>
      <c r="F1768" s="4">
        <v>67</v>
      </c>
    </row>
    <row r="1769">
      <c r="A1769" s="0" t="inlineStr">
        <is>
          <t xml:space="preserve">random_08_F</t>
        </is>
      </c>
      <c r="B1769" s="0" t="inlineStr">
        <is>
          <t xml:space="preserve">random_08</t>
        </is>
      </c>
      <c r="C1769" s="0" t="inlineStr">
        <is>
          <t xml:space="preserve">d20260923</t>
        </is>
      </c>
      <c r="D1769" s="0" t="inlineStr">
        <is>
          <t xml:space="preserve">F</t>
        </is>
      </c>
      <c r="E1769" s="0" t="inlineStr">
        <is>
          <t xml:space="preserve">consumer_cyclical</t>
        </is>
      </c>
      <c r="F1769" s="4">
        <v>68</v>
      </c>
    </row>
    <row r="1770">
      <c r="A1770" s="0" t="inlineStr">
        <is>
          <t xml:space="preserve">random_08_TBBK</t>
        </is>
      </c>
      <c r="B1770" s="0" t="inlineStr">
        <is>
          <t xml:space="preserve">random_08</t>
        </is>
      </c>
      <c r="C1770" s="0" t="inlineStr">
        <is>
          <t xml:space="preserve">d20260923</t>
        </is>
      </c>
      <c r="D1770" s="0" t="inlineStr">
        <is>
          <t xml:space="preserve">TBBK</t>
        </is>
      </c>
      <c r="E1770" s="0" t="inlineStr">
        <is>
          <t xml:space="preserve">financial_services</t>
        </is>
      </c>
      <c r="F1770" s="4">
        <v>69</v>
      </c>
    </row>
    <row r="1771">
      <c r="A1771" s="0" t="inlineStr">
        <is>
          <t xml:space="preserve">random_08_NATL</t>
        </is>
      </c>
      <c r="B1771" s="0" t="inlineStr">
        <is>
          <t xml:space="preserve">random_08</t>
        </is>
      </c>
      <c r="C1771" s="0" t="inlineStr">
        <is>
          <t xml:space="preserve">d20260923</t>
        </is>
      </c>
      <c r="D1771" s="0" t="inlineStr">
        <is>
          <t xml:space="preserve">NATL</t>
        </is>
      </c>
      <c r="E1771" s="0" t="inlineStr">
        <is>
          <t xml:space="preserve">technology</t>
        </is>
      </c>
      <c r="F1771" s="4">
        <v>70</v>
      </c>
    </row>
    <row r="1772">
      <c r="A1772" s="0" t="inlineStr">
        <is>
          <t xml:space="preserve">random_08_NDAQ</t>
        </is>
      </c>
      <c r="B1772" s="0" t="inlineStr">
        <is>
          <t xml:space="preserve">random_08</t>
        </is>
      </c>
      <c r="C1772" s="0" t="inlineStr">
        <is>
          <t xml:space="preserve">d20260923</t>
        </is>
      </c>
      <c r="D1772" s="0" t="inlineStr">
        <is>
          <t xml:space="preserve">NDAQ</t>
        </is>
      </c>
      <c r="E1772" s="0" t="inlineStr">
        <is>
          <t xml:space="preserve">financial_services</t>
        </is>
      </c>
      <c r="F1772" s="4">
        <v>71</v>
      </c>
    </row>
    <row r="1773">
      <c r="A1773" s="0" t="inlineStr">
        <is>
          <t xml:space="preserve">random_08_AGCO</t>
        </is>
      </c>
      <c r="B1773" s="0" t="inlineStr">
        <is>
          <t xml:space="preserve">random_08</t>
        </is>
      </c>
      <c r="C1773" s="0" t="inlineStr">
        <is>
          <t xml:space="preserve">d20260923</t>
        </is>
      </c>
      <c r="D1773" s="0" t="inlineStr">
        <is>
          <t xml:space="preserve">AGCO</t>
        </is>
      </c>
      <c r="E1773" s="0" t="inlineStr">
        <is>
          <t xml:space="preserve">industrials</t>
        </is>
      </c>
      <c r="F1773" s="4">
        <v>72</v>
      </c>
    </row>
    <row r="1774">
      <c r="A1774" s="0" t="inlineStr">
        <is>
          <t xml:space="preserve">random_08_PSA</t>
        </is>
      </c>
      <c r="B1774" s="0" t="inlineStr">
        <is>
          <t xml:space="preserve">random_08</t>
        </is>
      </c>
      <c r="C1774" s="0" t="inlineStr">
        <is>
          <t xml:space="preserve">d20260923</t>
        </is>
      </c>
      <c r="D1774" s="0" t="inlineStr">
        <is>
          <t xml:space="preserve">PSA</t>
        </is>
      </c>
      <c r="E1774" s="0" t="inlineStr">
        <is>
          <t xml:space="preserve">real_estate</t>
        </is>
      </c>
      <c r="F1774" s="4">
        <v>73</v>
      </c>
    </row>
    <row r="1775">
      <c r="A1775" s="0" t="inlineStr">
        <is>
          <t xml:space="preserve">random_08_ATMU</t>
        </is>
      </c>
      <c r="B1775" s="0" t="inlineStr">
        <is>
          <t xml:space="preserve">random_08</t>
        </is>
      </c>
      <c r="C1775" s="0" t="inlineStr">
        <is>
          <t xml:space="preserve">d20260923</t>
        </is>
      </c>
      <c r="D1775" s="0" t="inlineStr">
        <is>
          <t xml:space="preserve">ATMU</t>
        </is>
      </c>
      <c r="E1775" s="0" t="inlineStr">
        <is>
          <t xml:space="preserve">consumer_cyclical</t>
        </is>
      </c>
      <c r="F1775" s="4">
        <v>74</v>
      </c>
    </row>
    <row r="1776">
      <c r="A1776" s="0" t="inlineStr">
        <is>
          <t xml:space="preserve">random_08_NIQ</t>
        </is>
      </c>
      <c r="B1776" s="0" t="inlineStr">
        <is>
          <t xml:space="preserve">random_08</t>
        </is>
      </c>
      <c r="C1776" s="0" t="inlineStr">
        <is>
          <t xml:space="preserve">d20260923</t>
        </is>
      </c>
      <c r="D1776" s="0" t="inlineStr">
        <is>
          <t xml:space="preserve">NIQ</t>
        </is>
      </c>
      <c r="E1776" s="0" t="inlineStr">
        <is>
          <t xml:space="preserve">technology</t>
        </is>
      </c>
      <c r="F1776" s="4">
        <v>75</v>
      </c>
    </row>
    <row r="1777">
      <c r="A1777" s="0" t="inlineStr">
        <is>
          <t xml:space="preserve">random_08_COLB</t>
        </is>
      </c>
      <c r="B1777" s="0" t="inlineStr">
        <is>
          <t xml:space="preserve">random_08</t>
        </is>
      </c>
      <c r="C1777" s="0" t="inlineStr">
        <is>
          <t xml:space="preserve">d20260923</t>
        </is>
      </c>
      <c r="D1777" s="0" t="inlineStr">
        <is>
          <t xml:space="preserve">COLB</t>
        </is>
      </c>
      <c r="E1777" s="0" t="inlineStr">
        <is>
          <t xml:space="preserve">financial_services</t>
        </is>
      </c>
      <c r="F1777" s="4">
        <v>76</v>
      </c>
    </row>
    <row r="1778">
      <c r="A1778" s="0" t="inlineStr">
        <is>
          <t xml:space="preserve">random_08_EXLS</t>
        </is>
      </c>
      <c r="B1778" s="0" t="inlineStr">
        <is>
          <t xml:space="preserve">random_08</t>
        </is>
      </c>
      <c r="C1778" s="0" t="inlineStr">
        <is>
          <t xml:space="preserve">d20260923</t>
        </is>
      </c>
      <c r="D1778" s="0" t="inlineStr">
        <is>
          <t xml:space="preserve">EXLS</t>
        </is>
      </c>
      <c r="E1778" s="0" t="inlineStr">
        <is>
          <t xml:space="preserve">technology</t>
        </is>
      </c>
      <c r="F1778" s="4">
        <v>77</v>
      </c>
    </row>
    <row r="1779">
      <c r="A1779" s="0" t="inlineStr">
        <is>
          <t xml:space="preserve">random_08_SUN</t>
        </is>
      </c>
      <c r="B1779" s="0" t="inlineStr">
        <is>
          <t xml:space="preserve">random_08</t>
        </is>
      </c>
      <c r="C1779" s="0" t="inlineStr">
        <is>
          <t xml:space="preserve">d20260923</t>
        </is>
      </c>
      <c r="D1779" s="0" t="inlineStr">
        <is>
          <t xml:space="preserve">SUN</t>
        </is>
      </c>
      <c r="E1779" s="0" t="inlineStr">
        <is>
          <t xml:space="preserve">energy</t>
        </is>
      </c>
      <c r="F1779" s="4">
        <v>78</v>
      </c>
    </row>
    <row r="1780">
      <c r="A1780" s="0" t="inlineStr">
        <is>
          <t xml:space="preserve">random_08_VOYA</t>
        </is>
      </c>
      <c r="B1780" s="0" t="inlineStr">
        <is>
          <t xml:space="preserve">random_08</t>
        </is>
      </c>
      <c r="C1780" s="0" t="inlineStr">
        <is>
          <t xml:space="preserve">d20260923</t>
        </is>
      </c>
      <c r="D1780" s="0" t="inlineStr">
        <is>
          <t xml:space="preserve">VOYA</t>
        </is>
      </c>
      <c r="E1780" s="0" t="inlineStr">
        <is>
          <t xml:space="preserve">financial_services</t>
        </is>
      </c>
      <c r="F1780" s="4">
        <v>79</v>
      </c>
    </row>
    <row r="1781">
      <c r="A1781" s="0" t="inlineStr">
        <is>
          <t xml:space="preserve">random_08_SYRE</t>
        </is>
      </c>
      <c r="B1781" s="0" t="inlineStr">
        <is>
          <t xml:space="preserve">random_08</t>
        </is>
      </c>
      <c r="C1781" s="0" t="inlineStr">
        <is>
          <t xml:space="preserve">d20260923</t>
        </is>
      </c>
      <c r="D1781" s="0" t="inlineStr">
        <is>
          <t xml:space="preserve">SYRE</t>
        </is>
      </c>
      <c r="E1781" s="0" t="inlineStr">
        <is>
          <t xml:space="preserve">healthcare</t>
        </is>
      </c>
      <c r="F1781" s="4">
        <v>80</v>
      </c>
    </row>
    <row r="1782">
      <c r="A1782" s="0" t="inlineStr">
        <is>
          <t xml:space="preserve">random_08_SJM</t>
        </is>
      </c>
      <c r="B1782" s="0" t="inlineStr">
        <is>
          <t xml:space="preserve">random_08</t>
        </is>
      </c>
      <c r="C1782" s="0" t="inlineStr">
        <is>
          <t xml:space="preserve">d20260923</t>
        </is>
      </c>
      <c r="D1782" s="0" t="inlineStr">
        <is>
          <t xml:space="preserve">SJM</t>
        </is>
      </c>
      <c r="E1782" s="0" t="inlineStr">
        <is>
          <t xml:space="preserve">consumer_defensive</t>
        </is>
      </c>
      <c r="F1782" s="4">
        <v>81</v>
      </c>
    </row>
    <row r="1783">
      <c r="A1783" s="0" t="inlineStr">
        <is>
          <t xml:space="preserve">random_08_YUM</t>
        </is>
      </c>
      <c r="B1783" s="0" t="inlineStr">
        <is>
          <t xml:space="preserve">random_08</t>
        </is>
      </c>
      <c r="C1783" s="0" t="inlineStr">
        <is>
          <t xml:space="preserve">d20260923</t>
        </is>
      </c>
      <c r="D1783" s="0" t="inlineStr">
        <is>
          <t xml:space="preserve">YUM</t>
        </is>
      </c>
      <c r="E1783" s="0" t="inlineStr">
        <is>
          <t xml:space="preserve">consumer_cyclical</t>
        </is>
      </c>
      <c r="F1783" s="4">
        <v>82</v>
      </c>
    </row>
    <row r="1784">
      <c r="A1784" s="0" t="inlineStr">
        <is>
          <t xml:space="preserve">random_08_LB</t>
        </is>
      </c>
      <c r="B1784" s="0" t="inlineStr">
        <is>
          <t xml:space="preserve">random_08</t>
        </is>
      </c>
      <c r="C1784" s="0" t="inlineStr">
        <is>
          <t xml:space="preserve">d20260923</t>
        </is>
      </c>
      <c r="D1784" s="0" t="inlineStr">
        <is>
          <t xml:space="preserve">LB</t>
        </is>
      </c>
      <c r="E1784" s="0" t="inlineStr">
        <is>
          <t xml:space="preserve">energy</t>
        </is>
      </c>
      <c r="F1784" s="4">
        <v>83</v>
      </c>
    </row>
    <row r="1785">
      <c r="A1785" s="0" t="inlineStr">
        <is>
          <t xml:space="preserve">random_08_GPC</t>
        </is>
      </c>
      <c r="B1785" s="0" t="inlineStr">
        <is>
          <t xml:space="preserve">random_08</t>
        </is>
      </c>
      <c r="C1785" s="0" t="inlineStr">
        <is>
          <t xml:space="preserve">d20260923</t>
        </is>
      </c>
      <c r="D1785" s="0" t="inlineStr">
        <is>
          <t xml:space="preserve">GPC</t>
        </is>
      </c>
      <c r="E1785" s="0" t="inlineStr">
        <is>
          <t xml:space="preserve">consumer_cyclical</t>
        </is>
      </c>
      <c r="F1785" s="4">
        <v>84</v>
      </c>
    </row>
    <row r="1786">
      <c r="A1786" s="0" t="inlineStr">
        <is>
          <t xml:space="preserve">random_08_VICR</t>
        </is>
      </c>
      <c r="B1786" s="0" t="inlineStr">
        <is>
          <t xml:space="preserve">random_08</t>
        </is>
      </c>
      <c r="C1786" s="0" t="inlineStr">
        <is>
          <t xml:space="preserve">d20260923</t>
        </is>
      </c>
      <c r="D1786" s="0" t="inlineStr">
        <is>
          <t xml:space="preserve">VICR</t>
        </is>
      </c>
      <c r="E1786" s="0" t="inlineStr">
        <is>
          <t xml:space="preserve">technology</t>
        </is>
      </c>
      <c r="F1786" s="4">
        <v>85</v>
      </c>
    </row>
    <row r="1787">
      <c r="A1787" s="0" t="inlineStr">
        <is>
          <t xml:space="preserve">random_08_MGY</t>
        </is>
      </c>
      <c r="B1787" s="0" t="inlineStr">
        <is>
          <t xml:space="preserve">random_08</t>
        </is>
      </c>
      <c r="C1787" s="0" t="inlineStr">
        <is>
          <t xml:space="preserve">d20260923</t>
        </is>
      </c>
      <c r="D1787" s="0" t="inlineStr">
        <is>
          <t xml:space="preserve">MGY</t>
        </is>
      </c>
      <c r="E1787" s="0" t="inlineStr">
        <is>
          <t xml:space="preserve">energy</t>
        </is>
      </c>
      <c r="F1787" s="4">
        <v>86</v>
      </c>
    </row>
    <row r="1788">
      <c r="A1788" s="0" t="inlineStr">
        <is>
          <t xml:space="preserve">random_08_MTH</t>
        </is>
      </c>
      <c r="B1788" s="0" t="inlineStr">
        <is>
          <t xml:space="preserve">random_08</t>
        </is>
      </c>
      <c r="C1788" s="0" t="inlineStr">
        <is>
          <t xml:space="preserve">d20260923</t>
        </is>
      </c>
      <c r="D1788" s="0" t="inlineStr">
        <is>
          <t xml:space="preserve">MTH</t>
        </is>
      </c>
      <c r="E1788" s="0" t="inlineStr">
        <is>
          <t xml:space="preserve">consumer_cyclical</t>
        </is>
      </c>
      <c r="F1788" s="4">
        <v>87</v>
      </c>
    </row>
    <row r="1789">
      <c r="A1789" s="0" t="inlineStr">
        <is>
          <t xml:space="preserve">random_08_MTG</t>
        </is>
      </c>
      <c r="B1789" s="0" t="inlineStr">
        <is>
          <t xml:space="preserve">random_08</t>
        </is>
      </c>
      <c r="C1789" s="0" t="inlineStr">
        <is>
          <t xml:space="preserve">d20260923</t>
        </is>
      </c>
      <c r="D1789" s="0" t="inlineStr">
        <is>
          <t xml:space="preserve">MTG</t>
        </is>
      </c>
      <c r="E1789" s="0" t="inlineStr">
        <is>
          <t xml:space="preserve">financial_services</t>
        </is>
      </c>
      <c r="F1789" s="4">
        <v>88</v>
      </c>
    </row>
    <row r="1790">
      <c r="A1790" s="0" t="inlineStr">
        <is>
          <t xml:space="preserve">random_08_VRT</t>
        </is>
      </c>
      <c r="B1790" s="0" t="inlineStr">
        <is>
          <t xml:space="preserve">random_08</t>
        </is>
      </c>
      <c r="C1790" s="0" t="inlineStr">
        <is>
          <t xml:space="preserve">d20260923</t>
        </is>
      </c>
      <c r="D1790" s="0" t="inlineStr">
        <is>
          <t xml:space="preserve">VRT</t>
        </is>
      </c>
      <c r="E1790" s="0" t="inlineStr">
        <is>
          <t xml:space="preserve">industrials</t>
        </is>
      </c>
      <c r="F1790" s="4">
        <v>89</v>
      </c>
    </row>
    <row r="1791">
      <c r="A1791" s="0" t="inlineStr">
        <is>
          <t xml:space="preserve">random_08_RPM</t>
        </is>
      </c>
      <c r="B1791" s="0" t="inlineStr">
        <is>
          <t xml:space="preserve">random_08</t>
        </is>
      </c>
      <c r="C1791" s="0" t="inlineStr">
        <is>
          <t xml:space="preserve">d20260923</t>
        </is>
      </c>
      <c r="D1791" s="0" t="inlineStr">
        <is>
          <t xml:space="preserve">RPM</t>
        </is>
      </c>
      <c r="E1791" s="0" t="inlineStr">
        <is>
          <t xml:space="preserve">basic_materials</t>
        </is>
      </c>
      <c r="F1791" s="4">
        <v>90</v>
      </c>
    </row>
    <row r="1792">
      <c r="A1792" s="0" t="inlineStr">
        <is>
          <t xml:space="preserve">random_08_AUR</t>
        </is>
      </c>
      <c r="B1792" s="0" t="inlineStr">
        <is>
          <t xml:space="preserve">random_08</t>
        </is>
      </c>
      <c r="C1792" s="0" t="inlineStr">
        <is>
          <t xml:space="preserve">d20260923</t>
        </is>
      </c>
      <c r="D1792" s="0" t="inlineStr">
        <is>
          <t xml:space="preserve">AUR</t>
        </is>
      </c>
      <c r="E1792" s="0" t="inlineStr">
        <is>
          <t xml:space="preserve">technology</t>
        </is>
      </c>
      <c r="F1792" s="4">
        <v>91</v>
      </c>
    </row>
    <row r="1793">
      <c r="A1793" s="0" t="inlineStr">
        <is>
          <t xml:space="preserve">random_08_RNST</t>
        </is>
      </c>
      <c r="B1793" s="0" t="inlineStr">
        <is>
          <t xml:space="preserve">random_08</t>
        </is>
      </c>
      <c r="C1793" s="0" t="inlineStr">
        <is>
          <t xml:space="preserve">d20260923</t>
        </is>
      </c>
      <c r="D1793" s="0" t="inlineStr">
        <is>
          <t xml:space="preserve">RNST</t>
        </is>
      </c>
      <c r="E1793" s="0" t="inlineStr">
        <is>
          <t xml:space="preserve">financial_services</t>
        </is>
      </c>
      <c r="F1793" s="4">
        <v>92</v>
      </c>
    </row>
    <row r="1794">
      <c r="A1794" s="0" t="inlineStr">
        <is>
          <t xml:space="preserve">random_08_DG</t>
        </is>
      </c>
      <c r="B1794" s="0" t="inlineStr">
        <is>
          <t xml:space="preserve">random_08</t>
        </is>
      </c>
      <c r="C1794" s="0" t="inlineStr">
        <is>
          <t xml:space="preserve">d20260923</t>
        </is>
      </c>
      <c r="D1794" s="0" t="inlineStr">
        <is>
          <t xml:space="preserve">DG</t>
        </is>
      </c>
      <c r="E1794" s="0" t="inlineStr">
        <is>
          <t xml:space="preserve">consumer_defensive</t>
        </is>
      </c>
      <c r="F1794" s="4">
        <v>93</v>
      </c>
    </row>
    <row r="1795">
      <c r="A1795" s="0" t="inlineStr">
        <is>
          <t xml:space="preserve">random_08_FWONK</t>
        </is>
      </c>
      <c r="B1795" s="0" t="inlineStr">
        <is>
          <t xml:space="preserve">random_08</t>
        </is>
      </c>
      <c r="C1795" s="0" t="inlineStr">
        <is>
          <t xml:space="preserve">d20260923</t>
        </is>
      </c>
      <c r="D1795" s="0" t="inlineStr">
        <is>
          <t xml:space="preserve">FWONK</t>
        </is>
      </c>
      <c r="E1795" s="0" t="inlineStr">
        <is>
          <t xml:space="preserve">communication_services</t>
        </is>
      </c>
      <c r="F1795" s="4">
        <v>94</v>
      </c>
    </row>
    <row r="1796">
      <c r="A1796" s="0" t="inlineStr">
        <is>
          <t xml:space="preserve">random_08_FRT</t>
        </is>
      </c>
      <c r="B1796" s="0" t="inlineStr">
        <is>
          <t xml:space="preserve">random_08</t>
        </is>
      </c>
      <c r="C1796" s="0" t="inlineStr">
        <is>
          <t xml:space="preserve">d20260923</t>
        </is>
      </c>
      <c r="D1796" s="0" t="inlineStr">
        <is>
          <t xml:space="preserve">FRT</t>
        </is>
      </c>
      <c r="E1796" s="0" t="inlineStr">
        <is>
          <t xml:space="preserve">real_estate</t>
        </is>
      </c>
      <c r="F1796" s="4">
        <v>95</v>
      </c>
    </row>
    <row r="1797">
      <c r="A1797" s="0" t="inlineStr">
        <is>
          <t xml:space="preserve">random_08_HL</t>
        </is>
      </c>
      <c r="B1797" s="0" t="inlineStr">
        <is>
          <t xml:space="preserve">random_08</t>
        </is>
      </c>
      <c r="C1797" s="0" t="inlineStr">
        <is>
          <t xml:space="preserve">d20260923</t>
        </is>
      </c>
      <c r="D1797" s="0" t="inlineStr">
        <is>
          <t xml:space="preserve">HL</t>
        </is>
      </c>
      <c r="E1797" s="0" t="inlineStr">
        <is>
          <t xml:space="preserve">basic_materials</t>
        </is>
      </c>
      <c r="F1797" s="4">
        <v>96</v>
      </c>
    </row>
    <row r="1798">
      <c r="A1798" s="0" t="inlineStr">
        <is>
          <t xml:space="preserve">random_08_MCO</t>
        </is>
      </c>
      <c r="B1798" s="0" t="inlineStr">
        <is>
          <t xml:space="preserve">random_08</t>
        </is>
      </c>
      <c r="C1798" s="0" t="inlineStr">
        <is>
          <t xml:space="preserve">d20260923</t>
        </is>
      </c>
      <c r="D1798" s="0" t="inlineStr">
        <is>
          <t xml:space="preserve">MCO</t>
        </is>
      </c>
      <c r="E1798" s="0" t="inlineStr">
        <is>
          <t xml:space="preserve">financial_services</t>
        </is>
      </c>
      <c r="F1798" s="4">
        <v>97</v>
      </c>
    </row>
    <row r="1799">
      <c r="A1799" s="0" t="inlineStr">
        <is>
          <t xml:space="preserve">random_08_CF</t>
        </is>
      </c>
      <c r="B1799" s="0" t="inlineStr">
        <is>
          <t xml:space="preserve">random_08</t>
        </is>
      </c>
      <c r="C1799" s="0" t="inlineStr">
        <is>
          <t xml:space="preserve">d20260923</t>
        </is>
      </c>
      <c r="D1799" s="0" t="inlineStr">
        <is>
          <t xml:space="preserve">CF</t>
        </is>
      </c>
      <c r="E1799" s="0" t="inlineStr">
        <is>
          <t xml:space="preserve">basic_materials</t>
        </is>
      </c>
      <c r="F1799" s="4">
        <v>98</v>
      </c>
    </row>
    <row r="1800">
      <c r="A1800" s="0" t="inlineStr">
        <is>
          <t xml:space="preserve">random_08_AEIS</t>
        </is>
      </c>
      <c r="B1800" s="0" t="inlineStr">
        <is>
          <t xml:space="preserve">random_08</t>
        </is>
      </c>
      <c r="C1800" s="0" t="inlineStr">
        <is>
          <t xml:space="preserve">d20260923</t>
        </is>
      </c>
      <c r="D1800" s="0" t="inlineStr">
        <is>
          <t xml:space="preserve">AEIS</t>
        </is>
      </c>
      <c r="E1800" s="0" t="inlineStr">
        <is>
          <t xml:space="preserve">technology</t>
        </is>
      </c>
      <c r="F1800" s="4">
        <v>99</v>
      </c>
    </row>
    <row r="1801">
      <c r="A1801" s="0" t="inlineStr">
        <is>
          <t xml:space="preserve">random_08_APPN</t>
        </is>
      </c>
      <c r="B1801" s="0" t="inlineStr">
        <is>
          <t xml:space="preserve">random_08</t>
        </is>
      </c>
      <c r="C1801" s="0" t="inlineStr">
        <is>
          <t xml:space="preserve">d20260923</t>
        </is>
      </c>
      <c r="D1801" s="0" t="inlineStr">
        <is>
          <t xml:space="preserve">APPN</t>
        </is>
      </c>
      <c r="E1801" s="0" t="inlineStr">
        <is>
          <t xml:space="preserve">technology</t>
        </is>
      </c>
      <c r="F1801" s="4">
        <v>100</v>
      </c>
    </row>
    <row r="1802">
      <c r="A1802" s="0" t="inlineStr">
        <is>
          <t xml:space="preserve">random_09_TRN</t>
        </is>
      </c>
      <c r="B1802" s="0" t="inlineStr">
        <is>
          <t xml:space="preserve">random_09</t>
        </is>
      </c>
      <c r="C1802" s="0" t="inlineStr">
        <is>
          <t xml:space="preserve">d20260923</t>
        </is>
      </c>
      <c r="D1802" s="0" t="inlineStr">
        <is>
          <t xml:space="preserve">TRN</t>
        </is>
      </c>
      <c r="E1802" s="0" t="inlineStr">
        <is>
          <t xml:space="preserve">industrials</t>
        </is>
      </c>
      <c r="F1802" s="4">
        <v>1</v>
      </c>
    </row>
    <row r="1803">
      <c r="A1803" s="0" t="inlineStr">
        <is>
          <t xml:space="preserve">random_09_WEX</t>
        </is>
      </c>
      <c r="B1803" s="0" t="inlineStr">
        <is>
          <t xml:space="preserve">random_09</t>
        </is>
      </c>
      <c r="C1803" s="0" t="inlineStr">
        <is>
          <t xml:space="preserve">d20260923</t>
        </is>
      </c>
      <c r="D1803" s="0" t="inlineStr">
        <is>
          <t xml:space="preserve">WEX</t>
        </is>
      </c>
      <c r="E1803" s="0" t="inlineStr">
        <is>
          <t xml:space="preserve">technology</t>
        </is>
      </c>
      <c r="F1803" s="4">
        <v>2</v>
      </c>
    </row>
    <row r="1804">
      <c r="A1804" s="0" t="inlineStr">
        <is>
          <t xml:space="preserve">random_09_LITE</t>
        </is>
      </c>
      <c r="B1804" s="0" t="inlineStr">
        <is>
          <t xml:space="preserve">random_09</t>
        </is>
      </c>
      <c r="C1804" s="0" t="inlineStr">
        <is>
          <t xml:space="preserve">d20260923</t>
        </is>
      </c>
      <c r="D1804" s="0" t="inlineStr">
        <is>
          <t xml:space="preserve">LITE</t>
        </is>
      </c>
      <c r="E1804" s="0" t="inlineStr">
        <is>
          <t xml:space="preserve">technology</t>
        </is>
      </c>
      <c r="F1804" s="4">
        <v>3</v>
      </c>
    </row>
    <row r="1805">
      <c r="A1805" s="0" t="inlineStr">
        <is>
          <t xml:space="preserve">random_09_ZBRA</t>
        </is>
      </c>
      <c r="B1805" s="0" t="inlineStr">
        <is>
          <t xml:space="preserve">random_09</t>
        </is>
      </c>
      <c r="C1805" s="0" t="inlineStr">
        <is>
          <t xml:space="preserve">d20260923</t>
        </is>
      </c>
      <c r="D1805" s="0" t="inlineStr">
        <is>
          <t xml:space="preserve">ZBRA</t>
        </is>
      </c>
      <c r="E1805" s="0" t="inlineStr">
        <is>
          <t xml:space="preserve">technology</t>
        </is>
      </c>
      <c r="F1805" s="4">
        <v>4</v>
      </c>
    </row>
    <row r="1806">
      <c r="A1806" s="0" t="inlineStr">
        <is>
          <t xml:space="preserve">random_09_VRNS</t>
        </is>
      </c>
      <c r="B1806" s="0" t="inlineStr">
        <is>
          <t xml:space="preserve">random_09</t>
        </is>
      </c>
      <c r="C1806" s="0" t="inlineStr">
        <is>
          <t xml:space="preserve">d20260923</t>
        </is>
      </c>
      <c r="D1806" s="0" t="inlineStr">
        <is>
          <t xml:space="preserve">VRNS</t>
        </is>
      </c>
      <c r="E1806" s="0" t="inlineStr">
        <is>
          <t xml:space="preserve">technology</t>
        </is>
      </c>
      <c r="F1806" s="4">
        <v>5</v>
      </c>
    </row>
    <row r="1807">
      <c r="A1807" s="0" t="inlineStr">
        <is>
          <t xml:space="preserve">random_09_ISRG</t>
        </is>
      </c>
      <c r="B1807" s="0" t="inlineStr">
        <is>
          <t xml:space="preserve">random_09</t>
        </is>
      </c>
      <c r="C1807" s="0" t="inlineStr">
        <is>
          <t xml:space="preserve">d20260923</t>
        </is>
      </c>
      <c r="D1807" s="0" t="inlineStr">
        <is>
          <t xml:space="preserve">ISRG</t>
        </is>
      </c>
      <c r="E1807" s="0" t="inlineStr">
        <is>
          <t xml:space="preserve">healthcare</t>
        </is>
      </c>
      <c r="F1807" s="4">
        <v>6</v>
      </c>
    </row>
    <row r="1808">
      <c r="A1808" s="0" t="inlineStr">
        <is>
          <t xml:space="preserve">random_09_SUPN</t>
        </is>
      </c>
      <c r="B1808" s="0" t="inlineStr">
        <is>
          <t xml:space="preserve">random_09</t>
        </is>
      </c>
      <c r="C1808" s="0" t="inlineStr">
        <is>
          <t xml:space="preserve">d20260923</t>
        </is>
      </c>
      <c r="D1808" s="0" t="inlineStr">
        <is>
          <t xml:space="preserve">SUPN</t>
        </is>
      </c>
      <c r="E1808" s="0" t="inlineStr">
        <is>
          <t xml:space="preserve">healthcare</t>
        </is>
      </c>
      <c r="F1808" s="4">
        <v>7</v>
      </c>
    </row>
    <row r="1809">
      <c r="A1809" s="0" t="inlineStr">
        <is>
          <t xml:space="preserve">random_09_IQV</t>
        </is>
      </c>
      <c r="B1809" s="0" t="inlineStr">
        <is>
          <t xml:space="preserve">random_09</t>
        </is>
      </c>
      <c r="C1809" s="0" t="inlineStr">
        <is>
          <t xml:space="preserve">d20260923</t>
        </is>
      </c>
      <c r="D1809" s="0" t="inlineStr">
        <is>
          <t xml:space="preserve">IQV</t>
        </is>
      </c>
      <c r="E1809" s="0" t="inlineStr">
        <is>
          <t xml:space="preserve">healthcare</t>
        </is>
      </c>
      <c r="F1809" s="4">
        <v>8</v>
      </c>
    </row>
    <row r="1810">
      <c r="A1810" s="0" t="inlineStr">
        <is>
          <t xml:space="preserve">random_09_FA</t>
        </is>
      </c>
      <c r="B1810" s="0" t="inlineStr">
        <is>
          <t xml:space="preserve">random_09</t>
        </is>
      </c>
      <c r="C1810" s="0" t="inlineStr">
        <is>
          <t xml:space="preserve">d20260923</t>
        </is>
      </c>
      <c r="D1810" s="0" t="inlineStr">
        <is>
          <t xml:space="preserve">FA</t>
        </is>
      </c>
      <c r="E1810" s="0" t="inlineStr">
        <is>
          <t xml:space="preserve">industrials</t>
        </is>
      </c>
      <c r="F1810" s="4">
        <v>9</v>
      </c>
    </row>
    <row r="1811">
      <c r="A1811" s="0" t="inlineStr">
        <is>
          <t xml:space="preserve">random_09_BETA</t>
        </is>
      </c>
      <c r="B1811" s="0" t="inlineStr">
        <is>
          <t xml:space="preserve">random_09</t>
        </is>
      </c>
      <c r="C1811" s="0" t="inlineStr">
        <is>
          <t xml:space="preserve">d20260923</t>
        </is>
      </c>
      <c r="D1811" s="0" t="inlineStr">
        <is>
          <t xml:space="preserve">BETA</t>
        </is>
      </c>
      <c r="E1811" s="0" t="inlineStr">
        <is>
          <t xml:space="preserve">industrials</t>
        </is>
      </c>
      <c r="F1811" s="4">
        <v>10</v>
      </c>
    </row>
    <row r="1812">
      <c r="A1812" s="0" t="inlineStr">
        <is>
          <t xml:space="preserve">random_09_SYK</t>
        </is>
      </c>
      <c r="B1812" s="0" t="inlineStr">
        <is>
          <t xml:space="preserve">random_09</t>
        </is>
      </c>
      <c r="C1812" s="0" t="inlineStr">
        <is>
          <t xml:space="preserve">d20260923</t>
        </is>
      </c>
      <c r="D1812" s="0" t="inlineStr">
        <is>
          <t xml:space="preserve">SYK</t>
        </is>
      </c>
      <c r="E1812" s="0" t="inlineStr">
        <is>
          <t xml:space="preserve">healthcare</t>
        </is>
      </c>
      <c r="F1812" s="4">
        <v>11</v>
      </c>
    </row>
    <row r="1813">
      <c r="A1813" s="0" t="inlineStr">
        <is>
          <t xml:space="preserve">random_09_BFAM</t>
        </is>
      </c>
      <c r="B1813" s="0" t="inlineStr">
        <is>
          <t xml:space="preserve">random_09</t>
        </is>
      </c>
      <c r="C1813" s="0" t="inlineStr">
        <is>
          <t xml:space="preserve">d20260923</t>
        </is>
      </c>
      <c r="D1813" s="0" t="inlineStr">
        <is>
          <t xml:space="preserve">BFAM</t>
        </is>
      </c>
      <c r="E1813" s="0" t="inlineStr">
        <is>
          <t xml:space="preserve">industrials</t>
        </is>
      </c>
      <c r="F1813" s="4">
        <v>12</v>
      </c>
    </row>
    <row r="1814">
      <c r="A1814" s="0" t="inlineStr">
        <is>
          <t xml:space="preserve">random_09_SUNB</t>
        </is>
      </c>
      <c r="B1814" s="0" t="inlineStr">
        <is>
          <t xml:space="preserve">random_09</t>
        </is>
      </c>
      <c r="C1814" s="0" t="inlineStr">
        <is>
          <t xml:space="preserve">d20260923</t>
        </is>
      </c>
      <c r="D1814" s="0" t="inlineStr">
        <is>
          <t xml:space="preserve">SUNB</t>
        </is>
      </c>
      <c r="E1814" s="0" t="inlineStr">
        <is>
          <t xml:space="preserve">industrials</t>
        </is>
      </c>
      <c r="F1814" s="4">
        <v>13</v>
      </c>
    </row>
    <row r="1815">
      <c r="A1815" s="0" t="inlineStr">
        <is>
          <t xml:space="preserve">random_09_AWI</t>
        </is>
      </c>
      <c r="B1815" s="0" t="inlineStr">
        <is>
          <t xml:space="preserve">random_09</t>
        </is>
      </c>
      <c r="C1815" s="0" t="inlineStr">
        <is>
          <t xml:space="preserve">d20260923</t>
        </is>
      </c>
      <c r="D1815" s="0" t="inlineStr">
        <is>
          <t xml:space="preserve">AWI</t>
        </is>
      </c>
      <c r="E1815" s="0" t="inlineStr">
        <is>
          <t xml:space="preserve">basic_materials</t>
        </is>
      </c>
      <c r="F1815" s="4">
        <v>14</v>
      </c>
    </row>
    <row r="1816">
      <c r="A1816" s="0" t="inlineStr">
        <is>
          <t xml:space="preserve">random_09_PEG</t>
        </is>
      </c>
      <c r="B1816" s="0" t="inlineStr">
        <is>
          <t xml:space="preserve">random_09</t>
        </is>
      </c>
      <c r="C1816" s="0" t="inlineStr">
        <is>
          <t xml:space="preserve">d20260923</t>
        </is>
      </c>
      <c r="D1816" s="0" t="inlineStr">
        <is>
          <t xml:space="preserve">PEG</t>
        </is>
      </c>
      <c r="E1816" s="0" t="inlineStr">
        <is>
          <t xml:space="preserve">utilities</t>
        </is>
      </c>
      <c r="F1816" s="4">
        <v>15</v>
      </c>
    </row>
    <row r="1817">
      <c r="A1817" s="0" t="inlineStr">
        <is>
          <t xml:space="preserve">random_09_SRE</t>
        </is>
      </c>
      <c r="B1817" s="0" t="inlineStr">
        <is>
          <t xml:space="preserve">random_09</t>
        </is>
      </c>
      <c r="C1817" s="0" t="inlineStr">
        <is>
          <t xml:space="preserve">d20260923</t>
        </is>
      </c>
      <c r="D1817" s="0" t="inlineStr">
        <is>
          <t xml:space="preserve">SRE</t>
        </is>
      </c>
      <c r="E1817" s="0" t="inlineStr">
        <is>
          <t xml:space="preserve">utilities</t>
        </is>
      </c>
      <c r="F1817" s="4">
        <v>16</v>
      </c>
    </row>
    <row r="1818">
      <c r="A1818" s="0" t="inlineStr">
        <is>
          <t xml:space="preserve">random_09_GOOG</t>
        </is>
      </c>
      <c r="B1818" s="0" t="inlineStr">
        <is>
          <t xml:space="preserve">random_09</t>
        </is>
      </c>
      <c r="C1818" s="0" t="inlineStr">
        <is>
          <t xml:space="preserve">d20260923</t>
        </is>
      </c>
      <c r="D1818" s="0" t="inlineStr">
        <is>
          <t xml:space="preserve">GOOG</t>
        </is>
      </c>
      <c r="E1818" s="0" t="inlineStr">
        <is>
          <t xml:space="preserve">communication_services</t>
        </is>
      </c>
      <c r="F1818" s="4">
        <v>17</v>
      </c>
    </row>
    <row r="1819">
      <c r="A1819" s="0" t="inlineStr">
        <is>
          <t xml:space="preserve">random_09_RVMD</t>
        </is>
      </c>
      <c r="B1819" s="0" t="inlineStr">
        <is>
          <t xml:space="preserve">random_09</t>
        </is>
      </c>
      <c r="C1819" s="0" t="inlineStr">
        <is>
          <t xml:space="preserve">d20260923</t>
        </is>
      </c>
      <c r="D1819" s="0" t="inlineStr">
        <is>
          <t xml:space="preserve">RVMD</t>
        </is>
      </c>
      <c r="E1819" s="0" t="inlineStr">
        <is>
          <t xml:space="preserve">healthcare</t>
        </is>
      </c>
      <c r="F1819" s="4">
        <v>18</v>
      </c>
    </row>
    <row r="1820">
      <c r="A1820" s="0" t="inlineStr">
        <is>
          <t xml:space="preserve">random_09_MRSH</t>
        </is>
      </c>
      <c r="B1820" s="0" t="inlineStr">
        <is>
          <t xml:space="preserve">random_09</t>
        </is>
      </c>
      <c r="C1820" s="0" t="inlineStr">
        <is>
          <t xml:space="preserve">d20260923</t>
        </is>
      </c>
      <c r="D1820" s="0" t="inlineStr">
        <is>
          <t xml:space="preserve">MRSH</t>
        </is>
      </c>
      <c r="E1820" s="0" t="inlineStr">
        <is>
          <t xml:space="preserve">financial_services</t>
        </is>
      </c>
      <c r="F1820" s="4">
        <v>19</v>
      </c>
    </row>
    <row r="1821">
      <c r="A1821" s="0" t="inlineStr">
        <is>
          <t xml:space="preserve">random_09_MOD</t>
        </is>
      </c>
      <c r="B1821" s="0" t="inlineStr">
        <is>
          <t xml:space="preserve">random_09</t>
        </is>
      </c>
      <c r="C1821" s="0" t="inlineStr">
        <is>
          <t xml:space="preserve">d20260923</t>
        </is>
      </c>
      <c r="D1821" s="0" t="inlineStr">
        <is>
          <t xml:space="preserve">MOD</t>
        </is>
      </c>
      <c r="E1821" s="0" t="inlineStr">
        <is>
          <t xml:space="preserve">industrials</t>
        </is>
      </c>
      <c r="F1821" s="4">
        <v>20</v>
      </c>
    </row>
    <row r="1822">
      <c r="A1822" s="0" t="inlineStr">
        <is>
          <t xml:space="preserve">random_09_CECO</t>
        </is>
      </c>
      <c r="B1822" s="0" t="inlineStr">
        <is>
          <t xml:space="preserve">random_09</t>
        </is>
      </c>
      <c r="C1822" s="0" t="inlineStr">
        <is>
          <t xml:space="preserve">d20260923</t>
        </is>
      </c>
      <c r="D1822" s="0" t="inlineStr">
        <is>
          <t xml:space="preserve">CECO</t>
        </is>
      </c>
      <c r="E1822" s="0" t="inlineStr">
        <is>
          <t xml:space="preserve">industrials</t>
        </is>
      </c>
      <c r="F1822" s="4">
        <v>21</v>
      </c>
    </row>
    <row r="1823">
      <c r="A1823" s="0" t="inlineStr">
        <is>
          <t xml:space="preserve">random_09_KNTK</t>
        </is>
      </c>
      <c r="B1823" s="0" t="inlineStr">
        <is>
          <t xml:space="preserve">random_09</t>
        </is>
      </c>
      <c r="C1823" s="0" t="inlineStr">
        <is>
          <t xml:space="preserve">d20260923</t>
        </is>
      </c>
      <c r="D1823" s="0" t="inlineStr">
        <is>
          <t xml:space="preserve">KNTK</t>
        </is>
      </c>
      <c r="E1823" s="0" t="inlineStr">
        <is>
          <t xml:space="preserve">energy</t>
        </is>
      </c>
      <c r="F1823" s="4">
        <v>22</v>
      </c>
    </row>
    <row r="1824">
      <c r="A1824" s="0" t="inlineStr">
        <is>
          <t xml:space="preserve">random_09_IMVT</t>
        </is>
      </c>
      <c r="B1824" s="0" t="inlineStr">
        <is>
          <t xml:space="preserve">random_09</t>
        </is>
      </c>
      <c r="C1824" s="0" t="inlineStr">
        <is>
          <t xml:space="preserve">d20260923</t>
        </is>
      </c>
      <c r="D1824" s="0" t="inlineStr">
        <is>
          <t xml:space="preserve">IMVT</t>
        </is>
      </c>
      <c r="E1824" s="0" t="inlineStr">
        <is>
          <t xml:space="preserve">healthcare</t>
        </is>
      </c>
      <c r="F1824" s="4">
        <v>23</v>
      </c>
    </row>
    <row r="1825">
      <c r="A1825" s="0" t="inlineStr">
        <is>
          <t xml:space="preserve">random_09_VIA</t>
        </is>
      </c>
      <c r="B1825" s="0" t="inlineStr">
        <is>
          <t xml:space="preserve">random_09</t>
        </is>
      </c>
      <c r="C1825" s="0" t="inlineStr">
        <is>
          <t xml:space="preserve">d20260923</t>
        </is>
      </c>
      <c r="D1825" s="0" t="inlineStr">
        <is>
          <t xml:space="preserve">VIA</t>
        </is>
      </c>
      <c r="E1825" s="0" t="inlineStr">
        <is>
          <t xml:space="preserve">technology</t>
        </is>
      </c>
      <c r="F1825" s="4">
        <v>24</v>
      </c>
    </row>
    <row r="1826">
      <c r="A1826" s="0" t="inlineStr">
        <is>
          <t xml:space="preserve">random_09_BRKR</t>
        </is>
      </c>
      <c r="B1826" s="0" t="inlineStr">
        <is>
          <t xml:space="preserve">random_09</t>
        </is>
      </c>
      <c r="C1826" s="0" t="inlineStr">
        <is>
          <t xml:space="preserve">d20260923</t>
        </is>
      </c>
      <c r="D1826" s="0" t="inlineStr">
        <is>
          <t xml:space="preserve">BRKR</t>
        </is>
      </c>
      <c r="E1826" s="0" t="inlineStr">
        <is>
          <t xml:space="preserve">healthcare</t>
        </is>
      </c>
      <c r="F1826" s="4">
        <v>25</v>
      </c>
    </row>
    <row r="1827">
      <c r="A1827" s="0" t="inlineStr">
        <is>
          <t xml:space="preserve">random_09_ORLY</t>
        </is>
      </c>
      <c r="B1827" s="0" t="inlineStr">
        <is>
          <t xml:space="preserve">random_09</t>
        </is>
      </c>
      <c r="C1827" s="0" t="inlineStr">
        <is>
          <t xml:space="preserve">d20260923</t>
        </is>
      </c>
      <c r="D1827" s="0" t="inlineStr">
        <is>
          <t xml:space="preserve">ORLY</t>
        </is>
      </c>
      <c r="E1827" s="0" t="inlineStr">
        <is>
          <t xml:space="preserve">consumer_cyclical</t>
        </is>
      </c>
      <c r="F1827" s="4">
        <v>26</v>
      </c>
    </row>
    <row r="1828">
      <c r="A1828" s="0" t="inlineStr">
        <is>
          <t xml:space="preserve">random_09_AEP</t>
        </is>
      </c>
      <c r="B1828" s="0" t="inlineStr">
        <is>
          <t xml:space="preserve">random_09</t>
        </is>
      </c>
      <c r="C1828" s="0" t="inlineStr">
        <is>
          <t xml:space="preserve">d20260923</t>
        </is>
      </c>
      <c r="D1828" s="0" t="inlineStr">
        <is>
          <t xml:space="preserve">AEP</t>
        </is>
      </c>
      <c r="E1828" s="0" t="inlineStr">
        <is>
          <t xml:space="preserve">utilities</t>
        </is>
      </c>
      <c r="F1828" s="4">
        <v>27</v>
      </c>
    </row>
    <row r="1829">
      <c r="A1829" s="0" t="inlineStr">
        <is>
          <t xml:space="preserve">random_09_STUB</t>
        </is>
      </c>
      <c r="B1829" s="0" t="inlineStr">
        <is>
          <t xml:space="preserve">random_09</t>
        </is>
      </c>
      <c r="C1829" s="0" t="inlineStr">
        <is>
          <t xml:space="preserve">d20260923</t>
        </is>
      </c>
      <c r="D1829" s="0" t="inlineStr">
        <is>
          <t xml:space="preserve">STUB</t>
        </is>
      </c>
      <c r="E1829" s="0" t="inlineStr">
        <is>
          <t xml:space="preserve">communication_services</t>
        </is>
      </c>
      <c r="F1829" s="4">
        <v>28</v>
      </c>
    </row>
    <row r="1830">
      <c r="A1830" s="0" t="inlineStr">
        <is>
          <t xml:space="preserve">random_09_ERAS</t>
        </is>
      </c>
      <c r="B1830" s="0" t="inlineStr">
        <is>
          <t xml:space="preserve">random_09</t>
        </is>
      </c>
      <c r="C1830" s="0" t="inlineStr">
        <is>
          <t xml:space="preserve">d20260923</t>
        </is>
      </c>
      <c r="D1830" s="0" t="inlineStr">
        <is>
          <t xml:space="preserve">ERAS</t>
        </is>
      </c>
      <c r="E1830" s="0" t="inlineStr">
        <is>
          <t xml:space="preserve">healthcare</t>
        </is>
      </c>
      <c r="F1830" s="4">
        <v>29</v>
      </c>
    </row>
    <row r="1831">
      <c r="A1831" s="0" t="inlineStr">
        <is>
          <t xml:space="preserve">random_09_AME</t>
        </is>
      </c>
      <c r="B1831" s="0" t="inlineStr">
        <is>
          <t xml:space="preserve">random_09</t>
        </is>
      </c>
      <c r="C1831" s="0" t="inlineStr">
        <is>
          <t xml:space="preserve">d20260923</t>
        </is>
      </c>
      <c r="D1831" s="0" t="inlineStr">
        <is>
          <t xml:space="preserve">AME</t>
        </is>
      </c>
      <c r="E1831" s="0" t="inlineStr">
        <is>
          <t xml:space="preserve">industrials</t>
        </is>
      </c>
      <c r="F1831" s="4">
        <v>30</v>
      </c>
    </row>
    <row r="1832">
      <c r="A1832" s="0" t="inlineStr">
        <is>
          <t xml:space="preserve">random_09_QCOM</t>
        </is>
      </c>
      <c r="B1832" s="0" t="inlineStr">
        <is>
          <t xml:space="preserve">random_09</t>
        </is>
      </c>
      <c r="C1832" s="0" t="inlineStr">
        <is>
          <t xml:space="preserve">d20260923</t>
        </is>
      </c>
      <c r="D1832" s="0" t="inlineStr">
        <is>
          <t xml:space="preserve">QCOM</t>
        </is>
      </c>
      <c r="E1832" s="0" t="inlineStr">
        <is>
          <t xml:space="preserve">technology</t>
        </is>
      </c>
      <c r="F1832" s="4">
        <v>31</v>
      </c>
    </row>
    <row r="1833">
      <c r="A1833" s="0" t="inlineStr">
        <is>
          <t xml:space="preserve">random_09_HST</t>
        </is>
      </c>
      <c r="B1833" s="0" t="inlineStr">
        <is>
          <t xml:space="preserve">random_09</t>
        </is>
      </c>
      <c r="C1833" s="0" t="inlineStr">
        <is>
          <t xml:space="preserve">d20260923</t>
        </is>
      </c>
      <c r="D1833" s="0" t="inlineStr">
        <is>
          <t xml:space="preserve">HST</t>
        </is>
      </c>
      <c r="E1833" s="0" t="inlineStr">
        <is>
          <t xml:space="preserve">real_estate</t>
        </is>
      </c>
      <c r="F1833" s="4">
        <v>32</v>
      </c>
    </row>
    <row r="1834">
      <c r="A1834" s="0" t="inlineStr">
        <is>
          <t xml:space="preserve">random_09_OUST</t>
        </is>
      </c>
      <c r="B1834" s="0" t="inlineStr">
        <is>
          <t xml:space="preserve">random_09</t>
        </is>
      </c>
      <c r="C1834" s="0" t="inlineStr">
        <is>
          <t xml:space="preserve">d20260923</t>
        </is>
      </c>
      <c r="D1834" s="0" t="inlineStr">
        <is>
          <t xml:space="preserve">OUST</t>
        </is>
      </c>
      <c r="E1834" s="0" t="inlineStr">
        <is>
          <t xml:space="preserve">technology</t>
        </is>
      </c>
      <c r="F1834" s="4">
        <v>33</v>
      </c>
    </row>
    <row r="1835">
      <c r="A1835" s="0" t="inlineStr">
        <is>
          <t xml:space="preserve">random_09_AVY</t>
        </is>
      </c>
      <c r="B1835" s="0" t="inlineStr">
        <is>
          <t xml:space="preserve">random_09</t>
        </is>
      </c>
      <c r="C1835" s="0" t="inlineStr">
        <is>
          <t xml:space="preserve">d20260923</t>
        </is>
      </c>
      <c r="D1835" s="0" t="inlineStr">
        <is>
          <t xml:space="preserve">AVY</t>
        </is>
      </c>
      <c r="E1835" s="0" t="inlineStr">
        <is>
          <t xml:space="preserve">consumer_cyclical</t>
        </is>
      </c>
      <c r="F1835" s="4">
        <v>34</v>
      </c>
    </row>
    <row r="1836">
      <c r="A1836" s="0" t="inlineStr">
        <is>
          <t xml:space="preserve">random_09_PATH</t>
        </is>
      </c>
      <c r="B1836" s="0" t="inlineStr">
        <is>
          <t xml:space="preserve">random_09</t>
        </is>
      </c>
      <c r="C1836" s="0" t="inlineStr">
        <is>
          <t xml:space="preserve">d20260923</t>
        </is>
      </c>
      <c r="D1836" s="0" t="inlineStr">
        <is>
          <t xml:space="preserve">PATH</t>
        </is>
      </c>
      <c r="E1836" s="0" t="inlineStr">
        <is>
          <t xml:space="preserve">technology</t>
        </is>
      </c>
      <c r="F1836" s="4">
        <v>35</v>
      </c>
    </row>
    <row r="1837">
      <c r="A1837" s="0" t="inlineStr">
        <is>
          <t xml:space="preserve">random_09_VCTR</t>
        </is>
      </c>
      <c r="B1837" s="0" t="inlineStr">
        <is>
          <t xml:space="preserve">random_09</t>
        </is>
      </c>
      <c r="C1837" s="0" t="inlineStr">
        <is>
          <t xml:space="preserve">d20260923</t>
        </is>
      </c>
      <c r="D1837" s="0" t="inlineStr">
        <is>
          <t xml:space="preserve">VCTR</t>
        </is>
      </c>
      <c r="E1837" s="0" t="inlineStr">
        <is>
          <t xml:space="preserve">financial_services</t>
        </is>
      </c>
      <c r="F1837" s="4">
        <v>36</v>
      </c>
    </row>
    <row r="1838">
      <c r="A1838" s="0" t="inlineStr">
        <is>
          <t xml:space="preserve">random_09_WAT</t>
        </is>
      </c>
      <c r="B1838" s="0" t="inlineStr">
        <is>
          <t xml:space="preserve">random_09</t>
        </is>
      </c>
      <c r="C1838" s="0" t="inlineStr">
        <is>
          <t xml:space="preserve">d20260923</t>
        </is>
      </c>
      <c r="D1838" s="0" t="inlineStr">
        <is>
          <t xml:space="preserve">WAT</t>
        </is>
      </c>
      <c r="E1838" s="0" t="inlineStr">
        <is>
          <t xml:space="preserve">healthcare</t>
        </is>
      </c>
      <c r="F1838" s="4">
        <v>37</v>
      </c>
    </row>
    <row r="1839">
      <c r="A1839" s="0" t="inlineStr">
        <is>
          <t xml:space="preserve">random_09_GEN</t>
        </is>
      </c>
      <c r="B1839" s="0" t="inlineStr">
        <is>
          <t xml:space="preserve">random_09</t>
        </is>
      </c>
      <c r="C1839" s="0" t="inlineStr">
        <is>
          <t xml:space="preserve">d20260923</t>
        </is>
      </c>
      <c r="D1839" s="0" t="inlineStr">
        <is>
          <t xml:space="preserve">GEN</t>
        </is>
      </c>
      <c r="E1839" s="0" t="inlineStr">
        <is>
          <t xml:space="preserve">technology</t>
        </is>
      </c>
      <c r="F1839" s="4">
        <v>38</v>
      </c>
    </row>
    <row r="1840">
      <c r="A1840" s="0" t="inlineStr">
        <is>
          <t xml:space="preserve">random_09_USAC</t>
        </is>
      </c>
      <c r="B1840" s="0" t="inlineStr">
        <is>
          <t xml:space="preserve">random_09</t>
        </is>
      </c>
      <c r="C1840" s="0" t="inlineStr">
        <is>
          <t xml:space="preserve">d20260923</t>
        </is>
      </c>
      <c r="D1840" s="0" t="inlineStr">
        <is>
          <t xml:space="preserve">USAC</t>
        </is>
      </c>
      <c r="E1840" s="0" t="inlineStr">
        <is>
          <t xml:space="preserve">energy</t>
        </is>
      </c>
      <c r="F1840" s="4">
        <v>39</v>
      </c>
    </row>
    <row r="1841">
      <c r="A1841" s="0" t="inlineStr">
        <is>
          <t xml:space="preserve">random_09_CBC</t>
        </is>
      </c>
      <c r="B1841" s="0" t="inlineStr">
        <is>
          <t xml:space="preserve">random_09</t>
        </is>
      </c>
      <c r="C1841" s="0" t="inlineStr">
        <is>
          <t xml:space="preserve">d20260923</t>
        </is>
      </c>
      <c r="D1841" s="0" t="inlineStr">
        <is>
          <t xml:space="preserve">CBC</t>
        </is>
      </c>
      <c r="E1841" s="0" t="inlineStr">
        <is>
          <t xml:space="preserve">financial_services</t>
        </is>
      </c>
      <c r="F1841" s="4">
        <v>40</v>
      </c>
    </row>
    <row r="1842">
      <c r="A1842" s="0" t="inlineStr">
        <is>
          <t xml:space="preserve">random_09_APH</t>
        </is>
      </c>
      <c r="B1842" s="0" t="inlineStr">
        <is>
          <t xml:space="preserve">random_09</t>
        </is>
      </c>
      <c r="C1842" s="0" t="inlineStr">
        <is>
          <t xml:space="preserve">d20260923</t>
        </is>
      </c>
      <c r="D1842" s="0" t="inlineStr">
        <is>
          <t xml:space="preserve">APH</t>
        </is>
      </c>
      <c r="E1842" s="0" t="inlineStr">
        <is>
          <t xml:space="preserve">technology</t>
        </is>
      </c>
      <c r="F1842" s="4">
        <v>41</v>
      </c>
    </row>
    <row r="1843">
      <c r="A1843" s="0" t="inlineStr">
        <is>
          <t xml:space="preserve">random_09_VIRT</t>
        </is>
      </c>
      <c r="B1843" s="0" t="inlineStr">
        <is>
          <t xml:space="preserve">random_09</t>
        </is>
      </c>
      <c r="C1843" s="0" t="inlineStr">
        <is>
          <t xml:space="preserve">d20260923</t>
        </is>
      </c>
      <c r="D1843" s="0" t="inlineStr">
        <is>
          <t xml:space="preserve">VIRT</t>
        </is>
      </c>
      <c r="E1843" s="0" t="inlineStr">
        <is>
          <t xml:space="preserve">financial_services</t>
        </is>
      </c>
      <c r="F1843" s="4">
        <v>42</v>
      </c>
    </row>
    <row r="1844">
      <c r="A1844" s="0" t="inlineStr">
        <is>
          <t xml:space="preserve">random_09_CL</t>
        </is>
      </c>
      <c r="B1844" s="0" t="inlineStr">
        <is>
          <t xml:space="preserve">random_09</t>
        </is>
      </c>
      <c r="C1844" s="0" t="inlineStr">
        <is>
          <t xml:space="preserve">d20260923</t>
        </is>
      </c>
      <c r="D1844" s="0" t="inlineStr">
        <is>
          <t xml:space="preserve">CL</t>
        </is>
      </c>
      <c r="E1844" s="0" t="inlineStr">
        <is>
          <t xml:space="preserve">consumer_defensive</t>
        </is>
      </c>
      <c r="F1844" s="4">
        <v>43</v>
      </c>
    </row>
    <row r="1845">
      <c r="A1845" s="0" t="inlineStr">
        <is>
          <t xml:space="preserve">random_09_SNDK</t>
        </is>
      </c>
      <c r="B1845" s="0" t="inlineStr">
        <is>
          <t xml:space="preserve">random_09</t>
        </is>
      </c>
      <c r="C1845" s="0" t="inlineStr">
        <is>
          <t xml:space="preserve">d20260923</t>
        </is>
      </c>
      <c r="D1845" s="0" t="inlineStr">
        <is>
          <t xml:space="preserve">SNDK</t>
        </is>
      </c>
      <c r="E1845" s="0" t="inlineStr">
        <is>
          <t xml:space="preserve">technology</t>
        </is>
      </c>
      <c r="F1845" s="4">
        <v>44</v>
      </c>
    </row>
    <row r="1846">
      <c r="A1846" s="0" t="inlineStr">
        <is>
          <t xml:space="preserve">random_09_BBWI</t>
        </is>
      </c>
      <c r="B1846" s="0" t="inlineStr">
        <is>
          <t xml:space="preserve">random_09</t>
        </is>
      </c>
      <c r="C1846" s="0" t="inlineStr">
        <is>
          <t xml:space="preserve">d20260923</t>
        </is>
      </c>
      <c r="D1846" s="0" t="inlineStr">
        <is>
          <t xml:space="preserve">BBWI</t>
        </is>
      </c>
      <c r="E1846" s="0" t="inlineStr">
        <is>
          <t xml:space="preserve">consumer_cyclical</t>
        </is>
      </c>
      <c r="F1846" s="4">
        <v>45</v>
      </c>
    </row>
    <row r="1847">
      <c r="A1847" s="0" t="inlineStr">
        <is>
          <t xml:space="preserve">random_09_BWIN</t>
        </is>
      </c>
      <c r="B1847" s="0" t="inlineStr">
        <is>
          <t xml:space="preserve">random_09</t>
        </is>
      </c>
      <c r="C1847" s="0" t="inlineStr">
        <is>
          <t xml:space="preserve">d20260923</t>
        </is>
      </c>
      <c r="D1847" s="0" t="inlineStr">
        <is>
          <t xml:space="preserve">BWIN</t>
        </is>
      </c>
      <c r="E1847" s="0" t="inlineStr">
        <is>
          <t xml:space="preserve">financial_services</t>
        </is>
      </c>
      <c r="F1847" s="4">
        <v>46</v>
      </c>
    </row>
    <row r="1848">
      <c r="A1848" s="0" t="inlineStr">
        <is>
          <t xml:space="preserve">random_09_KNF</t>
        </is>
      </c>
      <c r="B1848" s="0" t="inlineStr">
        <is>
          <t xml:space="preserve">random_09</t>
        </is>
      </c>
      <c r="C1848" s="0" t="inlineStr">
        <is>
          <t xml:space="preserve">d20260923</t>
        </is>
      </c>
      <c r="D1848" s="0" t="inlineStr">
        <is>
          <t xml:space="preserve">KNF</t>
        </is>
      </c>
      <c r="E1848" s="0" t="inlineStr">
        <is>
          <t xml:space="preserve">basic_materials</t>
        </is>
      </c>
      <c r="F1848" s="4">
        <v>47</v>
      </c>
    </row>
    <row r="1849">
      <c r="A1849" s="0" t="inlineStr">
        <is>
          <t xml:space="preserve">random_09_AUB</t>
        </is>
      </c>
      <c r="B1849" s="0" t="inlineStr">
        <is>
          <t xml:space="preserve">random_09</t>
        </is>
      </c>
      <c r="C1849" s="0" t="inlineStr">
        <is>
          <t xml:space="preserve">d20260923</t>
        </is>
      </c>
      <c r="D1849" s="0" t="inlineStr">
        <is>
          <t xml:space="preserve">AUB</t>
        </is>
      </c>
      <c r="E1849" s="0" t="inlineStr">
        <is>
          <t xml:space="preserve">financial_services</t>
        </is>
      </c>
      <c r="F1849" s="4">
        <v>48</v>
      </c>
    </row>
    <row r="1850">
      <c r="A1850" s="0" t="inlineStr">
        <is>
          <t xml:space="preserve">random_09_GFL</t>
        </is>
      </c>
      <c r="B1850" s="0" t="inlineStr">
        <is>
          <t xml:space="preserve">random_09</t>
        </is>
      </c>
      <c r="C1850" s="0" t="inlineStr">
        <is>
          <t xml:space="preserve">d20260923</t>
        </is>
      </c>
      <c r="D1850" s="0" t="inlineStr">
        <is>
          <t xml:space="preserve">GFL</t>
        </is>
      </c>
      <c r="E1850" s="0" t="inlineStr">
        <is>
          <t xml:space="preserve">industrials</t>
        </is>
      </c>
      <c r="F1850" s="4">
        <v>49</v>
      </c>
    </row>
    <row r="1851">
      <c r="A1851" s="0" t="inlineStr">
        <is>
          <t xml:space="preserve">random_09_RLI</t>
        </is>
      </c>
      <c r="B1851" s="0" t="inlineStr">
        <is>
          <t xml:space="preserve">random_09</t>
        </is>
      </c>
      <c r="C1851" s="0" t="inlineStr">
        <is>
          <t xml:space="preserve">d20260923</t>
        </is>
      </c>
      <c r="D1851" s="0" t="inlineStr">
        <is>
          <t xml:space="preserve">RLI</t>
        </is>
      </c>
      <c r="E1851" s="0" t="inlineStr">
        <is>
          <t xml:space="preserve">financial_services</t>
        </is>
      </c>
      <c r="F1851" s="4">
        <v>50</v>
      </c>
    </row>
    <row r="1852">
      <c r="A1852" s="0" t="inlineStr">
        <is>
          <t xml:space="preserve">random_09_ACIW</t>
        </is>
      </c>
      <c r="B1852" s="0" t="inlineStr">
        <is>
          <t xml:space="preserve">random_09</t>
        </is>
      </c>
      <c r="C1852" s="0" t="inlineStr">
        <is>
          <t xml:space="preserve">d20260923</t>
        </is>
      </c>
      <c r="D1852" s="0" t="inlineStr">
        <is>
          <t xml:space="preserve">ACIW</t>
        </is>
      </c>
      <c r="E1852" s="0" t="inlineStr">
        <is>
          <t xml:space="preserve">technology</t>
        </is>
      </c>
      <c r="F1852" s="4">
        <v>51</v>
      </c>
    </row>
    <row r="1853">
      <c r="A1853" s="0" t="inlineStr">
        <is>
          <t xml:space="preserve">random_09_CAH</t>
        </is>
      </c>
      <c r="B1853" s="0" t="inlineStr">
        <is>
          <t xml:space="preserve">random_09</t>
        </is>
      </c>
      <c r="C1853" s="0" t="inlineStr">
        <is>
          <t xml:space="preserve">d20260923</t>
        </is>
      </c>
      <c r="D1853" s="0" t="inlineStr">
        <is>
          <t xml:space="preserve">CAH</t>
        </is>
      </c>
      <c r="E1853" s="0" t="inlineStr">
        <is>
          <t xml:space="preserve">healthcare</t>
        </is>
      </c>
      <c r="F1853" s="4">
        <v>52</v>
      </c>
    </row>
    <row r="1854">
      <c r="A1854" s="0" t="inlineStr">
        <is>
          <t xml:space="preserve">random_09_TALO</t>
        </is>
      </c>
      <c r="B1854" s="0" t="inlineStr">
        <is>
          <t xml:space="preserve">random_09</t>
        </is>
      </c>
      <c r="C1854" s="0" t="inlineStr">
        <is>
          <t xml:space="preserve">d20260923</t>
        </is>
      </c>
      <c r="D1854" s="0" t="inlineStr">
        <is>
          <t xml:space="preserve">TALO</t>
        </is>
      </c>
      <c r="E1854" s="0" t="inlineStr">
        <is>
          <t xml:space="preserve">energy</t>
        </is>
      </c>
      <c r="F1854" s="4">
        <v>53</v>
      </c>
    </row>
    <row r="1855">
      <c r="A1855" s="0" t="inlineStr">
        <is>
          <t xml:space="preserve">random_09_MXL</t>
        </is>
      </c>
      <c r="B1855" s="0" t="inlineStr">
        <is>
          <t xml:space="preserve">random_09</t>
        </is>
      </c>
      <c r="C1855" s="0" t="inlineStr">
        <is>
          <t xml:space="preserve">d20260923</t>
        </is>
      </c>
      <c r="D1855" s="0" t="inlineStr">
        <is>
          <t xml:space="preserve">MXL</t>
        </is>
      </c>
      <c r="E1855" s="0" t="inlineStr">
        <is>
          <t xml:space="preserve">technology</t>
        </is>
      </c>
      <c r="F1855" s="4">
        <v>54</v>
      </c>
    </row>
    <row r="1856">
      <c r="A1856" s="0" t="inlineStr">
        <is>
          <t xml:space="preserve">random_09_UUUU</t>
        </is>
      </c>
      <c r="B1856" s="0" t="inlineStr">
        <is>
          <t xml:space="preserve">random_09</t>
        </is>
      </c>
      <c r="C1856" s="0" t="inlineStr">
        <is>
          <t xml:space="preserve">d20260923</t>
        </is>
      </c>
      <c r="D1856" s="0" t="inlineStr">
        <is>
          <t xml:space="preserve">UUUU</t>
        </is>
      </c>
      <c r="E1856" s="0" t="inlineStr">
        <is>
          <t xml:space="preserve">energy</t>
        </is>
      </c>
      <c r="F1856" s="4">
        <v>55</v>
      </c>
    </row>
    <row r="1857">
      <c r="A1857" s="0" t="inlineStr">
        <is>
          <t xml:space="preserve">random_09_NEM</t>
        </is>
      </c>
      <c r="B1857" s="0" t="inlineStr">
        <is>
          <t xml:space="preserve">random_09</t>
        </is>
      </c>
      <c r="C1857" s="0" t="inlineStr">
        <is>
          <t xml:space="preserve">d20260923</t>
        </is>
      </c>
      <c r="D1857" s="0" t="inlineStr">
        <is>
          <t xml:space="preserve">NEM</t>
        </is>
      </c>
      <c r="E1857" s="0" t="inlineStr">
        <is>
          <t xml:space="preserve">basic_materials</t>
        </is>
      </c>
      <c r="F1857" s="4">
        <v>56</v>
      </c>
    </row>
    <row r="1858">
      <c r="A1858" s="0" t="inlineStr">
        <is>
          <t xml:space="preserve">random_09_KO</t>
        </is>
      </c>
      <c r="B1858" s="0" t="inlineStr">
        <is>
          <t xml:space="preserve">random_09</t>
        </is>
      </c>
      <c r="C1858" s="0" t="inlineStr">
        <is>
          <t xml:space="preserve">d20260923</t>
        </is>
      </c>
      <c r="D1858" s="0" t="inlineStr">
        <is>
          <t xml:space="preserve">KO</t>
        </is>
      </c>
      <c r="E1858" s="0" t="inlineStr">
        <is>
          <t xml:space="preserve">consumer_defensive</t>
        </is>
      </c>
      <c r="F1858" s="4">
        <v>57</v>
      </c>
    </row>
    <row r="1859">
      <c r="A1859" s="0" t="inlineStr">
        <is>
          <t xml:space="preserve">random_09_OKLO</t>
        </is>
      </c>
      <c r="B1859" s="0" t="inlineStr">
        <is>
          <t xml:space="preserve">random_09</t>
        </is>
      </c>
      <c r="C1859" s="0" t="inlineStr">
        <is>
          <t xml:space="preserve">d20260923</t>
        </is>
      </c>
      <c r="D1859" s="0" t="inlineStr">
        <is>
          <t xml:space="preserve">OKLO</t>
        </is>
      </c>
      <c r="E1859" s="0" t="inlineStr">
        <is>
          <t xml:space="preserve">utilities</t>
        </is>
      </c>
      <c r="F1859" s="4">
        <v>58</v>
      </c>
    </row>
    <row r="1860">
      <c r="A1860" s="0" t="inlineStr">
        <is>
          <t xml:space="preserve">random_09_NYT</t>
        </is>
      </c>
      <c r="B1860" s="0" t="inlineStr">
        <is>
          <t xml:space="preserve">random_09</t>
        </is>
      </c>
      <c r="C1860" s="0" t="inlineStr">
        <is>
          <t xml:space="preserve">d20260923</t>
        </is>
      </c>
      <c r="D1860" s="0" t="inlineStr">
        <is>
          <t xml:space="preserve">NYT</t>
        </is>
      </c>
      <c r="E1860" s="0" t="inlineStr">
        <is>
          <t xml:space="preserve">communication_services</t>
        </is>
      </c>
      <c r="F1860" s="4">
        <v>59</v>
      </c>
    </row>
    <row r="1861">
      <c r="A1861" s="0" t="inlineStr">
        <is>
          <t xml:space="preserve">random_09_TDW</t>
        </is>
      </c>
      <c r="B1861" s="0" t="inlineStr">
        <is>
          <t xml:space="preserve">random_09</t>
        </is>
      </c>
      <c r="C1861" s="0" t="inlineStr">
        <is>
          <t xml:space="preserve">d20260923</t>
        </is>
      </c>
      <c r="D1861" s="0" t="inlineStr">
        <is>
          <t xml:space="preserve">TDW</t>
        </is>
      </c>
      <c r="E1861" s="0" t="inlineStr">
        <is>
          <t xml:space="preserve">energy</t>
        </is>
      </c>
      <c r="F1861" s="4">
        <v>60</v>
      </c>
    </row>
    <row r="1862">
      <c r="A1862" s="0" t="inlineStr">
        <is>
          <t xml:space="preserve">random_09_BAC</t>
        </is>
      </c>
      <c r="B1862" s="0" t="inlineStr">
        <is>
          <t xml:space="preserve">random_09</t>
        </is>
      </c>
      <c r="C1862" s="0" t="inlineStr">
        <is>
          <t xml:space="preserve">d20260923</t>
        </is>
      </c>
      <c r="D1862" s="0" t="inlineStr">
        <is>
          <t xml:space="preserve">BAC</t>
        </is>
      </c>
      <c r="E1862" s="0" t="inlineStr">
        <is>
          <t xml:space="preserve">financial_services</t>
        </is>
      </c>
      <c r="F1862" s="4">
        <v>61</v>
      </c>
    </row>
    <row r="1863">
      <c r="A1863" s="0" t="inlineStr">
        <is>
          <t xml:space="preserve">random_09_COST</t>
        </is>
      </c>
      <c r="B1863" s="0" t="inlineStr">
        <is>
          <t xml:space="preserve">random_09</t>
        </is>
      </c>
      <c r="C1863" s="0" t="inlineStr">
        <is>
          <t xml:space="preserve">d20260923</t>
        </is>
      </c>
      <c r="D1863" s="0" t="inlineStr">
        <is>
          <t xml:space="preserve">COST</t>
        </is>
      </c>
      <c r="E1863" s="0" t="inlineStr">
        <is>
          <t xml:space="preserve">consumer_defensive</t>
        </is>
      </c>
      <c r="F1863" s="4">
        <v>62</v>
      </c>
    </row>
    <row r="1864">
      <c r="A1864" s="0" t="inlineStr">
        <is>
          <t xml:space="preserve">random_09_IOVA</t>
        </is>
      </c>
      <c r="B1864" s="0" t="inlineStr">
        <is>
          <t xml:space="preserve">random_09</t>
        </is>
      </c>
      <c r="C1864" s="0" t="inlineStr">
        <is>
          <t xml:space="preserve">d20260923</t>
        </is>
      </c>
      <c r="D1864" s="0" t="inlineStr">
        <is>
          <t xml:space="preserve">IOVA</t>
        </is>
      </c>
      <c r="E1864" s="0" t="inlineStr">
        <is>
          <t xml:space="preserve">healthcare</t>
        </is>
      </c>
      <c r="F1864" s="4">
        <v>63</v>
      </c>
    </row>
    <row r="1865">
      <c r="A1865" s="0" t="inlineStr">
        <is>
          <t xml:space="preserve">random_09_HOOD</t>
        </is>
      </c>
      <c r="B1865" s="0" t="inlineStr">
        <is>
          <t xml:space="preserve">random_09</t>
        </is>
      </c>
      <c r="C1865" s="0" t="inlineStr">
        <is>
          <t xml:space="preserve">d20260923</t>
        </is>
      </c>
      <c r="D1865" s="0" t="inlineStr">
        <is>
          <t xml:space="preserve">HOOD</t>
        </is>
      </c>
      <c r="E1865" s="0" t="inlineStr">
        <is>
          <t xml:space="preserve">financial_services</t>
        </is>
      </c>
      <c r="F1865" s="4">
        <v>64</v>
      </c>
    </row>
    <row r="1866">
      <c r="A1866" s="0" t="inlineStr">
        <is>
          <t xml:space="preserve">random_09_BURL</t>
        </is>
      </c>
      <c r="B1866" s="0" t="inlineStr">
        <is>
          <t xml:space="preserve">random_09</t>
        </is>
      </c>
      <c r="C1866" s="0" t="inlineStr">
        <is>
          <t xml:space="preserve">d20260923</t>
        </is>
      </c>
      <c r="D1866" s="0" t="inlineStr">
        <is>
          <t xml:space="preserve">BURL</t>
        </is>
      </c>
      <c r="E1866" s="0" t="inlineStr">
        <is>
          <t xml:space="preserve">consumer_cyclical</t>
        </is>
      </c>
      <c r="F1866" s="4">
        <v>65</v>
      </c>
    </row>
    <row r="1867">
      <c r="A1867" s="0" t="inlineStr">
        <is>
          <t xml:space="preserve">random_09_MGNI</t>
        </is>
      </c>
      <c r="B1867" s="0" t="inlineStr">
        <is>
          <t xml:space="preserve">random_09</t>
        </is>
      </c>
      <c r="C1867" s="0" t="inlineStr">
        <is>
          <t xml:space="preserve">d20260923</t>
        </is>
      </c>
      <c r="D1867" s="0" t="inlineStr">
        <is>
          <t xml:space="preserve">MGNI</t>
        </is>
      </c>
      <c r="E1867" s="0" t="inlineStr">
        <is>
          <t xml:space="preserve">communication_services</t>
        </is>
      </c>
      <c r="F1867" s="4">
        <v>66</v>
      </c>
    </row>
    <row r="1868">
      <c r="A1868" s="0" t="inlineStr">
        <is>
          <t xml:space="preserve">random_09_MOS</t>
        </is>
      </c>
      <c r="B1868" s="0" t="inlineStr">
        <is>
          <t xml:space="preserve">random_09</t>
        </is>
      </c>
      <c r="C1868" s="0" t="inlineStr">
        <is>
          <t xml:space="preserve">d20260923</t>
        </is>
      </c>
      <c r="D1868" s="0" t="inlineStr">
        <is>
          <t xml:space="preserve">MOS</t>
        </is>
      </c>
      <c r="E1868" s="0" t="inlineStr">
        <is>
          <t xml:space="preserve">basic_materials</t>
        </is>
      </c>
      <c r="F1868" s="4">
        <v>67</v>
      </c>
    </row>
    <row r="1869">
      <c r="A1869" s="0" t="inlineStr">
        <is>
          <t xml:space="preserve">random_09_WCC</t>
        </is>
      </c>
      <c r="B1869" s="0" t="inlineStr">
        <is>
          <t xml:space="preserve">random_09</t>
        </is>
      </c>
      <c r="C1869" s="0" t="inlineStr">
        <is>
          <t xml:space="preserve">d20260923</t>
        </is>
      </c>
      <c r="D1869" s="0" t="inlineStr">
        <is>
          <t xml:space="preserve">WCC</t>
        </is>
      </c>
      <c r="E1869" s="0" t="inlineStr">
        <is>
          <t xml:space="preserve">industrials</t>
        </is>
      </c>
      <c r="F1869" s="4">
        <v>68</v>
      </c>
    </row>
    <row r="1870">
      <c r="A1870" s="0" t="inlineStr">
        <is>
          <t xml:space="preserve">random_09_SAIA</t>
        </is>
      </c>
      <c r="B1870" s="0" t="inlineStr">
        <is>
          <t xml:space="preserve">random_09</t>
        </is>
      </c>
      <c r="C1870" s="0" t="inlineStr">
        <is>
          <t xml:space="preserve">d20260923</t>
        </is>
      </c>
      <c r="D1870" s="0" t="inlineStr">
        <is>
          <t xml:space="preserve">SAIA</t>
        </is>
      </c>
      <c r="E1870" s="0" t="inlineStr">
        <is>
          <t xml:space="preserve">industrials</t>
        </is>
      </c>
      <c r="F1870" s="4">
        <v>69</v>
      </c>
    </row>
    <row r="1871">
      <c r="A1871" s="0" t="inlineStr">
        <is>
          <t xml:space="preserve">random_09_RDW</t>
        </is>
      </c>
      <c r="B1871" s="0" t="inlineStr">
        <is>
          <t xml:space="preserve">random_09</t>
        </is>
      </c>
      <c r="C1871" s="0" t="inlineStr">
        <is>
          <t xml:space="preserve">d20260923</t>
        </is>
      </c>
      <c r="D1871" s="0" t="inlineStr">
        <is>
          <t xml:space="preserve">RDW</t>
        </is>
      </c>
      <c r="E1871" s="0" t="inlineStr">
        <is>
          <t xml:space="preserve">industrials</t>
        </is>
      </c>
      <c r="F1871" s="4">
        <v>70</v>
      </c>
    </row>
    <row r="1872">
      <c r="A1872" s="0" t="inlineStr">
        <is>
          <t xml:space="preserve">random_09_OVV</t>
        </is>
      </c>
      <c r="B1872" s="0" t="inlineStr">
        <is>
          <t xml:space="preserve">random_09</t>
        </is>
      </c>
      <c r="C1872" s="0" t="inlineStr">
        <is>
          <t xml:space="preserve">d20260923</t>
        </is>
      </c>
      <c r="D1872" s="0" t="inlineStr">
        <is>
          <t xml:space="preserve">OVV</t>
        </is>
      </c>
      <c r="E1872" s="0" t="inlineStr">
        <is>
          <t xml:space="preserve">energy</t>
        </is>
      </c>
      <c r="F1872" s="4">
        <v>71</v>
      </c>
    </row>
    <row r="1873">
      <c r="A1873" s="0" t="inlineStr">
        <is>
          <t xml:space="preserve">random_09_WRB</t>
        </is>
      </c>
      <c r="B1873" s="0" t="inlineStr">
        <is>
          <t xml:space="preserve">random_09</t>
        </is>
      </c>
      <c r="C1873" s="0" t="inlineStr">
        <is>
          <t xml:space="preserve">d20260923</t>
        </is>
      </c>
      <c r="D1873" s="0" t="inlineStr">
        <is>
          <t xml:space="preserve">WRB</t>
        </is>
      </c>
      <c r="E1873" s="0" t="inlineStr">
        <is>
          <t xml:space="preserve">financial_services</t>
        </is>
      </c>
      <c r="F1873" s="4">
        <v>72</v>
      </c>
    </row>
    <row r="1874">
      <c r="A1874" s="0" t="inlineStr">
        <is>
          <t xml:space="preserve">random_09_PSN</t>
        </is>
      </c>
      <c r="B1874" s="0" t="inlineStr">
        <is>
          <t xml:space="preserve">random_09</t>
        </is>
      </c>
      <c r="C1874" s="0" t="inlineStr">
        <is>
          <t xml:space="preserve">d20260923</t>
        </is>
      </c>
      <c r="D1874" s="0" t="inlineStr">
        <is>
          <t xml:space="preserve">PSN</t>
        </is>
      </c>
      <c r="E1874" s="0" t="inlineStr">
        <is>
          <t xml:space="preserve">technology</t>
        </is>
      </c>
      <c r="F1874" s="4">
        <v>73</v>
      </c>
    </row>
    <row r="1875">
      <c r="A1875" s="0" t="inlineStr">
        <is>
          <t xml:space="preserve">random_09_SLS</t>
        </is>
      </c>
      <c r="B1875" s="0" t="inlineStr">
        <is>
          <t xml:space="preserve">random_09</t>
        </is>
      </c>
      <c r="C1875" s="0" t="inlineStr">
        <is>
          <t xml:space="preserve">d20260923</t>
        </is>
      </c>
      <c r="D1875" s="0" t="inlineStr">
        <is>
          <t xml:space="preserve">SLS</t>
        </is>
      </c>
      <c r="E1875" s="0" t="inlineStr">
        <is>
          <t xml:space="preserve">healthcare</t>
        </is>
      </c>
      <c r="F1875" s="4">
        <v>74</v>
      </c>
    </row>
    <row r="1876">
      <c r="A1876" s="0" t="inlineStr">
        <is>
          <t xml:space="preserve">random_09_VNOM</t>
        </is>
      </c>
      <c r="B1876" s="0" t="inlineStr">
        <is>
          <t xml:space="preserve">random_09</t>
        </is>
      </c>
      <c r="C1876" s="0" t="inlineStr">
        <is>
          <t xml:space="preserve">d20260923</t>
        </is>
      </c>
      <c r="D1876" s="0" t="inlineStr">
        <is>
          <t xml:space="preserve">VNOM</t>
        </is>
      </c>
      <c r="E1876" s="0" t="inlineStr">
        <is>
          <t xml:space="preserve">energy</t>
        </is>
      </c>
      <c r="F1876" s="4">
        <v>75</v>
      </c>
    </row>
    <row r="1877">
      <c r="A1877" s="0" t="inlineStr">
        <is>
          <t xml:space="preserve">random_09_CMS</t>
        </is>
      </c>
      <c r="B1877" s="0" t="inlineStr">
        <is>
          <t xml:space="preserve">random_09</t>
        </is>
      </c>
      <c r="C1877" s="0" t="inlineStr">
        <is>
          <t xml:space="preserve">d20260923</t>
        </is>
      </c>
      <c r="D1877" s="0" t="inlineStr">
        <is>
          <t xml:space="preserve">CMS</t>
        </is>
      </c>
      <c r="E1877" s="0" t="inlineStr">
        <is>
          <t xml:space="preserve">utilities</t>
        </is>
      </c>
      <c r="F1877" s="4">
        <v>76</v>
      </c>
    </row>
    <row r="1878">
      <c r="A1878" s="0" t="inlineStr">
        <is>
          <t xml:space="preserve">random_09_CLDX</t>
        </is>
      </c>
      <c r="B1878" s="0" t="inlineStr">
        <is>
          <t xml:space="preserve">random_09</t>
        </is>
      </c>
      <c r="C1878" s="0" t="inlineStr">
        <is>
          <t xml:space="preserve">d20260923</t>
        </is>
      </c>
      <c r="D1878" s="0" t="inlineStr">
        <is>
          <t xml:space="preserve">CLDX</t>
        </is>
      </c>
      <c r="E1878" s="0" t="inlineStr">
        <is>
          <t xml:space="preserve">healthcare</t>
        </is>
      </c>
      <c r="F1878" s="4">
        <v>77</v>
      </c>
    </row>
    <row r="1879">
      <c r="A1879" s="0" t="inlineStr">
        <is>
          <t xml:space="preserve">random_09_SCI</t>
        </is>
      </c>
      <c r="B1879" s="0" t="inlineStr">
        <is>
          <t xml:space="preserve">random_09</t>
        </is>
      </c>
      <c r="C1879" s="0" t="inlineStr">
        <is>
          <t xml:space="preserve">d20260923</t>
        </is>
      </c>
      <c r="D1879" s="0" t="inlineStr">
        <is>
          <t xml:space="preserve">SCI</t>
        </is>
      </c>
      <c r="E1879" s="0" t="inlineStr">
        <is>
          <t xml:space="preserve">consumer_cyclical</t>
        </is>
      </c>
      <c r="F1879" s="4">
        <v>78</v>
      </c>
    </row>
    <row r="1880">
      <c r="A1880" s="0" t="inlineStr">
        <is>
          <t xml:space="preserve">random_09_STT</t>
        </is>
      </c>
      <c r="B1880" s="0" t="inlineStr">
        <is>
          <t xml:space="preserve">random_09</t>
        </is>
      </c>
      <c r="C1880" s="0" t="inlineStr">
        <is>
          <t xml:space="preserve">d20260923</t>
        </is>
      </c>
      <c r="D1880" s="0" t="inlineStr">
        <is>
          <t xml:space="preserve">STT</t>
        </is>
      </c>
      <c r="E1880" s="0" t="inlineStr">
        <is>
          <t xml:space="preserve">financial_services</t>
        </is>
      </c>
      <c r="F1880" s="4">
        <v>79</v>
      </c>
    </row>
    <row r="1881">
      <c r="A1881" s="0" t="inlineStr">
        <is>
          <t xml:space="preserve">random_09_VCYT</t>
        </is>
      </c>
      <c r="B1881" s="0" t="inlineStr">
        <is>
          <t xml:space="preserve">random_09</t>
        </is>
      </c>
      <c r="C1881" s="0" t="inlineStr">
        <is>
          <t xml:space="preserve">d20260923</t>
        </is>
      </c>
      <c r="D1881" s="0" t="inlineStr">
        <is>
          <t xml:space="preserve">VCYT</t>
        </is>
      </c>
      <c r="E1881" s="0" t="inlineStr">
        <is>
          <t xml:space="preserve">healthcare</t>
        </is>
      </c>
      <c r="F1881" s="4">
        <v>80</v>
      </c>
    </row>
    <row r="1882">
      <c r="A1882" s="0" t="inlineStr">
        <is>
          <t xml:space="preserve">random_09_SHO</t>
        </is>
      </c>
      <c r="B1882" s="0" t="inlineStr">
        <is>
          <t xml:space="preserve">random_09</t>
        </is>
      </c>
      <c r="C1882" s="0" t="inlineStr">
        <is>
          <t xml:space="preserve">d20260923</t>
        </is>
      </c>
      <c r="D1882" s="0" t="inlineStr">
        <is>
          <t xml:space="preserve">SHO</t>
        </is>
      </c>
      <c r="E1882" s="0" t="inlineStr">
        <is>
          <t xml:space="preserve">real_estate</t>
        </is>
      </c>
      <c r="F1882" s="4">
        <v>81</v>
      </c>
    </row>
    <row r="1883">
      <c r="A1883" s="0" t="inlineStr">
        <is>
          <t xml:space="preserve">random_09_SFBS</t>
        </is>
      </c>
      <c r="B1883" s="0" t="inlineStr">
        <is>
          <t xml:space="preserve">random_09</t>
        </is>
      </c>
      <c r="C1883" s="0" t="inlineStr">
        <is>
          <t xml:space="preserve">d20260923</t>
        </is>
      </c>
      <c r="D1883" s="0" t="inlineStr">
        <is>
          <t xml:space="preserve">SFBS</t>
        </is>
      </c>
      <c r="E1883" s="0" t="inlineStr">
        <is>
          <t xml:space="preserve">financial_services</t>
        </is>
      </c>
      <c r="F1883" s="4">
        <v>82</v>
      </c>
    </row>
    <row r="1884">
      <c r="A1884" s="0" t="inlineStr">
        <is>
          <t xml:space="preserve">random_09_NFLX</t>
        </is>
      </c>
      <c r="B1884" s="0" t="inlineStr">
        <is>
          <t xml:space="preserve">random_09</t>
        </is>
      </c>
      <c r="C1884" s="0" t="inlineStr">
        <is>
          <t xml:space="preserve">d20260923</t>
        </is>
      </c>
      <c r="D1884" s="0" t="inlineStr">
        <is>
          <t xml:space="preserve">NFLX</t>
        </is>
      </c>
      <c r="E1884" s="0" t="inlineStr">
        <is>
          <t xml:space="preserve">communication_services</t>
        </is>
      </c>
      <c r="F1884" s="4">
        <v>83</v>
      </c>
    </row>
    <row r="1885">
      <c r="A1885" s="0" t="inlineStr">
        <is>
          <t xml:space="preserve">random_09_BEAM</t>
        </is>
      </c>
      <c r="B1885" s="0" t="inlineStr">
        <is>
          <t xml:space="preserve">random_09</t>
        </is>
      </c>
      <c r="C1885" s="0" t="inlineStr">
        <is>
          <t xml:space="preserve">d20260923</t>
        </is>
      </c>
      <c r="D1885" s="0" t="inlineStr">
        <is>
          <t xml:space="preserve">BEAM</t>
        </is>
      </c>
      <c r="E1885" s="0" t="inlineStr">
        <is>
          <t xml:space="preserve">healthcare</t>
        </is>
      </c>
      <c r="F1885" s="4">
        <v>84</v>
      </c>
    </row>
    <row r="1886">
      <c r="A1886" s="0" t="inlineStr">
        <is>
          <t xml:space="preserve">random_09_VSXY</t>
        </is>
      </c>
      <c r="B1886" s="0" t="inlineStr">
        <is>
          <t xml:space="preserve">random_09</t>
        </is>
      </c>
      <c r="C1886" s="0" t="inlineStr">
        <is>
          <t xml:space="preserve">d20260923</t>
        </is>
      </c>
      <c r="D1886" s="0" t="inlineStr">
        <is>
          <t xml:space="preserve">VSXY</t>
        </is>
      </c>
      <c r="E1886" s="0" t="inlineStr">
        <is>
          <t xml:space="preserve">consumer_cyclical</t>
        </is>
      </c>
      <c r="F1886" s="4">
        <v>85</v>
      </c>
    </row>
    <row r="1887">
      <c r="A1887" s="0" t="inlineStr">
        <is>
          <t xml:space="preserve">random_09_FROG</t>
        </is>
      </c>
      <c r="B1887" s="0" t="inlineStr">
        <is>
          <t xml:space="preserve">random_09</t>
        </is>
      </c>
      <c r="C1887" s="0" t="inlineStr">
        <is>
          <t xml:space="preserve">d20260923</t>
        </is>
      </c>
      <c r="D1887" s="0" t="inlineStr">
        <is>
          <t xml:space="preserve">FROG</t>
        </is>
      </c>
      <c r="E1887" s="0" t="inlineStr">
        <is>
          <t xml:space="preserve">technology</t>
        </is>
      </c>
      <c r="F1887" s="4">
        <v>86</v>
      </c>
    </row>
    <row r="1888">
      <c r="A1888" s="0" t="inlineStr">
        <is>
          <t xml:space="preserve">random_09_PBI</t>
        </is>
      </c>
      <c r="B1888" s="0" t="inlineStr">
        <is>
          <t xml:space="preserve">random_09</t>
        </is>
      </c>
      <c r="C1888" s="0" t="inlineStr">
        <is>
          <t xml:space="preserve">d20260923</t>
        </is>
      </c>
      <c r="D1888" s="0" t="inlineStr">
        <is>
          <t xml:space="preserve">PBI</t>
        </is>
      </c>
      <c r="E1888" s="0" t="inlineStr">
        <is>
          <t xml:space="preserve">industrials</t>
        </is>
      </c>
      <c r="F1888" s="4">
        <v>87</v>
      </c>
    </row>
    <row r="1889">
      <c r="A1889" s="0" t="inlineStr">
        <is>
          <t xml:space="preserve">random_09_WK</t>
        </is>
      </c>
      <c r="B1889" s="0" t="inlineStr">
        <is>
          <t xml:space="preserve">random_09</t>
        </is>
      </c>
      <c r="C1889" s="0" t="inlineStr">
        <is>
          <t xml:space="preserve">d20260923</t>
        </is>
      </c>
      <c r="D1889" s="0" t="inlineStr">
        <is>
          <t xml:space="preserve">WK</t>
        </is>
      </c>
      <c r="E1889" s="0" t="inlineStr">
        <is>
          <t xml:space="preserve">technology</t>
        </is>
      </c>
      <c r="F1889" s="4">
        <v>88</v>
      </c>
    </row>
    <row r="1890">
      <c r="A1890" s="0" t="inlineStr">
        <is>
          <t xml:space="preserve">random_09_AXON</t>
        </is>
      </c>
      <c r="B1890" s="0" t="inlineStr">
        <is>
          <t xml:space="preserve">random_09</t>
        </is>
      </c>
      <c r="C1890" s="0" t="inlineStr">
        <is>
          <t xml:space="preserve">d20260923</t>
        </is>
      </c>
      <c r="D1890" s="0" t="inlineStr">
        <is>
          <t xml:space="preserve">AXON</t>
        </is>
      </c>
      <c r="E1890" s="0" t="inlineStr">
        <is>
          <t xml:space="preserve">industrials</t>
        </is>
      </c>
      <c r="F1890" s="4">
        <v>89</v>
      </c>
    </row>
    <row r="1891">
      <c r="A1891" s="0" t="inlineStr">
        <is>
          <t xml:space="preserve">random_09_ZETA</t>
        </is>
      </c>
      <c r="B1891" s="0" t="inlineStr">
        <is>
          <t xml:space="preserve">random_09</t>
        </is>
      </c>
      <c r="C1891" s="0" t="inlineStr">
        <is>
          <t xml:space="preserve">d20260923</t>
        </is>
      </c>
      <c r="D1891" s="0" t="inlineStr">
        <is>
          <t xml:space="preserve">ZETA</t>
        </is>
      </c>
      <c r="E1891" s="0" t="inlineStr">
        <is>
          <t xml:space="preserve">technology</t>
        </is>
      </c>
      <c r="F1891" s="4">
        <v>90</v>
      </c>
    </row>
    <row r="1892">
      <c r="A1892" s="0" t="inlineStr">
        <is>
          <t xml:space="preserve">random_09_KEY</t>
        </is>
      </c>
      <c r="B1892" s="0" t="inlineStr">
        <is>
          <t xml:space="preserve">random_09</t>
        </is>
      </c>
      <c r="C1892" s="0" t="inlineStr">
        <is>
          <t xml:space="preserve">d20260923</t>
        </is>
      </c>
      <c r="D1892" s="0" t="inlineStr">
        <is>
          <t xml:space="preserve">KEY</t>
        </is>
      </c>
      <c r="E1892" s="0" t="inlineStr">
        <is>
          <t xml:space="preserve">financial_services</t>
        </is>
      </c>
      <c r="F1892" s="4">
        <v>91</v>
      </c>
    </row>
    <row r="1893">
      <c r="A1893" s="0" t="inlineStr">
        <is>
          <t xml:space="preserve">random_09_INDB</t>
        </is>
      </c>
      <c r="B1893" s="0" t="inlineStr">
        <is>
          <t xml:space="preserve">random_09</t>
        </is>
      </c>
      <c r="C1893" s="0" t="inlineStr">
        <is>
          <t xml:space="preserve">d20260923</t>
        </is>
      </c>
      <c r="D1893" s="0" t="inlineStr">
        <is>
          <t xml:space="preserve">INDB</t>
        </is>
      </c>
      <c r="E1893" s="0" t="inlineStr">
        <is>
          <t xml:space="preserve">financial_services</t>
        </is>
      </c>
      <c r="F1893" s="4">
        <v>92</v>
      </c>
    </row>
    <row r="1894">
      <c r="A1894" s="0" t="inlineStr">
        <is>
          <t xml:space="preserve">random_09_UTHR</t>
        </is>
      </c>
      <c r="B1894" s="0" t="inlineStr">
        <is>
          <t xml:space="preserve">random_09</t>
        </is>
      </c>
      <c r="C1894" s="0" t="inlineStr">
        <is>
          <t xml:space="preserve">d20260923</t>
        </is>
      </c>
      <c r="D1894" s="0" t="inlineStr">
        <is>
          <t xml:space="preserve">UTHR</t>
        </is>
      </c>
      <c r="E1894" s="0" t="inlineStr">
        <is>
          <t xml:space="preserve">healthcare</t>
        </is>
      </c>
      <c r="F1894" s="4">
        <v>93</v>
      </c>
    </row>
    <row r="1895">
      <c r="A1895" s="0" t="inlineStr">
        <is>
          <t xml:space="preserve">random_09_ROKU</t>
        </is>
      </c>
      <c r="B1895" s="0" t="inlineStr">
        <is>
          <t xml:space="preserve">random_09</t>
        </is>
      </c>
      <c r="C1895" s="0" t="inlineStr">
        <is>
          <t xml:space="preserve">d20260923</t>
        </is>
      </c>
      <c r="D1895" s="0" t="inlineStr">
        <is>
          <t xml:space="preserve">ROKU</t>
        </is>
      </c>
      <c r="E1895" s="0" t="inlineStr">
        <is>
          <t xml:space="preserve">communication_services</t>
        </is>
      </c>
      <c r="F1895" s="4">
        <v>94</v>
      </c>
    </row>
    <row r="1896">
      <c r="A1896" s="0" t="inlineStr">
        <is>
          <t xml:space="preserve">random_09_OSCR</t>
        </is>
      </c>
      <c r="B1896" s="0" t="inlineStr">
        <is>
          <t xml:space="preserve">random_09</t>
        </is>
      </c>
      <c r="C1896" s="0" t="inlineStr">
        <is>
          <t xml:space="preserve">d20260923</t>
        </is>
      </c>
      <c r="D1896" s="0" t="inlineStr">
        <is>
          <t xml:space="preserve">OSCR</t>
        </is>
      </c>
      <c r="E1896" s="0" t="inlineStr">
        <is>
          <t xml:space="preserve">healthcare</t>
        </is>
      </c>
      <c r="F1896" s="4">
        <v>95</v>
      </c>
    </row>
    <row r="1897">
      <c r="A1897" s="0" t="inlineStr">
        <is>
          <t xml:space="preserve">random_09_GGG</t>
        </is>
      </c>
      <c r="B1897" s="0" t="inlineStr">
        <is>
          <t xml:space="preserve">random_09</t>
        </is>
      </c>
      <c r="C1897" s="0" t="inlineStr">
        <is>
          <t xml:space="preserve">d20260923</t>
        </is>
      </c>
      <c r="D1897" s="0" t="inlineStr">
        <is>
          <t xml:space="preserve">GGG</t>
        </is>
      </c>
      <c r="E1897" s="0" t="inlineStr">
        <is>
          <t xml:space="preserve">industrials</t>
        </is>
      </c>
      <c r="F1897" s="4">
        <v>96</v>
      </c>
    </row>
    <row r="1898">
      <c r="A1898" s="0" t="inlineStr">
        <is>
          <t xml:space="preserve">random_09_ARQT</t>
        </is>
      </c>
      <c r="B1898" s="0" t="inlineStr">
        <is>
          <t xml:space="preserve">random_09</t>
        </is>
      </c>
      <c r="C1898" s="0" t="inlineStr">
        <is>
          <t xml:space="preserve">d20260923</t>
        </is>
      </c>
      <c r="D1898" s="0" t="inlineStr">
        <is>
          <t xml:space="preserve">ARQT</t>
        </is>
      </c>
      <c r="E1898" s="0" t="inlineStr">
        <is>
          <t xml:space="preserve">healthcare</t>
        </is>
      </c>
      <c r="F1898" s="4">
        <v>97</v>
      </c>
    </row>
    <row r="1899">
      <c r="A1899" s="0" t="inlineStr">
        <is>
          <t xml:space="preserve">random_09_ZBIO</t>
        </is>
      </c>
      <c r="B1899" s="0" t="inlineStr">
        <is>
          <t xml:space="preserve">random_09</t>
        </is>
      </c>
      <c r="C1899" s="0" t="inlineStr">
        <is>
          <t xml:space="preserve">d20260923</t>
        </is>
      </c>
      <c r="D1899" s="0" t="inlineStr">
        <is>
          <t xml:space="preserve">ZBIO</t>
        </is>
      </c>
      <c r="E1899" s="0" t="inlineStr">
        <is>
          <t xml:space="preserve">healthcare</t>
        </is>
      </c>
      <c r="F1899" s="4">
        <v>98</v>
      </c>
    </row>
    <row r="1900">
      <c r="A1900" s="0" t="inlineStr">
        <is>
          <t xml:space="preserve">random_09_SWKS</t>
        </is>
      </c>
      <c r="B1900" s="0" t="inlineStr">
        <is>
          <t xml:space="preserve">random_09</t>
        </is>
      </c>
      <c r="C1900" s="0" t="inlineStr">
        <is>
          <t xml:space="preserve">d20260923</t>
        </is>
      </c>
      <c r="D1900" s="0" t="inlineStr">
        <is>
          <t xml:space="preserve">SWKS</t>
        </is>
      </c>
      <c r="E1900" s="0" t="inlineStr">
        <is>
          <t xml:space="preserve">technology</t>
        </is>
      </c>
      <c r="F1900" s="4">
        <v>99</v>
      </c>
    </row>
    <row r="1901">
      <c r="A1901" s="0" t="inlineStr">
        <is>
          <t xml:space="preserve">random_09_CENX</t>
        </is>
      </c>
      <c r="B1901" s="0" t="inlineStr">
        <is>
          <t xml:space="preserve">random_09</t>
        </is>
      </c>
      <c r="C1901" s="0" t="inlineStr">
        <is>
          <t xml:space="preserve">d20260923</t>
        </is>
      </c>
      <c r="D1901" s="0" t="inlineStr">
        <is>
          <t xml:space="preserve">CENX</t>
        </is>
      </c>
      <c r="E1901" s="0" t="inlineStr">
        <is>
          <t xml:space="preserve">basic_materials</t>
        </is>
      </c>
      <c r="F1901" s="4">
        <v>100</v>
      </c>
    </row>
    <row r="1902">
      <c r="A1902" s="0" t="inlineStr">
        <is>
          <t xml:space="preserve">random_10_HXL</t>
        </is>
      </c>
      <c r="B1902" s="0" t="inlineStr">
        <is>
          <t xml:space="preserve">random_10</t>
        </is>
      </c>
      <c r="C1902" s="0" t="inlineStr">
        <is>
          <t xml:space="preserve">d20260923</t>
        </is>
      </c>
      <c r="D1902" s="0" t="inlineStr">
        <is>
          <t xml:space="preserve">HXL</t>
        </is>
      </c>
      <c r="E1902" s="0" t="inlineStr">
        <is>
          <t xml:space="preserve">industrials</t>
        </is>
      </c>
      <c r="F1902" s="4">
        <v>1</v>
      </c>
    </row>
    <row r="1903">
      <c r="A1903" s="0" t="inlineStr">
        <is>
          <t xml:space="preserve">random_10_MTH</t>
        </is>
      </c>
      <c r="B1903" s="0" t="inlineStr">
        <is>
          <t xml:space="preserve">random_10</t>
        </is>
      </c>
      <c r="C1903" s="0" t="inlineStr">
        <is>
          <t xml:space="preserve">d20260923</t>
        </is>
      </c>
      <c r="D1903" s="0" t="inlineStr">
        <is>
          <t xml:space="preserve">MTH</t>
        </is>
      </c>
      <c r="E1903" s="0" t="inlineStr">
        <is>
          <t xml:space="preserve">consumer_cyclical</t>
        </is>
      </c>
      <c r="F1903" s="4">
        <v>2</v>
      </c>
    </row>
    <row r="1904">
      <c r="A1904" s="0" t="inlineStr">
        <is>
          <t xml:space="preserve">random_10_AGYS</t>
        </is>
      </c>
      <c r="B1904" s="0" t="inlineStr">
        <is>
          <t xml:space="preserve">random_10</t>
        </is>
      </c>
      <c r="C1904" s="0" t="inlineStr">
        <is>
          <t xml:space="preserve">d20260923</t>
        </is>
      </c>
      <c r="D1904" s="0" t="inlineStr">
        <is>
          <t xml:space="preserve">AGYS</t>
        </is>
      </c>
      <c r="E1904" s="0" t="inlineStr">
        <is>
          <t xml:space="preserve">technology</t>
        </is>
      </c>
      <c r="F1904" s="4">
        <v>3</v>
      </c>
    </row>
    <row r="1905">
      <c r="A1905" s="0" t="inlineStr">
        <is>
          <t xml:space="preserve">random_10_TW</t>
        </is>
      </c>
      <c r="B1905" s="0" t="inlineStr">
        <is>
          <t xml:space="preserve">random_10</t>
        </is>
      </c>
      <c r="C1905" s="0" t="inlineStr">
        <is>
          <t xml:space="preserve">d20260923</t>
        </is>
      </c>
      <c r="D1905" s="0" t="inlineStr">
        <is>
          <t xml:space="preserve">TW</t>
        </is>
      </c>
      <c r="E1905" s="0" t="inlineStr">
        <is>
          <t xml:space="preserve">financial_services</t>
        </is>
      </c>
      <c r="F1905" s="4">
        <v>4</v>
      </c>
    </row>
    <row r="1906">
      <c r="A1906" s="0" t="inlineStr">
        <is>
          <t xml:space="preserve">random_10_AMTM</t>
        </is>
      </c>
      <c r="B1906" s="0" t="inlineStr">
        <is>
          <t xml:space="preserve">random_10</t>
        </is>
      </c>
      <c r="C1906" s="0" t="inlineStr">
        <is>
          <t xml:space="preserve">d20260923</t>
        </is>
      </c>
      <c r="D1906" s="0" t="inlineStr">
        <is>
          <t xml:space="preserve">AMTM</t>
        </is>
      </c>
      <c r="E1906" s="0" t="inlineStr">
        <is>
          <t xml:space="preserve">industrials</t>
        </is>
      </c>
      <c r="F1906" s="4">
        <v>5</v>
      </c>
    </row>
    <row r="1907">
      <c r="A1907" s="0" t="inlineStr">
        <is>
          <t xml:space="preserve">random_10_HTO</t>
        </is>
      </c>
      <c r="B1907" s="0" t="inlineStr">
        <is>
          <t xml:space="preserve">random_10</t>
        </is>
      </c>
      <c r="C1907" s="0" t="inlineStr">
        <is>
          <t xml:space="preserve">d20260923</t>
        </is>
      </c>
      <c r="D1907" s="0" t="inlineStr">
        <is>
          <t xml:space="preserve">HTO</t>
        </is>
      </c>
      <c r="E1907" s="0" t="inlineStr">
        <is>
          <t xml:space="preserve">utilities</t>
        </is>
      </c>
      <c r="F1907" s="4">
        <v>6</v>
      </c>
    </row>
    <row r="1908">
      <c r="A1908" s="0" t="inlineStr">
        <is>
          <t xml:space="preserve">random_10_ELF</t>
        </is>
      </c>
      <c r="B1908" s="0" t="inlineStr">
        <is>
          <t xml:space="preserve">random_10</t>
        </is>
      </c>
      <c r="C1908" s="0" t="inlineStr">
        <is>
          <t xml:space="preserve">d20260923</t>
        </is>
      </c>
      <c r="D1908" s="0" t="inlineStr">
        <is>
          <t xml:space="preserve">ELF</t>
        </is>
      </c>
      <c r="E1908" s="0" t="inlineStr">
        <is>
          <t xml:space="preserve">consumer_defensive</t>
        </is>
      </c>
      <c r="F1908" s="4">
        <v>7</v>
      </c>
    </row>
    <row r="1909">
      <c r="A1909" s="0" t="inlineStr">
        <is>
          <t xml:space="preserve">random_10_NEE</t>
        </is>
      </c>
      <c r="B1909" s="0" t="inlineStr">
        <is>
          <t xml:space="preserve">random_10</t>
        </is>
      </c>
      <c r="C1909" s="0" t="inlineStr">
        <is>
          <t xml:space="preserve">d20260923</t>
        </is>
      </c>
      <c r="D1909" s="0" t="inlineStr">
        <is>
          <t xml:space="preserve">NEE</t>
        </is>
      </c>
      <c r="E1909" s="0" t="inlineStr">
        <is>
          <t xml:space="preserve">utilities</t>
        </is>
      </c>
      <c r="F1909" s="4">
        <v>8</v>
      </c>
    </row>
    <row r="1910">
      <c r="A1910" s="0" t="inlineStr">
        <is>
          <t xml:space="preserve">random_10_PLNT</t>
        </is>
      </c>
      <c r="B1910" s="0" t="inlineStr">
        <is>
          <t xml:space="preserve">random_10</t>
        </is>
      </c>
      <c r="C1910" s="0" t="inlineStr">
        <is>
          <t xml:space="preserve">d20260923</t>
        </is>
      </c>
      <c r="D1910" s="0" t="inlineStr">
        <is>
          <t xml:space="preserve">PLNT</t>
        </is>
      </c>
      <c r="E1910" s="0" t="inlineStr">
        <is>
          <t xml:space="preserve">consumer_cyclical</t>
        </is>
      </c>
      <c r="F1910" s="4">
        <v>9</v>
      </c>
    </row>
    <row r="1911">
      <c r="A1911" s="0" t="inlineStr">
        <is>
          <t xml:space="preserve">random_10_PHIN</t>
        </is>
      </c>
      <c r="B1911" s="0" t="inlineStr">
        <is>
          <t xml:space="preserve">random_10</t>
        </is>
      </c>
      <c r="C1911" s="0" t="inlineStr">
        <is>
          <t xml:space="preserve">d20260923</t>
        </is>
      </c>
      <c r="D1911" s="0" t="inlineStr">
        <is>
          <t xml:space="preserve">PHIN</t>
        </is>
      </c>
      <c r="E1911" s="0" t="inlineStr">
        <is>
          <t xml:space="preserve">consumer_cyclical</t>
        </is>
      </c>
      <c r="F1911" s="4">
        <v>10</v>
      </c>
    </row>
    <row r="1912">
      <c r="A1912" s="0" t="inlineStr">
        <is>
          <t xml:space="preserve">random_10_APPN</t>
        </is>
      </c>
      <c r="B1912" s="0" t="inlineStr">
        <is>
          <t xml:space="preserve">random_10</t>
        </is>
      </c>
      <c r="C1912" s="0" t="inlineStr">
        <is>
          <t xml:space="preserve">d20260923</t>
        </is>
      </c>
      <c r="D1912" s="0" t="inlineStr">
        <is>
          <t xml:space="preserve">APPN</t>
        </is>
      </c>
      <c r="E1912" s="0" t="inlineStr">
        <is>
          <t xml:space="preserve">technology</t>
        </is>
      </c>
      <c r="F1912" s="4">
        <v>11</v>
      </c>
    </row>
    <row r="1913">
      <c r="A1913" s="0" t="inlineStr">
        <is>
          <t xml:space="preserve">random_10_BXSL</t>
        </is>
      </c>
      <c r="B1913" s="0" t="inlineStr">
        <is>
          <t xml:space="preserve">random_10</t>
        </is>
      </c>
      <c r="C1913" s="0" t="inlineStr">
        <is>
          <t xml:space="preserve">d20260923</t>
        </is>
      </c>
      <c r="D1913" s="0" t="inlineStr">
        <is>
          <t xml:space="preserve">BXSL</t>
        </is>
      </c>
      <c r="E1913" s="0" t="inlineStr">
        <is>
          <t xml:space="preserve">financial_services</t>
        </is>
      </c>
      <c r="F1913" s="4">
        <v>12</v>
      </c>
    </row>
    <row r="1914">
      <c r="A1914" s="0" t="inlineStr">
        <is>
          <t xml:space="preserve">random_10_LPX</t>
        </is>
      </c>
      <c r="B1914" s="0" t="inlineStr">
        <is>
          <t xml:space="preserve">random_10</t>
        </is>
      </c>
      <c r="C1914" s="0" t="inlineStr">
        <is>
          <t xml:space="preserve">d20260923</t>
        </is>
      </c>
      <c r="D1914" s="0" t="inlineStr">
        <is>
          <t xml:space="preserve">LPX</t>
        </is>
      </c>
      <c r="E1914" s="0" t="inlineStr">
        <is>
          <t xml:space="preserve">basic_materials</t>
        </is>
      </c>
      <c r="F1914" s="4">
        <v>13</v>
      </c>
    </row>
    <row r="1915">
      <c r="A1915" s="0" t="inlineStr">
        <is>
          <t xml:space="preserve">random_10_ALH</t>
        </is>
      </c>
      <c r="B1915" s="0" t="inlineStr">
        <is>
          <t xml:space="preserve">random_10</t>
        </is>
      </c>
      <c r="C1915" s="0" t="inlineStr">
        <is>
          <t xml:space="preserve">d20260923</t>
        </is>
      </c>
      <c r="D1915" s="0" t="inlineStr">
        <is>
          <t xml:space="preserve">ALH</t>
        </is>
      </c>
      <c r="E1915" s="0" t="inlineStr">
        <is>
          <t xml:space="preserve">industrials</t>
        </is>
      </c>
      <c r="F1915" s="4">
        <v>14</v>
      </c>
    </row>
    <row r="1916">
      <c r="A1916" s="0" t="inlineStr">
        <is>
          <t xml:space="preserve">random_10_SLGN</t>
        </is>
      </c>
      <c r="B1916" s="0" t="inlineStr">
        <is>
          <t xml:space="preserve">random_10</t>
        </is>
      </c>
      <c r="C1916" s="0" t="inlineStr">
        <is>
          <t xml:space="preserve">d20260923</t>
        </is>
      </c>
      <c r="D1916" s="0" t="inlineStr">
        <is>
          <t xml:space="preserve">SLGN</t>
        </is>
      </c>
      <c r="E1916" s="0" t="inlineStr">
        <is>
          <t xml:space="preserve">consumer_cyclical</t>
        </is>
      </c>
      <c r="F1916" s="4">
        <v>15</v>
      </c>
    </row>
    <row r="1917">
      <c r="A1917" s="0" t="inlineStr">
        <is>
          <t xml:space="preserve">random_10_OXY</t>
        </is>
      </c>
      <c r="B1917" s="0" t="inlineStr">
        <is>
          <t xml:space="preserve">random_10</t>
        </is>
      </c>
      <c r="C1917" s="0" t="inlineStr">
        <is>
          <t xml:space="preserve">d20260923</t>
        </is>
      </c>
      <c r="D1917" s="0" t="inlineStr">
        <is>
          <t xml:space="preserve">OXY</t>
        </is>
      </c>
      <c r="E1917" s="0" t="inlineStr">
        <is>
          <t xml:space="preserve">energy</t>
        </is>
      </c>
      <c r="F1917" s="4">
        <v>16</v>
      </c>
    </row>
    <row r="1918">
      <c r="A1918" s="0" t="inlineStr">
        <is>
          <t xml:space="preserve">random_10_INGR</t>
        </is>
      </c>
      <c r="B1918" s="0" t="inlineStr">
        <is>
          <t xml:space="preserve">random_10</t>
        </is>
      </c>
      <c r="C1918" s="0" t="inlineStr">
        <is>
          <t xml:space="preserve">d20260923</t>
        </is>
      </c>
      <c r="D1918" s="0" t="inlineStr">
        <is>
          <t xml:space="preserve">INGR</t>
        </is>
      </c>
      <c r="E1918" s="0" t="inlineStr">
        <is>
          <t xml:space="preserve">consumer_defensive</t>
        </is>
      </c>
      <c r="F1918" s="4">
        <v>17</v>
      </c>
    </row>
    <row r="1919">
      <c r="A1919" s="0" t="inlineStr">
        <is>
          <t xml:space="preserve">random_10_FTNT</t>
        </is>
      </c>
      <c r="B1919" s="0" t="inlineStr">
        <is>
          <t xml:space="preserve">random_10</t>
        </is>
      </c>
      <c r="C1919" s="0" t="inlineStr">
        <is>
          <t xml:space="preserve">d20260923</t>
        </is>
      </c>
      <c r="D1919" s="0" t="inlineStr">
        <is>
          <t xml:space="preserve">FTNT</t>
        </is>
      </c>
      <c r="E1919" s="0" t="inlineStr">
        <is>
          <t xml:space="preserve">technology</t>
        </is>
      </c>
      <c r="F1919" s="4">
        <v>18</v>
      </c>
    </row>
    <row r="1920">
      <c r="A1920" s="0" t="inlineStr">
        <is>
          <t xml:space="preserve">random_10_MRSH</t>
        </is>
      </c>
      <c r="B1920" s="0" t="inlineStr">
        <is>
          <t xml:space="preserve">random_10</t>
        </is>
      </c>
      <c r="C1920" s="0" t="inlineStr">
        <is>
          <t xml:space="preserve">d20260923</t>
        </is>
      </c>
      <c r="D1920" s="0" t="inlineStr">
        <is>
          <t xml:space="preserve">MRSH</t>
        </is>
      </c>
      <c r="E1920" s="0" t="inlineStr">
        <is>
          <t xml:space="preserve">financial_services</t>
        </is>
      </c>
      <c r="F1920" s="4">
        <v>19</v>
      </c>
    </row>
    <row r="1921">
      <c r="A1921" s="0" t="inlineStr">
        <is>
          <t xml:space="preserve">random_10_CMG</t>
        </is>
      </c>
      <c r="B1921" s="0" t="inlineStr">
        <is>
          <t xml:space="preserve">random_10</t>
        </is>
      </c>
      <c r="C1921" s="0" t="inlineStr">
        <is>
          <t xml:space="preserve">d20260923</t>
        </is>
      </c>
      <c r="D1921" s="0" t="inlineStr">
        <is>
          <t xml:space="preserve">CMG</t>
        </is>
      </c>
      <c r="E1921" s="0" t="inlineStr">
        <is>
          <t xml:space="preserve">consumer_cyclical</t>
        </is>
      </c>
      <c r="F1921" s="4">
        <v>20</v>
      </c>
    </row>
    <row r="1922">
      <c r="A1922" s="0" t="inlineStr">
        <is>
          <t xml:space="preserve">random_10_DFTX</t>
        </is>
      </c>
      <c r="B1922" s="0" t="inlineStr">
        <is>
          <t xml:space="preserve">random_10</t>
        </is>
      </c>
      <c r="C1922" s="0" t="inlineStr">
        <is>
          <t xml:space="preserve">d20260923</t>
        </is>
      </c>
      <c r="D1922" s="0" t="inlineStr">
        <is>
          <t xml:space="preserve">DFTX</t>
        </is>
      </c>
      <c r="E1922" s="0" t="inlineStr">
        <is>
          <t xml:space="preserve">healthcare</t>
        </is>
      </c>
      <c r="F1922" s="4">
        <v>21</v>
      </c>
    </row>
    <row r="1923">
      <c r="A1923" s="0" t="inlineStr">
        <is>
          <t xml:space="preserve">random_10_WES</t>
        </is>
      </c>
      <c r="B1923" s="0" t="inlineStr">
        <is>
          <t xml:space="preserve">random_10</t>
        </is>
      </c>
      <c r="C1923" s="0" t="inlineStr">
        <is>
          <t xml:space="preserve">d20260923</t>
        </is>
      </c>
      <c r="D1923" s="0" t="inlineStr">
        <is>
          <t xml:space="preserve">WES</t>
        </is>
      </c>
      <c r="E1923" s="0" t="inlineStr">
        <is>
          <t xml:space="preserve">energy</t>
        </is>
      </c>
      <c r="F1923" s="4">
        <v>22</v>
      </c>
    </row>
    <row r="1924">
      <c r="A1924" s="0" t="inlineStr">
        <is>
          <t xml:space="preserve">random_10_DYN</t>
        </is>
      </c>
      <c r="B1924" s="0" t="inlineStr">
        <is>
          <t xml:space="preserve">random_10</t>
        </is>
      </c>
      <c r="C1924" s="0" t="inlineStr">
        <is>
          <t xml:space="preserve">d20260923</t>
        </is>
      </c>
      <c r="D1924" s="0" t="inlineStr">
        <is>
          <t xml:space="preserve">DYN</t>
        </is>
      </c>
      <c r="E1924" s="0" t="inlineStr">
        <is>
          <t xml:space="preserve">healthcare</t>
        </is>
      </c>
      <c r="F1924" s="4">
        <v>23</v>
      </c>
    </row>
    <row r="1925">
      <c r="A1925" s="0" t="inlineStr">
        <is>
          <t xml:space="preserve">random_10_SPXC</t>
        </is>
      </c>
      <c r="B1925" s="0" t="inlineStr">
        <is>
          <t xml:space="preserve">random_10</t>
        </is>
      </c>
      <c r="C1925" s="0" t="inlineStr">
        <is>
          <t xml:space="preserve">d20260923</t>
        </is>
      </c>
      <c r="D1925" s="0" t="inlineStr">
        <is>
          <t xml:space="preserve">SPXC</t>
        </is>
      </c>
      <c r="E1925" s="0" t="inlineStr">
        <is>
          <t xml:space="preserve">basic_materials</t>
        </is>
      </c>
      <c r="F1925" s="4">
        <v>24</v>
      </c>
    </row>
    <row r="1926">
      <c r="A1926" s="0" t="inlineStr">
        <is>
          <t xml:space="preserve">random_10_PSN</t>
        </is>
      </c>
      <c r="B1926" s="0" t="inlineStr">
        <is>
          <t xml:space="preserve">random_10</t>
        </is>
      </c>
      <c r="C1926" s="0" t="inlineStr">
        <is>
          <t xml:space="preserve">d20260923</t>
        </is>
      </c>
      <c r="D1926" s="0" t="inlineStr">
        <is>
          <t xml:space="preserve">PSN</t>
        </is>
      </c>
      <c r="E1926" s="0" t="inlineStr">
        <is>
          <t xml:space="preserve">technology</t>
        </is>
      </c>
      <c r="F1926" s="4">
        <v>25</v>
      </c>
    </row>
    <row r="1927">
      <c r="A1927" s="0" t="inlineStr">
        <is>
          <t xml:space="preserve">random_10_KD</t>
        </is>
      </c>
      <c r="B1927" s="0" t="inlineStr">
        <is>
          <t xml:space="preserve">random_10</t>
        </is>
      </c>
      <c r="C1927" s="0" t="inlineStr">
        <is>
          <t xml:space="preserve">d20260923</t>
        </is>
      </c>
      <c r="D1927" s="0" t="inlineStr">
        <is>
          <t xml:space="preserve">KD</t>
        </is>
      </c>
      <c r="E1927" s="0" t="inlineStr">
        <is>
          <t xml:space="preserve">technology</t>
        </is>
      </c>
      <c r="F1927" s="4">
        <v>26</v>
      </c>
    </row>
    <row r="1928">
      <c r="A1928" s="0" t="inlineStr">
        <is>
          <t xml:space="preserve">random_10_IFF</t>
        </is>
      </c>
      <c r="B1928" s="0" t="inlineStr">
        <is>
          <t xml:space="preserve">random_10</t>
        </is>
      </c>
      <c r="C1928" s="0" t="inlineStr">
        <is>
          <t xml:space="preserve">d20260923</t>
        </is>
      </c>
      <c r="D1928" s="0" t="inlineStr">
        <is>
          <t xml:space="preserve">IFF</t>
        </is>
      </c>
      <c r="E1928" s="0" t="inlineStr">
        <is>
          <t xml:space="preserve">basic_materials</t>
        </is>
      </c>
      <c r="F1928" s="4">
        <v>27</v>
      </c>
    </row>
    <row r="1929">
      <c r="A1929" s="0" t="inlineStr">
        <is>
          <t xml:space="preserve">random_10_FICO</t>
        </is>
      </c>
      <c r="B1929" s="0" t="inlineStr">
        <is>
          <t xml:space="preserve">random_10</t>
        </is>
      </c>
      <c r="C1929" s="0" t="inlineStr">
        <is>
          <t xml:space="preserve">d20260923</t>
        </is>
      </c>
      <c r="D1929" s="0" t="inlineStr">
        <is>
          <t xml:space="preserve">FICO</t>
        </is>
      </c>
      <c r="E1929" s="0" t="inlineStr">
        <is>
          <t xml:space="preserve">technology</t>
        </is>
      </c>
      <c r="F1929" s="4">
        <v>28</v>
      </c>
    </row>
    <row r="1930">
      <c r="A1930" s="0" t="inlineStr">
        <is>
          <t xml:space="preserve">random_10_MTG</t>
        </is>
      </c>
      <c r="B1930" s="0" t="inlineStr">
        <is>
          <t xml:space="preserve">random_10</t>
        </is>
      </c>
      <c r="C1930" s="0" t="inlineStr">
        <is>
          <t xml:space="preserve">d20260923</t>
        </is>
      </c>
      <c r="D1930" s="0" t="inlineStr">
        <is>
          <t xml:space="preserve">MTG</t>
        </is>
      </c>
      <c r="E1930" s="0" t="inlineStr">
        <is>
          <t xml:space="preserve">financial_services</t>
        </is>
      </c>
      <c r="F1930" s="4">
        <v>29</v>
      </c>
    </row>
    <row r="1931">
      <c r="A1931" s="0" t="inlineStr">
        <is>
          <t xml:space="preserve">random_10_SRPT</t>
        </is>
      </c>
      <c r="B1931" s="0" t="inlineStr">
        <is>
          <t xml:space="preserve">random_10</t>
        </is>
      </c>
      <c r="C1931" s="0" t="inlineStr">
        <is>
          <t xml:space="preserve">d20260923</t>
        </is>
      </c>
      <c r="D1931" s="0" t="inlineStr">
        <is>
          <t xml:space="preserve">SRPT</t>
        </is>
      </c>
      <c r="E1931" s="0" t="inlineStr">
        <is>
          <t xml:space="preserve">healthcare</t>
        </is>
      </c>
      <c r="F1931" s="4">
        <v>30</v>
      </c>
    </row>
    <row r="1932">
      <c r="A1932" s="0" t="inlineStr">
        <is>
          <t xml:space="preserve">random_10_WLK</t>
        </is>
      </c>
      <c r="B1932" s="0" t="inlineStr">
        <is>
          <t xml:space="preserve">random_10</t>
        </is>
      </c>
      <c r="C1932" s="0" t="inlineStr">
        <is>
          <t xml:space="preserve">d20260923</t>
        </is>
      </c>
      <c r="D1932" s="0" t="inlineStr">
        <is>
          <t xml:space="preserve">WLK</t>
        </is>
      </c>
      <c r="E1932" s="0" t="inlineStr">
        <is>
          <t xml:space="preserve">basic_materials</t>
        </is>
      </c>
      <c r="F1932" s="4">
        <v>31</v>
      </c>
    </row>
    <row r="1933">
      <c r="A1933" s="0" t="inlineStr">
        <is>
          <t xml:space="preserve">random_10_FSLY</t>
        </is>
      </c>
      <c r="B1933" s="0" t="inlineStr">
        <is>
          <t xml:space="preserve">random_10</t>
        </is>
      </c>
      <c r="C1933" s="0" t="inlineStr">
        <is>
          <t xml:space="preserve">d20260923</t>
        </is>
      </c>
      <c r="D1933" s="0" t="inlineStr">
        <is>
          <t xml:space="preserve">FSLY</t>
        </is>
      </c>
      <c r="E1933" s="0" t="inlineStr">
        <is>
          <t xml:space="preserve">technology</t>
        </is>
      </c>
      <c r="F1933" s="4">
        <v>32</v>
      </c>
    </row>
    <row r="1934">
      <c r="A1934" s="0" t="inlineStr">
        <is>
          <t xml:space="preserve">random_10_KFY</t>
        </is>
      </c>
      <c r="B1934" s="0" t="inlineStr">
        <is>
          <t xml:space="preserve">random_10</t>
        </is>
      </c>
      <c r="C1934" s="0" t="inlineStr">
        <is>
          <t xml:space="preserve">d20260923</t>
        </is>
      </c>
      <c r="D1934" s="0" t="inlineStr">
        <is>
          <t xml:space="preserve">KFY</t>
        </is>
      </c>
      <c r="E1934" s="0" t="inlineStr">
        <is>
          <t xml:space="preserve">industrials</t>
        </is>
      </c>
      <c r="F1934" s="4">
        <v>33</v>
      </c>
    </row>
    <row r="1935">
      <c r="A1935" s="0" t="inlineStr">
        <is>
          <t xml:space="preserve">random_10_SDRL</t>
        </is>
      </c>
      <c r="B1935" s="0" t="inlineStr">
        <is>
          <t xml:space="preserve">random_10</t>
        </is>
      </c>
      <c r="C1935" s="0" t="inlineStr">
        <is>
          <t xml:space="preserve">d20260923</t>
        </is>
      </c>
      <c r="D1935" s="0" t="inlineStr">
        <is>
          <t xml:space="preserve">SDRL</t>
        </is>
      </c>
      <c r="E1935" s="0" t="inlineStr">
        <is>
          <t xml:space="preserve">energy</t>
        </is>
      </c>
      <c r="F1935" s="4">
        <v>34</v>
      </c>
    </row>
    <row r="1936">
      <c r="A1936" s="0" t="inlineStr">
        <is>
          <t xml:space="preserve">random_10_GFL</t>
        </is>
      </c>
      <c r="B1936" s="0" t="inlineStr">
        <is>
          <t xml:space="preserve">random_10</t>
        </is>
      </c>
      <c r="C1936" s="0" t="inlineStr">
        <is>
          <t xml:space="preserve">d20260923</t>
        </is>
      </c>
      <c r="D1936" s="0" t="inlineStr">
        <is>
          <t xml:space="preserve">GFL</t>
        </is>
      </c>
      <c r="E1936" s="0" t="inlineStr">
        <is>
          <t xml:space="preserve">industrials</t>
        </is>
      </c>
      <c r="F1936" s="4">
        <v>35</v>
      </c>
    </row>
    <row r="1937">
      <c r="A1937" s="0" t="inlineStr">
        <is>
          <t xml:space="preserve">random_10_WRB</t>
        </is>
      </c>
      <c r="B1937" s="0" t="inlineStr">
        <is>
          <t xml:space="preserve">random_10</t>
        </is>
      </c>
      <c r="C1937" s="0" t="inlineStr">
        <is>
          <t xml:space="preserve">d20260923</t>
        </is>
      </c>
      <c r="D1937" s="0" t="inlineStr">
        <is>
          <t xml:space="preserve">WRB</t>
        </is>
      </c>
      <c r="E1937" s="0" t="inlineStr">
        <is>
          <t xml:space="preserve">financial_services</t>
        </is>
      </c>
      <c r="F1937" s="4">
        <v>36</v>
      </c>
    </row>
    <row r="1938">
      <c r="A1938" s="0" t="inlineStr">
        <is>
          <t xml:space="preserve">random_10_WFC</t>
        </is>
      </c>
      <c r="B1938" s="0" t="inlineStr">
        <is>
          <t xml:space="preserve">random_10</t>
        </is>
      </c>
      <c r="C1938" s="0" t="inlineStr">
        <is>
          <t xml:space="preserve">d20260923</t>
        </is>
      </c>
      <c r="D1938" s="0" t="inlineStr">
        <is>
          <t xml:space="preserve">WFC</t>
        </is>
      </c>
      <c r="E1938" s="0" t="inlineStr">
        <is>
          <t xml:space="preserve">financial_services</t>
        </is>
      </c>
      <c r="F1938" s="4">
        <v>37</v>
      </c>
    </row>
    <row r="1939">
      <c r="A1939" s="0" t="inlineStr">
        <is>
          <t xml:space="preserve">random_10_GEN</t>
        </is>
      </c>
      <c r="B1939" s="0" t="inlineStr">
        <is>
          <t xml:space="preserve">random_10</t>
        </is>
      </c>
      <c r="C1939" s="0" t="inlineStr">
        <is>
          <t xml:space="preserve">d20260923</t>
        </is>
      </c>
      <c r="D1939" s="0" t="inlineStr">
        <is>
          <t xml:space="preserve">GEN</t>
        </is>
      </c>
      <c r="E1939" s="0" t="inlineStr">
        <is>
          <t xml:space="preserve">technology</t>
        </is>
      </c>
      <c r="F1939" s="4">
        <v>38</v>
      </c>
    </row>
    <row r="1940">
      <c r="A1940" s="0" t="inlineStr">
        <is>
          <t xml:space="preserve">random_10_CLX</t>
        </is>
      </c>
      <c r="B1940" s="0" t="inlineStr">
        <is>
          <t xml:space="preserve">random_10</t>
        </is>
      </c>
      <c r="C1940" s="0" t="inlineStr">
        <is>
          <t xml:space="preserve">d20260923</t>
        </is>
      </c>
      <c r="D1940" s="0" t="inlineStr">
        <is>
          <t xml:space="preserve">CLX</t>
        </is>
      </c>
      <c r="E1940" s="0" t="inlineStr">
        <is>
          <t xml:space="preserve">consumer_defensive</t>
        </is>
      </c>
      <c r="F1940" s="4">
        <v>39</v>
      </c>
    </row>
    <row r="1941">
      <c r="A1941" s="0" t="inlineStr">
        <is>
          <t xml:space="preserve">random_10_MO</t>
        </is>
      </c>
      <c r="B1941" s="0" t="inlineStr">
        <is>
          <t xml:space="preserve">random_10</t>
        </is>
      </c>
      <c r="C1941" s="0" t="inlineStr">
        <is>
          <t xml:space="preserve">d20260923</t>
        </is>
      </c>
      <c r="D1941" s="0" t="inlineStr">
        <is>
          <t xml:space="preserve">MO</t>
        </is>
      </c>
      <c r="E1941" s="0" t="inlineStr">
        <is>
          <t xml:space="preserve">consumer_defensive</t>
        </is>
      </c>
      <c r="F1941" s="4">
        <v>40</v>
      </c>
    </row>
    <row r="1942">
      <c r="A1942" s="0" t="inlineStr">
        <is>
          <t xml:space="preserve">random_10_MANE</t>
        </is>
      </c>
      <c r="B1942" s="0" t="inlineStr">
        <is>
          <t xml:space="preserve">random_10</t>
        </is>
      </c>
      <c r="C1942" s="0" t="inlineStr">
        <is>
          <t xml:space="preserve">d20260923</t>
        </is>
      </c>
      <c r="D1942" s="0" t="inlineStr">
        <is>
          <t xml:space="preserve">MANE</t>
        </is>
      </c>
      <c r="E1942" s="0" t="inlineStr">
        <is>
          <t xml:space="preserve">healthcare</t>
        </is>
      </c>
      <c r="F1942" s="4">
        <v>41</v>
      </c>
    </row>
    <row r="1943">
      <c r="A1943" s="0" t="inlineStr">
        <is>
          <t xml:space="preserve">random_10_BG</t>
        </is>
      </c>
      <c r="B1943" s="0" t="inlineStr">
        <is>
          <t xml:space="preserve">random_10</t>
        </is>
      </c>
      <c r="C1943" s="0" t="inlineStr">
        <is>
          <t xml:space="preserve">d20260923</t>
        </is>
      </c>
      <c r="D1943" s="0" t="inlineStr">
        <is>
          <t xml:space="preserve">BG</t>
        </is>
      </c>
      <c r="E1943" s="0" t="inlineStr">
        <is>
          <t xml:space="preserve">consumer_defensive</t>
        </is>
      </c>
      <c r="F1943" s="4">
        <v>42</v>
      </c>
    </row>
    <row r="1944">
      <c r="A1944" s="0" t="inlineStr">
        <is>
          <t xml:space="preserve">random_10_EWTX</t>
        </is>
      </c>
      <c r="B1944" s="0" t="inlineStr">
        <is>
          <t xml:space="preserve">random_10</t>
        </is>
      </c>
      <c r="C1944" s="0" t="inlineStr">
        <is>
          <t xml:space="preserve">d20260923</t>
        </is>
      </c>
      <c r="D1944" s="0" t="inlineStr">
        <is>
          <t xml:space="preserve">EWTX</t>
        </is>
      </c>
      <c r="E1944" s="0" t="inlineStr">
        <is>
          <t xml:space="preserve">healthcare</t>
        </is>
      </c>
      <c r="F1944" s="4">
        <v>43</v>
      </c>
    </row>
    <row r="1945">
      <c r="A1945" s="0" t="inlineStr">
        <is>
          <t xml:space="preserve">random_10_ESS</t>
        </is>
      </c>
      <c r="B1945" s="0" t="inlineStr">
        <is>
          <t xml:space="preserve">random_10</t>
        </is>
      </c>
      <c r="C1945" s="0" t="inlineStr">
        <is>
          <t xml:space="preserve">d20260923</t>
        </is>
      </c>
      <c r="D1945" s="0" t="inlineStr">
        <is>
          <t xml:space="preserve">ESS</t>
        </is>
      </c>
      <c r="E1945" s="0" t="inlineStr">
        <is>
          <t xml:space="preserve">real_estate</t>
        </is>
      </c>
      <c r="F1945" s="4">
        <v>44</v>
      </c>
    </row>
    <row r="1946">
      <c r="A1946" s="0" t="inlineStr">
        <is>
          <t xml:space="preserve">random_10_NXT</t>
        </is>
      </c>
      <c r="B1946" s="0" t="inlineStr">
        <is>
          <t xml:space="preserve">random_10</t>
        </is>
      </c>
      <c r="C1946" s="0" t="inlineStr">
        <is>
          <t xml:space="preserve">d20260923</t>
        </is>
      </c>
      <c r="D1946" s="0" t="inlineStr">
        <is>
          <t xml:space="preserve">NXT</t>
        </is>
      </c>
      <c r="E1946" s="0" t="inlineStr">
        <is>
          <t xml:space="preserve">energy</t>
        </is>
      </c>
      <c r="F1946" s="4">
        <v>45</v>
      </c>
    </row>
    <row r="1947">
      <c r="A1947" s="0" t="inlineStr">
        <is>
          <t xml:space="preserve">random_10_FIG</t>
        </is>
      </c>
      <c r="B1947" s="0" t="inlineStr">
        <is>
          <t xml:space="preserve">random_10</t>
        </is>
      </c>
      <c r="C1947" s="0" t="inlineStr">
        <is>
          <t xml:space="preserve">d20260923</t>
        </is>
      </c>
      <c r="D1947" s="0" t="inlineStr">
        <is>
          <t xml:space="preserve">FIG</t>
        </is>
      </c>
      <c r="E1947" s="0" t="inlineStr">
        <is>
          <t xml:space="preserve">technology</t>
        </is>
      </c>
      <c r="F1947" s="4">
        <v>46</v>
      </c>
    </row>
    <row r="1948">
      <c r="A1948" s="0" t="inlineStr">
        <is>
          <t xml:space="preserve">random_10_EVR</t>
        </is>
      </c>
      <c r="B1948" s="0" t="inlineStr">
        <is>
          <t xml:space="preserve">random_10</t>
        </is>
      </c>
      <c r="C1948" s="0" t="inlineStr">
        <is>
          <t xml:space="preserve">d20260923</t>
        </is>
      </c>
      <c r="D1948" s="0" t="inlineStr">
        <is>
          <t xml:space="preserve">EVR</t>
        </is>
      </c>
      <c r="E1948" s="0" t="inlineStr">
        <is>
          <t xml:space="preserve">financial_services</t>
        </is>
      </c>
      <c r="F1948" s="4">
        <v>47</v>
      </c>
    </row>
    <row r="1949">
      <c r="A1949" s="0" t="inlineStr">
        <is>
          <t xml:space="preserve">random_10_MRK</t>
        </is>
      </c>
      <c r="B1949" s="0" t="inlineStr">
        <is>
          <t xml:space="preserve">random_10</t>
        </is>
      </c>
      <c r="C1949" s="0" t="inlineStr">
        <is>
          <t xml:space="preserve">d20260923</t>
        </is>
      </c>
      <c r="D1949" s="0" t="inlineStr">
        <is>
          <t xml:space="preserve">MRK</t>
        </is>
      </c>
      <c r="E1949" s="0" t="inlineStr">
        <is>
          <t xml:space="preserve">healthcare</t>
        </is>
      </c>
      <c r="F1949" s="4">
        <v>48</v>
      </c>
    </row>
    <row r="1950">
      <c r="A1950" s="0" t="inlineStr">
        <is>
          <t xml:space="preserve">random_10_O</t>
        </is>
      </c>
      <c r="B1950" s="0" t="inlineStr">
        <is>
          <t xml:space="preserve">random_10</t>
        </is>
      </c>
      <c r="C1950" s="0" t="inlineStr">
        <is>
          <t xml:space="preserve">d20260923</t>
        </is>
      </c>
      <c r="D1950" s="0" t="inlineStr">
        <is>
          <t xml:space="preserve">O</t>
        </is>
      </c>
      <c r="E1950" s="0" t="inlineStr">
        <is>
          <t xml:space="preserve">real_estate</t>
        </is>
      </c>
      <c r="F1950" s="4">
        <v>49</v>
      </c>
    </row>
    <row r="1951">
      <c r="A1951" s="0" t="inlineStr">
        <is>
          <t xml:space="preserve">random_10_PODD</t>
        </is>
      </c>
      <c r="B1951" s="0" t="inlineStr">
        <is>
          <t xml:space="preserve">random_10</t>
        </is>
      </c>
      <c r="C1951" s="0" t="inlineStr">
        <is>
          <t xml:space="preserve">d20260923</t>
        </is>
      </c>
      <c r="D1951" s="0" t="inlineStr">
        <is>
          <t xml:space="preserve">PODD</t>
        </is>
      </c>
      <c r="E1951" s="0" t="inlineStr">
        <is>
          <t xml:space="preserve">healthcare</t>
        </is>
      </c>
      <c r="F1951" s="4">
        <v>50</v>
      </c>
    </row>
    <row r="1952">
      <c r="A1952" s="0" t="inlineStr">
        <is>
          <t xml:space="preserve">random_10_NOV</t>
        </is>
      </c>
      <c r="B1952" s="0" t="inlineStr">
        <is>
          <t xml:space="preserve">random_10</t>
        </is>
      </c>
      <c r="C1952" s="0" t="inlineStr">
        <is>
          <t xml:space="preserve">d20260923</t>
        </is>
      </c>
      <c r="D1952" s="0" t="inlineStr">
        <is>
          <t xml:space="preserve">NOV</t>
        </is>
      </c>
      <c r="E1952" s="0" t="inlineStr">
        <is>
          <t xml:space="preserve">energy</t>
        </is>
      </c>
      <c r="F1952" s="4">
        <v>51</v>
      </c>
    </row>
    <row r="1953">
      <c r="A1953" s="0" t="inlineStr">
        <is>
          <t xml:space="preserve">random_10_FND</t>
        </is>
      </c>
      <c r="B1953" s="0" t="inlineStr">
        <is>
          <t xml:space="preserve">random_10</t>
        </is>
      </c>
      <c r="C1953" s="0" t="inlineStr">
        <is>
          <t xml:space="preserve">d20260923</t>
        </is>
      </c>
      <c r="D1953" s="0" t="inlineStr">
        <is>
          <t xml:space="preserve">FND</t>
        </is>
      </c>
      <c r="E1953" s="0" t="inlineStr">
        <is>
          <t xml:space="preserve">consumer_cyclical</t>
        </is>
      </c>
      <c r="F1953" s="4">
        <v>52</v>
      </c>
    </row>
    <row r="1954">
      <c r="A1954" s="0" t="inlineStr">
        <is>
          <t xml:space="preserve">random_10_LOAR</t>
        </is>
      </c>
      <c r="B1954" s="0" t="inlineStr">
        <is>
          <t xml:space="preserve">random_10</t>
        </is>
      </c>
      <c r="C1954" s="0" t="inlineStr">
        <is>
          <t xml:space="preserve">d20260923</t>
        </is>
      </c>
      <c r="D1954" s="0" t="inlineStr">
        <is>
          <t xml:space="preserve">LOAR</t>
        </is>
      </c>
      <c r="E1954" s="0" t="inlineStr">
        <is>
          <t xml:space="preserve">industrials</t>
        </is>
      </c>
      <c r="F1954" s="4">
        <v>53</v>
      </c>
    </row>
    <row r="1955">
      <c r="A1955" s="0" t="inlineStr">
        <is>
          <t xml:space="preserve">random_10_GOLF</t>
        </is>
      </c>
      <c r="B1955" s="0" t="inlineStr">
        <is>
          <t xml:space="preserve">random_10</t>
        </is>
      </c>
      <c r="C1955" s="0" t="inlineStr">
        <is>
          <t xml:space="preserve">d20260923</t>
        </is>
      </c>
      <c r="D1955" s="0" t="inlineStr">
        <is>
          <t xml:space="preserve">GOLF</t>
        </is>
      </c>
      <c r="E1955" s="0" t="inlineStr">
        <is>
          <t xml:space="preserve">consumer_cyclical</t>
        </is>
      </c>
      <c r="F1955" s="4">
        <v>54</v>
      </c>
    </row>
    <row r="1956">
      <c r="A1956" s="0" t="inlineStr">
        <is>
          <t xml:space="preserve">random_10_Q</t>
        </is>
      </c>
      <c r="B1956" s="0" t="inlineStr">
        <is>
          <t xml:space="preserve">random_10</t>
        </is>
      </c>
      <c r="C1956" s="0" t="inlineStr">
        <is>
          <t xml:space="preserve">d20260923</t>
        </is>
      </c>
      <c r="D1956" s="0" t="inlineStr">
        <is>
          <t xml:space="preserve">Q</t>
        </is>
      </c>
      <c r="E1956" s="0" t="inlineStr">
        <is>
          <t xml:space="preserve">technology</t>
        </is>
      </c>
      <c r="F1956" s="4">
        <v>55</v>
      </c>
    </row>
    <row r="1957">
      <c r="A1957" s="0" t="inlineStr">
        <is>
          <t xml:space="preserve">random_10_ULTA</t>
        </is>
      </c>
      <c r="B1957" s="0" t="inlineStr">
        <is>
          <t xml:space="preserve">random_10</t>
        </is>
      </c>
      <c r="C1957" s="0" t="inlineStr">
        <is>
          <t xml:space="preserve">d20260923</t>
        </is>
      </c>
      <c r="D1957" s="0" t="inlineStr">
        <is>
          <t xml:space="preserve">ULTA</t>
        </is>
      </c>
      <c r="E1957" s="0" t="inlineStr">
        <is>
          <t xml:space="preserve">consumer_cyclical</t>
        </is>
      </c>
      <c r="F1957" s="4">
        <v>56</v>
      </c>
    </row>
    <row r="1958">
      <c r="A1958" s="0" t="inlineStr">
        <is>
          <t xml:space="preserve">random_10_TRVI</t>
        </is>
      </c>
      <c r="B1958" s="0" t="inlineStr">
        <is>
          <t xml:space="preserve">random_10</t>
        </is>
      </c>
      <c r="C1958" s="0" t="inlineStr">
        <is>
          <t xml:space="preserve">d20260923</t>
        </is>
      </c>
      <c r="D1958" s="0" t="inlineStr">
        <is>
          <t xml:space="preserve">TRVI</t>
        </is>
      </c>
      <c r="E1958" s="0" t="inlineStr">
        <is>
          <t xml:space="preserve">healthcare</t>
        </is>
      </c>
      <c r="F1958" s="4">
        <v>57</v>
      </c>
    </row>
    <row r="1959">
      <c r="A1959" s="0" t="inlineStr">
        <is>
          <t xml:space="preserve">random_10_RDNT</t>
        </is>
      </c>
      <c r="B1959" s="0" t="inlineStr">
        <is>
          <t xml:space="preserve">random_10</t>
        </is>
      </c>
      <c r="C1959" s="0" t="inlineStr">
        <is>
          <t xml:space="preserve">d20260923</t>
        </is>
      </c>
      <c r="D1959" s="0" t="inlineStr">
        <is>
          <t xml:space="preserve">RDNT</t>
        </is>
      </c>
      <c r="E1959" s="0" t="inlineStr">
        <is>
          <t xml:space="preserve">healthcare</t>
        </is>
      </c>
      <c r="F1959" s="4">
        <v>58</v>
      </c>
    </row>
    <row r="1960">
      <c r="A1960" s="0" t="inlineStr">
        <is>
          <t xml:space="preserve">random_10_MAIR</t>
        </is>
      </c>
      <c r="B1960" s="0" t="inlineStr">
        <is>
          <t xml:space="preserve">random_10</t>
        </is>
      </c>
      <c r="C1960" s="0" t="inlineStr">
        <is>
          <t xml:space="preserve">d20260923</t>
        </is>
      </c>
      <c r="D1960" s="0" t="inlineStr">
        <is>
          <t xml:space="preserve">MAIR</t>
        </is>
      </c>
      <c r="E1960" s="0" t="inlineStr">
        <is>
          <t xml:space="preserve">industrials</t>
        </is>
      </c>
      <c r="F1960" s="4">
        <v>59</v>
      </c>
    </row>
    <row r="1961">
      <c r="A1961" s="0" t="inlineStr">
        <is>
          <t xml:space="preserve">random_10_UBSI</t>
        </is>
      </c>
      <c r="B1961" s="0" t="inlineStr">
        <is>
          <t xml:space="preserve">random_10</t>
        </is>
      </c>
      <c r="C1961" s="0" t="inlineStr">
        <is>
          <t xml:space="preserve">d20260923</t>
        </is>
      </c>
      <c r="D1961" s="0" t="inlineStr">
        <is>
          <t xml:space="preserve">UBSI</t>
        </is>
      </c>
      <c r="E1961" s="0" t="inlineStr">
        <is>
          <t xml:space="preserve">financial_services</t>
        </is>
      </c>
      <c r="F1961" s="4">
        <v>60</v>
      </c>
    </row>
    <row r="1962">
      <c r="A1962" s="0" t="inlineStr">
        <is>
          <t xml:space="preserve">random_10_EPRT</t>
        </is>
      </c>
      <c r="B1962" s="0" t="inlineStr">
        <is>
          <t xml:space="preserve">random_10</t>
        </is>
      </c>
      <c r="C1962" s="0" t="inlineStr">
        <is>
          <t xml:space="preserve">d20260923</t>
        </is>
      </c>
      <c r="D1962" s="0" t="inlineStr">
        <is>
          <t xml:space="preserve">EPRT</t>
        </is>
      </c>
      <c r="E1962" s="0" t="inlineStr">
        <is>
          <t xml:space="preserve">real_estate</t>
        </is>
      </c>
      <c r="F1962" s="4">
        <v>61</v>
      </c>
    </row>
    <row r="1963">
      <c r="A1963" s="0" t="inlineStr">
        <is>
          <t xml:space="preserve">random_10_STEP</t>
        </is>
      </c>
      <c r="B1963" s="0" t="inlineStr">
        <is>
          <t xml:space="preserve">random_10</t>
        </is>
      </c>
      <c r="C1963" s="0" t="inlineStr">
        <is>
          <t xml:space="preserve">d20260923</t>
        </is>
      </c>
      <c r="D1963" s="0" t="inlineStr">
        <is>
          <t xml:space="preserve">STEP</t>
        </is>
      </c>
      <c r="E1963" s="0" t="inlineStr">
        <is>
          <t xml:space="preserve">financial_services</t>
        </is>
      </c>
      <c r="F1963" s="4">
        <v>62</v>
      </c>
    </row>
    <row r="1964">
      <c r="A1964" s="0" t="inlineStr">
        <is>
          <t xml:space="preserve">random_10_FIVE</t>
        </is>
      </c>
      <c r="B1964" s="0" t="inlineStr">
        <is>
          <t xml:space="preserve">random_10</t>
        </is>
      </c>
      <c r="C1964" s="0" t="inlineStr">
        <is>
          <t xml:space="preserve">d20260923</t>
        </is>
      </c>
      <c r="D1964" s="0" t="inlineStr">
        <is>
          <t xml:space="preserve">FIVE</t>
        </is>
      </c>
      <c r="E1964" s="0" t="inlineStr">
        <is>
          <t xml:space="preserve">consumer_cyclical</t>
        </is>
      </c>
      <c r="F1964" s="4">
        <v>63</v>
      </c>
    </row>
    <row r="1965">
      <c r="A1965" s="0" t="inlineStr">
        <is>
          <t xml:space="preserve">random_10_MRP</t>
        </is>
      </c>
      <c r="B1965" s="0" t="inlineStr">
        <is>
          <t xml:space="preserve">random_10</t>
        </is>
      </c>
      <c r="C1965" s="0" t="inlineStr">
        <is>
          <t xml:space="preserve">d20260923</t>
        </is>
      </c>
      <c r="D1965" s="0" t="inlineStr">
        <is>
          <t xml:space="preserve">MRP</t>
        </is>
      </c>
      <c r="E1965" s="0" t="inlineStr">
        <is>
          <t xml:space="preserve">real_estate</t>
        </is>
      </c>
      <c r="F1965" s="4">
        <v>64</v>
      </c>
    </row>
    <row r="1966">
      <c r="A1966" s="0" t="inlineStr">
        <is>
          <t xml:space="preserve">random_10_WAFD</t>
        </is>
      </c>
      <c r="B1966" s="0" t="inlineStr">
        <is>
          <t xml:space="preserve">random_10</t>
        </is>
      </c>
      <c r="C1966" s="0" t="inlineStr">
        <is>
          <t xml:space="preserve">d20260923</t>
        </is>
      </c>
      <c r="D1966" s="0" t="inlineStr">
        <is>
          <t xml:space="preserve">WAFD</t>
        </is>
      </c>
      <c r="E1966" s="0" t="inlineStr">
        <is>
          <t xml:space="preserve">financial_services</t>
        </is>
      </c>
      <c r="F1966" s="4">
        <v>65</v>
      </c>
    </row>
    <row r="1967">
      <c r="A1967" s="0" t="inlineStr">
        <is>
          <t xml:space="preserve">random_10_BAX</t>
        </is>
      </c>
      <c r="B1967" s="0" t="inlineStr">
        <is>
          <t xml:space="preserve">random_10</t>
        </is>
      </c>
      <c r="C1967" s="0" t="inlineStr">
        <is>
          <t xml:space="preserve">d20260923</t>
        </is>
      </c>
      <c r="D1967" s="0" t="inlineStr">
        <is>
          <t xml:space="preserve">BAX</t>
        </is>
      </c>
      <c r="E1967" s="0" t="inlineStr">
        <is>
          <t xml:space="preserve">healthcare</t>
        </is>
      </c>
      <c r="F1967" s="4">
        <v>66</v>
      </c>
    </row>
    <row r="1968">
      <c r="A1968" s="0" t="inlineStr">
        <is>
          <t xml:space="preserve">random_10_APD</t>
        </is>
      </c>
      <c r="B1968" s="0" t="inlineStr">
        <is>
          <t xml:space="preserve">random_10</t>
        </is>
      </c>
      <c r="C1968" s="0" t="inlineStr">
        <is>
          <t xml:space="preserve">d20260923</t>
        </is>
      </c>
      <c r="D1968" s="0" t="inlineStr">
        <is>
          <t xml:space="preserve">APD</t>
        </is>
      </c>
      <c r="E1968" s="0" t="inlineStr">
        <is>
          <t xml:space="preserve">basic_materials</t>
        </is>
      </c>
      <c r="F1968" s="4">
        <v>67</v>
      </c>
    </row>
    <row r="1969">
      <c r="A1969" s="0" t="inlineStr">
        <is>
          <t xml:space="preserve">random_10_CRM</t>
        </is>
      </c>
      <c r="B1969" s="0" t="inlineStr">
        <is>
          <t xml:space="preserve">random_10</t>
        </is>
      </c>
      <c r="C1969" s="0" t="inlineStr">
        <is>
          <t xml:space="preserve">d20260923</t>
        </is>
      </c>
      <c r="D1969" s="0" t="inlineStr">
        <is>
          <t xml:space="preserve">CRM</t>
        </is>
      </c>
      <c r="E1969" s="0" t="inlineStr">
        <is>
          <t xml:space="preserve">technology</t>
        </is>
      </c>
      <c r="F1969" s="4">
        <v>68</v>
      </c>
    </row>
    <row r="1970">
      <c r="A1970" s="0" t="inlineStr">
        <is>
          <t xml:space="preserve">random_10_DV</t>
        </is>
      </c>
      <c r="B1970" s="0" t="inlineStr">
        <is>
          <t xml:space="preserve">random_10</t>
        </is>
      </c>
      <c r="C1970" s="0" t="inlineStr">
        <is>
          <t xml:space="preserve">d20260923</t>
        </is>
      </c>
      <c r="D1970" s="0" t="inlineStr">
        <is>
          <t xml:space="preserve">DV</t>
        </is>
      </c>
      <c r="E1970" s="0" t="inlineStr">
        <is>
          <t xml:space="preserve">technology</t>
        </is>
      </c>
      <c r="F1970" s="4">
        <v>69</v>
      </c>
    </row>
    <row r="1971">
      <c r="A1971" s="0" t="inlineStr">
        <is>
          <t xml:space="preserve">random_10_ONDS</t>
        </is>
      </c>
      <c r="B1971" s="0" t="inlineStr">
        <is>
          <t xml:space="preserve">random_10</t>
        </is>
      </c>
      <c r="C1971" s="0" t="inlineStr">
        <is>
          <t xml:space="preserve">d20260923</t>
        </is>
      </c>
      <c r="D1971" s="0" t="inlineStr">
        <is>
          <t xml:space="preserve">ONDS</t>
        </is>
      </c>
      <c r="E1971" s="0" t="inlineStr">
        <is>
          <t xml:space="preserve">technology</t>
        </is>
      </c>
      <c r="F1971" s="4">
        <v>70</v>
      </c>
    </row>
    <row r="1972">
      <c r="A1972" s="0" t="inlineStr">
        <is>
          <t xml:space="preserve">random_10_VIRT</t>
        </is>
      </c>
      <c r="B1972" s="0" t="inlineStr">
        <is>
          <t xml:space="preserve">random_10</t>
        </is>
      </c>
      <c r="C1972" s="0" t="inlineStr">
        <is>
          <t xml:space="preserve">d20260923</t>
        </is>
      </c>
      <c r="D1972" s="0" t="inlineStr">
        <is>
          <t xml:space="preserve">VIRT</t>
        </is>
      </c>
      <c r="E1972" s="0" t="inlineStr">
        <is>
          <t xml:space="preserve">financial_services</t>
        </is>
      </c>
      <c r="F1972" s="4">
        <v>71</v>
      </c>
    </row>
    <row r="1973">
      <c r="A1973" s="0" t="inlineStr">
        <is>
          <t xml:space="preserve">random_10_CRK</t>
        </is>
      </c>
      <c r="B1973" s="0" t="inlineStr">
        <is>
          <t xml:space="preserve">random_10</t>
        </is>
      </c>
      <c r="C1973" s="0" t="inlineStr">
        <is>
          <t xml:space="preserve">d20260923</t>
        </is>
      </c>
      <c r="D1973" s="0" t="inlineStr">
        <is>
          <t xml:space="preserve">CRK</t>
        </is>
      </c>
      <c r="E1973" s="0" t="inlineStr">
        <is>
          <t xml:space="preserve">energy</t>
        </is>
      </c>
      <c r="F1973" s="4">
        <v>72</v>
      </c>
    </row>
    <row r="1974">
      <c r="A1974" s="0" t="inlineStr">
        <is>
          <t xml:space="preserve">random_10_WELL</t>
        </is>
      </c>
      <c r="B1974" s="0" t="inlineStr">
        <is>
          <t xml:space="preserve">random_10</t>
        </is>
      </c>
      <c r="C1974" s="0" t="inlineStr">
        <is>
          <t xml:space="preserve">d20260923</t>
        </is>
      </c>
      <c r="D1974" s="0" t="inlineStr">
        <is>
          <t xml:space="preserve">WELL</t>
        </is>
      </c>
      <c r="E1974" s="0" t="inlineStr">
        <is>
          <t xml:space="preserve">real_estate</t>
        </is>
      </c>
      <c r="F1974" s="4">
        <v>73</v>
      </c>
    </row>
    <row r="1975">
      <c r="A1975" s="0" t="inlineStr">
        <is>
          <t xml:space="preserve">random_10_KGS</t>
        </is>
      </c>
      <c r="B1975" s="0" t="inlineStr">
        <is>
          <t xml:space="preserve">random_10</t>
        </is>
      </c>
      <c r="C1975" s="0" t="inlineStr">
        <is>
          <t xml:space="preserve">d20260923</t>
        </is>
      </c>
      <c r="D1975" s="0" t="inlineStr">
        <is>
          <t xml:space="preserve">KGS</t>
        </is>
      </c>
      <c r="E1975" s="0" t="inlineStr">
        <is>
          <t xml:space="preserve">energy</t>
        </is>
      </c>
      <c r="F1975" s="4">
        <v>74</v>
      </c>
    </row>
    <row r="1976">
      <c r="A1976" s="0" t="inlineStr">
        <is>
          <t xml:space="preserve">random_10_ATI</t>
        </is>
      </c>
      <c r="B1976" s="0" t="inlineStr">
        <is>
          <t xml:space="preserve">random_10</t>
        </is>
      </c>
      <c r="C1976" s="0" t="inlineStr">
        <is>
          <t xml:space="preserve">d20260923</t>
        </is>
      </c>
      <c r="D1976" s="0" t="inlineStr">
        <is>
          <t xml:space="preserve">ATI</t>
        </is>
      </c>
      <c r="E1976" s="0" t="inlineStr">
        <is>
          <t xml:space="preserve">industrials</t>
        </is>
      </c>
      <c r="F1976" s="4">
        <v>75</v>
      </c>
    </row>
    <row r="1977">
      <c r="A1977" s="0" t="inlineStr">
        <is>
          <t xml:space="preserve">random_10_NYT</t>
        </is>
      </c>
      <c r="B1977" s="0" t="inlineStr">
        <is>
          <t xml:space="preserve">random_10</t>
        </is>
      </c>
      <c r="C1977" s="0" t="inlineStr">
        <is>
          <t xml:space="preserve">d20260923</t>
        </is>
      </c>
      <c r="D1977" s="0" t="inlineStr">
        <is>
          <t xml:space="preserve">NYT</t>
        </is>
      </c>
      <c r="E1977" s="0" t="inlineStr">
        <is>
          <t xml:space="preserve">communication_services</t>
        </is>
      </c>
      <c r="F1977" s="4">
        <v>76</v>
      </c>
    </row>
    <row r="1978">
      <c r="A1978" s="0" t="inlineStr">
        <is>
          <t xml:space="preserve">random_10_APLD</t>
        </is>
      </c>
      <c r="B1978" s="0" t="inlineStr">
        <is>
          <t xml:space="preserve">random_10</t>
        </is>
      </c>
      <c r="C1978" s="0" t="inlineStr">
        <is>
          <t xml:space="preserve">d20260923</t>
        </is>
      </c>
      <c r="D1978" s="0" t="inlineStr">
        <is>
          <t xml:space="preserve">APLD</t>
        </is>
      </c>
      <c r="E1978" s="0" t="inlineStr">
        <is>
          <t xml:space="preserve">technology</t>
        </is>
      </c>
      <c r="F1978" s="4">
        <v>77</v>
      </c>
    </row>
    <row r="1979">
      <c r="A1979" s="0" t="inlineStr">
        <is>
          <t xml:space="preserve">random_10_SYF</t>
        </is>
      </c>
      <c r="B1979" s="0" t="inlineStr">
        <is>
          <t xml:space="preserve">random_10</t>
        </is>
      </c>
      <c r="C1979" s="0" t="inlineStr">
        <is>
          <t xml:space="preserve">d20260923</t>
        </is>
      </c>
      <c r="D1979" s="0" t="inlineStr">
        <is>
          <t xml:space="preserve">SYF</t>
        </is>
      </c>
      <c r="E1979" s="0" t="inlineStr">
        <is>
          <t xml:space="preserve">financial_services</t>
        </is>
      </c>
      <c r="F1979" s="4">
        <v>78</v>
      </c>
    </row>
    <row r="1980">
      <c r="A1980" s="0" t="inlineStr">
        <is>
          <t xml:space="preserve">random_10_VRTX</t>
        </is>
      </c>
      <c r="B1980" s="0" t="inlineStr">
        <is>
          <t xml:space="preserve">random_10</t>
        </is>
      </c>
      <c r="C1980" s="0" t="inlineStr">
        <is>
          <t xml:space="preserve">d20260923</t>
        </is>
      </c>
      <c r="D1980" s="0" t="inlineStr">
        <is>
          <t xml:space="preserve">VRTX</t>
        </is>
      </c>
      <c r="E1980" s="0" t="inlineStr">
        <is>
          <t xml:space="preserve">healthcare</t>
        </is>
      </c>
      <c r="F1980" s="4">
        <v>79</v>
      </c>
    </row>
    <row r="1981">
      <c r="A1981" s="0" t="inlineStr">
        <is>
          <t xml:space="preserve">random_10_AMT</t>
        </is>
      </c>
      <c r="B1981" s="0" t="inlineStr">
        <is>
          <t xml:space="preserve">random_10</t>
        </is>
      </c>
      <c r="C1981" s="0" t="inlineStr">
        <is>
          <t xml:space="preserve">d20260923</t>
        </is>
      </c>
      <c r="D1981" s="0" t="inlineStr">
        <is>
          <t xml:space="preserve">AMT</t>
        </is>
      </c>
      <c r="E1981" s="0" t="inlineStr">
        <is>
          <t xml:space="preserve">real_estate</t>
        </is>
      </c>
      <c r="F1981" s="4">
        <v>80</v>
      </c>
    </row>
    <row r="1982">
      <c r="A1982" s="0" t="inlineStr">
        <is>
          <t xml:space="preserve">random_10_TWLO</t>
        </is>
      </c>
      <c r="B1982" s="0" t="inlineStr">
        <is>
          <t xml:space="preserve">random_10</t>
        </is>
      </c>
      <c r="C1982" s="0" t="inlineStr">
        <is>
          <t xml:space="preserve">d20260923</t>
        </is>
      </c>
      <c r="D1982" s="0" t="inlineStr">
        <is>
          <t xml:space="preserve">TWLO</t>
        </is>
      </c>
      <c r="E1982" s="0" t="inlineStr">
        <is>
          <t xml:space="preserve">technology</t>
        </is>
      </c>
      <c r="F1982" s="4">
        <v>81</v>
      </c>
    </row>
    <row r="1983">
      <c r="A1983" s="0" t="inlineStr">
        <is>
          <t xml:space="preserve">random_10_BKD</t>
        </is>
      </c>
      <c r="B1983" s="0" t="inlineStr">
        <is>
          <t xml:space="preserve">random_10</t>
        </is>
      </c>
      <c r="C1983" s="0" t="inlineStr">
        <is>
          <t xml:space="preserve">d20260923</t>
        </is>
      </c>
      <c r="D1983" s="0" t="inlineStr">
        <is>
          <t xml:space="preserve">BKD</t>
        </is>
      </c>
      <c r="E1983" s="0" t="inlineStr">
        <is>
          <t xml:space="preserve">healthcare</t>
        </is>
      </c>
      <c r="F1983" s="4">
        <v>82</v>
      </c>
    </row>
    <row r="1984">
      <c r="A1984" s="0" t="inlineStr">
        <is>
          <t xml:space="preserve">random_10_WMB</t>
        </is>
      </c>
      <c r="B1984" s="0" t="inlineStr">
        <is>
          <t xml:space="preserve">random_10</t>
        </is>
      </c>
      <c r="C1984" s="0" t="inlineStr">
        <is>
          <t xml:space="preserve">d20260923</t>
        </is>
      </c>
      <c r="D1984" s="0" t="inlineStr">
        <is>
          <t xml:space="preserve">WMB</t>
        </is>
      </c>
      <c r="E1984" s="0" t="inlineStr">
        <is>
          <t xml:space="preserve">energy</t>
        </is>
      </c>
      <c r="F1984" s="4">
        <v>83</v>
      </c>
    </row>
    <row r="1985">
      <c r="A1985" s="0" t="inlineStr">
        <is>
          <t xml:space="preserve">random_10_JNJ</t>
        </is>
      </c>
      <c r="B1985" s="0" t="inlineStr">
        <is>
          <t xml:space="preserve">random_10</t>
        </is>
      </c>
      <c r="C1985" s="0" t="inlineStr">
        <is>
          <t xml:space="preserve">d20260923</t>
        </is>
      </c>
      <c r="D1985" s="0" t="inlineStr">
        <is>
          <t xml:space="preserve">JNJ</t>
        </is>
      </c>
      <c r="E1985" s="0" t="inlineStr">
        <is>
          <t xml:space="preserve">healthcare</t>
        </is>
      </c>
      <c r="F1985" s="4">
        <v>84</v>
      </c>
    </row>
    <row r="1986">
      <c r="A1986" s="0" t="inlineStr">
        <is>
          <t xml:space="preserve">random_10_IOVA</t>
        </is>
      </c>
      <c r="B1986" s="0" t="inlineStr">
        <is>
          <t xml:space="preserve">random_10</t>
        </is>
      </c>
      <c r="C1986" s="0" t="inlineStr">
        <is>
          <t xml:space="preserve">d20260923</t>
        </is>
      </c>
      <c r="D1986" s="0" t="inlineStr">
        <is>
          <t xml:space="preserve">IOVA</t>
        </is>
      </c>
      <c r="E1986" s="0" t="inlineStr">
        <is>
          <t xml:space="preserve">healthcare</t>
        </is>
      </c>
      <c r="F1986" s="4">
        <v>85</v>
      </c>
    </row>
    <row r="1987">
      <c r="A1987" s="0" t="inlineStr">
        <is>
          <t xml:space="preserve">random_10_FWONK</t>
        </is>
      </c>
      <c r="B1987" s="0" t="inlineStr">
        <is>
          <t xml:space="preserve">random_10</t>
        </is>
      </c>
      <c r="C1987" s="0" t="inlineStr">
        <is>
          <t xml:space="preserve">d20260923</t>
        </is>
      </c>
      <c r="D1987" s="0" t="inlineStr">
        <is>
          <t xml:space="preserve">FWONK</t>
        </is>
      </c>
      <c r="E1987" s="0" t="inlineStr">
        <is>
          <t xml:space="preserve">communication_services</t>
        </is>
      </c>
      <c r="F1987" s="4">
        <v>86</v>
      </c>
    </row>
    <row r="1988">
      <c r="A1988" s="0" t="inlineStr">
        <is>
          <t xml:space="preserve">random_10_LNG</t>
        </is>
      </c>
      <c r="B1988" s="0" t="inlineStr">
        <is>
          <t xml:space="preserve">random_10</t>
        </is>
      </c>
      <c r="C1988" s="0" t="inlineStr">
        <is>
          <t xml:space="preserve">d20260923</t>
        </is>
      </c>
      <c r="D1988" s="0" t="inlineStr">
        <is>
          <t xml:space="preserve">LNG</t>
        </is>
      </c>
      <c r="E1988" s="0" t="inlineStr">
        <is>
          <t xml:space="preserve">energy</t>
        </is>
      </c>
      <c r="F1988" s="4">
        <v>87</v>
      </c>
    </row>
    <row r="1989">
      <c r="A1989" s="0" t="inlineStr">
        <is>
          <t xml:space="preserve">random_10_STE</t>
        </is>
      </c>
      <c r="B1989" s="0" t="inlineStr">
        <is>
          <t xml:space="preserve">random_10</t>
        </is>
      </c>
      <c r="C1989" s="0" t="inlineStr">
        <is>
          <t xml:space="preserve">d20260923</t>
        </is>
      </c>
      <c r="D1989" s="0" t="inlineStr">
        <is>
          <t xml:space="preserve">STE</t>
        </is>
      </c>
      <c r="E1989" s="0" t="inlineStr">
        <is>
          <t xml:space="preserve">healthcare</t>
        </is>
      </c>
      <c r="F1989" s="4">
        <v>88</v>
      </c>
    </row>
    <row r="1990">
      <c r="A1990" s="0" t="inlineStr">
        <is>
          <t xml:space="preserve">random_10_LUMN</t>
        </is>
      </c>
      <c r="B1990" s="0" t="inlineStr">
        <is>
          <t xml:space="preserve">random_10</t>
        </is>
      </c>
      <c r="C1990" s="0" t="inlineStr">
        <is>
          <t xml:space="preserve">d20260923</t>
        </is>
      </c>
      <c r="D1990" s="0" t="inlineStr">
        <is>
          <t xml:space="preserve">LUMN</t>
        </is>
      </c>
      <c r="E1990" s="0" t="inlineStr">
        <is>
          <t xml:space="preserve">communication_services</t>
        </is>
      </c>
      <c r="F1990" s="4">
        <v>89</v>
      </c>
    </row>
    <row r="1991">
      <c r="A1991" s="0" t="inlineStr">
        <is>
          <t xml:space="preserve">random_10_LW</t>
        </is>
      </c>
      <c r="B1991" s="0" t="inlineStr">
        <is>
          <t xml:space="preserve">random_10</t>
        </is>
      </c>
      <c r="C1991" s="0" t="inlineStr">
        <is>
          <t xml:space="preserve">d20260923</t>
        </is>
      </c>
      <c r="D1991" s="0" t="inlineStr">
        <is>
          <t xml:space="preserve">LW</t>
        </is>
      </c>
      <c r="E1991" s="0" t="inlineStr">
        <is>
          <t xml:space="preserve">consumer_defensive</t>
        </is>
      </c>
      <c r="F1991" s="4">
        <v>90</v>
      </c>
    </row>
    <row r="1992">
      <c r="A1992" s="0" t="inlineStr">
        <is>
          <t xml:space="preserve">random_10_AMP</t>
        </is>
      </c>
      <c r="B1992" s="0" t="inlineStr">
        <is>
          <t xml:space="preserve">random_10</t>
        </is>
      </c>
      <c r="C1992" s="0" t="inlineStr">
        <is>
          <t xml:space="preserve">d20260923</t>
        </is>
      </c>
      <c r="D1992" s="0" t="inlineStr">
        <is>
          <t xml:space="preserve">AMP</t>
        </is>
      </c>
      <c r="E1992" s="0" t="inlineStr">
        <is>
          <t xml:space="preserve">financial_services</t>
        </is>
      </c>
      <c r="F1992" s="4">
        <v>91</v>
      </c>
    </row>
    <row r="1993">
      <c r="A1993" s="0" t="inlineStr">
        <is>
          <t xml:space="preserve">random_10_IONQ</t>
        </is>
      </c>
      <c r="B1993" s="0" t="inlineStr">
        <is>
          <t xml:space="preserve">random_10</t>
        </is>
      </c>
      <c r="C1993" s="0" t="inlineStr">
        <is>
          <t xml:space="preserve">d20260923</t>
        </is>
      </c>
      <c r="D1993" s="0" t="inlineStr">
        <is>
          <t xml:space="preserve">IONQ</t>
        </is>
      </c>
      <c r="E1993" s="0" t="inlineStr">
        <is>
          <t xml:space="preserve">technology</t>
        </is>
      </c>
      <c r="F1993" s="4">
        <v>92</v>
      </c>
    </row>
    <row r="1994">
      <c r="A1994" s="0" t="inlineStr">
        <is>
          <t xml:space="preserve">random_10_LEGN</t>
        </is>
      </c>
      <c r="B1994" s="0" t="inlineStr">
        <is>
          <t xml:space="preserve">random_10</t>
        </is>
      </c>
      <c r="C1994" s="0" t="inlineStr">
        <is>
          <t xml:space="preserve">d20260923</t>
        </is>
      </c>
      <c r="D1994" s="0" t="inlineStr">
        <is>
          <t xml:space="preserve">LEGN</t>
        </is>
      </c>
      <c r="E1994" s="0" t="inlineStr">
        <is>
          <t xml:space="preserve">healthcare</t>
        </is>
      </c>
      <c r="F1994" s="4">
        <v>93</v>
      </c>
    </row>
    <row r="1995">
      <c r="A1995" s="0" t="inlineStr">
        <is>
          <t xml:space="preserve">random_10_LRN</t>
        </is>
      </c>
      <c r="B1995" s="0" t="inlineStr">
        <is>
          <t xml:space="preserve">random_10</t>
        </is>
      </c>
      <c r="C1995" s="0" t="inlineStr">
        <is>
          <t xml:space="preserve">d20260923</t>
        </is>
      </c>
      <c r="D1995" s="0" t="inlineStr">
        <is>
          <t xml:space="preserve">LRN</t>
        </is>
      </c>
      <c r="E1995" s="0" t="inlineStr">
        <is>
          <t xml:space="preserve">consumer_defensive</t>
        </is>
      </c>
      <c r="F1995" s="4">
        <v>94</v>
      </c>
    </row>
    <row r="1996">
      <c r="A1996" s="0" t="inlineStr">
        <is>
          <t xml:space="preserve">random_10_BRX</t>
        </is>
      </c>
      <c r="B1996" s="0" t="inlineStr">
        <is>
          <t xml:space="preserve">random_10</t>
        </is>
      </c>
      <c r="C1996" s="0" t="inlineStr">
        <is>
          <t xml:space="preserve">d20260923</t>
        </is>
      </c>
      <c r="D1996" s="0" t="inlineStr">
        <is>
          <t xml:space="preserve">BRX</t>
        </is>
      </c>
      <c r="E1996" s="0" t="inlineStr">
        <is>
          <t xml:space="preserve">real_estate</t>
        </is>
      </c>
      <c r="F1996" s="4">
        <v>95</v>
      </c>
    </row>
    <row r="1997">
      <c r="A1997" s="0" t="inlineStr">
        <is>
          <t xml:space="preserve">random_10_RBLX</t>
        </is>
      </c>
      <c r="B1997" s="0" t="inlineStr">
        <is>
          <t xml:space="preserve">random_10</t>
        </is>
      </c>
      <c r="C1997" s="0" t="inlineStr">
        <is>
          <t xml:space="preserve">d20260923</t>
        </is>
      </c>
      <c r="D1997" s="0" t="inlineStr">
        <is>
          <t xml:space="preserve">RBLX</t>
        </is>
      </c>
      <c r="E1997" s="0" t="inlineStr">
        <is>
          <t xml:space="preserve">technology</t>
        </is>
      </c>
      <c r="F1997" s="4">
        <v>96</v>
      </c>
    </row>
    <row r="1998">
      <c r="A1998" s="0" t="inlineStr">
        <is>
          <t xml:space="preserve">random_10_DOCS</t>
        </is>
      </c>
      <c r="B1998" s="0" t="inlineStr">
        <is>
          <t xml:space="preserve">random_10</t>
        </is>
      </c>
      <c r="C1998" s="0" t="inlineStr">
        <is>
          <t xml:space="preserve">d20260923</t>
        </is>
      </c>
      <c r="D1998" s="0" t="inlineStr">
        <is>
          <t xml:space="preserve">DOCS</t>
        </is>
      </c>
      <c r="E1998" s="0" t="inlineStr">
        <is>
          <t xml:space="preserve">healthcare</t>
        </is>
      </c>
      <c r="F1998" s="4">
        <v>97</v>
      </c>
    </row>
    <row r="1999">
      <c r="A1999" s="0" t="inlineStr">
        <is>
          <t xml:space="preserve">random_10_GH</t>
        </is>
      </c>
      <c r="B1999" s="0" t="inlineStr">
        <is>
          <t xml:space="preserve">random_10</t>
        </is>
      </c>
      <c r="C1999" s="0" t="inlineStr">
        <is>
          <t xml:space="preserve">d20260923</t>
        </is>
      </c>
      <c r="D1999" s="0" t="inlineStr">
        <is>
          <t xml:space="preserve">GH</t>
        </is>
      </c>
      <c r="E1999" s="0" t="inlineStr">
        <is>
          <t xml:space="preserve">healthcare</t>
        </is>
      </c>
      <c r="F1999" s="4">
        <v>98</v>
      </c>
    </row>
    <row r="2000">
      <c r="A2000" s="0" t="inlineStr">
        <is>
          <t xml:space="preserve">random_10_SDGR</t>
        </is>
      </c>
      <c r="B2000" s="0" t="inlineStr">
        <is>
          <t xml:space="preserve">random_10</t>
        </is>
      </c>
      <c r="C2000" s="0" t="inlineStr">
        <is>
          <t xml:space="preserve">d20260923</t>
        </is>
      </c>
      <c r="D2000" s="0" t="inlineStr">
        <is>
          <t xml:space="preserve">SDGR</t>
        </is>
      </c>
      <c r="E2000" s="0" t="inlineStr">
        <is>
          <t xml:space="preserve">technology</t>
        </is>
      </c>
      <c r="F2000" s="4">
        <v>99</v>
      </c>
    </row>
    <row r="2001">
      <c r="A2001" s="0" t="inlineStr">
        <is>
          <t xml:space="preserve">random_10_WAL</t>
        </is>
      </c>
      <c r="B2001" s="0" t="inlineStr">
        <is>
          <t xml:space="preserve">random_10</t>
        </is>
      </c>
      <c r="C2001" s="0" t="inlineStr">
        <is>
          <t xml:space="preserve">d20260923</t>
        </is>
      </c>
      <c r="D2001" s="0" t="inlineStr">
        <is>
          <t xml:space="preserve">WAL</t>
        </is>
      </c>
      <c r="E2001" s="0" t="inlineStr">
        <is>
          <t xml:space="preserve">financial_services</t>
        </is>
      </c>
      <c r="F2001" s="4">
        <v>100</v>
      </c>
    </row>
    <row r="2002">
      <c r="A2002" s="0" t="inlineStr">
        <is>
          <t xml:space="preserve">random_11_TER</t>
        </is>
      </c>
      <c r="B2002" s="0" t="inlineStr">
        <is>
          <t xml:space="preserve">random_11</t>
        </is>
      </c>
      <c r="C2002" s="0" t="inlineStr">
        <is>
          <t xml:space="preserve">d20260923</t>
        </is>
      </c>
      <c r="D2002" s="0" t="inlineStr">
        <is>
          <t xml:space="preserve">TER</t>
        </is>
      </c>
      <c r="E2002" s="0" t="inlineStr">
        <is>
          <t xml:space="preserve">technology</t>
        </is>
      </c>
      <c r="F2002" s="4">
        <v>1</v>
      </c>
    </row>
    <row r="2003">
      <c r="A2003" s="0" t="inlineStr">
        <is>
          <t xml:space="preserve">random_11_WHD</t>
        </is>
      </c>
      <c r="B2003" s="0" t="inlineStr">
        <is>
          <t xml:space="preserve">random_11</t>
        </is>
      </c>
      <c r="C2003" s="0" t="inlineStr">
        <is>
          <t xml:space="preserve">d20260923</t>
        </is>
      </c>
      <c r="D2003" s="0" t="inlineStr">
        <is>
          <t xml:space="preserve">WHD</t>
        </is>
      </c>
      <c r="E2003" s="0" t="inlineStr">
        <is>
          <t xml:space="preserve">energy</t>
        </is>
      </c>
      <c r="F2003" s="4">
        <v>2</v>
      </c>
    </row>
    <row r="2004">
      <c r="A2004" s="0" t="inlineStr">
        <is>
          <t xml:space="preserve">random_11_FSK</t>
        </is>
      </c>
      <c r="B2004" s="0" t="inlineStr">
        <is>
          <t xml:space="preserve">random_11</t>
        </is>
      </c>
      <c r="C2004" s="0" t="inlineStr">
        <is>
          <t xml:space="preserve">d20260923</t>
        </is>
      </c>
      <c r="D2004" s="0" t="inlineStr">
        <is>
          <t xml:space="preserve">FSK</t>
        </is>
      </c>
      <c r="E2004" s="0" t="inlineStr">
        <is>
          <t xml:space="preserve">financial_services</t>
        </is>
      </c>
      <c r="F2004" s="4">
        <v>3</v>
      </c>
    </row>
    <row r="2005">
      <c r="A2005" s="0" t="inlineStr">
        <is>
          <t xml:space="preserve">random_11_GBCI</t>
        </is>
      </c>
      <c r="B2005" s="0" t="inlineStr">
        <is>
          <t xml:space="preserve">random_11</t>
        </is>
      </c>
      <c r="C2005" s="0" t="inlineStr">
        <is>
          <t xml:space="preserve">d20260923</t>
        </is>
      </c>
      <c r="D2005" s="0" t="inlineStr">
        <is>
          <t xml:space="preserve">GBCI</t>
        </is>
      </c>
      <c r="E2005" s="0" t="inlineStr">
        <is>
          <t xml:space="preserve">financial_services</t>
        </is>
      </c>
      <c r="F2005" s="4">
        <v>4</v>
      </c>
    </row>
    <row r="2006">
      <c r="A2006" s="0" t="inlineStr">
        <is>
          <t xml:space="preserve">random_11_FRME</t>
        </is>
      </c>
      <c r="B2006" s="0" t="inlineStr">
        <is>
          <t xml:space="preserve">random_11</t>
        </is>
      </c>
      <c r="C2006" s="0" t="inlineStr">
        <is>
          <t xml:space="preserve">d20260923</t>
        </is>
      </c>
      <c r="D2006" s="0" t="inlineStr">
        <is>
          <t xml:space="preserve">FRME</t>
        </is>
      </c>
      <c r="E2006" s="0" t="inlineStr">
        <is>
          <t xml:space="preserve">financial_services</t>
        </is>
      </c>
      <c r="F2006" s="4">
        <v>5</v>
      </c>
    </row>
    <row r="2007">
      <c r="A2007" s="0" t="inlineStr">
        <is>
          <t xml:space="preserve">random_11_XMTR</t>
        </is>
      </c>
      <c r="B2007" s="0" t="inlineStr">
        <is>
          <t xml:space="preserve">random_11</t>
        </is>
      </c>
      <c r="C2007" s="0" t="inlineStr">
        <is>
          <t xml:space="preserve">d20260923</t>
        </is>
      </c>
      <c r="D2007" s="0" t="inlineStr">
        <is>
          <t xml:space="preserve">XMTR</t>
        </is>
      </c>
      <c r="E2007" s="0" t="inlineStr">
        <is>
          <t xml:space="preserve">industrials</t>
        </is>
      </c>
      <c r="F2007" s="4">
        <v>6</v>
      </c>
    </row>
    <row r="2008">
      <c r="A2008" s="0" t="inlineStr">
        <is>
          <t xml:space="preserve">random_11_SMR</t>
        </is>
      </c>
      <c r="B2008" s="0" t="inlineStr">
        <is>
          <t xml:space="preserve">random_11</t>
        </is>
      </c>
      <c r="C2008" s="0" t="inlineStr">
        <is>
          <t xml:space="preserve">d20260923</t>
        </is>
      </c>
      <c r="D2008" s="0" t="inlineStr">
        <is>
          <t xml:space="preserve">SMR</t>
        </is>
      </c>
      <c r="E2008" s="0" t="inlineStr">
        <is>
          <t xml:space="preserve">industrials</t>
        </is>
      </c>
      <c r="F2008" s="4">
        <v>7</v>
      </c>
    </row>
    <row r="2009">
      <c r="A2009" s="0" t="inlineStr">
        <is>
          <t xml:space="preserve">random_11_DGII</t>
        </is>
      </c>
      <c r="B2009" s="0" t="inlineStr">
        <is>
          <t xml:space="preserve">random_11</t>
        </is>
      </c>
      <c r="C2009" s="0" t="inlineStr">
        <is>
          <t xml:space="preserve">d20260923</t>
        </is>
      </c>
      <c r="D2009" s="0" t="inlineStr">
        <is>
          <t xml:space="preserve">DGII</t>
        </is>
      </c>
      <c r="E2009" s="0" t="inlineStr">
        <is>
          <t xml:space="preserve">technology</t>
        </is>
      </c>
      <c r="F2009" s="4">
        <v>8</v>
      </c>
    </row>
    <row r="2010">
      <c r="A2010" s="0" t="inlineStr">
        <is>
          <t xml:space="preserve">random_11_UFPI</t>
        </is>
      </c>
      <c r="B2010" s="0" t="inlineStr">
        <is>
          <t xml:space="preserve">random_11</t>
        </is>
      </c>
      <c r="C2010" s="0" t="inlineStr">
        <is>
          <t xml:space="preserve">d20260923</t>
        </is>
      </c>
      <c r="D2010" s="0" t="inlineStr">
        <is>
          <t xml:space="preserve">UFPI</t>
        </is>
      </c>
      <c r="E2010" s="0" t="inlineStr">
        <is>
          <t xml:space="preserve">basic_materials</t>
        </is>
      </c>
      <c r="F2010" s="4">
        <v>9</v>
      </c>
    </row>
    <row r="2011">
      <c r="A2011" s="0" t="inlineStr">
        <is>
          <t xml:space="preserve">random_11_LOPE</t>
        </is>
      </c>
      <c r="B2011" s="0" t="inlineStr">
        <is>
          <t xml:space="preserve">random_11</t>
        </is>
      </c>
      <c r="C2011" s="0" t="inlineStr">
        <is>
          <t xml:space="preserve">d20260923</t>
        </is>
      </c>
      <c r="D2011" s="0" t="inlineStr">
        <is>
          <t xml:space="preserve">LOPE</t>
        </is>
      </c>
      <c r="E2011" s="0" t="inlineStr">
        <is>
          <t xml:space="preserve">consumer_defensive</t>
        </is>
      </c>
      <c r="F2011" s="4">
        <v>10</v>
      </c>
    </row>
    <row r="2012">
      <c r="A2012" s="0" t="inlineStr">
        <is>
          <t xml:space="preserve">random_11_ACLS</t>
        </is>
      </c>
      <c r="B2012" s="0" t="inlineStr">
        <is>
          <t xml:space="preserve">random_11</t>
        </is>
      </c>
      <c r="C2012" s="0" t="inlineStr">
        <is>
          <t xml:space="preserve">d20260923</t>
        </is>
      </c>
      <c r="D2012" s="0" t="inlineStr">
        <is>
          <t xml:space="preserve">ACLS</t>
        </is>
      </c>
      <c r="E2012" s="0" t="inlineStr">
        <is>
          <t xml:space="preserve">technology</t>
        </is>
      </c>
      <c r="F2012" s="4">
        <v>11</v>
      </c>
    </row>
    <row r="2013">
      <c r="A2013" s="0" t="inlineStr">
        <is>
          <t xml:space="preserve">random_11_DKNG</t>
        </is>
      </c>
      <c r="B2013" s="0" t="inlineStr">
        <is>
          <t xml:space="preserve">random_11</t>
        </is>
      </c>
      <c r="C2013" s="0" t="inlineStr">
        <is>
          <t xml:space="preserve">d20260923</t>
        </is>
      </c>
      <c r="D2013" s="0" t="inlineStr">
        <is>
          <t xml:space="preserve">DKNG</t>
        </is>
      </c>
      <c r="E2013" s="0" t="inlineStr">
        <is>
          <t xml:space="preserve">consumer_cyclical</t>
        </is>
      </c>
      <c r="F2013" s="4">
        <v>12</v>
      </c>
    </row>
    <row r="2014">
      <c r="A2014" s="0" t="inlineStr">
        <is>
          <t xml:space="preserve">random_11_TWST</t>
        </is>
      </c>
      <c r="B2014" s="0" t="inlineStr">
        <is>
          <t xml:space="preserve">random_11</t>
        </is>
      </c>
      <c r="C2014" s="0" t="inlineStr">
        <is>
          <t xml:space="preserve">d20260923</t>
        </is>
      </c>
      <c r="D2014" s="0" t="inlineStr">
        <is>
          <t xml:space="preserve">TWST</t>
        </is>
      </c>
      <c r="E2014" s="0" t="inlineStr">
        <is>
          <t xml:space="preserve">healthcare</t>
        </is>
      </c>
      <c r="F2014" s="4">
        <v>13</v>
      </c>
    </row>
    <row r="2015">
      <c r="A2015" s="0" t="inlineStr">
        <is>
          <t xml:space="preserve">random_11_AVGO</t>
        </is>
      </c>
      <c r="B2015" s="0" t="inlineStr">
        <is>
          <t xml:space="preserve">random_11</t>
        </is>
      </c>
      <c r="C2015" s="0" t="inlineStr">
        <is>
          <t xml:space="preserve">d20260923</t>
        </is>
      </c>
      <c r="D2015" s="0" t="inlineStr">
        <is>
          <t xml:space="preserve">AVGO</t>
        </is>
      </c>
      <c r="E2015" s="0" t="inlineStr">
        <is>
          <t xml:space="preserve">technology</t>
        </is>
      </c>
      <c r="F2015" s="4">
        <v>14</v>
      </c>
    </row>
    <row r="2016">
      <c r="A2016" s="0" t="inlineStr">
        <is>
          <t xml:space="preserve">random_11_KNX</t>
        </is>
      </c>
      <c r="B2016" s="0" t="inlineStr">
        <is>
          <t xml:space="preserve">random_11</t>
        </is>
      </c>
      <c r="C2016" s="0" t="inlineStr">
        <is>
          <t xml:space="preserve">d20260923</t>
        </is>
      </c>
      <c r="D2016" s="0" t="inlineStr">
        <is>
          <t xml:space="preserve">KNX</t>
        </is>
      </c>
      <c r="E2016" s="0" t="inlineStr">
        <is>
          <t xml:space="preserve">industrials</t>
        </is>
      </c>
      <c r="F2016" s="4">
        <v>15</v>
      </c>
    </row>
    <row r="2017">
      <c r="A2017" s="0" t="inlineStr">
        <is>
          <t xml:space="preserve">random_11_STE</t>
        </is>
      </c>
      <c r="B2017" s="0" t="inlineStr">
        <is>
          <t xml:space="preserve">random_11</t>
        </is>
      </c>
      <c r="C2017" s="0" t="inlineStr">
        <is>
          <t xml:space="preserve">d20260923</t>
        </is>
      </c>
      <c r="D2017" s="0" t="inlineStr">
        <is>
          <t xml:space="preserve">STE</t>
        </is>
      </c>
      <c r="E2017" s="0" t="inlineStr">
        <is>
          <t xml:space="preserve">healthcare</t>
        </is>
      </c>
      <c r="F2017" s="4">
        <v>16</v>
      </c>
    </row>
    <row r="2018">
      <c r="A2018" s="0" t="inlineStr">
        <is>
          <t xml:space="preserve">random_11_LTH</t>
        </is>
      </c>
      <c r="B2018" s="0" t="inlineStr">
        <is>
          <t xml:space="preserve">random_11</t>
        </is>
      </c>
      <c r="C2018" s="0" t="inlineStr">
        <is>
          <t xml:space="preserve">d20260923</t>
        </is>
      </c>
      <c r="D2018" s="0" t="inlineStr">
        <is>
          <t xml:space="preserve">LTH</t>
        </is>
      </c>
      <c r="E2018" s="0" t="inlineStr">
        <is>
          <t xml:space="preserve">consumer_cyclical</t>
        </is>
      </c>
      <c r="F2018" s="4">
        <v>17</v>
      </c>
    </row>
    <row r="2019">
      <c r="A2019" s="0" t="inlineStr">
        <is>
          <t xml:space="preserve">random_11_HSIC</t>
        </is>
      </c>
      <c r="B2019" s="0" t="inlineStr">
        <is>
          <t xml:space="preserve">random_11</t>
        </is>
      </c>
      <c r="C2019" s="0" t="inlineStr">
        <is>
          <t xml:space="preserve">d20260923</t>
        </is>
      </c>
      <c r="D2019" s="0" t="inlineStr">
        <is>
          <t xml:space="preserve">HSIC</t>
        </is>
      </c>
      <c r="E2019" s="0" t="inlineStr">
        <is>
          <t xml:space="preserve">healthcare</t>
        </is>
      </c>
      <c r="F2019" s="4">
        <v>18</v>
      </c>
    </row>
    <row r="2020">
      <c r="A2020" s="0" t="inlineStr">
        <is>
          <t xml:space="preserve">random_11_DASH</t>
        </is>
      </c>
      <c r="B2020" s="0" t="inlineStr">
        <is>
          <t xml:space="preserve">random_11</t>
        </is>
      </c>
      <c r="C2020" s="0" t="inlineStr">
        <is>
          <t xml:space="preserve">d20260923</t>
        </is>
      </c>
      <c r="D2020" s="0" t="inlineStr">
        <is>
          <t xml:space="preserve">DASH</t>
        </is>
      </c>
      <c r="E2020" s="0" t="inlineStr">
        <is>
          <t xml:space="preserve">communication_services</t>
        </is>
      </c>
      <c r="F2020" s="4">
        <v>19</v>
      </c>
    </row>
    <row r="2021">
      <c r="A2021" s="0" t="inlineStr">
        <is>
          <t xml:space="preserve">random_11_EXP</t>
        </is>
      </c>
      <c r="B2021" s="0" t="inlineStr">
        <is>
          <t xml:space="preserve">random_11</t>
        </is>
      </c>
      <c r="C2021" s="0" t="inlineStr">
        <is>
          <t xml:space="preserve">d20260923</t>
        </is>
      </c>
      <c r="D2021" s="0" t="inlineStr">
        <is>
          <t xml:space="preserve">EXP</t>
        </is>
      </c>
      <c r="E2021" s="0" t="inlineStr">
        <is>
          <t xml:space="preserve">basic_materials</t>
        </is>
      </c>
      <c r="F2021" s="4">
        <v>20</v>
      </c>
    </row>
    <row r="2022">
      <c r="A2022" s="0" t="inlineStr">
        <is>
          <t xml:space="preserve">random_11_SNEX</t>
        </is>
      </c>
      <c r="B2022" s="0" t="inlineStr">
        <is>
          <t xml:space="preserve">random_11</t>
        </is>
      </c>
      <c r="C2022" s="0" t="inlineStr">
        <is>
          <t xml:space="preserve">d20260923</t>
        </is>
      </c>
      <c r="D2022" s="0" t="inlineStr">
        <is>
          <t xml:space="preserve">SNEX</t>
        </is>
      </c>
      <c r="E2022" s="0" t="inlineStr">
        <is>
          <t xml:space="preserve">financial_services</t>
        </is>
      </c>
      <c r="F2022" s="4">
        <v>21</v>
      </c>
    </row>
    <row r="2023">
      <c r="A2023" s="0" t="inlineStr">
        <is>
          <t xml:space="preserve">random_11_LXP</t>
        </is>
      </c>
      <c r="B2023" s="0" t="inlineStr">
        <is>
          <t xml:space="preserve">random_11</t>
        </is>
      </c>
      <c r="C2023" s="0" t="inlineStr">
        <is>
          <t xml:space="preserve">d20260923</t>
        </is>
      </c>
      <c r="D2023" s="0" t="inlineStr">
        <is>
          <t xml:space="preserve">LXP</t>
        </is>
      </c>
      <c r="E2023" s="0" t="inlineStr">
        <is>
          <t xml:space="preserve">real_estate</t>
        </is>
      </c>
      <c r="F2023" s="4">
        <v>22</v>
      </c>
    </row>
    <row r="2024">
      <c r="A2024" s="0" t="inlineStr">
        <is>
          <t xml:space="preserve">random_11_DBRG</t>
        </is>
      </c>
      <c r="B2024" s="0" t="inlineStr">
        <is>
          <t xml:space="preserve">random_11</t>
        </is>
      </c>
      <c r="C2024" s="0" t="inlineStr">
        <is>
          <t xml:space="preserve">d20260923</t>
        </is>
      </c>
      <c r="D2024" s="0" t="inlineStr">
        <is>
          <t xml:space="preserve">DBRG</t>
        </is>
      </c>
      <c r="E2024" s="0" t="inlineStr">
        <is>
          <t xml:space="preserve">financial_services</t>
        </is>
      </c>
      <c r="F2024" s="4">
        <v>23</v>
      </c>
    </row>
    <row r="2025">
      <c r="A2025" s="0" t="inlineStr">
        <is>
          <t xml:space="preserve">random_11_ALSN</t>
        </is>
      </c>
      <c r="B2025" s="0" t="inlineStr">
        <is>
          <t xml:space="preserve">random_11</t>
        </is>
      </c>
      <c r="C2025" s="0" t="inlineStr">
        <is>
          <t xml:space="preserve">d20260923</t>
        </is>
      </c>
      <c r="D2025" s="0" t="inlineStr">
        <is>
          <t xml:space="preserve">ALSN</t>
        </is>
      </c>
      <c r="E2025" s="0" t="inlineStr">
        <is>
          <t xml:space="preserve">consumer_cyclical</t>
        </is>
      </c>
      <c r="F2025" s="4">
        <v>24</v>
      </c>
    </row>
    <row r="2026">
      <c r="A2026" s="0" t="inlineStr">
        <is>
          <t xml:space="preserve">random_11_RIVN</t>
        </is>
      </c>
      <c r="B2026" s="0" t="inlineStr">
        <is>
          <t xml:space="preserve">random_11</t>
        </is>
      </c>
      <c r="C2026" s="0" t="inlineStr">
        <is>
          <t xml:space="preserve">d20260923</t>
        </is>
      </c>
      <c r="D2026" s="0" t="inlineStr">
        <is>
          <t xml:space="preserve">RIVN</t>
        </is>
      </c>
      <c r="E2026" s="0" t="inlineStr">
        <is>
          <t xml:space="preserve">consumer_cyclical</t>
        </is>
      </c>
      <c r="F2026" s="4">
        <v>25</v>
      </c>
    </row>
    <row r="2027">
      <c r="A2027" s="0" t="inlineStr">
        <is>
          <t xml:space="preserve">random_11_MGNI</t>
        </is>
      </c>
      <c r="B2027" s="0" t="inlineStr">
        <is>
          <t xml:space="preserve">random_11</t>
        </is>
      </c>
      <c r="C2027" s="0" t="inlineStr">
        <is>
          <t xml:space="preserve">d20260923</t>
        </is>
      </c>
      <c r="D2027" s="0" t="inlineStr">
        <is>
          <t xml:space="preserve">MGNI</t>
        </is>
      </c>
      <c r="E2027" s="0" t="inlineStr">
        <is>
          <t xml:space="preserve">communication_services</t>
        </is>
      </c>
      <c r="F2027" s="4">
        <v>26</v>
      </c>
    </row>
    <row r="2028">
      <c r="A2028" s="0" t="inlineStr">
        <is>
          <t xml:space="preserve">random_11_QRVO</t>
        </is>
      </c>
      <c r="B2028" s="0" t="inlineStr">
        <is>
          <t xml:space="preserve">random_11</t>
        </is>
      </c>
      <c r="C2028" s="0" t="inlineStr">
        <is>
          <t xml:space="preserve">d20260923</t>
        </is>
      </c>
      <c r="D2028" s="0" t="inlineStr">
        <is>
          <t xml:space="preserve">QRVO</t>
        </is>
      </c>
      <c r="E2028" s="0" t="inlineStr">
        <is>
          <t xml:space="preserve">technology</t>
        </is>
      </c>
      <c r="F2028" s="4">
        <v>27</v>
      </c>
    </row>
    <row r="2029">
      <c r="A2029" s="0" t="inlineStr">
        <is>
          <t xml:space="preserve">random_11_TFX</t>
        </is>
      </c>
      <c r="B2029" s="0" t="inlineStr">
        <is>
          <t xml:space="preserve">random_11</t>
        </is>
      </c>
      <c r="C2029" s="0" t="inlineStr">
        <is>
          <t xml:space="preserve">d20260923</t>
        </is>
      </c>
      <c r="D2029" s="0" t="inlineStr">
        <is>
          <t xml:space="preserve">TFX</t>
        </is>
      </c>
      <c r="E2029" s="0" t="inlineStr">
        <is>
          <t xml:space="preserve">healthcare</t>
        </is>
      </c>
      <c r="F2029" s="4">
        <v>28</v>
      </c>
    </row>
    <row r="2030">
      <c r="A2030" s="0" t="inlineStr">
        <is>
          <t xml:space="preserve">random_11_SWKS</t>
        </is>
      </c>
      <c r="B2030" s="0" t="inlineStr">
        <is>
          <t xml:space="preserve">random_11</t>
        </is>
      </c>
      <c r="C2030" s="0" t="inlineStr">
        <is>
          <t xml:space="preserve">d20260923</t>
        </is>
      </c>
      <c r="D2030" s="0" t="inlineStr">
        <is>
          <t xml:space="preserve">SWKS</t>
        </is>
      </c>
      <c r="E2030" s="0" t="inlineStr">
        <is>
          <t xml:space="preserve">technology</t>
        </is>
      </c>
      <c r="F2030" s="4">
        <v>29</v>
      </c>
    </row>
    <row r="2031">
      <c r="A2031" s="0" t="inlineStr">
        <is>
          <t xml:space="preserve">random_11_MAS</t>
        </is>
      </c>
      <c r="B2031" s="0" t="inlineStr">
        <is>
          <t xml:space="preserve">random_11</t>
        </is>
      </c>
      <c r="C2031" s="0" t="inlineStr">
        <is>
          <t xml:space="preserve">d20260923</t>
        </is>
      </c>
      <c r="D2031" s="0" t="inlineStr">
        <is>
          <t xml:space="preserve">MAS</t>
        </is>
      </c>
      <c r="E2031" s="0" t="inlineStr">
        <is>
          <t xml:space="preserve">basic_materials</t>
        </is>
      </c>
      <c r="F2031" s="4">
        <v>30</v>
      </c>
    </row>
    <row r="2032">
      <c r="A2032" s="0" t="inlineStr">
        <is>
          <t xml:space="preserve">random_11_FLR</t>
        </is>
      </c>
      <c r="B2032" s="0" t="inlineStr">
        <is>
          <t xml:space="preserve">random_11</t>
        </is>
      </c>
      <c r="C2032" s="0" t="inlineStr">
        <is>
          <t xml:space="preserve">d20260923</t>
        </is>
      </c>
      <c r="D2032" s="0" t="inlineStr">
        <is>
          <t xml:space="preserve">FLR</t>
        </is>
      </c>
      <c r="E2032" s="0" t="inlineStr">
        <is>
          <t xml:space="preserve">industrials</t>
        </is>
      </c>
      <c r="F2032" s="4">
        <v>31</v>
      </c>
    </row>
    <row r="2033">
      <c r="A2033" s="0" t="inlineStr">
        <is>
          <t xml:space="preserve">random_11_SBUX</t>
        </is>
      </c>
      <c r="B2033" s="0" t="inlineStr">
        <is>
          <t xml:space="preserve">random_11</t>
        </is>
      </c>
      <c r="C2033" s="0" t="inlineStr">
        <is>
          <t xml:space="preserve">d20260923</t>
        </is>
      </c>
      <c r="D2033" s="0" t="inlineStr">
        <is>
          <t xml:space="preserve">SBUX</t>
        </is>
      </c>
      <c r="E2033" s="0" t="inlineStr">
        <is>
          <t xml:space="preserve">consumer_cyclical</t>
        </is>
      </c>
      <c r="F2033" s="4">
        <v>32</v>
      </c>
    </row>
    <row r="2034">
      <c r="A2034" s="0" t="inlineStr">
        <is>
          <t xml:space="preserve">random_11_TREX</t>
        </is>
      </c>
      <c r="B2034" s="0" t="inlineStr">
        <is>
          <t xml:space="preserve">random_11</t>
        </is>
      </c>
      <c r="C2034" s="0" t="inlineStr">
        <is>
          <t xml:space="preserve">d20260923</t>
        </is>
      </c>
      <c r="D2034" s="0" t="inlineStr">
        <is>
          <t xml:space="preserve">TREX</t>
        </is>
      </c>
      <c r="E2034" s="0" t="inlineStr">
        <is>
          <t xml:space="preserve">basic_materials</t>
        </is>
      </c>
      <c r="F2034" s="4">
        <v>33</v>
      </c>
    </row>
    <row r="2035">
      <c r="A2035" s="0" t="inlineStr">
        <is>
          <t xml:space="preserve">random_11_KEX</t>
        </is>
      </c>
      <c r="B2035" s="0" t="inlineStr">
        <is>
          <t xml:space="preserve">random_11</t>
        </is>
      </c>
      <c r="C2035" s="0" t="inlineStr">
        <is>
          <t xml:space="preserve">d20260923</t>
        </is>
      </c>
      <c r="D2035" s="0" t="inlineStr">
        <is>
          <t xml:space="preserve">KEX</t>
        </is>
      </c>
      <c r="E2035" s="0" t="inlineStr">
        <is>
          <t xml:space="preserve">industrials</t>
        </is>
      </c>
      <c r="F2035" s="4">
        <v>34</v>
      </c>
    </row>
    <row r="2036">
      <c r="A2036" s="0" t="inlineStr">
        <is>
          <t xml:space="preserve">random_11_Q</t>
        </is>
      </c>
      <c r="B2036" s="0" t="inlineStr">
        <is>
          <t xml:space="preserve">random_11</t>
        </is>
      </c>
      <c r="C2036" s="0" t="inlineStr">
        <is>
          <t xml:space="preserve">d20260923</t>
        </is>
      </c>
      <c r="D2036" s="0" t="inlineStr">
        <is>
          <t xml:space="preserve">Q</t>
        </is>
      </c>
      <c r="E2036" s="0" t="inlineStr">
        <is>
          <t xml:space="preserve">technology</t>
        </is>
      </c>
      <c r="F2036" s="4">
        <v>35</v>
      </c>
    </row>
    <row r="2037">
      <c r="A2037" s="0" t="inlineStr">
        <is>
          <t xml:space="preserve">random_11_CNP</t>
        </is>
      </c>
      <c r="B2037" s="0" t="inlineStr">
        <is>
          <t xml:space="preserve">random_11</t>
        </is>
      </c>
      <c r="C2037" s="0" t="inlineStr">
        <is>
          <t xml:space="preserve">d20260923</t>
        </is>
      </c>
      <c r="D2037" s="0" t="inlineStr">
        <is>
          <t xml:space="preserve">CNP</t>
        </is>
      </c>
      <c r="E2037" s="0" t="inlineStr">
        <is>
          <t xml:space="preserve">utilities</t>
        </is>
      </c>
      <c r="F2037" s="4">
        <v>36</v>
      </c>
    </row>
    <row r="2038">
      <c r="A2038" s="0" t="inlineStr">
        <is>
          <t xml:space="preserve">random_11_GRAL</t>
        </is>
      </c>
      <c r="B2038" s="0" t="inlineStr">
        <is>
          <t xml:space="preserve">random_11</t>
        </is>
      </c>
      <c r="C2038" s="0" t="inlineStr">
        <is>
          <t xml:space="preserve">d20260923</t>
        </is>
      </c>
      <c r="D2038" s="0" t="inlineStr">
        <is>
          <t xml:space="preserve">GRAL</t>
        </is>
      </c>
      <c r="E2038" s="0" t="inlineStr">
        <is>
          <t xml:space="preserve">healthcare</t>
        </is>
      </c>
      <c r="F2038" s="4">
        <v>37</v>
      </c>
    </row>
    <row r="2039">
      <c r="A2039" s="0" t="inlineStr">
        <is>
          <t xml:space="preserve">random_11_BOX</t>
        </is>
      </c>
      <c r="B2039" s="0" t="inlineStr">
        <is>
          <t xml:space="preserve">random_11</t>
        </is>
      </c>
      <c r="C2039" s="0" t="inlineStr">
        <is>
          <t xml:space="preserve">d20260923</t>
        </is>
      </c>
      <c r="D2039" s="0" t="inlineStr">
        <is>
          <t xml:space="preserve">BOX</t>
        </is>
      </c>
      <c r="E2039" s="0" t="inlineStr">
        <is>
          <t xml:space="preserve">technology</t>
        </is>
      </c>
      <c r="F2039" s="4">
        <v>38</v>
      </c>
    </row>
    <row r="2040">
      <c r="A2040" s="0" t="inlineStr">
        <is>
          <t xml:space="preserve">random_11_TROW</t>
        </is>
      </c>
      <c r="B2040" s="0" t="inlineStr">
        <is>
          <t xml:space="preserve">random_11</t>
        </is>
      </c>
      <c r="C2040" s="0" t="inlineStr">
        <is>
          <t xml:space="preserve">d20260923</t>
        </is>
      </c>
      <c r="D2040" s="0" t="inlineStr">
        <is>
          <t xml:space="preserve">TROW</t>
        </is>
      </c>
      <c r="E2040" s="0" t="inlineStr">
        <is>
          <t xml:space="preserve">financial_services</t>
        </is>
      </c>
      <c r="F2040" s="4">
        <v>39</v>
      </c>
    </row>
    <row r="2041">
      <c r="A2041" s="0" t="inlineStr">
        <is>
          <t xml:space="preserve">random_11_ROAD</t>
        </is>
      </c>
      <c r="B2041" s="0" t="inlineStr">
        <is>
          <t xml:space="preserve">random_11</t>
        </is>
      </c>
      <c r="C2041" s="0" t="inlineStr">
        <is>
          <t xml:space="preserve">d20260923</t>
        </is>
      </c>
      <c r="D2041" s="0" t="inlineStr">
        <is>
          <t xml:space="preserve">ROAD</t>
        </is>
      </c>
      <c r="E2041" s="0" t="inlineStr">
        <is>
          <t xml:space="preserve">industrials</t>
        </is>
      </c>
      <c r="F2041" s="4">
        <v>40</v>
      </c>
    </row>
    <row r="2042">
      <c r="A2042" s="0" t="inlineStr">
        <is>
          <t xml:space="preserve">random_11_WERN</t>
        </is>
      </c>
      <c r="B2042" s="0" t="inlineStr">
        <is>
          <t xml:space="preserve">random_11</t>
        </is>
      </c>
      <c r="C2042" s="0" t="inlineStr">
        <is>
          <t xml:space="preserve">d20260923</t>
        </is>
      </c>
      <c r="D2042" s="0" t="inlineStr">
        <is>
          <t xml:space="preserve">WERN</t>
        </is>
      </c>
      <c r="E2042" s="0" t="inlineStr">
        <is>
          <t xml:space="preserve">industrials</t>
        </is>
      </c>
      <c r="F2042" s="4">
        <v>41</v>
      </c>
    </row>
    <row r="2043">
      <c r="A2043" s="0" t="inlineStr">
        <is>
          <t xml:space="preserve">random_11_JBTM</t>
        </is>
      </c>
      <c r="B2043" s="0" t="inlineStr">
        <is>
          <t xml:space="preserve">random_11</t>
        </is>
      </c>
      <c r="C2043" s="0" t="inlineStr">
        <is>
          <t xml:space="preserve">d20260923</t>
        </is>
      </c>
      <c r="D2043" s="0" t="inlineStr">
        <is>
          <t xml:space="preserve">JBTM</t>
        </is>
      </c>
      <c r="E2043" s="0" t="inlineStr">
        <is>
          <t xml:space="preserve">industrials</t>
        </is>
      </c>
      <c r="F2043" s="4">
        <v>42</v>
      </c>
    </row>
    <row r="2044">
      <c r="A2044" s="0" t="inlineStr">
        <is>
          <t xml:space="preserve">random_11_AXTI</t>
        </is>
      </c>
      <c r="B2044" s="0" t="inlineStr">
        <is>
          <t xml:space="preserve">random_11</t>
        </is>
      </c>
      <c r="C2044" s="0" t="inlineStr">
        <is>
          <t xml:space="preserve">d20260923</t>
        </is>
      </c>
      <c r="D2044" s="0" t="inlineStr">
        <is>
          <t xml:space="preserve">AXTI</t>
        </is>
      </c>
      <c r="E2044" s="0" t="inlineStr">
        <is>
          <t xml:space="preserve">technology</t>
        </is>
      </c>
      <c r="F2044" s="4">
        <v>43</v>
      </c>
    </row>
    <row r="2045">
      <c r="A2045" s="0" t="inlineStr">
        <is>
          <t xml:space="preserve">random_11_BTSG</t>
        </is>
      </c>
      <c r="B2045" s="0" t="inlineStr">
        <is>
          <t xml:space="preserve">random_11</t>
        </is>
      </c>
      <c r="C2045" s="0" t="inlineStr">
        <is>
          <t xml:space="preserve">d20260923</t>
        </is>
      </c>
      <c r="D2045" s="0" t="inlineStr">
        <is>
          <t xml:space="preserve">BTSG</t>
        </is>
      </c>
      <c r="E2045" s="0" t="inlineStr">
        <is>
          <t xml:space="preserve">healthcare</t>
        </is>
      </c>
      <c r="F2045" s="4">
        <v>44</v>
      </c>
    </row>
    <row r="2046">
      <c r="A2046" s="0" t="inlineStr">
        <is>
          <t xml:space="preserve">random_11_IP</t>
        </is>
      </c>
      <c r="B2046" s="0" t="inlineStr">
        <is>
          <t xml:space="preserve">random_11</t>
        </is>
      </c>
      <c r="C2046" s="0" t="inlineStr">
        <is>
          <t xml:space="preserve">d20260923</t>
        </is>
      </c>
      <c r="D2046" s="0" t="inlineStr">
        <is>
          <t xml:space="preserve">IP</t>
        </is>
      </c>
      <c r="E2046" s="0" t="inlineStr">
        <is>
          <t xml:space="preserve">basic_materials</t>
        </is>
      </c>
      <c r="F2046" s="4">
        <v>45</v>
      </c>
    </row>
    <row r="2047">
      <c r="A2047" s="0" t="inlineStr">
        <is>
          <t xml:space="preserve">random_11_NTRA</t>
        </is>
      </c>
      <c r="B2047" s="0" t="inlineStr">
        <is>
          <t xml:space="preserve">random_11</t>
        </is>
      </c>
      <c r="C2047" s="0" t="inlineStr">
        <is>
          <t xml:space="preserve">d20260923</t>
        </is>
      </c>
      <c r="D2047" s="0" t="inlineStr">
        <is>
          <t xml:space="preserve">NTRA</t>
        </is>
      </c>
      <c r="E2047" s="0" t="inlineStr">
        <is>
          <t xml:space="preserve">healthcare</t>
        </is>
      </c>
      <c r="F2047" s="4">
        <v>46</v>
      </c>
    </row>
    <row r="2048">
      <c r="A2048" s="0" t="inlineStr">
        <is>
          <t xml:space="preserve">random_11_AUR</t>
        </is>
      </c>
      <c r="B2048" s="0" t="inlineStr">
        <is>
          <t xml:space="preserve">random_11</t>
        </is>
      </c>
      <c r="C2048" s="0" t="inlineStr">
        <is>
          <t xml:space="preserve">d20260923</t>
        </is>
      </c>
      <c r="D2048" s="0" t="inlineStr">
        <is>
          <t xml:space="preserve">AUR</t>
        </is>
      </c>
      <c r="E2048" s="0" t="inlineStr">
        <is>
          <t xml:space="preserve">technology</t>
        </is>
      </c>
      <c r="F2048" s="4">
        <v>47</v>
      </c>
    </row>
    <row r="2049">
      <c r="A2049" s="0" t="inlineStr">
        <is>
          <t xml:space="preserve">random_11_ARMK</t>
        </is>
      </c>
      <c r="B2049" s="0" t="inlineStr">
        <is>
          <t xml:space="preserve">random_11</t>
        </is>
      </c>
      <c r="C2049" s="0" t="inlineStr">
        <is>
          <t xml:space="preserve">d20260923</t>
        </is>
      </c>
      <c r="D2049" s="0" t="inlineStr">
        <is>
          <t xml:space="preserve">ARMK</t>
        </is>
      </c>
      <c r="E2049" s="0" t="inlineStr">
        <is>
          <t xml:space="preserve">industrials</t>
        </is>
      </c>
      <c r="F2049" s="4">
        <v>48</v>
      </c>
    </row>
    <row r="2050">
      <c r="A2050" s="0" t="inlineStr">
        <is>
          <t xml:space="preserve">random_11_UMBF</t>
        </is>
      </c>
      <c r="B2050" s="0" t="inlineStr">
        <is>
          <t xml:space="preserve">random_11</t>
        </is>
      </c>
      <c r="C2050" s="0" t="inlineStr">
        <is>
          <t xml:space="preserve">d20260923</t>
        </is>
      </c>
      <c r="D2050" s="0" t="inlineStr">
        <is>
          <t xml:space="preserve">UMBF</t>
        </is>
      </c>
      <c r="E2050" s="0" t="inlineStr">
        <is>
          <t xml:space="preserve">financial_services</t>
        </is>
      </c>
      <c r="F2050" s="4">
        <v>49</v>
      </c>
    </row>
    <row r="2051">
      <c r="A2051" s="0" t="inlineStr">
        <is>
          <t xml:space="preserve">random_11_GPOR</t>
        </is>
      </c>
      <c r="B2051" s="0" t="inlineStr">
        <is>
          <t xml:space="preserve">random_11</t>
        </is>
      </c>
      <c r="C2051" s="0" t="inlineStr">
        <is>
          <t xml:space="preserve">d20260923</t>
        </is>
      </c>
      <c r="D2051" s="0" t="inlineStr">
        <is>
          <t xml:space="preserve">GPOR</t>
        </is>
      </c>
      <c r="E2051" s="0" t="inlineStr">
        <is>
          <t xml:space="preserve">energy</t>
        </is>
      </c>
      <c r="F2051" s="4">
        <v>50</v>
      </c>
    </row>
    <row r="2052">
      <c r="A2052" s="0" t="inlineStr">
        <is>
          <t xml:space="preserve">random_11_FHN</t>
        </is>
      </c>
      <c r="B2052" s="0" t="inlineStr">
        <is>
          <t xml:space="preserve">random_11</t>
        </is>
      </c>
      <c r="C2052" s="0" t="inlineStr">
        <is>
          <t xml:space="preserve">d20260923</t>
        </is>
      </c>
      <c r="D2052" s="0" t="inlineStr">
        <is>
          <t xml:space="preserve">FHN</t>
        </is>
      </c>
      <c r="E2052" s="0" t="inlineStr">
        <is>
          <t xml:space="preserve">financial_services</t>
        </is>
      </c>
      <c r="F2052" s="4">
        <v>51</v>
      </c>
    </row>
    <row r="2053">
      <c r="A2053" s="0" t="inlineStr">
        <is>
          <t xml:space="preserve">random_11_DIOD</t>
        </is>
      </c>
      <c r="B2053" s="0" t="inlineStr">
        <is>
          <t xml:space="preserve">random_11</t>
        </is>
      </c>
      <c r="C2053" s="0" t="inlineStr">
        <is>
          <t xml:space="preserve">d20260923</t>
        </is>
      </c>
      <c r="D2053" s="0" t="inlineStr">
        <is>
          <t xml:space="preserve">DIOD</t>
        </is>
      </c>
      <c r="E2053" s="0" t="inlineStr">
        <is>
          <t xml:space="preserve">technology</t>
        </is>
      </c>
      <c r="F2053" s="4">
        <v>52</v>
      </c>
    </row>
    <row r="2054">
      <c r="A2054" s="0" t="inlineStr">
        <is>
          <t xml:space="preserve">random_11_GLXY</t>
        </is>
      </c>
      <c r="B2054" s="0" t="inlineStr">
        <is>
          <t xml:space="preserve">random_11</t>
        </is>
      </c>
      <c r="C2054" s="0" t="inlineStr">
        <is>
          <t xml:space="preserve">d20260923</t>
        </is>
      </c>
      <c r="D2054" s="0" t="inlineStr">
        <is>
          <t xml:space="preserve">GLXY</t>
        </is>
      </c>
      <c r="E2054" s="0" t="inlineStr">
        <is>
          <t xml:space="preserve">financial_services</t>
        </is>
      </c>
      <c r="F2054" s="4">
        <v>53</v>
      </c>
    </row>
    <row r="2055">
      <c r="A2055" s="0" t="inlineStr">
        <is>
          <t xml:space="preserve">random_11_GTLB</t>
        </is>
      </c>
      <c r="B2055" s="0" t="inlineStr">
        <is>
          <t xml:space="preserve">random_11</t>
        </is>
      </c>
      <c r="C2055" s="0" t="inlineStr">
        <is>
          <t xml:space="preserve">d20260923</t>
        </is>
      </c>
      <c r="D2055" s="0" t="inlineStr">
        <is>
          <t xml:space="preserve">GTLB</t>
        </is>
      </c>
      <c r="E2055" s="0" t="inlineStr">
        <is>
          <t xml:space="preserve">technology</t>
        </is>
      </c>
      <c r="F2055" s="4">
        <v>54</v>
      </c>
    </row>
    <row r="2056">
      <c r="A2056" s="0" t="inlineStr">
        <is>
          <t xml:space="preserve">random_11_CG</t>
        </is>
      </c>
      <c r="B2056" s="0" t="inlineStr">
        <is>
          <t xml:space="preserve">random_11</t>
        </is>
      </c>
      <c r="C2056" s="0" t="inlineStr">
        <is>
          <t xml:space="preserve">d20260923</t>
        </is>
      </c>
      <c r="D2056" s="0" t="inlineStr">
        <is>
          <t xml:space="preserve">CG</t>
        </is>
      </c>
      <c r="E2056" s="0" t="inlineStr">
        <is>
          <t xml:space="preserve">financial_services</t>
        </is>
      </c>
      <c r="F2056" s="4">
        <v>55</v>
      </c>
    </row>
    <row r="2057">
      <c r="A2057" s="0" t="inlineStr">
        <is>
          <t xml:space="preserve">random_11_DNTH</t>
        </is>
      </c>
      <c r="B2057" s="0" t="inlineStr">
        <is>
          <t xml:space="preserve">random_11</t>
        </is>
      </c>
      <c r="C2057" s="0" t="inlineStr">
        <is>
          <t xml:space="preserve">d20260923</t>
        </is>
      </c>
      <c r="D2057" s="0" t="inlineStr">
        <is>
          <t xml:space="preserve">DNTH</t>
        </is>
      </c>
      <c r="E2057" s="0" t="inlineStr">
        <is>
          <t xml:space="preserve">healthcare</t>
        </is>
      </c>
      <c r="F2057" s="4">
        <v>56</v>
      </c>
    </row>
    <row r="2058">
      <c r="A2058" s="0" t="inlineStr">
        <is>
          <t xml:space="preserve">random_11_VIAV</t>
        </is>
      </c>
      <c r="B2058" s="0" t="inlineStr">
        <is>
          <t xml:space="preserve">random_11</t>
        </is>
      </c>
      <c r="C2058" s="0" t="inlineStr">
        <is>
          <t xml:space="preserve">d20260923</t>
        </is>
      </c>
      <c r="D2058" s="0" t="inlineStr">
        <is>
          <t xml:space="preserve">VIAV</t>
        </is>
      </c>
      <c r="E2058" s="0" t="inlineStr">
        <is>
          <t xml:space="preserve">technology</t>
        </is>
      </c>
      <c r="F2058" s="4">
        <v>57</v>
      </c>
    </row>
    <row r="2059">
      <c r="A2059" s="0" t="inlineStr">
        <is>
          <t xml:space="preserve">random_11_SPSC</t>
        </is>
      </c>
      <c r="B2059" s="0" t="inlineStr">
        <is>
          <t xml:space="preserve">random_11</t>
        </is>
      </c>
      <c r="C2059" s="0" t="inlineStr">
        <is>
          <t xml:space="preserve">d20260923</t>
        </is>
      </c>
      <c r="D2059" s="0" t="inlineStr">
        <is>
          <t xml:space="preserve">SPSC</t>
        </is>
      </c>
      <c r="E2059" s="0" t="inlineStr">
        <is>
          <t xml:space="preserve">technology</t>
        </is>
      </c>
      <c r="F2059" s="4">
        <v>58</v>
      </c>
    </row>
    <row r="2060">
      <c r="A2060" s="0" t="inlineStr">
        <is>
          <t xml:space="preserve">random_11_MTH</t>
        </is>
      </c>
      <c r="B2060" s="0" t="inlineStr">
        <is>
          <t xml:space="preserve">random_11</t>
        </is>
      </c>
      <c r="C2060" s="0" t="inlineStr">
        <is>
          <t xml:space="preserve">d20260923</t>
        </is>
      </c>
      <c r="D2060" s="0" t="inlineStr">
        <is>
          <t xml:space="preserve">MTH</t>
        </is>
      </c>
      <c r="E2060" s="0" t="inlineStr">
        <is>
          <t xml:space="preserve">consumer_cyclical</t>
        </is>
      </c>
      <c r="F2060" s="4">
        <v>59</v>
      </c>
    </row>
    <row r="2061">
      <c r="A2061" s="0" t="inlineStr">
        <is>
          <t xml:space="preserve">random_11_CARR</t>
        </is>
      </c>
      <c r="B2061" s="0" t="inlineStr">
        <is>
          <t xml:space="preserve">random_11</t>
        </is>
      </c>
      <c r="C2061" s="0" t="inlineStr">
        <is>
          <t xml:space="preserve">d20260923</t>
        </is>
      </c>
      <c r="D2061" s="0" t="inlineStr">
        <is>
          <t xml:space="preserve">CARR</t>
        </is>
      </c>
      <c r="E2061" s="0" t="inlineStr">
        <is>
          <t xml:space="preserve">industrials</t>
        </is>
      </c>
      <c r="F2061" s="4">
        <v>60</v>
      </c>
    </row>
    <row r="2062">
      <c r="A2062" s="0" t="inlineStr">
        <is>
          <t xml:space="preserve">random_11_IEP</t>
        </is>
      </c>
      <c r="B2062" s="0" t="inlineStr">
        <is>
          <t xml:space="preserve">random_11</t>
        </is>
      </c>
      <c r="C2062" s="0" t="inlineStr">
        <is>
          <t xml:space="preserve">d20260923</t>
        </is>
      </c>
      <c r="D2062" s="0" t="inlineStr">
        <is>
          <t xml:space="preserve">IEP</t>
        </is>
      </c>
      <c r="E2062" s="0" t="inlineStr">
        <is>
          <t xml:space="preserve">energy</t>
        </is>
      </c>
      <c r="F2062" s="4">
        <v>61</v>
      </c>
    </row>
    <row r="2063">
      <c r="A2063" s="0" t="inlineStr">
        <is>
          <t xml:space="preserve">random_11_BCC</t>
        </is>
      </c>
      <c r="B2063" s="0" t="inlineStr">
        <is>
          <t xml:space="preserve">random_11</t>
        </is>
      </c>
      <c r="C2063" s="0" t="inlineStr">
        <is>
          <t xml:space="preserve">d20260923</t>
        </is>
      </c>
      <c r="D2063" s="0" t="inlineStr">
        <is>
          <t xml:space="preserve">BCC</t>
        </is>
      </c>
      <c r="E2063" s="0" t="inlineStr">
        <is>
          <t xml:space="preserve">basic_materials</t>
        </is>
      </c>
      <c r="F2063" s="4">
        <v>62</v>
      </c>
    </row>
    <row r="2064">
      <c r="A2064" s="0" t="inlineStr">
        <is>
          <t xml:space="preserve">random_11_AXGN</t>
        </is>
      </c>
      <c r="B2064" s="0" t="inlineStr">
        <is>
          <t xml:space="preserve">random_11</t>
        </is>
      </c>
      <c r="C2064" s="0" t="inlineStr">
        <is>
          <t xml:space="preserve">d20260923</t>
        </is>
      </c>
      <c r="D2064" s="0" t="inlineStr">
        <is>
          <t xml:space="preserve">AXGN</t>
        </is>
      </c>
      <c r="E2064" s="0" t="inlineStr">
        <is>
          <t xml:space="preserve">healthcare</t>
        </is>
      </c>
      <c r="F2064" s="4">
        <v>63</v>
      </c>
    </row>
    <row r="2065">
      <c r="A2065" s="0" t="inlineStr">
        <is>
          <t xml:space="preserve">random_11_IEX</t>
        </is>
      </c>
      <c r="B2065" s="0" t="inlineStr">
        <is>
          <t xml:space="preserve">random_11</t>
        </is>
      </c>
      <c r="C2065" s="0" t="inlineStr">
        <is>
          <t xml:space="preserve">d20260923</t>
        </is>
      </c>
      <c r="D2065" s="0" t="inlineStr">
        <is>
          <t xml:space="preserve">IEX</t>
        </is>
      </c>
      <c r="E2065" s="0" t="inlineStr">
        <is>
          <t xml:space="preserve">industrials</t>
        </is>
      </c>
      <c r="F2065" s="4">
        <v>64</v>
      </c>
    </row>
    <row r="2066">
      <c r="A2066" s="0" t="inlineStr">
        <is>
          <t xml:space="preserve">random_11_RH</t>
        </is>
      </c>
      <c r="B2066" s="0" t="inlineStr">
        <is>
          <t xml:space="preserve">random_11</t>
        </is>
      </c>
      <c r="C2066" s="0" t="inlineStr">
        <is>
          <t xml:space="preserve">d20260923</t>
        </is>
      </c>
      <c r="D2066" s="0" t="inlineStr">
        <is>
          <t xml:space="preserve">RH</t>
        </is>
      </c>
      <c r="E2066" s="0" t="inlineStr">
        <is>
          <t xml:space="preserve">consumer_cyclical</t>
        </is>
      </c>
      <c r="F2066" s="4">
        <v>65</v>
      </c>
    </row>
    <row r="2067">
      <c r="A2067" s="0" t="inlineStr">
        <is>
          <t xml:space="preserve">random_11_CI</t>
        </is>
      </c>
      <c r="B2067" s="0" t="inlineStr">
        <is>
          <t xml:space="preserve">random_11</t>
        </is>
      </c>
      <c r="C2067" s="0" t="inlineStr">
        <is>
          <t xml:space="preserve">d20260923</t>
        </is>
      </c>
      <c r="D2067" s="0" t="inlineStr">
        <is>
          <t xml:space="preserve">CI</t>
        </is>
      </c>
      <c r="E2067" s="0" t="inlineStr">
        <is>
          <t xml:space="preserve">healthcare</t>
        </is>
      </c>
      <c r="F2067" s="4">
        <v>66</v>
      </c>
    </row>
    <row r="2068">
      <c r="A2068" s="0" t="inlineStr">
        <is>
          <t xml:space="preserve">random_11_WAT</t>
        </is>
      </c>
      <c r="B2068" s="0" t="inlineStr">
        <is>
          <t xml:space="preserve">random_11</t>
        </is>
      </c>
      <c r="C2068" s="0" t="inlineStr">
        <is>
          <t xml:space="preserve">d20260923</t>
        </is>
      </c>
      <c r="D2068" s="0" t="inlineStr">
        <is>
          <t xml:space="preserve">WAT</t>
        </is>
      </c>
      <c r="E2068" s="0" t="inlineStr">
        <is>
          <t xml:space="preserve">healthcare</t>
        </is>
      </c>
      <c r="F2068" s="4">
        <v>67</v>
      </c>
    </row>
    <row r="2069">
      <c r="A2069" s="0" t="inlineStr">
        <is>
          <t xml:space="preserve">random_11_INGR</t>
        </is>
      </c>
      <c r="B2069" s="0" t="inlineStr">
        <is>
          <t xml:space="preserve">random_11</t>
        </is>
      </c>
      <c r="C2069" s="0" t="inlineStr">
        <is>
          <t xml:space="preserve">d20260923</t>
        </is>
      </c>
      <c r="D2069" s="0" t="inlineStr">
        <is>
          <t xml:space="preserve">INGR</t>
        </is>
      </c>
      <c r="E2069" s="0" t="inlineStr">
        <is>
          <t xml:space="preserve">consumer_defensive</t>
        </is>
      </c>
      <c r="F2069" s="4">
        <v>68</v>
      </c>
    </row>
    <row r="2070">
      <c r="A2070" s="0" t="inlineStr">
        <is>
          <t xml:space="preserve">random_11_MIR</t>
        </is>
      </c>
      <c r="B2070" s="0" t="inlineStr">
        <is>
          <t xml:space="preserve">random_11</t>
        </is>
      </c>
      <c r="C2070" s="0" t="inlineStr">
        <is>
          <t xml:space="preserve">d20260923</t>
        </is>
      </c>
      <c r="D2070" s="0" t="inlineStr">
        <is>
          <t xml:space="preserve">MIR</t>
        </is>
      </c>
      <c r="E2070" s="0" t="inlineStr">
        <is>
          <t xml:space="preserve">industrials</t>
        </is>
      </c>
      <c r="F2070" s="4">
        <v>69</v>
      </c>
    </row>
    <row r="2071">
      <c r="A2071" s="0" t="inlineStr">
        <is>
          <t xml:space="preserve">random_11_REGN</t>
        </is>
      </c>
      <c r="B2071" s="0" t="inlineStr">
        <is>
          <t xml:space="preserve">random_11</t>
        </is>
      </c>
      <c r="C2071" s="0" t="inlineStr">
        <is>
          <t xml:space="preserve">d20260923</t>
        </is>
      </c>
      <c r="D2071" s="0" t="inlineStr">
        <is>
          <t xml:space="preserve">REGN</t>
        </is>
      </c>
      <c r="E2071" s="0" t="inlineStr">
        <is>
          <t xml:space="preserve">healthcare</t>
        </is>
      </c>
      <c r="F2071" s="4">
        <v>70</v>
      </c>
    </row>
    <row r="2072">
      <c r="A2072" s="0" t="inlineStr">
        <is>
          <t xml:space="preserve">random_11_SFBS</t>
        </is>
      </c>
      <c r="B2072" s="0" t="inlineStr">
        <is>
          <t xml:space="preserve">random_11</t>
        </is>
      </c>
      <c r="C2072" s="0" t="inlineStr">
        <is>
          <t xml:space="preserve">d20260923</t>
        </is>
      </c>
      <c r="D2072" s="0" t="inlineStr">
        <is>
          <t xml:space="preserve">SFBS</t>
        </is>
      </c>
      <c r="E2072" s="0" t="inlineStr">
        <is>
          <t xml:space="preserve">financial_services</t>
        </is>
      </c>
      <c r="F2072" s="4">
        <v>71</v>
      </c>
    </row>
    <row r="2073">
      <c r="A2073" s="0" t="inlineStr">
        <is>
          <t xml:space="preserve">random_11_PII</t>
        </is>
      </c>
      <c r="B2073" s="0" t="inlineStr">
        <is>
          <t xml:space="preserve">random_11</t>
        </is>
      </c>
      <c r="C2073" s="0" t="inlineStr">
        <is>
          <t xml:space="preserve">d20260923</t>
        </is>
      </c>
      <c r="D2073" s="0" t="inlineStr">
        <is>
          <t xml:space="preserve">PII</t>
        </is>
      </c>
      <c r="E2073" s="0" t="inlineStr">
        <is>
          <t xml:space="preserve">consumer_cyclical</t>
        </is>
      </c>
      <c r="F2073" s="4">
        <v>72</v>
      </c>
    </row>
    <row r="2074">
      <c r="A2074" s="0" t="inlineStr">
        <is>
          <t xml:space="preserve">random_11_ACAD</t>
        </is>
      </c>
      <c r="B2074" s="0" t="inlineStr">
        <is>
          <t xml:space="preserve">random_11</t>
        </is>
      </c>
      <c r="C2074" s="0" t="inlineStr">
        <is>
          <t xml:space="preserve">d20260923</t>
        </is>
      </c>
      <c r="D2074" s="0" t="inlineStr">
        <is>
          <t xml:space="preserve">ACAD</t>
        </is>
      </c>
      <c r="E2074" s="0" t="inlineStr">
        <is>
          <t xml:space="preserve">healthcare</t>
        </is>
      </c>
      <c r="F2074" s="4">
        <v>73</v>
      </c>
    </row>
    <row r="2075">
      <c r="A2075" s="0" t="inlineStr">
        <is>
          <t xml:space="preserve">random_11_AVTR</t>
        </is>
      </c>
      <c r="B2075" s="0" t="inlineStr">
        <is>
          <t xml:space="preserve">random_11</t>
        </is>
      </c>
      <c r="C2075" s="0" t="inlineStr">
        <is>
          <t xml:space="preserve">d20260923</t>
        </is>
      </c>
      <c r="D2075" s="0" t="inlineStr">
        <is>
          <t xml:space="preserve">AVTR</t>
        </is>
      </c>
      <c r="E2075" s="0" t="inlineStr">
        <is>
          <t xml:space="preserve">healthcare</t>
        </is>
      </c>
      <c r="F2075" s="4">
        <v>74</v>
      </c>
    </row>
    <row r="2076">
      <c r="A2076" s="0" t="inlineStr">
        <is>
          <t xml:space="preserve">random_11_LITE</t>
        </is>
      </c>
      <c r="B2076" s="0" t="inlineStr">
        <is>
          <t xml:space="preserve">random_11</t>
        </is>
      </c>
      <c r="C2076" s="0" t="inlineStr">
        <is>
          <t xml:space="preserve">d20260923</t>
        </is>
      </c>
      <c r="D2076" s="0" t="inlineStr">
        <is>
          <t xml:space="preserve">LITE</t>
        </is>
      </c>
      <c r="E2076" s="0" t="inlineStr">
        <is>
          <t xml:space="preserve">technology</t>
        </is>
      </c>
      <c r="F2076" s="4">
        <v>75</v>
      </c>
    </row>
    <row r="2077">
      <c r="A2077" s="0" t="inlineStr">
        <is>
          <t xml:space="preserve">random_11_SCCO</t>
        </is>
      </c>
      <c r="B2077" s="0" t="inlineStr">
        <is>
          <t xml:space="preserve">random_11</t>
        </is>
      </c>
      <c r="C2077" s="0" t="inlineStr">
        <is>
          <t xml:space="preserve">d20260923</t>
        </is>
      </c>
      <c r="D2077" s="0" t="inlineStr">
        <is>
          <t xml:space="preserve">SCCO</t>
        </is>
      </c>
      <c r="E2077" s="0" t="inlineStr">
        <is>
          <t xml:space="preserve">basic_materials</t>
        </is>
      </c>
      <c r="F2077" s="4">
        <v>76</v>
      </c>
    </row>
    <row r="2078">
      <c r="A2078" s="0" t="inlineStr">
        <is>
          <t xml:space="preserve">random_11_VVV</t>
        </is>
      </c>
      <c r="B2078" s="0" t="inlineStr">
        <is>
          <t xml:space="preserve">random_11</t>
        </is>
      </c>
      <c r="C2078" s="0" t="inlineStr">
        <is>
          <t xml:space="preserve">d20260923</t>
        </is>
      </c>
      <c r="D2078" s="0" t="inlineStr">
        <is>
          <t xml:space="preserve">VVV</t>
        </is>
      </c>
      <c r="E2078" s="0" t="inlineStr">
        <is>
          <t xml:space="preserve">consumer_cyclical</t>
        </is>
      </c>
      <c r="F2078" s="4">
        <v>77</v>
      </c>
    </row>
    <row r="2079">
      <c r="A2079" s="0" t="inlineStr">
        <is>
          <t xml:space="preserve">random_11_HR</t>
        </is>
      </c>
      <c r="B2079" s="0" t="inlineStr">
        <is>
          <t xml:space="preserve">random_11</t>
        </is>
      </c>
      <c r="C2079" s="0" t="inlineStr">
        <is>
          <t xml:space="preserve">d20260923</t>
        </is>
      </c>
      <c r="D2079" s="0" t="inlineStr">
        <is>
          <t xml:space="preserve">HR</t>
        </is>
      </c>
      <c r="E2079" s="0" t="inlineStr">
        <is>
          <t xml:space="preserve">real_estate</t>
        </is>
      </c>
      <c r="F2079" s="4">
        <v>78</v>
      </c>
    </row>
    <row r="2080">
      <c r="A2080" s="0" t="inlineStr">
        <is>
          <t xml:space="preserve">random_11_NOC</t>
        </is>
      </c>
      <c r="B2080" s="0" t="inlineStr">
        <is>
          <t xml:space="preserve">random_11</t>
        </is>
      </c>
      <c r="C2080" s="0" t="inlineStr">
        <is>
          <t xml:space="preserve">d20260923</t>
        </is>
      </c>
      <c r="D2080" s="0" t="inlineStr">
        <is>
          <t xml:space="preserve">NOC</t>
        </is>
      </c>
      <c r="E2080" s="0" t="inlineStr">
        <is>
          <t xml:space="preserve">industrials</t>
        </is>
      </c>
      <c r="F2080" s="4">
        <v>79</v>
      </c>
    </row>
    <row r="2081">
      <c r="A2081" s="0" t="inlineStr">
        <is>
          <t xml:space="preserve">random_11_MKSI</t>
        </is>
      </c>
      <c r="B2081" s="0" t="inlineStr">
        <is>
          <t xml:space="preserve">random_11</t>
        </is>
      </c>
      <c r="C2081" s="0" t="inlineStr">
        <is>
          <t xml:space="preserve">d20260923</t>
        </is>
      </c>
      <c r="D2081" s="0" t="inlineStr">
        <is>
          <t xml:space="preserve">MKSI</t>
        </is>
      </c>
      <c r="E2081" s="0" t="inlineStr">
        <is>
          <t xml:space="preserve">technology</t>
        </is>
      </c>
      <c r="F2081" s="4">
        <v>80</v>
      </c>
    </row>
    <row r="2082">
      <c r="A2082" s="0" t="inlineStr">
        <is>
          <t xml:space="preserve">random_11_ES</t>
        </is>
      </c>
      <c r="B2082" s="0" t="inlineStr">
        <is>
          <t xml:space="preserve">random_11</t>
        </is>
      </c>
      <c r="C2082" s="0" t="inlineStr">
        <is>
          <t xml:space="preserve">d20260923</t>
        </is>
      </c>
      <c r="D2082" s="0" t="inlineStr">
        <is>
          <t xml:space="preserve">ES</t>
        </is>
      </c>
      <c r="E2082" s="0" t="inlineStr">
        <is>
          <t xml:space="preserve">utilities</t>
        </is>
      </c>
      <c r="F2082" s="4">
        <v>81</v>
      </c>
    </row>
    <row r="2083">
      <c r="A2083" s="0" t="inlineStr">
        <is>
          <t xml:space="preserve">random_11_SAIA</t>
        </is>
      </c>
      <c r="B2083" s="0" t="inlineStr">
        <is>
          <t xml:space="preserve">random_11</t>
        </is>
      </c>
      <c r="C2083" s="0" t="inlineStr">
        <is>
          <t xml:space="preserve">d20260923</t>
        </is>
      </c>
      <c r="D2083" s="0" t="inlineStr">
        <is>
          <t xml:space="preserve">SAIA</t>
        </is>
      </c>
      <c r="E2083" s="0" t="inlineStr">
        <is>
          <t xml:space="preserve">industrials</t>
        </is>
      </c>
      <c r="F2083" s="4">
        <v>82</v>
      </c>
    </row>
    <row r="2084">
      <c r="A2084" s="0" t="inlineStr">
        <is>
          <t xml:space="preserve">random_11_UTHR</t>
        </is>
      </c>
      <c r="B2084" s="0" t="inlineStr">
        <is>
          <t xml:space="preserve">random_11</t>
        </is>
      </c>
      <c r="C2084" s="0" t="inlineStr">
        <is>
          <t xml:space="preserve">d20260923</t>
        </is>
      </c>
      <c r="D2084" s="0" t="inlineStr">
        <is>
          <t xml:space="preserve">UTHR</t>
        </is>
      </c>
      <c r="E2084" s="0" t="inlineStr">
        <is>
          <t xml:space="preserve">healthcare</t>
        </is>
      </c>
      <c r="F2084" s="4">
        <v>83</v>
      </c>
    </row>
    <row r="2085">
      <c r="A2085" s="0" t="inlineStr">
        <is>
          <t xml:space="preserve">random_11_EXC</t>
        </is>
      </c>
      <c r="B2085" s="0" t="inlineStr">
        <is>
          <t xml:space="preserve">random_11</t>
        </is>
      </c>
      <c r="C2085" s="0" t="inlineStr">
        <is>
          <t xml:space="preserve">d20260923</t>
        </is>
      </c>
      <c r="D2085" s="0" t="inlineStr">
        <is>
          <t xml:space="preserve">EXC</t>
        </is>
      </c>
      <c r="E2085" s="0" t="inlineStr">
        <is>
          <t xml:space="preserve">utilities</t>
        </is>
      </c>
      <c r="F2085" s="4">
        <v>84</v>
      </c>
    </row>
    <row r="2086">
      <c r="A2086" s="0" t="inlineStr">
        <is>
          <t xml:space="preserve">random_11_ATMU</t>
        </is>
      </c>
      <c r="B2086" s="0" t="inlineStr">
        <is>
          <t xml:space="preserve">random_11</t>
        </is>
      </c>
      <c r="C2086" s="0" t="inlineStr">
        <is>
          <t xml:space="preserve">d20260923</t>
        </is>
      </c>
      <c r="D2086" s="0" t="inlineStr">
        <is>
          <t xml:space="preserve">ATMU</t>
        </is>
      </c>
      <c r="E2086" s="0" t="inlineStr">
        <is>
          <t xml:space="preserve">consumer_cyclical</t>
        </is>
      </c>
      <c r="F2086" s="4">
        <v>85</v>
      </c>
    </row>
    <row r="2087">
      <c r="A2087" s="0" t="inlineStr">
        <is>
          <t xml:space="preserve">random_11_PCTY</t>
        </is>
      </c>
      <c r="B2087" s="0" t="inlineStr">
        <is>
          <t xml:space="preserve">random_11</t>
        </is>
      </c>
      <c r="C2087" s="0" t="inlineStr">
        <is>
          <t xml:space="preserve">d20260923</t>
        </is>
      </c>
      <c r="D2087" s="0" t="inlineStr">
        <is>
          <t xml:space="preserve">PCTY</t>
        </is>
      </c>
      <c r="E2087" s="0" t="inlineStr">
        <is>
          <t xml:space="preserve">technology</t>
        </is>
      </c>
      <c r="F2087" s="4">
        <v>86</v>
      </c>
    </row>
    <row r="2088">
      <c r="A2088" s="0" t="inlineStr">
        <is>
          <t xml:space="preserve">random_11_EBAY</t>
        </is>
      </c>
      <c r="B2088" s="0" t="inlineStr">
        <is>
          <t xml:space="preserve">random_11</t>
        </is>
      </c>
      <c r="C2088" s="0" t="inlineStr">
        <is>
          <t xml:space="preserve">d20260923</t>
        </is>
      </c>
      <c r="D2088" s="0" t="inlineStr">
        <is>
          <t xml:space="preserve">EBAY</t>
        </is>
      </c>
      <c r="E2088" s="0" t="inlineStr">
        <is>
          <t xml:space="preserve">consumer_cyclical</t>
        </is>
      </c>
      <c r="F2088" s="4">
        <v>87</v>
      </c>
    </row>
    <row r="2089">
      <c r="A2089" s="0" t="inlineStr">
        <is>
          <t xml:space="preserve">random_11_NE</t>
        </is>
      </c>
      <c r="B2089" s="0" t="inlineStr">
        <is>
          <t xml:space="preserve">random_11</t>
        </is>
      </c>
      <c r="C2089" s="0" t="inlineStr">
        <is>
          <t xml:space="preserve">d20260923</t>
        </is>
      </c>
      <c r="D2089" s="0" t="inlineStr">
        <is>
          <t xml:space="preserve">NE</t>
        </is>
      </c>
      <c r="E2089" s="0" t="inlineStr">
        <is>
          <t xml:space="preserve">energy</t>
        </is>
      </c>
      <c r="F2089" s="4">
        <v>88</v>
      </c>
    </row>
    <row r="2090">
      <c r="A2090" s="0" t="inlineStr">
        <is>
          <t xml:space="preserve">random_11_AKAM</t>
        </is>
      </c>
      <c r="B2090" s="0" t="inlineStr">
        <is>
          <t xml:space="preserve">random_11</t>
        </is>
      </c>
      <c r="C2090" s="0" t="inlineStr">
        <is>
          <t xml:space="preserve">d20260923</t>
        </is>
      </c>
      <c r="D2090" s="0" t="inlineStr">
        <is>
          <t xml:space="preserve">AKAM</t>
        </is>
      </c>
      <c r="E2090" s="0" t="inlineStr">
        <is>
          <t xml:space="preserve">technology</t>
        </is>
      </c>
      <c r="F2090" s="4">
        <v>89</v>
      </c>
    </row>
    <row r="2091">
      <c r="A2091" s="0" t="inlineStr">
        <is>
          <t xml:space="preserve">random_11_RDDT</t>
        </is>
      </c>
      <c r="B2091" s="0" t="inlineStr">
        <is>
          <t xml:space="preserve">random_11</t>
        </is>
      </c>
      <c r="C2091" s="0" t="inlineStr">
        <is>
          <t xml:space="preserve">d20260923</t>
        </is>
      </c>
      <c r="D2091" s="0" t="inlineStr">
        <is>
          <t xml:space="preserve">RDDT</t>
        </is>
      </c>
      <c r="E2091" s="0" t="inlineStr">
        <is>
          <t xml:space="preserve">communication_services</t>
        </is>
      </c>
      <c r="F2091" s="4">
        <v>90</v>
      </c>
    </row>
    <row r="2092">
      <c r="A2092" s="0" t="inlineStr">
        <is>
          <t xml:space="preserve">random_11_BR</t>
        </is>
      </c>
      <c r="B2092" s="0" t="inlineStr">
        <is>
          <t xml:space="preserve">random_11</t>
        </is>
      </c>
      <c r="C2092" s="0" t="inlineStr">
        <is>
          <t xml:space="preserve">d20260923</t>
        </is>
      </c>
      <c r="D2092" s="0" t="inlineStr">
        <is>
          <t xml:space="preserve">BR</t>
        </is>
      </c>
      <c r="E2092" s="0" t="inlineStr">
        <is>
          <t xml:space="preserve">technology</t>
        </is>
      </c>
      <c r="F2092" s="4">
        <v>91</v>
      </c>
    </row>
    <row r="2093">
      <c r="A2093" s="0" t="inlineStr">
        <is>
          <t xml:space="preserve">random_11_ADM</t>
        </is>
      </c>
      <c r="B2093" s="0" t="inlineStr">
        <is>
          <t xml:space="preserve">random_11</t>
        </is>
      </c>
      <c r="C2093" s="0" t="inlineStr">
        <is>
          <t xml:space="preserve">d20260923</t>
        </is>
      </c>
      <c r="D2093" s="0" t="inlineStr">
        <is>
          <t xml:space="preserve">ADM</t>
        </is>
      </c>
      <c r="E2093" s="0" t="inlineStr">
        <is>
          <t xml:space="preserve">consumer_defensive</t>
        </is>
      </c>
      <c r="F2093" s="4">
        <v>92</v>
      </c>
    </row>
    <row r="2094">
      <c r="A2094" s="0" t="inlineStr">
        <is>
          <t xml:space="preserve">random_11_BANC</t>
        </is>
      </c>
      <c r="B2094" s="0" t="inlineStr">
        <is>
          <t xml:space="preserve">random_11</t>
        </is>
      </c>
      <c r="C2094" s="0" t="inlineStr">
        <is>
          <t xml:space="preserve">d20260923</t>
        </is>
      </c>
      <c r="D2094" s="0" t="inlineStr">
        <is>
          <t xml:space="preserve">BANC</t>
        </is>
      </c>
      <c r="E2094" s="0" t="inlineStr">
        <is>
          <t xml:space="preserve">financial_services</t>
        </is>
      </c>
      <c r="F2094" s="4">
        <v>93</v>
      </c>
    </row>
    <row r="2095">
      <c r="A2095" s="0" t="inlineStr">
        <is>
          <t xml:space="preserve">random_11_LEVI</t>
        </is>
      </c>
      <c r="B2095" s="0" t="inlineStr">
        <is>
          <t xml:space="preserve">random_11</t>
        </is>
      </c>
      <c r="C2095" s="0" t="inlineStr">
        <is>
          <t xml:space="preserve">d20260923</t>
        </is>
      </c>
      <c r="D2095" s="0" t="inlineStr">
        <is>
          <t xml:space="preserve">LEVI</t>
        </is>
      </c>
      <c r="E2095" s="0" t="inlineStr">
        <is>
          <t xml:space="preserve">consumer_cyclical</t>
        </is>
      </c>
      <c r="F2095" s="4">
        <v>94</v>
      </c>
    </row>
    <row r="2096">
      <c r="A2096" s="0" t="inlineStr">
        <is>
          <t xml:space="preserve">random_11_WRB</t>
        </is>
      </c>
      <c r="B2096" s="0" t="inlineStr">
        <is>
          <t xml:space="preserve">random_11</t>
        </is>
      </c>
      <c r="C2096" s="0" t="inlineStr">
        <is>
          <t xml:space="preserve">d20260923</t>
        </is>
      </c>
      <c r="D2096" s="0" t="inlineStr">
        <is>
          <t xml:space="preserve">WRB</t>
        </is>
      </c>
      <c r="E2096" s="0" t="inlineStr">
        <is>
          <t xml:space="preserve">financial_services</t>
        </is>
      </c>
      <c r="F2096" s="4">
        <v>95</v>
      </c>
    </row>
    <row r="2097">
      <c r="A2097" s="0" t="inlineStr">
        <is>
          <t xml:space="preserve">random_11_AVAV</t>
        </is>
      </c>
      <c r="B2097" s="0" t="inlineStr">
        <is>
          <t xml:space="preserve">random_11</t>
        </is>
      </c>
      <c r="C2097" s="0" t="inlineStr">
        <is>
          <t xml:space="preserve">d20260923</t>
        </is>
      </c>
      <c r="D2097" s="0" t="inlineStr">
        <is>
          <t xml:space="preserve">AVAV</t>
        </is>
      </c>
      <c r="E2097" s="0" t="inlineStr">
        <is>
          <t xml:space="preserve">industrials</t>
        </is>
      </c>
      <c r="F2097" s="4">
        <v>96</v>
      </c>
    </row>
    <row r="2098">
      <c r="A2098" s="0" t="inlineStr">
        <is>
          <t xml:space="preserve">random_11_FHB</t>
        </is>
      </c>
      <c r="B2098" s="0" t="inlineStr">
        <is>
          <t xml:space="preserve">random_11</t>
        </is>
      </c>
      <c r="C2098" s="0" t="inlineStr">
        <is>
          <t xml:space="preserve">d20260923</t>
        </is>
      </c>
      <c r="D2098" s="0" t="inlineStr">
        <is>
          <t xml:space="preserve">FHB</t>
        </is>
      </c>
      <c r="E2098" s="0" t="inlineStr">
        <is>
          <t xml:space="preserve">financial_services</t>
        </is>
      </c>
      <c r="F2098" s="4">
        <v>97</v>
      </c>
    </row>
    <row r="2099">
      <c r="A2099" s="0" t="inlineStr">
        <is>
          <t xml:space="preserve">random_11_RHP</t>
        </is>
      </c>
      <c r="B2099" s="0" t="inlineStr">
        <is>
          <t xml:space="preserve">random_11</t>
        </is>
      </c>
      <c r="C2099" s="0" t="inlineStr">
        <is>
          <t xml:space="preserve">d20260923</t>
        </is>
      </c>
      <c r="D2099" s="0" t="inlineStr">
        <is>
          <t xml:space="preserve">RHP</t>
        </is>
      </c>
      <c r="E2099" s="0" t="inlineStr">
        <is>
          <t xml:space="preserve">real_estate</t>
        </is>
      </c>
      <c r="F2099" s="4">
        <v>98</v>
      </c>
    </row>
    <row r="2100">
      <c r="A2100" s="0" t="inlineStr">
        <is>
          <t xml:space="preserve">random_11_VSEC</t>
        </is>
      </c>
      <c r="B2100" s="0" t="inlineStr">
        <is>
          <t xml:space="preserve">random_11</t>
        </is>
      </c>
      <c r="C2100" s="0" t="inlineStr">
        <is>
          <t xml:space="preserve">d20260923</t>
        </is>
      </c>
      <c r="D2100" s="0" t="inlineStr">
        <is>
          <t xml:space="preserve">VSEC</t>
        </is>
      </c>
      <c r="E2100" s="0" t="inlineStr">
        <is>
          <t xml:space="preserve">industrials</t>
        </is>
      </c>
      <c r="F2100" s="4">
        <v>99</v>
      </c>
    </row>
    <row r="2101">
      <c r="A2101" s="0" t="inlineStr">
        <is>
          <t xml:space="preserve">random_11_KHC</t>
        </is>
      </c>
      <c r="B2101" s="0" t="inlineStr">
        <is>
          <t xml:space="preserve">random_11</t>
        </is>
      </c>
      <c r="C2101" s="0" t="inlineStr">
        <is>
          <t xml:space="preserve">d20260923</t>
        </is>
      </c>
      <c r="D2101" s="0" t="inlineStr">
        <is>
          <t xml:space="preserve">KHC</t>
        </is>
      </c>
      <c r="E2101" s="0" t="inlineStr">
        <is>
          <t xml:space="preserve">consumer_defensive</t>
        </is>
      </c>
      <c r="F2101" s="4">
        <v>100</v>
      </c>
    </row>
    <row r="2102">
      <c r="A2102" s="0" t="inlineStr">
        <is>
          <t xml:space="preserve">random_12_TNGX</t>
        </is>
      </c>
      <c r="B2102" s="0" t="inlineStr">
        <is>
          <t xml:space="preserve">random_12</t>
        </is>
      </c>
      <c r="C2102" s="0" t="inlineStr">
        <is>
          <t xml:space="preserve">d20260923</t>
        </is>
      </c>
      <c r="D2102" s="0" t="inlineStr">
        <is>
          <t xml:space="preserve">TNGX</t>
        </is>
      </c>
      <c r="E2102" s="0" t="inlineStr">
        <is>
          <t xml:space="preserve">healthcare</t>
        </is>
      </c>
      <c r="F2102" s="4">
        <v>1</v>
      </c>
    </row>
    <row r="2103">
      <c r="A2103" s="0" t="inlineStr">
        <is>
          <t xml:space="preserve">random_12_DBRG</t>
        </is>
      </c>
      <c r="B2103" s="0" t="inlineStr">
        <is>
          <t xml:space="preserve">random_12</t>
        </is>
      </c>
      <c r="C2103" s="0" t="inlineStr">
        <is>
          <t xml:space="preserve">d20260923</t>
        </is>
      </c>
      <c r="D2103" s="0" t="inlineStr">
        <is>
          <t xml:space="preserve">DBRG</t>
        </is>
      </c>
      <c r="E2103" s="0" t="inlineStr">
        <is>
          <t xml:space="preserve">financial_services</t>
        </is>
      </c>
      <c r="F2103" s="4">
        <v>2</v>
      </c>
    </row>
    <row r="2104">
      <c r="A2104" s="0" t="inlineStr">
        <is>
          <t xml:space="preserve">random_12_TRVI</t>
        </is>
      </c>
      <c r="B2104" s="0" t="inlineStr">
        <is>
          <t xml:space="preserve">random_12</t>
        </is>
      </c>
      <c r="C2104" s="0" t="inlineStr">
        <is>
          <t xml:space="preserve">d20260923</t>
        </is>
      </c>
      <c r="D2104" s="0" t="inlineStr">
        <is>
          <t xml:space="preserve">TRVI</t>
        </is>
      </c>
      <c r="E2104" s="0" t="inlineStr">
        <is>
          <t xml:space="preserve">healthcare</t>
        </is>
      </c>
      <c r="F2104" s="4">
        <v>3</v>
      </c>
    </row>
    <row r="2105">
      <c r="A2105" s="0" t="inlineStr">
        <is>
          <t xml:space="preserve">random_12_LOAR</t>
        </is>
      </c>
      <c r="B2105" s="0" t="inlineStr">
        <is>
          <t xml:space="preserve">random_12</t>
        </is>
      </c>
      <c r="C2105" s="0" t="inlineStr">
        <is>
          <t xml:space="preserve">d20260923</t>
        </is>
      </c>
      <c r="D2105" s="0" t="inlineStr">
        <is>
          <t xml:space="preserve">LOAR</t>
        </is>
      </c>
      <c r="E2105" s="0" t="inlineStr">
        <is>
          <t xml:space="preserve">industrials</t>
        </is>
      </c>
      <c r="F2105" s="4">
        <v>4</v>
      </c>
    </row>
    <row r="2106">
      <c r="A2106" s="0" t="inlineStr">
        <is>
          <t xml:space="preserve">random_12_PFG</t>
        </is>
      </c>
      <c r="B2106" s="0" t="inlineStr">
        <is>
          <t xml:space="preserve">random_12</t>
        </is>
      </c>
      <c r="C2106" s="0" t="inlineStr">
        <is>
          <t xml:space="preserve">d20260923</t>
        </is>
      </c>
      <c r="D2106" s="0" t="inlineStr">
        <is>
          <t xml:space="preserve">PFG</t>
        </is>
      </c>
      <c r="E2106" s="0" t="inlineStr">
        <is>
          <t xml:space="preserve">financial_services</t>
        </is>
      </c>
      <c r="F2106" s="4">
        <v>5</v>
      </c>
    </row>
    <row r="2107">
      <c r="A2107" s="0" t="inlineStr">
        <is>
          <t xml:space="preserve">random_12_DAR</t>
        </is>
      </c>
      <c r="B2107" s="0" t="inlineStr">
        <is>
          <t xml:space="preserve">random_12</t>
        </is>
      </c>
      <c r="C2107" s="0" t="inlineStr">
        <is>
          <t xml:space="preserve">d20260923</t>
        </is>
      </c>
      <c r="D2107" s="0" t="inlineStr">
        <is>
          <t xml:space="preserve">DAR</t>
        </is>
      </c>
      <c r="E2107" s="0" t="inlineStr">
        <is>
          <t xml:space="preserve">consumer_defensive</t>
        </is>
      </c>
      <c r="F2107" s="4">
        <v>6</v>
      </c>
    </row>
    <row r="2108">
      <c r="A2108" s="0" t="inlineStr">
        <is>
          <t xml:space="preserve">random_12_NOVT</t>
        </is>
      </c>
      <c r="B2108" s="0" t="inlineStr">
        <is>
          <t xml:space="preserve">random_12</t>
        </is>
      </c>
      <c r="C2108" s="0" t="inlineStr">
        <is>
          <t xml:space="preserve">d20260923</t>
        </is>
      </c>
      <c r="D2108" s="0" t="inlineStr">
        <is>
          <t xml:space="preserve">NOVT</t>
        </is>
      </c>
      <c r="E2108" s="0" t="inlineStr">
        <is>
          <t xml:space="preserve">technology</t>
        </is>
      </c>
      <c r="F2108" s="4">
        <v>7</v>
      </c>
    </row>
    <row r="2109">
      <c r="A2109" s="0" t="inlineStr">
        <is>
          <t xml:space="preserve">random_12_NDSN</t>
        </is>
      </c>
      <c r="B2109" s="0" t="inlineStr">
        <is>
          <t xml:space="preserve">random_12</t>
        </is>
      </c>
      <c r="C2109" s="0" t="inlineStr">
        <is>
          <t xml:space="preserve">d20260923</t>
        </is>
      </c>
      <c r="D2109" s="0" t="inlineStr">
        <is>
          <t xml:space="preserve">NDSN</t>
        </is>
      </c>
      <c r="E2109" s="0" t="inlineStr">
        <is>
          <t xml:space="preserve">industrials</t>
        </is>
      </c>
      <c r="F2109" s="4">
        <v>8</v>
      </c>
    </row>
    <row r="2110">
      <c r="A2110" s="0" t="inlineStr">
        <is>
          <t xml:space="preserve">random_12_APLD</t>
        </is>
      </c>
      <c r="B2110" s="0" t="inlineStr">
        <is>
          <t xml:space="preserve">random_12</t>
        </is>
      </c>
      <c r="C2110" s="0" t="inlineStr">
        <is>
          <t xml:space="preserve">d20260923</t>
        </is>
      </c>
      <c r="D2110" s="0" t="inlineStr">
        <is>
          <t xml:space="preserve">APLD</t>
        </is>
      </c>
      <c r="E2110" s="0" t="inlineStr">
        <is>
          <t xml:space="preserve">technology</t>
        </is>
      </c>
      <c r="F2110" s="4">
        <v>9</v>
      </c>
    </row>
    <row r="2111">
      <c r="A2111" s="0" t="inlineStr">
        <is>
          <t xml:space="preserve">random_12_ORKA</t>
        </is>
      </c>
      <c r="B2111" s="0" t="inlineStr">
        <is>
          <t xml:space="preserve">random_12</t>
        </is>
      </c>
      <c r="C2111" s="0" t="inlineStr">
        <is>
          <t xml:space="preserve">d20260923</t>
        </is>
      </c>
      <c r="D2111" s="0" t="inlineStr">
        <is>
          <t xml:space="preserve">ORKA</t>
        </is>
      </c>
      <c r="E2111" s="0" t="inlineStr">
        <is>
          <t xml:space="preserve">healthcare</t>
        </is>
      </c>
      <c r="F2111" s="4">
        <v>10</v>
      </c>
    </row>
    <row r="2112">
      <c r="A2112" s="0" t="inlineStr">
        <is>
          <t xml:space="preserve">random_12_HNGE</t>
        </is>
      </c>
      <c r="B2112" s="0" t="inlineStr">
        <is>
          <t xml:space="preserve">random_12</t>
        </is>
      </c>
      <c r="C2112" s="0" t="inlineStr">
        <is>
          <t xml:space="preserve">d20260923</t>
        </is>
      </c>
      <c r="D2112" s="0" t="inlineStr">
        <is>
          <t xml:space="preserve">HNGE</t>
        </is>
      </c>
      <c r="E2112" s="0" t="inlineStr">
        <is>
          <t xml:space="preserve">healthcare</t>
        </is>
      </c>
      <c r="F2112" s="4">
        <v>11</v>
      </c>
    </row>
    <row r="2113">
      <c r="A2113" s="0" t="inlineStr">
        <is>
          <t xml:space="preserve">random_12_QXO</t>
        </is>
      </c>
      <c r="B2113" s="0" t="inlineStr">
        <is>
          <t xml:space="preserve">random_12</t>
        </is>
      </c>
      <c r="C2113" s="0" t="inlineStr">
        <is>
          <t xml:space="preserve">d20260923</t>
        </is>
      </c>
      <c r="D2113" s="0" t="inlineStr">
        <is>
          <t xml:space="preserve">QXO</t>
        </is>
      </c>
      <c r="E2113" s="0" t="inlineStr">
        <is>
          <t xml:space="preserve">industrials</t>
        </is>
      </c>
      <c r="F2113" s="4">
        <v>12</v>
      </c>
    </row>
    <row r="2114">
      <c r="A2114" s="0" t="inlineStr">
        <is>
          <t xml:space="preserve">random_12_NHI</t>
        </is>
      </c>
      <c r="B2114" s="0" t="inlineStr">
        <is>
          <t xml:space="preserve">random_12</t>
        </is>
      </c>
      <c r="C2114" s="0" t="inlineStr">
        <is>
          <t xml:space="preserve">d20260923</t>
        </is>
      </c>
      <c r="D2114" s="0" t="inlineStr">
        <is>
          <t xml:space="preserve">NHI</t>
        </is>
      </c>
      <c r="E2114" s="0" t="inlineStr">
        <is>
          <t xml:space="preserve">real_estate</t>
        </is>
      </c>
      <c r="F2114" s="4">
        <v>13</v>
      </c>
    </row>
    <row r="2115">
      <c r="A2115" s="0" t="inlineStr">
        <is>
          <t xml:space="preserve">random_12_CVNA</t>
        </is>
      </c>
      <c r="B2115" s="0" t="inlineStr">
        <is>
          <t xml:space="preserve">random_12</t>
        </is>
      </c>
      <c r="C2115" s="0" t="inlineStr">
        <is>
          <t xml:space="preserve">d20260923</t>
        </is>
      </c>
      <c r="D2115" s="0" t="inlineStr">
        <is>
          <t xml:space="preserve">CVNA</t>
        </is>
      </c>
      <c r="E2115" s="0" t="inlineStr">
        <is>
          <t xml:space="preserve">consumer_cyclical</t>
        </is>
      </c>
      <c r="F2115" s="4">
        <v>14</v>
      </c>
    </row>
    <row r="2116">
      <c r="A2116" s="0" t="inlineStr">
        <is>
          <t xml:space="preserve">random_12_VEEV</t>
        </is>
      </c>
      <c r="B2116" s="0" t="inlineStr">
        <is>
          <t xml:space="preserve">random_12</t>
        </is>
      </c>
      <c r="C2116" s="0" t="inlineStr">
        <is>
          <t xml:space="preserve">d20260923</t>
        </is>
      </c>
      <c r="D2116" s="0" t="inlineStr">
        <is>
          <t xml:space="preserve">VEEV</t>
        </is>
      </c>
      <c r="E2116" s="0" t="inlineStr">
        <is>
          <t xml:space="preserve">technology</t>
        </is>
      </c>
      <c r="F2116" s="4">
        <v>15</v>
      </c>
    </row>
    <row r="2117">
      <c r="A2117" s="0" t="inlineStr">
        <is>
          <t xml:space="preserve">random_12_AEHR</t>
        </is>
      </c>
      <c r="B2117" s="0" t="inlineStr">
        <is>
          <t xml:space="preserve">random_12</t>
        </is>
      </c>
      <c r="C2117" s="0" t="inlineStr">
        <is>
          <t xml:space="preserve">d20260923</t>
        </is>
      </c>
      <c r="D2117" s="0" t="inlineStr">
        <is>
          <t xml:space="preserve">AEHR</t>
        </is>
      </c>
      <c r="E2117" s="0" t="inlineStr">
        <is>
          <t xml:space="preserve">technology</t>
        </is>
      </c>
      <c r="F2117" s="4">
        <v>16</v>
      </c>
    </row>
    <row r="2118">
      <c r="A2118" s="0" t="inlineStr">
        <is>
          <t xml:space="preserve">random_12_VRT</t>
        </is>
      </c>
      <c r="B2118" s="0" t="inlineStr">
        <is>
          <t xml:space="preserve">random_12</t>
        </is>
      </c>
      <c r="C2118" s="0" t="inlineStr">
        <is>
          <t xml:space="preserve">d20260923</t>
        </is>
      </c>
      <c r="D2118" s="0" t="inlineStr">
        <is>
          <t xml:space="preserve">VRT</t>
        </is>
      </c>
      <c r="E2118" s="0" t="inlineStr">
        <is>
          <t xml:space="preserve">industrials</t>
        </is>
      </c>
      <c r="F2118" s="4">
        <v>17</v>
      </c>
    </row>
    <row r="2119">
      <c r="A2119" s="0" t="inlineStr">
        <is>
          <t xml:space="preserve">random_12_CAG</t>
        </is>
      </c>
      <c r="B2119" s="0" t="inlineStr">
        <is>
          <t xml:space="preserve">random_12</t>
        </is>
      </c>
      <c r="C2119" s="0" t="inlineStr">
        <is>
          <t xml:space="preserve">d20260923</t>
        </is>
      </c>
      <c r="D2119" s="0" t="inlineStr">
        <is>
          <t xml:space="preserve">CAG</t>
        </is>
      </c>
      <c r="E2119" s="0" t="inlineStr">
        <is>
          <t xml:space="preserve">consumer_defensive</t>
        </is>
      </c>
      <c r="F2119" s="4">
        <v>18</v>
      </c>
    </row>
    <row r="2120">
      <c r="A2120" s="0" t="inlineStr">
        <is>
          <t xml:space="preserve">random_12_BA</t>
        </is>
      </c>
      <c r="B2120" s="0" t="inlineStr">
        <is>
          <t xml:space="preserve">random_12</t>
        </is>
      </c>
      <c r="C2120" s="0" t="inlineStr">
        <is>
          <t xml:space="preserve">d20260923</t>
        </is>
      </c>
      <c r="D2120" s="0" t="inlineStr">
        <is>
          <t xml:space="preserve">BA</t>
        </is>
      </c>
      <c r="E2120" s="0" t="inlineStr">
        <is>
          <t xml:space="preserve">industrials</t>
        </is>
      </c>
      <c r="F2120" s="4">
        <v>19</v>
      </c>
    </row>
    <row r="2121">
      <c r="A2121" s="0" t="inlineStr">
        <is>
          <t xml:space="preserve">random_12_OXY</t>
        </is>
      </c>
      <c r="B2121" s="0" t="inlineStr">
        <is>
          <t xml:space="preserve">random_12</t>
        </is>
      </c>
      <c r="C2121" s="0" t="inlineStr">
        <is>
          <t xml:space="preserve">d20260923</t>
        </is>
      </c>
      <c r="D2121" s="0" t="inlineStr">
        <is>
          <t xml:space="preserve">OXY</t>
        </is>
      </c>
      <c r="E2121" s="0" t="inlineStr">
        <is>
          <t xml:space="preserve">energy</t>
        </is>
      </c>
      <c r="F2121" s="4">
        <v>20</v>
      </c>
    </row>
    <row r="2122">
      <c r="A2122" s="0" t="inlineStr">
        <is>
          <t xml:space="preserve">random_12_SHAK</t>
        </is>
      </c>
      <c r="B2122" s="0" t="inlineStr">
        <is>
          <t xml:space="preserve">random_12</t>
        </is>
      </c>
      <c r="C2122" s="0" t="inlineStr">
        <is>
          <t xml:space="preserve">d20260923</t>
        </is>
      </c>
      <c r="D2122" s="0" t="inlineStr">
        <is>
          <t xml:space="preserve">SHAK</t>
        </is>
      </c>
      <c r="E2122" s="0" t="inlineStr">
        <is>
          <t xml:space="preserve">consumer_cyclical</t>
        </is>
      </c>
      <c r="F2122" s="4">
        <v>21</v>
      </c>
    </row>
    <row r="2123">
      <c r="A2123" s="0" t="inlineStr">
        <is>
          <t xml:space="preserve">random_12_MRCY</t>
        </is>
      </c>
      <c r="B2123" s="0" t="inlineStr">
        <is>
          <t xml:space="preserve">random_12</t>
        </is>
      </c>
      <c r="C2123" s="0" t="inlineStr">
        <is>
          <t xml:space="preserve">d20260923</t>
        </is>
      </c>
      <c r="D2123" s="0" t="inlineStr">
        <is>
          <t xml:space="preserve">MRCY</t>
        </is>
      </c>
      <c r="E2123" s="0" t="inlineStr">
        <is>
          <t xml:space="preserve">industrials</t>
        </is>
      </c>
      <c r="F2123" s="4">
        <v>22</v>
      </c>
    </row>
    <row r="2124">
      <c r="A2124" s="0" t="inlineStr">
        <is>
          <t xml:space="preserve">random_12_TTC</t>
        </is>
      </c>
      <c r="B2124" s="0" t="inlineStr">
        <is>
          <t xml:space="preserve">random_12</t>
        </is>
      </c>
      <c r="C2124" s="0" t="inlineStr">
        <is>
          <t xml:space="preserve">d20260923</t>
        </is>
      </c>
      <c r="D2124" s="0" t="inlineStr">
        <is>
          <t xml:space="preserve">TTC</t>
        </is>
      </c>
      <c r="E2124" s="0" t="inlineStr">
        <is>
          <t xml:space="preserve">industrials</t>
        </is>
      </c>
      <c r="F2124" s="4">
        <v>23</v>
      </c>
    </row>
    <row r="2125">
      <c r="A2125" s="0" t="inlineStr">
        <is>
          <t xml:space="preserve">random_12_CNR</t>
        </is>
      </c>
      <c r="B2125" s="0" t="inlineStr">
        <is>
          <t xml:space="preserve">random_12</t>
        </is>
      </c>
      <c r="C2125" s="0" t="inlineStr">
        <is>
          <t xml:space="preserve">d20260923</t>
        </is>
      </c>
      <c r="D2125" s="0" t="inlineStr">
        <is>
          <t xml:space="preserve">CNR</t>
        </is>
      </c>
      <c r="E2125" s="0" t="inlineStr">
        <is>
          <t xml:space="preserve">energy</t>
        </is>
      </c>
      <c r="F2125" s="4">
        <v>24</v>
      </c>
    </row>
    <row r="2126">
      <c r="A2126" s="0" t="inlineStr">
        <is>
          <t xml:space="preserve">random_12_MA</t>
        </is>
      </c>
      <c r="B2126" s="0" t="inlineStr">
        <is>
          <t xml:space="preserve">random_12</t>
        </is>
      </c>
      <c r="C2126" s="0" t="inlineStr">
        <is>
          <t xml:space="preserve">d20260923</t>
        </is>
      </c>
      <c r="D2126" s="0" t="inlineStr">
        <is>
          <t xml:space="preserve">MA</t>
        </is>
      </c>
      <c r="E2126" s="0" t="inlineStr">
        <is>
          <t xml:space="preserve">financial_services</t>
        </is>
      </c>
      <c r="F2126" s="4">
        <v>25</v>
      </c>
    </row>
    <row r="2127">
      <c r="A2127" s="0" t="inlineStr">
        <is>
          <t xml:space="preserve">random_12_NOC</t>
        </is>
      </c>
      <c r="B2127" s="0" t="inlineStr">
        <is>
          <t xml:space="preserve">random_12</t>
        </is>
      </c>
      <c r="C2127" s="0" t="inlineStr">
        <is>
          <t xml:space="preserve">d20260923</t>
        </is>
      </c>
      <c r="D2127" s="0" t="inlineStr">
        <is>
          <t xml:space="preserve">NOC</t>
        </is>
      </c>
      <c r="E2127" s="0" t="inlineStr">
        <is>
          <t xml:space="preserve">industrials</t>
        </is>
      </c>
      <c r="F2127" s="4">
        <v>26</v>
      </c>
    </row>
    <row r="2128">
      <c r="A2128" s="0" t="inlineStr">
        <is>
          <t xml:space="preserve">random_12_PRAX</t>
        </is>
      </c>
      <c r="B2128" s="0" t="inlineStr">
        <is>
          <t xml:space="preserve">random_12</t>
        </is>
      </c>
      <c r="C2128" s="0" t="inlineStr">
        <is>
          <t xml:space="preserve">d20260923</t>
        </is>
      </c>
      <c r="D2128" s="0" t="inlineStr">
        <is>
          <t xml:space="preserve">PRAX</t>
        </is>
      </c>
      <c r="E2128" s="0" t="inlineStr">
        <is>
          <t xml:space="preserve">healthcare</t>
        </is>
      </c>
      <c r="F2128" s="4">
        <v>27</v>
      </c>
    </row>
    <row r="2129">
      <c r="A2129" s="0" t="inlineStr">
        <is>
          <t xml:space="preserve">random_12_HONA</t>
        </is>
      </c>
      <c r="B2129" s="0" t="inlineStr">
        <is>
          <t xml:space="preserve">random_12</t>
        </is>
      </c>
      <c r="C2129" s="0" t="inlineStr">
        <is>
          <t xml:space="preserve">d20260923</t>
        </is>
      </c>
      <c r="D2129" s="0" t="inlineStr">
        <is>
          <t xml:space="preserve">HONA</t>
        </is>
      </c>
      <c r="E2129" s="0" t="inlineStr">
        <is>
          <t xml:space="preserve">industrials</t>
        </is>
      </c>
      <c r="F2129" s="4">
        <v>28</v>
      </c>
    </row>
    <row r="2130">
      <c r="A2130" s="0" t="inlineStr">
        <is>
          <t xml:space="preserve">random_12_AADX</t>
        </is>
      </c>
      <c r="B2130" s="0" t="inlineStr">
        <is>
          <t xml:space="preserve">random_12</t>
        </is>
      </c>
      <c r="C2130" s="0" t="inlineStr">
        <is>
          <t xml:space="preserve">d20260923</t>
        </is>
      </c>
      <c r="D2130" s="0" t="inlineStr">
        <is>
          <t xml:space="preserve">AADX</t>
        </is>
      </c>
      <c r="E2130" s="0" t="inlineStr">
        <is>
          <t xml:space="preserve">industrials</t>
        </is>
      </c>
      <c r="F2130" s="4">
        <v>29</v>
      </c>
    </row>
    <row r="2131">
      <c r="A2131" s="0" t="inlineStr">
        <is>
          <t xml:space="preserve">random_12_WGS</t>
        </is>
      </c>
      <c r="B2131" s="0" t="inlineStr">
        <is>
          <t xml:space="preserve">random_12</t>
        </is>
      </c>
      <c r="C2131" s="0" t="inlineStr">
        <is>
          <t xml:space="preserve">d20260923</t>
        </is>
      </c>
      <c r="D2131" s="0" t="inlineStr">
        <is>
          <t xml:space="preserve">WGS</t>
        </is>
      </c>
      <c r="E2131" s="0" t="inlineStr">
        <is>
          <t xml:space="preserve">healthcare</t>
        </is>
      </c>
      <c r="F2131" s="4">
        <v>30</v>
      </c>
    </row>
    <row r="2132">
      <c r="A2132" s="0" t="inlineStr">
        <is>
          <t xml:space="preserve">random_12_CPB</t>
        </is>
      </c>
      <c r="B2132" s="0" t="inlineStr">
        <is>
          <t xml:space="preserve">random_12</t>
        </is>
      </c>
      <c r="C2132" s="0" t="inlineStr">
        <is>
          <t xml:space="preserve">d20260923</t>
        </is>
      </c>
      <c r="D2132" s="0" t="inlineStr">
        <is>
          <t xml:space="preserve">CPB</t>
        </is>
      </c>
      <c r="E2132" s="0" t="inlineStr">
        <is>
          <t xml:space="preserve">consumer_defensive</t>
        </is>
      </c>
      <c r="F2132" s="4">
        <v>31</v>
      </c>
    </row>
    <row r="2133">
      <c r="A2133" s="0" t="inlineStr">
        <is>
          <t xml:space="preserve">random_12_ARES</t>
        </is>
      </c>
      <c r="B2133" s="0" t="inlineStr">
        <is>
          <t xml:space="preserve">random_12</t>
        </is>
      </c>
      <c r="C2133" s="0" t="inlineStr">
        <is>
          <t xml:space="preserve">d20260923</t>
        </is>
      </c>
      <c r="D2133" s="0" t="inlineStr">
        <is>
          <t xml:space="preserve">ARES</t>
        </is>
      </c>
      <c r="E2133" s="0" t="inlineStr">
        <is>
          <t xml:space="preserve">financial_services</t>
        </is>
      </c>
      <c r="F2133" s="4">
        <v>32</v>
      </c>
    </row>
    <row r="2134">
      <c r="A2134" s="0" t="inlineStr">
        <is>
          <t xml:space="preserve">random_12_LITE</t>
        </is>
      </c>
      <c r="B2134" s="0" t="inlineStr">
        <is>
          <t xml:space="preserve">random_12</t>
        </is>
      </c>
      <c r="C2134" s="0" t="inlineStr">
        <is>
          <t xml:space="preserve">d20260923</t>
        </is>
      </c>
      <c r="D2134" s="0" t="inlineStr">
        <is>
          <t xml:space="preserve">LITE</t>
        </is>
      </c>
      <c r="E2134" s="0" t="inlineStr">
        <is>
          <t xml:space="preserve">technology</t>
        </is>
      </c>
      <c r="F2134" s="4">
        <v>33</v>
      </c>
    </row>
    <row r="2135">
      <c r="A2135" s="0" t="inlineStr">
        <is>
          <t xml:space="preserve">random_12_JEF</t>
        </is>
      </c>
      <c r="B2135" s="0" t="inlineStr">
        <is>
          <t xml:space="preserve">random_12</t>
        </is>
      </c>
      <c r="C2135" s="0" t="inlineStr">
        <is>
          <t xml:space="preserve">d20260923</t>
        </is>
      </c>
      <c r="D2135" s="0" t="inlineStr">
        <is>
          <t xml:space="preserve">JEF</t>
        </is>
      </c>
      <c r="E2135" s="0" t="inlineStr">
        <is>
          <t xml:space="preserve">financial_services</t>
        </is>
      </c>
      <c r="F2135" s="4">
        <v>34</v>
      </c>
    </row>
    <row r="2136">
      <c r="A2136" s="0" t="inlineStr">
        <is>
          <t xml:space="preserve">random_12_CNC</t>
        </is>
      </c>
      <c r="B2136" s="0" t="inlineStr">
        <is>
          <t xml:space="preserve">random_12</t>
        </is>
      </c>
      <c r="C2136" s="0" t="inlineStr">
        <is>
          <t xml:space="preserve">d20260923</t>
        </is>
      </c>
      <c r="D2136" s="0" t="inlineStr">
        <is>
          <t xml:space="preserve">CNC</t>
        </is>
      </c>
      <c r="E2136" s="0" t="inlineStr">
        <is>
          <t xml:space="preserve">healthcare</t>
        </is>
      </c>
      <c r="F2136" s="4">
        <v>35</v>
      </c>
    </row>
    <row r="2137">
      <c r="A2137" s="0" t="inlineStr">
        <is>
          <t xml:space="preserve">random_12_ENVA</t>
        </is>
      </c>
      <c r="B2137" s="0" t="inlineStr">
        <is>
          <t xml:space="preserve">random_12</t>
        </is>
      </c>
      <c r="C2137" s="0" t="inlineStr">
        <is>
          <t xml:space="preserve">d20260923</t>
        </is>
      </c>
      <c r="D2137" s="0" t="inlineStr">
        <is>
          <t xml:space="preserve">ENVA</t>
        </is>
      </c>
      <c r="E2137" s="0" t="inlineStr">
        <is>
          <t xml:space="preserve">financial_services</t>
        </is>
      </c>
      <c r="F2137" s="4">
        <v>36</v>
      </c>
    </row>
    <row r="2138">
      <c r="A2138" s="0" t="inlineStr">
        <is>
          <t xml:space="preserve">random_12_ETSY</t>
        </is>
      </c>
      <c r="B2138" s="0" t="inlineStr">
        <is>
          <t xml:space="preserve">random_12</t>
        </is>
      </c>
      <c r="C2138" s="0" t="inlineStr">
        <is>
          <t xml:space="preserve">d20260923</t>
        </is>
      </c>
      <c r="D2138" s="0" t="inlineStr">
        <is>
          <t xml:space="preserve">ETSY</t>
        </is>
      </c>
      <c r="E2138" s="0" t="inlineStr">
        <is>
          <t xml:space="preserve">consumer_cyclical</t>
        </is>
      </c>
      <c r="F2138" s="4">
        <v>37</v>
      </c>
    </row>
    <row r="2139">
      <c r="A2139" s="0" t="inlineStr">
        <is>
          <t xml:space="preserve">random_12_URI</t>
        </is>
      </c>
      <c r="B2139" s="0" t="inlineStr">
        <is>
          <t xml:space="preserve">random_12</t>
        </is>
      </c>
      <c r="C2139" s="0" t="inlineStr">
        <is>
          <t xml:space="preserve">d20260923</t>
        </is>
      </c>
      <c r="D2139" s="0" t="inlineStr">
        <is>
          <t xml:space="preserve">URI</t>
        </is>
      </c>
      <c r="E2139" s="0" t="inlineStr">
        <is>
          <t xml:space="preserve">industrials</t>
        </is>
      </c>
      <c r="F2139" s="4">
        <v>38</v>
      </c>
    </row>
    <row r="2140">
      <c r="A2140" s="0" t="inlineStr">
        <is>
          <t xml:space="preserve">random_12_HD</t>
        </is>
      </c>
      <c r="B2140" s="0" t="inlineStr">
        <is>
          <t xml:space="preserve">random_12</t>
        </is>
      </c>
      <c r="C2140" s="0" t="inlineStr">
        <is>
          <t xml:space="preserve">d20260923</t>
        </is>
      </c>
      <c r="D2140" s="0" t="inlineStr">
        <is>
          <t xml:space="preserve">HD</t>
        </is>
      </c>
      <c r="E2140" s="0" t="inlineStr">
        <is>
          <t xml:space="preserve">consumer_cyclical</t>
        </is>
      </c>
      <c r="F2140" s="4">
        <v>39</v>
      </c>
    </row>
    <row r="2141">
      <c r="A2141" s="0" t="inlineStr">
        <is>
          <t xml:space="preserve">random_12_TBBK</t>
        </is>
      </c>
      <c r="B2141" s="0" t="inlineStr">
        <is>
          <t xml:space="preserve">random_12</t>
        </is>
      </c>
      <c r="C2141" s="0" t="inlineStr">
        <is>
          <t xml:space="preserve">d20260923</t>
        </is>
      </c>
      <c r="D2141" s="0" t="inlineStr">
        <is>
          <t xml:space="preserve">TBBK</t>
        </is>
      </c>
      <c r="E2141" s="0" t="inlineStr">
        <is>
          <t xml:space="preserve">financial_services</t>
        </is>
      </c>
      <c r="F2141" s="4">
        <v>40</v>
      </c>
    </row>
    <row r="2142">
      <c r="A2142" s="0" t="inlineStr">
        <is>
          <t xml:space="preserve">random_12_WES</t>
        </is>
      </c>
      <c r="B2142" s="0" t="inlineStr">
        <is>
          <t xml:space="preserve">random_12</t>
        </is>
      </c>
      <c r="C2142" s="0" t="inlineStr">
        <is>
          <t xml:space="preserve">d20260923</t>
        </is>
      </c>
      <c r="D2142" s="0" t="inlineStr">
        <is>
          <t xml:space="preserve">WES</t>
        </is>
      </c>
      <c r="E2142" s="0" t="inlineStr">
        <is>
          <t xml:space="preserve">energy</t>
        </is>
      </c>
      <c r="F2142" s="4">
        <v>41</v>
      </c>
    </row>
    <row r="2143">
      <c r="A2143" s="0" t="inlineStr">
        <is>
          <t xml:space="preserve">random_12_GEO</t>
        </is>
      </c>
      <c r="B2143" s="0" t="inlineStr">
        <is>
          <t xml:space="preserve">random_12</t>
        </is>
      </c>
      <c r="C2143" s="0" t="inlineStr">
        <is>
          <t xml:space="preserve">d20260923</t>
        </is>
      </c>
      <c r="D2143" s="0" t="inlineStr">
        <is>
          <t xml:space="preserve">GEO</t>
        </is>
      </c>
      <c r="E2143" s="0" t="inlineStr">
        <is>
          <t xml:space="preserve">industrials</t>
        </is>
      </c>
      <c r="F2143" s="4">
        <v>42</v>
      </c>
    </row>
    <row r="2144">
      <c r="A2144" s="0" t="inlineStr">
        <is>
          <t xml:space="preserve">random_12_ORA</t>
        </is>
      </c>
      <c r="B2144" s="0" t="inlineStr">
        <is>
          <t xml:space="preserve">random_12</t>
        </is>
      </c>
      <c r="C2144" s="0" t="inlineStr">
        <is>
          <t xml:space="preserve">d20260923</t>
        </is>
      </c>
      <c r="D2144" s="0" t="inlineStr">
        <is>
          <t xml:space="preserve">ORA</t>
        </is>
      </c>
      <c r="E2144" s="0" t="inlineStr">
        <is>
          <t xml:space="preserve">utilities</t>
        </is>
      </c>
      <c r="F2144" s="4">
        <v>43</v>
      </c>
    </row>
    <row r="2145">
      <c r="A2145" s="0" t="inlineStr">
        <is>
          <t xml:space="preserve">random_12_KMI</t>
        </is>
      </c>
      <c r="B2145" s="0" t="inlineStr">
        <is>
          <t xml:space="preserve">random_12</t>
        </is>
      </c>
      <c r="C2145" s="0" t="inlineStr">
        <is>
          <t xml:space="preserve">d20260923</t>
        </is>
      </c>
      <c r="D2145" s="0" t="inlineStr">
        <is>
          <t xml:space="preserve">KMI</t>
        </is>
      </c>
      <c r="E2145" s="0" t="inlineStr">
        <is>
          <t xml:space="preserve">energy</t>
        </is>
      </c>
      <c r="F2145" s="4">
        <v>44</v>
      </c>
    </row>
    <row r="2146">
      <c r="A2146" s="0" t="inlineStr">
        <is>
          <t xml:space="preserve">random_12_SPG</t>
        </is>
      </c>
      <c r="B2146" s="0" t="inlineStr">
        <is>
          <t xml:space="preserve">random_12</t>
        </is>
      </c>
      <c r="C2146" s="0" t="inlineStr">
        <is>
          <t xml:space="preserve">d20260923</t>
        </is>
      </c>
      <c r="D2146" s="0" t="inlineStr">
        <is>
          <t xml:space="preserve">SPG</t>
        </is>
      </c>
      <c r="E2146" s="0" t="inlineStr">
        <is>
          <t xml:space="preserve">real_estate</t>
        </is>
      </c>
      <c r="F2146" s="4">
        <v>45</v>
      </c>
    </row>
    <row r="2147">
      <c r="A2147" s="0" t="inlineStr">
        <is>
          <t xml:space="preserve">random_12_NVST</t>
        </is>
      </c>
      <c r="B2147" s="0" t="inlineStr">
        <is>
          <t xml:space="preserve">random_12</t>
        </is>
      </c>
      <c r="C2147" s="0" t="inlineStr">
        <is>
          <t xml:space="preserve">d20260923</t>
        </is>
      </c>
      <c r="D2147" s="0" t="inlineStr">
        <is>
          <t xml:space="preserve">NVST</t>
        </is>
      </c>
      <c r="E2147" s="0" t="inlineStr">
        <is>
          <t xml:space="preserve">healthcare</t>
        </is>
      </c>
      <c r="F2147" s="4">
        <v>46</v>
      </c>
    </row>
    <row r="2148">
      <c r="A2148" s="0" t="inlineStr">
        <is>
          <t xml:space="preserve">random_12_BE</t>
        </is>
      </c>
      <c r="B2148" s="0" t="inlineStr">
        <is>
          <t xml:space="preserve">random_12</t>
        </is>
      </c>
      <c r="C2148" s="0" t="inlineStr">
        <is>
          <t xml:space="preserve">d20260923</t>
        </is>
      </c>
      <c r="D2148" s="0" t="inlineStr">
        <is>
          <t xml:space="preserve">BE</t>
        </is>
      </c>
      <c r="E2148" s="0" t="inlineStr">
        <is>
          <t xml:space="preserve">industrials</t>
        </is>
      </c>
      <c r="F2148" s="4">
        <v>47</v>
      </c>
    </row>
    <row r="2149">
      <c r="A2149" s="0" t="inlineStr">
        <is>
          <t xml:space="preserve">random_12_USFD</t>
        </is>
      </c>
      <c r="B2149" s="0" t="inlineStr">
        <is>
          <t xml:space="preserve">random_12</t>
        </is>
      </c>
      <c r="C2149" s="0" t="inlineStr">
        <is>
          <t xml:space="preserve">d20260923</t>
        </is>
      </c>
      <c r="D2149" s="0" t="inlineStr">
        <is>
          <t xml:space="preserve">USFD</t>
        </is>
      </c>
      <c r="E2149" s="0" t="inlineStr">
        <is>
          <t xml:space="preserve">consumer_defensive</t>
        </is>
      </c>
      <c r="F2149" s="4">
        <v>48</v>
      </c>
    </row>
    <row r="2150">
      <c r="A2150" s="0" t="inlineStr">
        <is>
          <t xml:space="preserve">random_12_HUM</t>
        </is>
      </c>
      <c r="B2150" s="0" t="inlineStr">
        <is>
          <t xml:space="preserve">random_12</t>
        </is>
      </c>
      <c r="C2150" s="0" t="inlineStr">
        <is>
          <t xml:space="preserve">d20260923</t>
        </is>
      </c>
      <c r="D2150" s="0" t="inlineStr">
        <is>
          <t xml:space="preserve">HUM</t>
        </is>
      </c>
      <c r="E2150" s="0" t="inlineStr">
        <is>
          <t xml:space="preserve">healthcare</t>
        </is>
      </c>
      <c r="F2150" s="4">
        <v>49</v>
      </c>
    </row>
    <row r="2151">
      <c r="A2151" s="0" t="inlineStr">
        <is>
          <t xml:space="preserve">random_12_TEM</t>
        </is>
      </c>
      <c r="B2151" s="0" t="inlineStr">
        <is>
          <t xml:space="preserve">random_12</t>
        </is>
      </c>
      <c r="C2151" s="0" t="inlineStr">
        <is>
          <t xml:space="preserve">d20260923</t>
        </is>
      </c>
      <c r="D2151" s="0" t="inlineStr">
        <is>
          <t xml:space="preserve">TEM</t>
        </is>
      </c>
      <c r="E2151" s="0" t="inlineStr">
        <is>
          <t xml:space="preserve">healthcare</t>
        </is>
      </c>
      <c r="F2151" s="4">
        <v>50</v>
      </c>
    </row>
    <row r="2152">
      <c r="A2152" s="0" t="inlineStr">
        <is>
          <t xml:space="preserve">random_12_BCRX</t>
        </is>
      </c>
      <c r="B2152" s="0" t="inlineStr">
        <is>
          <t xml:space="preserve">random_12</t>
        </is>
      </c>
      <c r="C2152" s="0" t="inlineStr">
        <is>
          <t xml:space="preserve">d20260923</t>
        </is>
      </c>
      <c r="D2152" s="0" t="inlineStr">
        <is>
          <t xml:space="preserve">BCRX</t>
        </is>
      </c>
      <c r="E2152" s="0" t="inlineStr">
        <is>
          <t xml:space="preserve">healthcare</t>
        </is>
      </c>
      <c r="F2152" s="4">
        <v>51</v>
      </c>
    </row>
    <row r="2153">
      <c r="A2153" s="0" t="inlineStr">
        <is>
          <t xml:space="preserve">random_12_ONB</t>
        </is>
      </c>
      <c r="B2153" s="0" t="inlineStr">
        <is>
          <t xml:space="preserve">random_12</t>
        </is>
      </c>
      <c r="C2153" s="0" t="inlineStr">
        <is>
          <t xml:space="preserve">d20260923</t>
        </is>
      </c>
      <c r="D2153" s="0" t="inlineStr">
        <is>
          <t xml:space="preserve">ONB</t>
        </is>
      </c>
      <c r="E2153" s="0" t="inlineStr">
        <is>
          <t xml:space="preserve">financial_services</t>
        </is>
      </c>
      <c r="F2153" s="4">
        <v>52</v>
      </c>
    </row>
    <row r="2154">
      <c r="A2154" s="0" t="inlineStr">
        <is>
          <t xml:space="preserve">random_12_BOH</t>
        </is>
      </c>
      <c r="B2154" s="0" t="inlineStr">
        <is>
          <t xml:space="preserve">random_12</t>
        </is>
      </c>
      <c r="C2154" s="0" t="inlineStr">
        <is>
          <t xml:space="preserve">d20260923</t>
        </is>
      </c>
      <c r="D2154" s="0" t="inlineStr">
        <is>
          <t xml:space="preserve">BOH</t>
        </is>
      </c>
      <c r="E2154" s="0" t="inlineStr">
        <is>
          <t xml:space="preserve">financial_services</t>
        </is>
      </c>
      <c r="F2154" s="4">
        <v>53</v>
      </c>
    </row>
    <row r="2155">
      <c r="A2155" s="0" t="inlineStr">
        <is>
          <t xml:space="preserve">random_12_INFQ</t>
        </is>
      </c>
      <c r="B2155" s="0" t="inlineStr">
        <is>
          <t xml:space="preserve">random_12</t>
        </is>
      </c>
      <c r="C2155" s="0" t="inlineStr">
        <is>
          <t xml:space="preserve">d20260923</t>
        </is>
      </c>
      <c r="D2155" s="0" t="inlineStr">
        <is>
          <t xml:space="preserve">INFQ</t>
        </is>
      </c>
      <c r="E2155" s="0" t="inlineStr">
        <is>
          <t xml:space="preserve">technology</t>
        </is>
      </c>
      <c r="F2155" s="4">
        <v>54</v>
      </c>
    </row>
    <row r="2156">
      <c r="A2156" s="0" t="inlineStr">
        <is>
          <t xml:space="preserve">random_12_FIX</t>
        </is>
      </c>
      <c r="B2156" s="0" t="inlineStr">
        <is>
          <t xml:space="preserve">random_12</t>
        </is>
      </c>
      <c r="C2156" s="0" t="inlineStr">
        <is>
          <t xml:space="preserve">d20260923</t>
        </is>
      </c>
      <c r="D2156" s="0" t="inlineStr">
        <is>
          <t xml:space="preserve">FIX</t>
        </is>
      </c>
      <c r="E2156" s="0" t="inlineStr">
        <is>
          <t xml:space="preserve">industrials</t>
        </is>
      </c>
      <c r="F2156" s="4">
        <v>55</v>
      </c>
    </row>
    <row r="2157">
      <c r="A2157" s="0" t="inlineStr">
        <is>
          <t xml:space="preserve">random_12_CALM</t>
        </is>
      </c>
      <c r="B2157" s="0" t="inlineStr">
        <is>
          <t xml:space="preserve">random_12</t>
        </is>
      </c>
      <c r="C2157" s="0" t="inlineStr">
        <is>
          <t xml:space="preserve">d20260923</t>
        </is>
      </c>
      <c r="D2157" s="0" t="inlineStr">
        <is>
          <t xml:space="preserve">CALM</t>
        </is>
      </c>
      <c r="E2157" s="0" t="inlineStr">
        <is>
          <t xml:space="preserve">consumer_defensive</t>
        </is>
      </c>
      <c r="F2157" s="4">
        <v>56</v>
      </c>
    </row>
    <row r="2158">
      <c r="A2158" s="0" t="inlineStr">
        <is>
          <t xml:space="preserve">random_12_MTN</t>
        </is>
      </c>
      <c r="B2158" s="0" t="inlineStr">
        <is>
          <t xml:space="preserve">random_12</t>
        </is>
      </c>
      <c r="C2158" s="0" t="inlineStr">
        <is>
          <t xml:space="preserve">d20260923</t>
        </is>
      </c>
      <c r="D2158" s="0" t="inlineStr">
        <is>
          <t xml:space="preserve">MTN</t>
        </is>
      </c>
      <c r="E2158" s="0" t="inlineStr">
        <is>
          <t xml:space="preserve">consumer_cyclical</t>
        </is>
      </c>
      <c r="F2158" s="4">
        <v>57</v>
      </c>
    </row>
    <row r="2159">
      <c r="A2159" s="0" t="inlineStr">
        <is>
          <t xml:space="preserve">random_12_NRIX</t>
        </is>
      </c>
      <c r="B2159" s="0" t="inlineStr">
        <is>
          <t xml:space="preserve">random_12</t>
        </is>
      </c>
      <c r="C2159" s="0" t="inlineStr">
        <is>
          <t xml:space="preserve">d20260923</t>
        </is>
      </c>
      <c r="D2159" s="0" t="inlineStr">
        <is>
          <t xml:space="preserve">NRIX</t>
        </is>
      </c>
      <c r="E2159" s="0" t="inlineStr">
        <is>
          <t xml:space="preserve">healthcare</t>
        </is>
      </c>
      <c r="F2159" s="4">
        <v>58</v>
      </c>
    </row>
    <row r="2160">
      <c r="A2160" s="0" t="inlineStr">
        <is>
          <t xml:space="preserve">random_12_MZTI</t>
        </is>
      </c>
      <c r="B2160" s="0" t="inlineStr">
        <is>
          <t xml:space="preserve">random_12</t>
        </is>
      </c>
      <c r="C2160" s="0" t="inlineStr">
        <is>
          <t xml:space="preserve">d20260923</t>
        </is>
      </c>
      <c r="D2160" s="0" t="inlineStr">
        <is>
          <t xml:space="preserve">MZTI</t>
        </is>
      </c>
      <c r="E2160" s="0" t="inlineStr">
        <is>
          <t xml:space="preserve">consumer_defensive</t>
        </is>
      </c>
      <c r="F2160" s="4">
        <v>59</v>
      </c>
    </row>
    <row r="2161">
      <c r="A2161" s="0" t="inlineStr">
        <is>
          <t xml:space="preserve">random_12_ULTA</t>
        </is>
      </c>
      <c r="B2161" s="0" t="inlineStr">
        <is>
          <t xml:space="preserve">random_12</t>
        </is>
      </c>
      <c r="C2161" s="0" t="inlineStr">
        <is>
          <t xml:space="preserve">d20260923</t>
        </is>
      </c>
      <c r="D2161" s="0" t="inlineStr">
        <is>
          <t xml:space="preserve">ULTA</t>
        </is>
      </c>
      <c r="E2161" s="0" t="inlineStr">
        <is>
          <t xml:space="preserve">consumer_cyclical</t>
        </is>
      </c>
      <c r="F2161" s="4">
        <v>60</v>
      </c>
    </row>
    <row r="2162">
      <c r="A2162" s="0" t="inlineStr">
        <is>
          <t xml:space="preserve">random_12_DFTX</t>
        </is>
      </c>
      <c r="B2162" s="0" t="inlineStr">
        <is>
          <t xml:space="preserve">random_12</t>
        </is>
      </c>
      <c r="C2162" s="0" t="inlineStr">
        <is>
          <t xml:space="preserve">d20260923</t>
        </is>
      </c>
      <c r="D2162" s="0" t="inlineStr">
        <is>
          <t xml:space="preserve">DFTX</t>
        </is>
      </c>
      <c r="E2162" s="0" t="inlineStr">
        <is>
          <t xml:space="preserve">healthcare</t>
        </is>
      </c>
      <c r="F2162" s="4">
        <v>61</v>
      </c>
    </row>
    <row r="2163">
      <c r="A2163" s="0" t="inlineStr">
        <is>
          <t xml:space="preserve">random_12_DE</t>
        </is>
      </c>
      <c r="B2163" s="0" t="inlineStr">
        <is>
          <t xml:space="preserve">random_12</t>
        </is>
      </c>
      <c r="C2163" s="0" t="inlineStr">
        <is>
          <t xml:space="preserve">d20260923</t>
        </is>
      </c>
      <c r="D2163" s="0" t="inlineStr">
        <is>
          <t xml:space="preserve">DE</t>
        </is>
      </c>
      <c r="E2163" s="0" t="inlineStr">
        <is>
          <t xml:space="preserve">industrials</t>
        </is>
      </c>
      <c r="F2163" s="4">
        <v>62</v>
      </c>
    </row>
    <row r="2164">
      <c r="A2164" s="0" t="inlineStr">
        <is>
          <t xml:space="preserve">random_12_CNP</t>
        </is>
      </c>
      <c r="B2164" s="0" t="inlineStr">
        <is>
          <t xml:space="preserve">random_12</t>
        </is>
      </c>
      <c r="C2164" s="0" t="inlineStr">
        <is>
          <t xml:space="preserve">d20260923</t>
        </is>
      </c>
      <c r="D2164" s="0" t="inlineStr">
        <is>
          <t xml:space="preserve">CNP</t>
        </is>
      </c>
      <c r="E2164" s="0" t="inlineStr">
        <is>
          <t xml:space="preserve">utilities</t>
        </is>
      </c>
      <c r="F2164" s="4">
        <v>63</v>
      </c>
    </row>
    <row r="2165">
      <c r="A2165" s="0" t="inlineStr">
        <is>
          <t xml:space="preserve">random_12_OKTA</t>
        </is>
      </c>
      <c r="B2165" s="0" t="inlineStr">
        <is>
          <t xml:space="preserve">random_12</t>
        </is>
      </c>
      <c r="C2165" s="0" t="inlineStr">
        <is>
          <t xml:space="preserve">d20260923</t>
        </is>
      </c>
      <c r="D2165" s="0" t="inlineStr">
        <is>
          <t xml:space="preserve">OKTA</t>
        </is>
      </c>
      <c r="E2165" s="0" t="inlineStr">
        <is>
          <t xml:space="preserve">technology</t>
        </is>
      </c>
      <c r="F2165" s="4">
        <v>64</v>
      </c>
    </row>
    <row r="2166">
      <c r="A2166" s="0" t="inlineStr">
        <is>
          <t xml:space="preserve">random_12_BKD</t>
        </is>
      </c>
      <c r="B2166" s="0" t="inlineStr">
        <is>
          <t xml:space="preserve">random_12</t>
        </is>
      </c>
      <c r="C2166" s="0" t="inlineStr">
        <is>
          <t xml:space="preserve">d20260923</t>
        </is>
      </c>
      <c r="D2166" s="0" t="inlineStr">
        <is>
          <t xml:space="preserve">BKD</t>
        </is>
      </c>
      <c r="E2166" s="0" t="inlineStr">
        <is>
          <t xml:space="preserve">healthcare</t>
        </is>
      </c>
      <c r="F2166" s="4">
        <v>65</v>
      </c>
    </row>
    <row r="2167">
      <c r="A2167" s="0" t="inlineStr">
        <is>
          <t xml:space="preserve">random_12_ASH</t>
        </is>
      </c>
      <c r="B2167" s="0" t="inlineStr">
        <is>
          <t xml:space="preserve">random_12</t>
        </is>
      </c>
      <c r="C2167" s="0" t="inlineStr">
        <is>
          <t xml:space="preserve">d20260923</t>
        </is>
      </c>
      <c r="D2167" s="0" t="inlineStr">
        <is>
          <t xml:space="preserve">ASH</t>
        </is>
      </c>
      <c r="E2167" s="0" t="inlineStr">
        <is>
          <t xml:space="preserve">basic_materials</t>
        </is>
      </c>
      <c r="F2167" s="4">
        <v>66</v>
      </c>
    </row>
    <row r="2168">
      <c r="A2168" s="0" t="inlineStr">
        <is>
          <t xml:space="preserve">random_12_SPSC</t>
        </is>
      </c>
      <c r="B2168" s="0" t="inlineStr">
        <is>
          <t xml:space="preserve">random_12</t>
        </is>
      </c>
      <c r="C2168" s="0" t="inlineStr">
        <is>
          <t xml:space="preserve">d20260923</t>
        </is>
      </c>
      <c r="D2168" s="0" t="inlineStr">
        <is>
          <t xml:space="preserve">SPSC</t>
        </is>
      </c>
      <c r="E2168" s="0" t="inlineStr">
        <is>
          <t xml:space="preserve">technology</t>
        </is>
      </c>
      <c r="F2168" s="4">
        <v>67</v>
      </c>
    </row>
    <row r="2169">
      <c r="A2169" s="0" t="inlineStr">
        <is>
          <t xml:space="preserve">random_12_CMCSA</t>
        </is>
      </c>
      <c r="B2169" s="0" t="inlineStr">
        <is>
          <t xml:space="preserve">random_12</t>
        </is>
      </c>
      <c r="C2169" s="0" t="inlineStr">
        <is>
          <t xml:space="preserve">d20260923</t>
        </is>
      </c>
      <c r="D2169" s="0" t="inlineStr">
        <is>
          <t xml:space="preserve">CMCSA</t>
        </is>
      </c>
      <c r="E2169" s="0" t="inlineStr">
        <is>
          <t xml:space="preserve">communication_services</t>
        </is>
      </c>
      <c r="F2169" s="4">
        <v>68</v>
      </c>
    </row>
    <row r="2170">
      <c r="A2170" s="0" t="inlineStr">
        <is>
          <t xml:space="preserve">random_12_RSI</t>
        </is>
      </c>
      <c r="B2170" s="0" t="inlineStr">
        <is>
          <t xml:space="preserve">random_12</t>
        </is>
      </c>
      <c r="C2170" s="0" t="inlineStr">
        <is>
          <t xml:space="preserve">d20260923</t>
        </is>
      </c>
      <c r="D2170" s="0" t="inlineStr">
        <is>
          <t xml:space="preserve">RSI</t>
        </is>
      </c>
      <c r="E2170" s="0" t="inlineStr">
        <is>
          <t xml:space="preserve">consumer_cyclical</t>
        </is>
      </c>
      <c r="F2170" s="4">
        <v>69</v>
      </c>
    </row>
    <row r="2171">
      <c r="A2171" s="0" t="inlineStr">
        <is>
          <t xml:space="preserve">random_12_TXRH</t>
        </is>
      </c>
      <c r="B2171" s="0" t="inlineStr">
        <is>
          <t xml:space="preserve">random_12</t>
        </is>
      </c>
      <c r="C2171" s="0" t="inlineStr">
        <is>
          <t xml:space="preserve">d20260923</t>
        </is>
      </c>
      <c r="D2171" s="0" t="inlineStr">
        <is>
          <t xml:space="preserve">TXRH</t>
        </is>
      </c>
      <c r="E2171" s="0" t="inlineStr">
        <is>
          <t xml:space="preserve">consumer_cyclical</t>
        </is>
      </c>
      <c r="F2171" s="4">
        <v>70</v>
      </c>
    </row>
    <row r="2172">
      <c r="A2172" s="0" t="inlineStr">
        <is>
          <t xml:space="preserve">random_12_AMAT</t>
        </is>
      </c>
      <c r="B2172" s="0" t="inlineStr">
        <is>
          <t xml:space="preserve">random_12</t>
        </is>
      </c>
      <c r="C2172" s="0" t="inlineStr">
        <is>
          <t xml:space="preserve">d20260923</t>
        </is>
      </c>
      <c r="D2172" s="0" t="inlineStr">
        <is>
          <t xml:space="preserve">AMAT</t>
        </is>
      </c>
      <c r="E2172" s="0" t="inlineStr">
        <is>
          <t xml:space="preserve">technology</t>
        </is>
      </c>
      <c r="F2172" s="4">
        <v>71</v>
      </c>
    </row>
    <row r="2173">
      <c r="A2173" s="0" t="inlineStr">
        <is>
          <t xml:space="preserve">random_12_PAYX</t>
        </is>
      </c>
      <c r="B2173" s="0" t="inlineStr">
        <is>
          <t xml:space="preserve">random_12</t>
        </is>
      </c>
      <c r="C2173" s="0" t="inlineStr">
        <is>
          <t xml:space="preserve">d20260923</t>
        </is>
      </c>
      <c r="D2173" s="0" t="inlineStr">
        <is>
          <t xml:space="preserve">PAYX</t>
        </is>
      </c>
      <c r="E2173" s="0" t="inlineStr">
        <is>
          <t xml:space="preserve">industrials</t>
        </is>
      </c>
      <c r="F2173" s="4">
        <v>72</v>
      </c>
    </row>
    <row r="2174">
      <c r="A2174" s="0" t="inlineStr">
        <is>
          <t xml:space="preserve">random_12_FIBK</t>
        </is>
      </c>
      <c r="B2174" s="0" t="inlineStr">
        <is>
          <t xml:space="preserve">random_12</t>
        </is>
      </c>
      <c r="C2174" s="0" t="inlineStr">
        <is>
          <t xml:space="preserve">d20260923</t>
        </is>
      </c>
      <c r="D2174" s="0" t="inlineStr">
        <is>
          <t xml:space="preserve">FIBK</t>
        </is>
      </c>
      <c r="E2174" s="0" t="inlineStr">
        <is>
          <t xml:space="preserve">financial_services</t>
        </is>
      </c>
      <c r="F2174" s="4">
        <v>73</v>
      </c>
    </row>
    <row r="2175">
      <c r="A2175" s="0" t="inlineStr">
        <is>
          <t xml:space="preserve">random_12_V</t>
        </is>
      </c>
      <c r="B2175" s="0" t="inlineStr">
        <is>
          <t xml:space="preserve">random_12</t>
        </is>
      </c>
      <c r="C2175" s="0" t="inlineStr">
        <is>
          <t xml:space="preserve">d20260923</t>
        </is>
      </c>
      <c r="D2175" s="0" t="inlineStr">
        <is>
          <t xml:space="preserve">V</t>
        </is>
      </c>
      <c r="E2175" s="0" t="inlineStr">
        <is>
          <t xml:space="preserve">financial_services</t>
        </is>
      </c>
      <c r="F2175" s="4">
        <v>74</v>
      </c>
    </row>
    <row r="2176">
      <c r="A2176" s="0" t="inlineStr">
        <is>
          <t xml:space="preserve">random_12_BNY</t>
        </is>
      </c>
      <c r="B2176" s="0" t="inlineStr">
        <is>
          <t xml:space="preserve">random_12</t>
        </is>
      </c>
      <c r="C2176" s="0" t="inlineStr">
        <is>
          <t xml:space="preserve">d20260923</t>
        </is>
      </c>
      <c r="D2176" s="0" t="inlineStr">
        <is>
          <t xml:space="preserve">BNY</t>
        </is>
      </c>
      <c r="E2176" s="0" t="inlineStr">
        <is>
          <t xml:space="preserve">financial_services</t>
        </is>
      </c>
      <c r="F2176" s="4">
        <v>75</v>
      </c>
    </row>
    <row r="2177">
      <c r="A2177" s="0" t="inlineStr">
        <is>
          <t xml:space="preserve">random_12_ATMU</t>
        </is>
      </c>
      <c r="B2177" s="0" t="inlineStr">
        <is>
          <t xml:space="preserve">random_12</t>
        </is>
      </c>
      <c r="C2177" s="0" t="inlineStr">
        <is>
          <t xml:space="preserve">d20260923</t>
        </is>
      </c>
      <c r="D2177" s="0" t="inlineStr">
        <is>
          <t xml:space="preserve">ATMU</t>
        </is>
      </c>
      <c r="E2177" s="0" t="inlineStr">
        <is>
          <t xml:space="preserve">consumer_cyclical</t>
        </is>
      </c>
      <c r="F2177" s="4">
        <v>76</v>
      </c>
    </row>
    <row r="2178">
      <c r="A2178" s="0" t="inlineStr">
        <is>
          <t xml:space="preserve">random_12_BGC</t>
        </is>
      </c>
      <c r="B2178" s="0" t="inlineStr">
        <is>
          <t xml:space="preserve">random_12</t>
        </is>
      </c>
      <c r="C2178" s="0" t="inlineStr">
        <is>
          <t xml:space="preserve">d20260923</t>
        </is>
      </c>
      <c r="D2178" s="0" t="inlineStr">
        <is>
          <t xml:space="preserve">BGC</t>
        </is>
      </c>
      <c r="E2178" s="0" t="inlineStr">
        <is>
          <t xml:space="preserve">financial_services</t>
        </is>
      </c>
      <c r="F2178" s="4">
        <v>77</v>
      </c>
    </row>
    <row r="2179">
      <c r="A2179" s="0" t="inlineStr">
        <is>
          <t xml:space="preserve">random_12_FRME</t>
        </is>
      </c>
      <c r="B2179" s="0" t="inlineStr">
        <is>
          <t xml:space="preserve">random_12</t>
        </is>
      </c>
      <c r="C2179" s="0" t="inlineStr">
        <is>
          <t xml:space="preserve">d20260923</t>
        </is>
      </c>
      <c r="D2179" s="0" t="inlineStr">
        <is>
          <t xml:space="preserve">FRME</t>
        </is>
      </c>
      <c r="E2179" s="0" t="inlineStr">
        <is>
          <t xml:space="preserve">financial_services</t>
        </is>
      </c>
      <c r="F2179" s="4">
        <v>78</v>
      </c>
    </row>
    <row r="2180">
      <c r="A2180" s="0" t="inlineStr">
        <is>
          <t xml:space="preserve">random_12_VNT</t>
        </is>
      </c>
      <c r="B2180" s="0" t="inlineStr">
        <is>
          <t xml:space="preserve">random_12</t>
        </is>
      </c>
      <c r="C2180" s="0" t="inlineStr">
        <is>
          <t xml:space="preserve">d20260923</t>
        </is>
      </c>
      <c r="D2180" s="0" t="inlineStr">
        <is>
          <t xml:space="preserve">VNT</t>
        </is>
      </c>
      <c r="E2180" s="0" t="inlineStr">
        <is>
          <t xml:space="preserve">technology</t>
        </is>
      </c>
      <c r="F2180" s="4">
        <v>79</v>
      </c>
    </row>
    <row r="2181">
      <c r="A2181" s="0" t="inlineStr">
        <is>
          <t xml:space="preserve">random_12_KRMN</t>
        </is>
      </c>
      <c r="B2181" s="0" t="inlineStr">
        <is>
          <t xml:space="preserve">random_12</t>
        </is>
      </c>
      <c r="C2181" s="0" t="inlineStr">
        <is>
          <t xml:space="preserve">d20260923</t>
        </is>
      </c>
      <c r="D2181" s="0" t="inlineStr">
        <is>
          <t xml:space="preserve">KRMN</t>
        </is>
      </c>
      <c r="E2181" s="0" t="inlineStr">
        <is>
          <t xml:space="preserve">industrials</t>
        </is>
      </c>
      <c r="F2181" s="4">
        <v>80</v>
      </c>
    </row>
    <row r="2182">
      <c r="A2182" s="0" t="inlineStr">
        <is>
          <t xml:space="preserve">random_12_NCNO</t>
        </is>
      </c>
      <c r="B2182" s="0" t="inlineStr">
        <is>
          <t xml:space="preserve">random_12</t>
        </is>
      </c>
      <c r="C2182" s="0" t="inlineStr">
        <is>
          <t xml:space="preserve">d20260923</t>
        </is>
      </c>
      <c r="D2182" s="0" t="inlineStr">
        <is>
          <t xml:space="preserve">NCNO</t>
        </is>
      </c>
      <c r="E2182" s="0" t="inlineStr">
        <is>
          <t xml:space="preserve">technology</t>
        </is>
      </c>
      <c r="F2182" s="4">
        <v>81</v>
      </c>
    </row>
    <row r="2183">
      <c r="A2183" s="0" t="inlineStr">
        <is>
          <t xml:space="preserve">random_12_ORCL</t>
        </is>
      </c>
      <c r="B2183" s="0" t="inlineStr">
        <is>
          <t xml:space="preserve">random_12</t>
        </is>
      </c>
      <c r="C2183" s="0" t="inlineStr">
        <is>
          <t xml:space="preserve">d20260923</t>
        </is>
      </c>
      <c r="D2183" s="0" t="inlineStr">
        <is>
          <t xml:space="preserve">ORCL</t>
        </is>
      </c>
      <c r="E2183" s="0" t="inlineStr">
        <is>
          <t xml:space="preserve">technology</t>
        </is>
      </c>
      <c r="F2183" s="4">
        <v>82</v>
      </c>
    </row>
    <row r="2184">
      <c r="A2184" s="0" t="inlineStr">
        <is>
          <t xml:space="preserve">random_12_KHC</t>
        </is>
      </c>
      <c r="B2184" s="0" t="inlineStr">
        <is>
          <t xml:space="preserve">random_12</t>
        </is>
      </c>
      <c r="C2184" s="0" t="inlineStr">
        <is>
          <t xml:space="preserve">d20260923</t>
        </is>
      </c>
      <c r="D2184" s="0" t="inlineStr">
        <is>
          <t xml:space="preserve">KHC</t>
        </is>
      </c>
      <c r="E2184" s="0" t="inlineStr">
        <is>
          <t xml:space="preserve">consumer_defensive</t>
        </is>
      </c>
      <c r="F2184" s="4">
        <v>83</v>
      </c>
    </row>
    <row r="2185">
      <c r="A2185" s="0" t="inlineStr">
        <is>
          <t xml:space="preserve">random_12_RUM</t>
        </is>
      </c>
      <c r="B2185" s="0" t="inlineStr">
        <is>
          <t xml:space="preserve">random_12</t>
        </is>
      </c>
      <c r="C2185" s="0" t="inlineStr">
        <is>
          <t xml:space="preserve">d20260923</t>
        </is>
      </c>
      <c r="D2185" s="0" t="inlineStr">
        <is>
          <t xml:space="preserve">RUM</t>
        </is>
      </c>
      <c r="E2185" s="0" t="inlineStr">
        <is>
          <t xml:space="preserve">communication_services</t>
        </is>
      </c>
      <c r="F2185" s="4">
        <v>84</v>
      </c>
    </row>
    <row r="2186">
      <c r="A2186" s="0" t="inlineStr">
        <is>
          <t xml:space="preserve">random_12_CALX</t>
        </is>
      </c>
      <c r="B2186" s="0" t="inlineStr">
        <is>
          <t xml:space="preserve">random_12</t>
        </is>
      </c>
      <c r="C2186" s="0" t="inlineStr">
        <is>
          <t xml:space="preserve">d20260923</t>
        </is>
      </c>
      <c r="D2186" s="0" t="inlineStr">
        <is>
          <t xml:space="preserve">CALX</t>
        </is>
      </c>
      <c r="E2186" s="0" t="inlineStr">
        <is>
          <t xml:space="preserve">technology</t>
        </is>
      </c>
      <c r="F2186" s="4">
        <v>85</v>
      </c>
    </row>
    <row r="2187">
      <c r="A2187" s="0" t="inlineStr">
        <is>
          <t xml:space="preserve">random_12_SBCF</t>
        </is>
      </c>
      <c r="B2187" s="0" t="inlineStr">
        <is>
          <t xml:space="preserve">random_12</t>
        </is>
      </c>
      <c r="C2187" s="0" t="inlineStr">
        <is>
          <t xml:space="preserve">d20260923</t>
        </is>
      </c>
      <c r="D2187" s="0" t="inlineStr">
        <is>
          <t xml:space="preserve">SBCF</t>
        </is>
      </c>
      <c r="E2187" s="0" t="inlineStr">
        <is>
          <t xml:space="preserve">financial_services</t>
        </is>
      </c>
      <c r="F2187" s="4">
        <v>86</v>
      </c>
    </row>
    <row r="2188">
      <c r="A2188" s="0" t="inlineStr">
        <is>
          <t xml:space="preserve">random_12_CRC</t>
        </is>
      </c>
      <c r="B2188" s="0" t="inlineStr">
        <is>
          <t xml:space="preserve">random_12</t>
        </is>
      </c>
      <c r="C2188" s="0" t="inlineStr">
        <is>
          <t xml:space="preserve">d20260923</t>
        </is>
      </c>
      <c r="D2188" s="0" t="inlineStr">
        <is>
          <t xml:space="preserve">CRC</t>
        </is>
      </c>
      <c r="E2188" s="0" t="inlineStr">
        <is>
          <t xml:space="preserve">energy</t>
        </is>
      </c>
      <c r="F2188" s="4">
        <v>87</v>
      </c>
    </row>
    <row r="2189">
      <c r="A2189" s="0" t="inlineStr">
        <is>
          <t xml:space="preserve">random_12_IVZ</t>
        </is>
      </c>
      <c r="B2189" s="0" t="inlineStr">
        <is>
          <t xml:space="preserve">random_12</t>
        </is>
      </c>
      <c r="C2189" s="0" t="inlineStr">
        <is>
          <t xml:space="preserve">d20260923</t>
        </is>
      </c>
      <c r="D2189" s="0" t="inlineStr">
        <is>
          <t xml:space="preserve">IVZ</t>
        </is>
      </c>
      <c r="E2189" s="0" t="inlineStr">
        <is>
          <t xml:space="preserve">financial_services</t>
        </is>
      </c>
      <c r="F2189" s="4">
        <v>88</v>
      </c>
    </row>
    <row r="2190">
      <c r="A2190" s="0" t="inlineStr">
        <is>
          <t xml:space="preserve">random_12_PEN</t>
        </is>
      </c>
      <c r="B2190" s="0" t="inlineStr">
        <is>
          <t xml:space="preserve">random_12</t>
        </is>
      </c>
      <c r="C2190" s="0" t="inlineStr">
        <is>
          <t xml:space="preserve">d20260923</t>
        </is>
      </c>
      <c r="D2190" s="0" t="inlineStr">
        <is>
          <t xml:space="preserve">PEN</t>
        </is>
      </c>
      <c r="E2190" s="0" t="inlineStr">
        <is>
          <t xml:space="preserve">healthcare</t>
        </is>
      </c>
      <c r="F2190" s="4">
        <v>89</v>
      </c>
    </row>
    <row r="2191">
      <c r="A2191" s="0" t="inlineStr">
        <is>
          <t xml:space="preserve">random_12_PEB</t>
        </is>
      </c>
      <c r="B2191" s="0" t="inlineStr">
        <is>
          <t xml:space="preserve">random_12</t>
        </is>
      </c>
      <c r="C2191" s="0" t="inlineStr">
        <is>
          <t xml:space="preserve">d20260923</t>
        </is>
      </c>
      <c r="D2191" s="0" t="inlineStr">
        <is>
          <t xml:space="preserve">PEB</t>
        </is>
      </c>
      <c r="E2191" s="0" t="inlineStr">
        <is>
          <t xml:space="preserve">real_estate</t>
        </is>
      </c>
      <c r="F2191" s="4">
        <v>90</v>
      </c>
    </row>
    <row r="2192">
      <c r="A2192" s="0" t="inlineStr">
        <is>
          <t xml:space="preserve">random_12_KIM</t>
        </is>
      </c>
      <c r="B2192" s="0" t="inlineStr">
        <is>
          <t xml:space="preserve">random_12</t>
        </is>
      </c>
      <c r="C2192" s="0" t="inlineStr">
        <is>
          <t xml:space="preserve">d20260923</t>
        </is>
      </c>
      <c r="D2192" s="0" t="inlineStr">
        <is>
          <t xml:space="preserve">KIM</t>
        </is>
      </c>
      <c r="E2192" s="0" t="inlineStr">
        <is>
          <t xml:space="preserve">real_estate</t>
        </is>
      </c>
      <c r="F2192" s="4">
        <v>91</v>
      </c>
    </row>
    <row r="2193">
      <c r="A2193" s="0" t="inlineStr">
        <is>
          <t xml:space="preserve">random_12_AAON</t>
        </is>
      </c>
      <c r="B2193" s="0" t="inlineStr">
        <is>
          <t xml:space="preserve">random_12</t>
        </is>
      </c>
      <c r="C2193" s="0" t="inlineStr">
        <is>
          <t xml:space="preserve">d20260923</t>
        </is>
      </c>
      <c r="D2193" s="0" t="inlineStr">
        <is>
          <t xml:space="preserve">AAON</t>
        </is>
      </c>
      <c r="E2193" s="0" t="inlineStr">
        <is>
          <t xml:space="preserve">industrials</t>
        </is>
      </c>
      <c r="F2193" s="4">
        <v>92</v>
      </c>
    </row>
    <row r="2194">
      <c r="A2194" s="0" t="inlineStr">
        <is>
          <t xml:space="preserve">random_12_IVT</t>
        </is>
      </c>
      <c r="B2194" s="0" t="inlineStr">
        <is>
          <t xml:space="preserve">random_12</t>
        </is>
      </c>
      <c r="C2194" s="0" t="inlineStr">
        <is>
          <t xml:space="preserve">d20260923</t>
        </is>
      </c>
      <c r="D2194" s="0" t="inlineStr">
        <is>
          <t xml:space="preserve">IVT</t>
        </is>
      </c>
      <c r="E2194" s="0" t="inlineStr">
        <is>
          <t xml:space="preserve">real_estate</t>
        </is>
      </c>
      <c r="F2194" s="4">
        <v>93</v>
      </c>
    </row>
    <row r="2195">
      <c r="A2195" s="0" t="inlineStr">
        <is>
          <t xml:space="preserve">random_12_STRL</t>
        </is>
      </c>
      <c r="B2195" s="0" t="inlineStr">
        <is>
          <t xml:space="preserve">random_12</t>
        </is>
      </c>
      <c r="C2195" s="0" t="inlineStr">
        <is>
          <t xml:space="preserve">d20260923</t>
        </is>
      </c>
      <c r="D2195" s="0" t="inlineStr">
        <is>
          <t xml:space="preserve">STRL</t>
        </is>
      </c>
      <c r="E2195" s="0" t="inlineStr">
        <is>
          <t xml:space="preserve">industrials</t>
        </is>
      </c>
      <c r="F2195" s="4">
        <v>94</v>
      </c>
    </row>
    <row r="2196">
      <c r="A2196" s="0" t="inlineStr">
        <is>
          <t xml:space="preserve">random_12_ALL</t>
        </is>
      </c>
      <c r="B2196" s="0" t="inlineStr">
        <is>
          <t xml:space="preserve">random_12</t>
        </is>
      </c>
      <c r="C2196" s="0" t="inlineStr">
        <is>
          <t xml:space="preserve">d20260923</t>
        </is>
      </c>
      <c r="D2196" s="0" t="inlineStr">
        <is>
          <t xml:space="preserve">ALL</t>
        </is>
      </c>
      <c r="E2196" s="0" t="inlineStr">
        <is>
          <t xml:space="preserve">financial_services</t>
        </is>
      </c>
      <c r="F2196" s="4">
        <v>95</v>
      </c>
    </row>
    <row r="2197">
      <c r="A2197" s="0" t="inlineStr">
        <is>
          <t xml:space="preserve">random_12_FDS</t>
        </is>
      </c>
      <c r="B2197" s="0" t="inlineStr">
        <is>
          <t xml:space="preserve">random_12</t>
        </is>
      </c>
      <c r="C2197" s="0" t="inlineStr">
        <is>
          <t xml:space="preserve">d20260923</t>
        </is>
      </c>
      <c r="D2197" s="0" t="inlineStr">
        <is>
          <t xml:space="preserve">FDS</t>
        </is>
      </c>
      <c r="E2197" s="0" t="inlineStr">
        <is>
          <t xml:space="preserve">financial_services</t>
        </is>
      </c>
      <c r="F2197" s="4">
        <v>96</v>
      </c>
    </row>
    <row r="2198">
      <c r="A2198" s="0" t="inlineStr">
        <is>
          <t xml:space="preserve">random_12_MCD</t>
        </is>
      </c>
      <c r="B2198" s="0" t="inlineStr">
        <is>
          <t xml:space="preserve">random_12</t>
        </is>
      </c>
      <c r="C2198" s="0" t="inlineStr">
        <is>
          <t xml:space="preserve">d20260923</t>
        </is>
      </c>
      <c r="D2198" s="0" t="inlineStr">
        <is>
          <t xml:space="preserve">MCD</t>
        </is>
      </c>
      <c r="E2198" s="0" t="inlineStr">
        <is>
          <t xml:space="preserve">consumer_cyclical</t>
        </is>
      </c>
      <c r="F2198" s="4">
        <v>97</v>
      </c>
    </row>
    <row r="2199">
      <c r="A2199" s="0" t="inlineStr">
        <is>
          <t xml:space="preserve">random_12_PLNT</t>
        </is>
      </c>
      <c r="B2199" s="0" t="inlineStr">
        <is>
          <t xml:space="preserve">random_12</t>
        </is>
      </c>
      <c r="C2199" s="0" t="inlineStr">
        <is>
          <t xml:space="preserve">d20260923</t>
        </is>
      </c>
      <c r="D2199" s="0" t="inlineStr">
        <is>
          <t xml:space="preserve">PLNT</t>
        </is>
      </c>
      <c r="E2199" s="0" t="inlineStr">
        <is>
          <t xml:space="preserve">consumer_cyclical</t>
        </is>
      </c>
      <c r="F2199" s="4">
        <v>98</v>
      </c>
    </row>
    <row r="2200">
      <c r="A2200" s="0" t="inlineStr">
        <is>
          <t xml:space="preserve">random_12_NEM</t>
        </is>
      </c>
      <c r="B2200" s="0" t="inlineStr">
        <is>
          <t xml:space="preserve">random_12</t>
        </is>
      </c>
      <c r="C2200" s="0" t="inlineStr">
        <is>
          <t xml:space="preserve">d20260923</t>
        </is>
      </c>
      <c r="D2200" s="0" t="inlineStr">
        <is>
          <t xml:space="preserve">NEM</t>
        </is>
      </c>
      <c r="E2200" s="0" t="inlineStr">
        <is>
          <t xml:space="preserve">basic_materials</t>
        </is>
      </c>
      <c r="F2200" s="4">
        <v>99</v>
      </c>
    </row>
    <row r="2201">
      <c r="A2201" s="0" t="inlineStr">
        <is>
          <t xml:space="preserve">random_12_ROAD</t>
        </is>
      </c>
      <c r="B2201" s="0" t="inlineStr">
        <is>
          <t xml:space="preserve">random_12</t>
        </is>
      </c>
      <c r="C2201" s="0" t="inlineStr">
        <is>
          <t xml:space="preserve">d20260923</t>
        </is>
      </c>
      <c r="D2201" s="0" t="inlineStr">
        <is>
          <t xml:space="preserve">ROAD</t>
        </is>
      </c>
      <c r="E2201" s="0" t="inlineStr">
        <is>
          <t xml:space="preserve">industrials</t>
        </is>
      </c>
      <c r="F2201" s="4">
        <v>100</v>
      </c>
    </row>
    <row r="2202">
      <c r="A2202" s="0" t="inlineStr">
        <is>
          <t xml:space="preserve">random_13_TPC</t>
        </is>
      </c>
      <c r="B2202" s="0" t="inlineStr">
        <is>
          <t xml:space="preserve">random_13</t>
        </is>
      </c>
      <c r="C2202" s="0" t="inlineStr">
        <is>
          <t xml:space="preserve">d20260923</t>
        </is>
      </c>
      <c r="D2202" s="0" t="inlineStr">
        <is>
          <t xml:space="preserve">TPC</t>
        </is>
      </c>
      <c r="E2202" s="0" t="inlineStr">
        <is>
          <t xml:space="preserve">industrials</t>
        </is>
      </c>
      <c r="F2202" s="4">
        <v>1</v>
      </c>
    </row>
    <row r="2203">
      <c r="A2203" s="0" t="inlineStr">
        <is>
          <t xml:space="preserve">random_13_ECL</t>
        </is>
      </c>
      <c r="B2203" s="0" t="inlineStr">
        <is>
          <t xml:space="preserve">random_13</t>
        </is>
      </c>
      <c r="C2203" s="0" t="inlineStr">
        <is>
          <t xml:space="preserve">d20260923</t>
        </is>
      </c>
      <c r="D2203" s="0" t="inlineStr">
        <is>
          <t xml:space="preserve">ECL</t>
        </is>
      </c>
      <c r="E2203" s="0" t="inlineStr">
        <is>
          <t xml:space="preserve">basic_materials</t>
        </is>
      </c>
      <c r="F2203" s="4">
        <v>2</v>
      </c>
    </row>
    <row r="2204">
      <c r="A2204" s="0" t="inlineStr">
        <is>
          <t xml:space="preserve">random_13_LASR</t>
        </is>
      </c>
      <c r="B2204" s="0" t="inlineStr">
        <is>
          <t xml:space="preserve">random_13</t>
        </is>
      </c>
      <c r="C2204" s="0" t="inlineStr">
        <is>
          <t xml:space="preserve">d20260923</t>
        </is>
      </c>
      <c r="D2204" s="0" t="inlineStr">
        <is>
          <t xml:space="preserve">LASR</t>
        </is>
      </c>
      <c r="E2204" s="0" t="inlineStr">
        <is>
          <t xml:space="preserve">technology</t>
        </is>
      </c>
      <c r="F2204" s="4">
        <v>3</v>
      </c>
    </row>
    <row r="2205">
      <c r="A2205" s="0" t="inlineStr">
        <is>
          <t xml:space="preserve">random_13_EGP</t>
        </is>
      </c>
      <c r="B2205" s="0" t="inlineStr">
        <is>
          <t xml:space="preserve">random_13</t>
        </is>
      </c>
      <c r="C2205" s="0" t="inlineStr">
        <is>
          <t xml:space="preserve">d20260923</t>
        </is>
      </c>
      <c r="D2205" s="0" t="inlineStr">
        <is>
          <t xml:space="preserve">EGP</t>
        </is>
      </c>
      <c r="E2205" s="0" t="inlineStr">
        <is>
          <t xml:space="preserve">real_estate</t>
        </is>
      </c>
      <c r="F2205" s="4">
        <v>4</v>
      </c>
    </row>
    <row r="2206">
      <c r="A2206" s="0" t="inlineStr">
        <is>
          <t xml:space="preserve">random_13_CRUS</t>
        </is>
      </c>
      <c r="B2206" s="0" t="inlineStr">
        <is>
          <t xml:space="preserve">random_13</t>
        </is>
      </c>
      <c r="C2206" s="0" t="inlineStr">
        <is>
          <t xml:space="preserve">d20260923</t>
        </is>
      </c>
      <c r="D2206" s="0" t="inlineStr">
        <is>
          <t xml:space="preserve">CRUS</t>
        </is>
      </c>
      <c r="E2206" s="0" t="inlineStr">
        <is>
          <t xml:space="preserve">technology</t>
        </is>
      </c>
      <c r="F2206" s="4">
        <v>5</v>
      </c>
    </row>
    <row r="2207">
      <c r="A2207" s="0" t="inlineStr">
        <is>
          <t xml:space="preserve">random_13_ATI</t>
        </is>
      </c>
      <c r="B2207" s="0" t="inlineStr">
        <is>
          <t xml:space="preserve">random_13</t>
        </is>
      </c>
      <c r="C2207" s="0" t="inlineStr">
        <is>
          <t xml:space="preserve">d20260923</t>
        </is>
      </c>
      <c r="D2207" s="0" t="inlineStr">
        <is>
          <t xml:space="preserve">ATI</t>
        </is>
      </c>
      <c r="E2207" s="0" t="inlineStr">
        <is>
          <t xml:space="preserve">industrials</t>
        </is>
      </c>
      <c r="F2207" s="4">
        <v>6</v>
      </c>
    </row>
    <row r="2208">
      <c r="A2208" s="0" t="inlineStr">
        <is>
          <t xml:space="preserve">random_13_ALAB</t>
        </is>
      </c>
      <c r="B2208" s="0" t="inlineStr">
        <is>
          <t xml:space="preserve">random_13</t>
        </is>
      </c>
      <c r="C2208" s="0" t="inlineStr">
        <is>
          <t xml:space="preserve">d20260923</t>
        </is>
      </c>
      <c r="D2208" s="0" t="inlineStr">
        <is>
          <t xml:space="preserve">ALAB</t>
        </is>
      </c>
      <c r="E2208" s="0" t="inlineStr">
        <is>
          <t xml:space="preserve">technology</t>
        </is>
      </c>
      <c r="F2208" s="4">
        <v>7</v>
      </c>
    </row>
    <row r="2209">
      <c r="A2209" s="0" t="inlineStr">
        <is>
          <t xml:space="preserve">random_13_CVBF</t>
        </is>
      </c>
      <c r="B2209" s="0" t="inlineStr">
        <is>
          <t xml:space="preserve">random_13</t>
        </is>
      </c>
      <c r="C2209" s="0" t="inlineStr">
        <is>
          <t xml:space="preserve">d20260923</t>
        </is>
      </c>
      <c r="D2209" s="0" t="inlineStr">
        <is>
          <t xml:space="preserve">CVBF</t>
        </is>
      </c>
      <c r="E2209" s="0" t="inlineStr">
        <is>
          <t xml:space="preserve">financial_services</t>
        </is>
      </c>
      <c r="F2209" s="4">
        <v>8</v>
      </c>
    </row>
    <row r="2210">
      <c r="A2210" s="0" t="inlineStr">
        <is>
          <t xml:space="preserve">random_13_ST</t>
        </is>
      </c>
      <c r="B2210" s="0" t="inlineStr">
        <is>
          <t xml:space="preserve">random_13</t>
        </is>
      </c>
      <c r="C2210" s="0" t="inlineStr">
        <is>
          <t xml:space="preserve">d20260923</t>
        </is>
      </c>
      <c r="D2210" s="0" t="inlineStr">
        <is>
          <t xml:space="preserve">ST</t>
        </is>
      </c>
      <c r="E2210" s="0" t="inlineStr">
        <is>
          <t xml:space="preserve">technology</t>
        </is>
      </c>
      <c r="F2210" s="4">
        <v>9</v>
      </c>
    </row>
    <row r="2211">
      <c r="A2211" s="0" t="inlineStr">
        <is>
          <t xml:space="preserve">random_13_SRE</t>
        </is>
      </c>
      <c r="B2211" s="0" t="inlineStr">
        <is>
          <t xml:space="preserve">random_13</t>
        </is>
      </c>
      <c r="C2211" s="0" t="inlineStr">
        <is>
          <t xml:space="preserve">d20260923</t>
        </is>
      </c>
      <c r="D2211" s="0" t="inlineStr">
        <is>
          <t xml:space="preserve">SRE</t>
        </is>
      </c>
      <c r="E2211" s="0" t="inlineStr">
        <is>
          <t xml:space="preserve">utilities</t>
        </is>
      </c>
      <c r="F2211" s="4">
        <v>10</v>
      </c>
    </row>
    <row r="2212">
      <c r="A2212" s="0" t="inlineStr">
        <is>
          <t xml:space="preserve">random_13_BANC</t>
        </is>
      </c>
      <c r="B2212" s="0" t="inlineStr">
        <is>
          <t xml:space="preserve">random_13</t>
        </is>
      </c>
      <c r="C2212" s="0" t="inlineStr">
        <is>
          <t xml:space="preserve">d20260923</t>
        </is>
      </c>
      <c r="D2212" s="0" t="inlineStr">
        <is>
          <t xml:space="preserve">BANC</t>
        </is>
      </c>
      <c r="E2212" s="0" t="inlineStr">
        <is>
          <t xml:space="preserve">financial_services</t>
        </is>
      </c>
      <c r="F2212" s="4">
        <v>11</v>
      </c>
    </row>
    <row r="2213">
      <c r="A2213" s="0" t="inlineStr">
        <is>
          <t xml:space="preserve">random_13_BATRK</t>
        </is>
      </c>
      <c r="B2213" s="0" t="inlineStr">
        <is>
          <t xml:space="preserve">random_13</t>
        </is>
      </c>
      <c r="C2213" s="0" t="inlineStr">
        <is>
          <t xml:space="preserve">d20260923</t>
        </is>
      </c>
      <c r="D2213" s="0" t="inlineStr">
        <is>
          <t xml:space="preserve">BATRK</t>
        </is>
      </c>
      <c r="E2213" s="0" t="inlineStr">
        <is>
          <t xml:space="preserve">communication_services</t>
        </is>
      </c>
      <c r="F2213" s="4">
        <v>12</v>
      </c>
    </row>
    <row r="2214">
      <c r="A2214" s="0" t="inlineStr">
        <is>
          <t xml:space="preserve">random_13_MCK</t>
        </is>
      </c>
      <c r="B2214" s="0" t="inlineStr">
        <is>
          <t xml:space="preserve">random_13</t>
        </is>
      </c>
      <c r="C2214" s="0" t="inlineStr">
        <is>
          <t xml:space="preserve">d20260923</t>
        </is>
      </c>
      <c r="D2214" s="0" t="inlineStr">
        <is>
          <t xml:space="preserve">MCK</t>
        </is>
      </c>
      <c r="E2214" s="0" t="inlineStr">
        <is>
          <t xml:space="preserve">healthcare</t>
        </is>
      </c>
      <c r="F2214" s="4">
        <v>13</v>
      </c>
    </row>
    <row r="2215">
      <c r="A2215" s="0" t="inlineStr">
        <is>
          <t xml:space="preserve">random_13_CSCO</t>
        </is>
      </c>
      <c r="B2215" s="0" t="inlineStr">
        <is>
          <t xml:space="preserve">random_13</t>
        </is>
      </c>
      <c r="C2215" s="0" t="inlineStr">
        <is>
          <t xml:space="preserve">d20260923</t>
        </is>
      </c>
      <c r="D2215" s="0" t="inlineStr">
        <is>
          <t xml:space="preserve">CSCO</t>
        </is>
      </c>
      <c r="E2215" s="0" t="inlineStr">
        <is>
          <t xml:space="preserve">technology</t>
        </is>
      </c>
      <c r="F2215" s="4">
        <v>14</v>
      </c>
    </row>
    <row r="2216">
      <c r="A2216" s="0" t="inlineStr">
        <is>
          <t xml:space="preserve">random_13_FLUT</t>
        </is>
      </c>
      <c r="B2216" s="0" t="inlineStr">
        <is>
          <t xml:space="preserve">random_13</t>
        </is>
      </c>
      <c r="C2216" s="0" t="inlineStr">
        <is>
          <t xml:space="preserve">d20260923</t>
        </is>
      </c>
      <c r="D2216" s="0" t="inlineStr">
        <is>
          <t xml:space="preserve">FLUT</t>
        </is>
      </c>
      <c r="E2216" s="0" t="inlineStr">
        <is>
          <t xml:space="preserve">consumer_cyclical</t>
        </is>
      </c>
      <c r="F2216" s="4">
        <v>15</v>
      </c>
    </row>
    <row r="2217">
      <c r="A2217" s="0" t="inlineStr">
        <is>
          <t xml:space="preserve">random_13_WAB</t>
        </is>
      </c>
      <c r="B2217" s="0" t="inlineStr">
        <is>
          <t xml:space="preserve">random_13</t>
        </is>
      </c>
      <c r="C2217" s="0" t="inlineStr">
        <is>
          <t xml:space="preserve">d20260923</t>
        </is>
      </c>
      <c r="D2217" s="0" t="inlineStr">
        <is>
          <t xml:space="preserve">WAB</t>
        </is>
      </c>
      <c r="E2217" s="0" t="inlineStr">
        <is>
          <t xml:space="preserve">industrials</t>
        </is>
      </c>
      <c r="F2217" s="4">
        <v>16</v>
      </c>
    </row>
    <row r="2218">
      <c r="A2218" s="0" t="inlineStr">
        <is>
          <t xml:space="preserve">random_13_DOCN</t>
        </is>
      </c>
      <c r="B2218" s="0" t="inlineStr">
        <is>
          <t xml:space="preserve">random_13</t>
        </is>
      </c>
      <c r="C2218" s="0" t="inlineStr">
        <is>
          <t xml:space="preserve">d20260923</t>
        </is>
      </c>
      <c r="D2218" s="0" t="inlineStr">
        <is>
          <t xml:space="preserve">DOCN</t>
        </is>
      </c>
      <c r="E2218" s="0" t="inlineStr">
        <is>
          <t xml:space="preserve">technology</t>
        </is>
      </c>
      <c r="F2218" s="4">
        <v>17</v>
      </c>
    </row>
    <row r="2219">
      <c r="A2219" s="0" t="inlineStr">
        <is>
          <t xml:space="preserve">random_13_OLED</t>
        </is>
      </c>
      <c r="B2219" s="0" t="inlineStr">
        <is>
          <t xml:space="preserve">random_13</t>
        </is>
      </c>
      <c r="C2219" s="0" t="inlineStr">
        <is>
          <t xml:space="preserve">d20260923</t>
        </is>
      </c>
      <c r="D2219" s="0" t="inlineStr">
        <is>
          <t xml:space="preserve">OLED</t>
        </is>
      </c>
      <c r="E2219" s="0" t="inlineStr">
        <is>
          <t xml:space="preserve">technology</t>
        </is>
      </c>
      <c r="F2219" s="4">
        <v>18</v>
      </c>
    </row>
    <row r="2220">
      <c r="A2220" s="0" t="inlineStr">
        <is>
          <t xml:space="preserve">random_13_CTSH</t>
        </is>
      </c>
      <c r="B2220" s="0" t="inlineStr">
        <is>
          <t xml:space="preserve">random_13</t>
        </is>
      </c>
      <c r="C2220" s="0" t="inlineStr">
        <is>
          <t xml:space="preserve">d20260923</t>
        </is>
      </c>
      <c r="D2220" s="0" t="inlineStr">
        <is>
          <t xml:space="preserve">CTSH</t>
        </is>
      </c>
      <c r="E2220" s="0" t="inlineStr">
        <is>
          <t xml:space="preserve">technology</t>
        </is>
      </c>
      <c r="F2220" s="4">
        <v>19</v>
      </c>
    </row>
    <row r="2221">
      <c r="A2221" s="0" t="inlineStr">
        <is>
          <t xml:space="preserve">random_13_VSNT</t>
        </is>
      </c>
      <c r="B2221" s="0" t="inlineStr">
        <is>
          <t xml:space="preserve">random_13</t>
        </is>
      </c>
      <c r="C2221" s="0" t="inlineStr">
        <is>
          <t xml:space="preserve">d20260923</t>
        </is>
      </c>
      <c r="D2221" s="0" t="inlineStr">
        <is>
          <t xml:space="preserve">VSNT</t>
        </is>
      </c>
      <c r="E2221" s="0" t="inlineStr">
        <is>
          <t xml:space="preserve">communication_services</t>
        </is>
      </c>
      <c r="F2221" s="4">
        <v>20</v>
      </c>
    </row>
    <row r="2222">
      <c r="A2222" s="0" t="inlineStr">
        <is>
          <t xml:space="preserve">random_13_WOR</t>
        </is>
      </c>
      <c r="B2222" s="0" t="inlineStr">
        <is>
          <t xml:space="preserve">random_13</t>
        </is>
      </c>
      <c r="C2222" s="0" t="inlineStr">
        <is>
          <t xml:space="preserve">d20260923</t>
        </is>
      </c>
      <c r="D2222" s="0" t="inlineStr">
        <is>
          <t xml:space="preserve">WOR</t>
        </is>
      </c>
      <c r="E2222" s="0" t="inlineStr">
        <is>
          <t xml:space="preserve">industrials</t>
        </is>
      </c>
      <c r="F2222" s="4">
        <v>21</v>
      </c>
    </row>
    <row r="2223">
      <c r="A2223" s="0" t="inlineStr">
        <is>
          <t xml:space="preserve">random_13_NHI</t>
        </is>
      </c>
      <c r="B2223" s="0" t="inlineStr">
        <is>
          <t xml:space="preserve">random_13</t>
        </is>
      </c>
      <c r="C2223" s="0" t="inlineStr">
        <is>
          <t xml:space="preserve">d20260923</t>
        </is>
      </c>
      <c r="D2223" s="0" t="inlineStr">
        <is>
          <t xml:space="preserve">NHI</t>
        </is>
      </c>
      <c r="E2223" s="0" t="inlineStr">
        <is>
          <t xml:space="preserve">real_estate</t>
        </is>
      </c>
      <c r="F2223" s="4">
        <v>22</v>
      </c>
    </row>
    <row r="2224">
      <c r="A2224" s="0" t="inlineStr">
        <is>
          <t xml:space="preserve">random_13_FIBK</t>
        </is>
      </c>
      <c r="B2224" s="0" t="inlineStr">
        <is>
          <t xml:space="preserve">random_13</t>
        </is>
      </c>
      <c r="C2224" s="0" t="inlineStr">
        <is>
          <t xml:space="preserve">d20260923</t>
        </is>
      </c>
      <c r="D2224" s="0" t="inlineStr">
        <is>
          <t xml:space="preserve">FIBK</t>
        </is>
      </c>
      <c r="E2224" s="0" t="inlineStr">
        <is>
          <t xml:space="preserve">financial_services</t>
        </is>
      </c>
      <c r="F2224" s="4">
        <v>23</v>
      </c>
    </row>
    <row r="2225">
      <c r="A2225" s="0" t="inlineStr">
        <is>
          <t xml:space="preserve">random_13_AU</t>
        </is>
      </c>
      <c r="B2225" s="0" t="inlineStr">
        <is>
          <t xml:space="preserve">random_13</t>
        </is>
      </c>
      <c r="C2225" s="0" t="inlineStr">
        <is>
          <t xml:space="preserve">d20260923</t>
        </is>
      </c>
      <c r="D2225" s="0" t="inlineStr">
        <is>
          <t xml:space="preserve">AU</t>
        </is>
      </c>
      <c r="E2225" s="0" t="inlineStr">
        <is>
          <t xml:space="preserve">basic_materials</t>
        </is>
      </c>
      <c r="F2225" s="4">
        <v>24</v>
      </c>
    </row>
    <row r="2226">
      <c r="A2226" s="0" t="inlineStr">
        <is>
          <t xml:space="preserve">random_13_LIFE</t>
        </is>
      </c>
      <c r="B2226" s="0" t="inlineStr">
        <is>
          <t xml:space="preserve">random_13</t>
        </is>
      </c>
      <c r="C2226" s="0" t="inlineStr">
        <is>
          <t xml:space="preserve">d20260923</t>
        </is>
      </c>
      <c r="D2226" s="0" t="inlineStr">
        <is>
          <t xml:space="preserve">LIFE</t>
        </is>
      </c>
      <c r="E2226" s="0" t="inlineStr">
        <is>
          <t xml:space="preserve">financial_services</t>
        </is>
      </c>
      <c r="F2226" s="4">
        <v>25</v>
      </c>
    </row>
    <row r="2227">
      <c r="A2227" s="0" t="inlineStr">
        <is>
          <t xml:space="preserve">random_13_YOU</t>
        </is>
      </c>
      <c r="B2227" s="0" t="inlineStr">
        <is>
          <t xml:space="preserve">random_13</t>
        </is>
      </c>
      <c r="C2227" s="0" t="inlineStr">
        <is>
          <t xml:space="preserve">d20260923</t>
        </is>
      </c>
      <c r="D2227" s="0" t="inlineStr">
        <is>
          <t xml:space="preserve">YOU</t>
        </is>
      </c>
      <c r="E2227" s="0" t="inlineStr">
        <is>
          <t xml:space="preserve">technology</t>
        </is>
      </c>
      <c r="F2227" s="4">
        <v>26</v>
      </c>
    </row>
    <row r="2228">
      <c r="A2228" s="0" t="inlineStr">
        <is>
          <t xml:space="preserve">random_13_BSY</t>
        </is>
      </c>
      <c r="B2228" s="0" t="inlineStr">
        <is>
          <t xml:space="preserve">random_13</t>
        </is>
      </c>
      <c r="C2228" s="0" t="inlineStr">
        <is>
          <t xml:space="preserve">d20260923</t>
        </is>
      </c>
      <c r="D2228" s="0" t="inlineStr">
        <is>
          <t xml:space="preserve">BSY</t>
        </is>
      </c>
      <c r="E2228" s="0" t="inlineStr">
        <is>
          <t xml:space="preserve">technology</t>
        </is>
      </c>
      <c r="F2228" s="4">
        <v>27</v>
      </c>
    </row>
    <row r="2229">
      <c r="A2229" s="0" t="inlineStr">
        <is>
          <t xml:space="preserve">random_13_JBHT</t>
        </is>
      </c>
      <c r="B2229" s="0" t="inlineStr">
        <is>
          <t xml:space="preserve">random_13</t>
        </is>
      </c>
      <c r="C2229" s="0" t="inlineStr">
        <is>
          <t xml:space="preserve">d20260923</t>
        </is>
      </c>
      <c r="D2229" s="0" t="inlineStr">
        <is>
          <t xml:space="preserve">JBHT</t>
        </is>
      </c>
      <c r="E2229" s="0" t="inlineStr">
        <is>
          <t xml:space="preserve">industrials</t>
        </is>
      </c>
      <c r="F2229" s="4">
        <v>28</v>
      </c>
    </row>
    <row r="2230">
      <c r="A2230" s="0" t="inlineStr">
        <is>
          <t xml:space="preserve">random_13_AEP</t>
        </is>
      </c>
      <c r="B2230" s="0" t="inlineStr">
        <is>
          <t xml:space="preserve">random_13</t>
        </is>
      </c>
      <c r="C2230" s="0" t="inlineStr">
        <is>
          <t xml:space="preserve">d20260923</t>
        </is>
      </c>
      <c r="D2230" s="0" t="inlineStr">
        <is>
          <t xml:space="preserve">AEP</t>
        </is>
      </c>
      <c r="E2230" s="0" t="inlineStr">
        <is>
          <t xml:space="preserve">utilities</t>
        </is>
      </c>
      <c r="F2230" s="4">
        <v>29</v>
      </c>
    </row>
    <row r="2231">
      <c r="A2231" s="0" t="inlineStr">
        <is>
          <t xml:space="preserve">random_13_LPX</t>
        </is>
      </c>
      <c r="B2231" s="0" t="inlineStr">
        <is>
          <t xml:space="preserve">random_13</t>
        </is>
      </c>
      <c r="C2231" s="0" t="inlineStr">
        <is>
          <t xml:space="preserve">d20260923</t>
        </is>
      </c>
      <c r="D2231" s="0" t="inlineStr">
        <is>
          <t xml:space="preserve">LPX</t>
        </is>
      </c>
      <c r="E2231" s="0" t="inlineStr">
        <is>
          <t xml:space="preserve">basic_materials</t>
        </is>
      </c>
      <c r="F2231" s="4">
        <v>30</v>
      </c>
    </row>
    <row r="2232">
      <c r="A2232" s="0" t="inlineStr">
        <is>
          <t xml:space="preserve">random_13_DOC</t>
        </is>
      </c>
      <c r="B2232" s="0" t="inlineStr">
        <is>
          <t xml:space="preserve">random_13</t>
        </is>
      </c>
      <c r="C2232" s="0" t="inlineStr">
        <is>
          <t xml:space="preserve">d20260923</t>
        </is>
      </c>
      <c r="D2232" s="0" t="inlineStr">
        <is>
          <t xml:space="preserve">DOC</t>
        </is>
      </c>
      <c r="E2232" s="0" t="inlineStr">
        <is>
          <t xml:space="preserve">real_estate</t>
        </is>
      </c>
      <c r="F2232" s="4">
        <v>31</v>
      </c>
    </row>
    <row r="2233">
      <c r="A2233" s="0" t="inlineStr">
        <is>
          <t xml:space="preserve">random_13_HOOD</t>
        </is>
      </c>
      <c r="B2233" s="0" t="inlineStr">
        <is>
          <t xml:space="preserve">random_13</t>
        </is>
      </c>
      <c r="C2233" s="0" t="inlineStr">
        <is>
          <t xml:space="preserve">d20260923</t>
        </is>
      </c>
      <c r="D2233" s="0" t="inlineStr">
        <is>
          <t xml:space="preserve">HOOD</t>
        </is>
      </c>
      <c r="E2233" s="0" t="inlineStr">
        <is>
          <t xml:space="preserve">financial_services</t>
        </is>
      </c>
      <c r="F2233" s="4">
        <v>32</v>
      </c>
    </row>
    <row r="2234">
      <c r="A2234" s="0" t="inlineStr">
        <is>
          <t xml:space="preserve">random_13_FIVN</t>
        </is>
      </c>
      <c r="B2234" s="0" t="inlineStr">
        <is>
          <t xml:space="preserve">random_13</t>
        </is>
      </c>
      <c r="C2234" s="0" t="inlineStr">
        <is>
          <t xml:space="preserve">d20260923</t>
        </is>
      </c>
      <c r="D2234" s="0" t="inlineStr">
        <is>
          <t xml:space="preserve">FIVN</t>
        </is>
      </c>
      <c r="E2234" s="0" t="inlineStr">
        <is>
          <t xml:space="preserve">technology</t>
        </is>
      </c>
      <c r="F2234" s="4">
        <v>33</v>
      </c>
    </row>
    <row r="2235">
      <c r="A2235" s="0" t="inlineStr">
        <is>
          <t xml:space="preserve">random_13_KDP</t>
        </is>
      </c>
      <c r="B2235" s="0" t="inlineStr">
        <is>
          <t xml:space="preserve">random_13</t>
        </is>
      </c>
      <c r="C2235" s="0" t="inlineStr">
        <is>
          <t xml:space="preserve">d20260923</t>
        </is>
      </c>
      <c r="D2235" s="0" t="inlineStr">
        <is>
          <t xml:space="preserve">KDP</t>
        </is>
      </c>
      <c r="E2235" s="0" t="inlineStr">
        <is>
          <t xml:space="preserve">consumer_defensive</t>
        </is>
      </c>
      <c r="F2235" s="4">
        <v>34</v>
      </c>
    </row>
    <row r="2236">
      <c r="A2236" s="0" t="inlineStr">
        <is>
          <t xml:space="preserve">random_13_TOL</t>
        </is>
      </c>
      <c r="B2236" s="0" t="inlineStr">
        <is>
          <t xml:space="preserve">random_13</t>
        </is>
      </c>
      <c r="C2236" s="0" t="inlineStr">
        <is>
          <t xml:space="preserve">d20260923</t>
        </is>
      </c>
      <c r="D2236" s="0" t="inlineStr">
        <is>
          <t xml:space="preserve">TOL</t>
        </is>
      </c>
      <c r="E2236" s="0" t="inlineStr">
        <is>
          <t xml:space="preserve">consumer_cyclical</t>
        </is>
      </c>
      <c r="F2236" s="4">
        <v>35</v>
      </c>
    </row>
    <row r="2237">
      <c r="A2237" s="0" t="inlineStr">
        <is>
          <t xml:space="preserve">random_13_WAFD</t>
        </is>
      </c>
      <c r="B2237" s="0" t="inlineStr">
        <is>
          <t xml:space="preserve">random_13</t>
        </is>
      </c>
      <c r="C2237" s="0" t="inlineStr">
        <is>
          <t xml:space="preserve">d20260923</t>
        </is>
      </c>
      <c r="D2237" s="0" t="inlineStr">
        <is>
          <t xml:space="preserve">WAFD</t>
        </is>
      </c>
      <c r="E2237" s="0" t="inlineStr">
        <is>
          <t xml:space="preserve">financial_services</t>
        </is>
      </c>
      <c r="F2237" s="4">
        <v>36</v>
      </c>
    </row>
    <row r="2238">
      <c r="A2238" s="0" t="inlineStr">
        <is>
          <t xml:space="preserve">random_13_MGY</t>
        </is>
      </c>
      <c r="B2238" s="0" t="inlineStr">
        <is>
          <t xml:space="preserve">random_13</t>
        </is>
      </c>
      <c r="C2238" s="0" t="inlineStr">
        <is>
          <t xml:space="preserve">d20260923</t>
        </is>
      </c>
      <c r="D2238" s="0" t="inlineStr">
        <is>
          <t xml:space="preserve">MGY</t>
        </is>
      </c>
      <c r="E2238" s="0" t="inlineStr">
        <is>
          <t xml:space="preserve">energy</t>
        </is>
      </c>
      <c r="F2238" s="4">
        <v>37</v>
      </c>
    </row>
    <row r="2239">
      <c r="A2239" s="0" t="inlineStr">
        <is>
          <t xml:space="preserve">random_13_HASI</t>
        </is>
      </c>
      <c r="B2239" s="0" t="inlineStr">
        <is>
          <t xml:space="preserve">random_13</t>
        </is>
      </c>
      <c r="C2239" s="0" t="inlineStr">
        <is>
          <t xml:space="preserve">d20260923</t>
        </is>
      </c>
      <c r="D2239" s="0" t="inlineStr">
        <is>
          <t xml:space="preserve">HASI</t>
        </is>
      </c>
      <c r="E2239" s="0" t="inlineStr">
        <is>
          <t xml:space="preserve">financial_services</t>
        </is>
      </c>
      <c r="F2239" s="4">
        <v>38</v>
      </c>
    </row>
    <row r="2240">
      <c r="A2240" s="0" t="inlineStr">
        <is>
          <t xml:space="preserve">random_13_WAY</t>
        </is>
      </c>
      <c r="B2240" s="0" t="inlineStr">
        <is>
          <t xml:space="preserve">random_13</t>
        </is>
      </c>
      <c r="C2240" s="0" t="inlineStr">
        <is>
          <t xml:space="preserve">d20260923</t>
        </is>
      </c>
      <c r="D2240" s="0" t="inlineStr">
        <is>
          <t xml:space="preserve">WAY</t>
        </is>
      </c>
      <c r="E2240" s="0" t="inlineStr">
        <is>
          <t xml:space="preserve">healthcare</t>
        </is>
      </c>
      <c r="F2240" s="4">
        <v>39</v>
      </c>
    </row>
    <row r="2241">
      <c r="A2241" s="0" t="inlineStr">
        <is>
          <t xml:space="preserve">random_13_MRSH</t>
        </is>
      </c>
      <c r="B2241" s="0" t="inlineStr">
        <is>
          <t xml:space="preserve">random_13</t>
        </is>
      </c>
      <c r="C2241" s="0" t="inlineStr">
        <is>
          <t xml:space="preserve">d20260923</t>
        </is>
      </c>
      <c r="D2241" s="0" t="inlineStr">
        <is>
          <t xml:space="preserve">MRSH</t>
        </is>
      </c>
      <c r="E2241" s="0" t="inlineStr">
        <is>
          <t xml:space="preserve">financial_services</t>
        </is>
      </c>
      <c r="F2241" s="4">
        <v>40</v>
      </c>
    </row>
    <row r="2242">
      <c r="A2242" s="0" t="inlineStr">
        <is>
          <t xml:space="preserve">random_13_ENVA</t>
        </is>
      </c>
      <c r="B2242" s="0" t="inlineStr">
        <is>
          <t xml:space="preserve">random_13</t>
        </is>
      </c>
      <c r="C2242" s="0" t="inlineStr">
        <is>
          <t xml:space="preserve">d20260923</t>
        </is>
      </c>
      <c r="D2242" s="0" t="inlineStr">
        <is>
          <t xml:space="preserve">ENVA</t>
        </is>
      </c>
      <c r="E2242" s="0" t="inlineStr">
        <is>
          <t xml:space="preserve">financial_services</t>
        </is>
      </c>
      <c r="F2242" s="4">
        <v>41</v>
      </c>
    </row>
    <row r="2243">
      <c r="A2243" s="0" t="inlineStr">
        <is>
          <t xml:space="preserve">random_13_GPC</t>
        </is>
      </c>
      <c r="B2243" s="0" t="inlineStr">
        <is>
          <t xml:space="preserve">random_13</t>
        </is>
      </c>
      <c r="C2243" s="0" t="inlineStr">
        <is>
          <t xml:space="preserve">d20260923</t>
        </is>
      </c>
      <c r="D2243" s="0" t="inlineStr">
        <is>
          <t xml:space="preserve">GPC</t>
        </is>
      </c>
      <c r="E2243" s="0" t="inlineStr">
        <is>
          <t xml:space="preserve">consumer_cyclical</t>
        </is>
      </c>
      <c r="F2243" s="4">
        <v>42</v>
      </c>
    </row>
    <row r="2244">
      <c r="A2244" s="0" t="inlineStr">
        <is>
          <t xml:space="preserve">random_13_MWA</t>
        </is>
      </c>
      <c r="B2244" s="0" t="inlineStr">
        <is>
          <t xml:space="preserve">random_13</t>
        </is>
      </c>
      <c r="C2244" s="0" t="inlineStr">
        <is>
          <t xml:space="preserve">d20260923</t>
        </is>
      </c>
      <c r="D2244" s="0" t="inlineStr">
        <is>
          <t xml:space="preserve">MWA</t>
        </is>
      </c>
      <c r="E2244" s="0" t="inlineStr">
        <is>
          <t xml:space="preserve">industrials</t>
        </is>
      </c>
      <c r="F2244" s="4">
        <v>43</v>
      </c>
    </row>
    <row r="2245">
      <c r="A2245" s="0" t="inlineStr">
        <is>
          <t xml:space="preserve">random_13_CUZ</t>
        </is>
      </c>
      <c r="B2245" s="0" t="inlineStr">
        <is>
          <t xml:space="preserve">random_13</t>
        </is>
      </c>
      <c r="C2245" s="0" t="inlineStr">
        <is>
          <t xml:space="preserve">d20260923</t>
        </is>
      </c>
      <c r="D2245" s="0" t="inlineStr">
        <is>
          <t xml:space="preserve">CUZ</t>
        </is>
      </c>
      <c r="E2245" s="0" t="inlineStr">
        <is>
          <t xml:space="preserve">real_estate</t>
        </is>
      </c>
      <c r="F2245" s="4">
        <v>44</v>
      </c>
    </row>
    <row r="2246">
      <c r="A2246" s="0" t="inlineStr">
        <is>
          <t xml:space="preserve">random_13_BKD</t>
        </is>
      </c>
      <c r="B2246" s="0" t="inlineStr">
        <is>
          <t xml:space="preserve">random_13</t>
        </is>
      </c>
      <c r="C2246" s="0" t="inlineStr">
        <is>
          <t xml:space="preserve">d20260923</t>
        </is>
      </c>
      <c r="D2246" s="0" t="inlineStr">
        <is>
          <t xml:space="preserve">BKD</t>
        </is>
      </c>
      <c r="E2246" s="0" t="inlineStr">
        <is>
          <t xml:space="preserve">healthcare</t>
        </is>
      </c>
      <c r="F2246" s="4">
        <v>45</v>
      </c>
    </row>
    <row r="2247">
      <c r="A2247" s="0" t="inlineStr">
        <is>
          <t xml:space="preserve">random_13_APPF</t>
        </is>
      </c>
      <c r="B2247" s="0" t="inlineStr">
        <is>
          <t xml:space="preserve">random_13</t>
        </is>
      </c>
      <c r="C2247" s="0" t="inlineStr">
        <is>
          <t xml:space="preserve">d20260923</t>
        </is>
      </c>
      <c r="D2247" s="0" t="inlineStr">
        <is>
          <t xml:space="preserve">APPF</t>
        </is>
      </c>
      <c r="E2247" s="0" t="inlineStr">
        <is>
          <t xml:space="preserve">technology</t>
        </is>
      </c>
      <c r="F2247" s="4">
        <v>46</v>
      </c>
    </row>
    <row r="2248">
      <c r="A2248" s="0" t="inlineStr">
        <is>
          <t xml:space="preserve">random_13_CHDN</t>
        </is>
      </c>
      <c r="B2248" s="0" t="inlineStr">
        <is>
          <t xml:space="preserve">random_13</t>
        </is>
      </c>
      <c r="C2248" s="0" t="inlineStr">
        <is>
          <t xml:space="preserve">d20260923</t>
        </is>
      </c>
      <c r="D2248" s="0" t="inlineStr">
        <is>
          <t xml:space="preserve">CHDN</t>
        </is>
      </c>
      <c r="E2248" s="0" t="inlineStr">
        <is>
          <t xml:space="preserve">consumer_cyclical</t>
        </is>
      </c>
      <c r="F2248" s="4">
        <v>47</v>
      </c>
    </row>
    <row r="2249">
      <c r="A2249" s="0" t="inlineStr">
        <is>
          <t xml:space="preserve">random_13_EQH</t>
        </is>
      </c>
      <c r="B2249" s="0" t="inlineStr">
        <is>
          <t xml:space="preserve">random_13</t>
        </is>
      </c>
      <c r="C2249" s="0" t="inlineStr">
        <is>
          <t xml:space="preserve">d20260923</t>
        </is>
      </c>
      <c r="D2249" s="0" t="inlineStr">
        <is>
          <t xml:space="preserve">EQH</t>
        </is>
      </c>
      <c r="E2249" s="0" t="inlineStr">
        <is>
          <t xml:space="preserve">financial_services</t>
        </is>
      </c>
      <c r="F2249" s="4">
        <v>48</v>
      </c>
    </row>
    <row r="2250">
      <c r="A2250" s="0" t="inlineStr">
        <is>
          <t xml:space="preserve">random_13_HCA</t>
        </is>
      </c>
      <c r="B2250" s="0" t="inlineStr">
        <is>
          <t xml:space="preserve">random_13</t>
        </is>
      </c>
      <c r="C2250" s="0" t="inlineStr">
        <is>
          <t xml:space="preserve">d20260923</t>
        </is>
      </c>
      <c r="D2250" s="0" t="inlineStr">
        <is>
          <t xml:space="preserve">HCA</t>
        </is>
      </c>
      <c r="E2250" s="0" t="inlineStr">
        <is>
          <t xml:space="preserve">healthcare</t>
        </is>
      </c>
      <c r="F2250" s="4">
        <v>49</v>
      </c>
    </row>
    <row r="2251">
      <c r="A2251" s="0" t="inlineStr">
        <is>
          <t xml:space="preserve">random_13_ABNB</t>
        </is>
      </c>
      <c r="B2251" s="0" t="inlineStr">
        <is>
          <t xml:space="preserve">random_13</t>
        </is>
      </c>
      <c r="C2251" s="0" t="inlineStr">
        <is>
          <t xml:space="preserve">d20260923</t>
        </is>
      </c>
      <c r="D2251" s="0" t="inlineStr">
        <is>
          <t xml:space="preserve">ABNB</t>
        </is>
      </c>
      <c r="E2251" s="0" t="inlineStr">
        <is>
          <t xml:space="preserve">consumer_cyclical</t>
        </is>
      </c>
      <c r="F2251" s="4">
        <v>50</v>
      </c>
    </row>
    <row r="2252">
      <c r="A2252" s="0" t="inlineStr">
        <is>
          <t xml:space="preserve">random_13_PIPR</t>
        </is>
      </c>
      <c r="B2252" s="0" t="inlineStr">
        <is>
          <t xml:space="preserve">random_13</t>
        </is>
      </c>
      <c r="C2252" s="0" t="inlineStr">
        <is>
          <t xml:space="preserve">d20260923</t>
        </is>
      </c>
      <c r="D2252" s="0" t="inlineStr">
        <is>
          <t xml:space="preserve">PIPR</t>
        </is>
      </c>
      <c r="E2252" s="0" t="inlineStr">
        <is>
          <t xml:space="preserve">financial_services</t>
        </is>
      </c>
      <c r="F2252" s="4">
        <v>51</v>
      </c>
    </row>
    <row r="2253">
      <c r="A2253" s="0" t="inlineStr">
        <is>
          <t xml:space="preserve">random_13_AMH</t>
        </is>
      </c>
      <c r="B2253" s="0" t="inlineStr">
        <is>
          <t xml:space="preserve">random_13</t>
        </is>
      </c>
      <c r="C2253" s="0" t="inlineStr">
        <is>
          <t xml:space="preserve">d20260923</t>
        </is>
      </c>
      <c r="D2253" s="0" t="inlineStr">
        <is>
          <t xml:space="preserve">AMH</t>
        </is>
      </c>
      <c r="E2253" s="0" t="inlineStr">
        <is>
          <t xml:space="preserve">real_estate</t>
        </is>
      </c>
      <c r="F2253" s="4">
        <v>52</v>
      </c>
    </row>
    <row r="2254">
      <c r="A2254" s="0" t="inlineStr">
        <is>
          <t xml:space="preserve">random_13_AMD</t>
        </is>
      </c>
      <c r="B2254" s="0" t="inlineStr">
        <is>
          <t xml:space="preserve">random_13</t>
        </is>
      </c>
      <c r="C2254" s="0" t="inlineStr">
        <is>
          <t xml:space="preserve">d20260923</t>
        </is>
      </c>
      <c r="D2254" s="0" t="inlineStr">
        <is>
          <t xml:space="preserve">AMD</t>
        </is>
      </c>
      <c r="E2254" s="0" t="inlineStr">
        <is>
          <t xml:space="preserve">technology</t>
        </is>
      </c>
      <c r="F2254" s="4">
        <v>53</v>
      </c>
    </row>
    <row r="2255">
      <c r="A2255" s="0" t="inlineStr">
        <is>
          <t xml:space="preserve">random_13_NI</t>
        </is>
      </c>
      <c r="B2255" s="0" t="inlineStr">
        <is>
          <t xml:space="preserve">random_13</t>
        </is>
      </c>
      <c r="C2255" s="0" t="inlineStr">
        <is>
          <t xml:space="preserve">d20260923</t>
        </is>
      </c>
      <c r="D2255" s="0" t="inlineStr">
        <is>
          <t xml:space="preserve">NI</t>
        </is>
      </c>
      <c r="E2255" s="0" t="inlineStr">
        <is>
          <t xml:space="preserve">utilities</t>
        </is>
      </c>
      <c r="F2255" s="4">
        <v>54</v>
      </c>
    </row>
    <row r="2256">
      <c r="A2256" s="0" t="inlineStr">
        <is>
          <t xml:space="preserve">random_13_TDS</t>
        </is>
      </c>
      <c r="B2256" s="0" t="inlineStr">
        <is>
          <t xml:space="preserve">random_13</t>
        </is>
      </c>
      <c r="C2256" s="0" t="inlineStr">
        <is>
          <t xml:space="preserve">d20260923</t>
        </is>
      </c>
      <c r="D2256" s="0" t="inlineStr">
        <is>
          <t xml:space="preserve">TDS</t>
        </is>
      </c>
      <c r="E2256" s="0" t="inlineStr">
        <is>
          <t xml:space="preserve">communication_services</t>
        </is>
      </c>
      <c r="F2256" s="4">
        <v>55</v>
      </c>
    </row>
    <row r="2257">
      <c r="A2257" s="0" t="inlineStr">
        <is>
          <t xml:space="preserve">random_13_BHVN</t>
        </is>
      </c>
      <c r="B2257" s="0" t="inlineStr">
        <is>
          <t xml:space="preserve">random_13</t>
        </is>
      </c>
      <c r="C2257" s="0" t="inlineStr">
        <is>
          <t xml:space="preserve">d20260923</t>
        </is>
      </c>
      <c r="D2257" s="0" t="inlineStr">
        <is>
          <t xml:space="preserve">BHVN</t>
        </is>
      </c>
      <c r="E2257" s="0" t="inlineStr">
        <is>
          <t xml:space="preserve">healthcare</t>
        </is>
      </c>
      <c r="F2257" s="4">
        <v>56</v>
      </c>
    </row>
    <row r="2258">
      <c r="A2258" s="0" t="inlineStr">
        <is>
          <t xml:space="preserve">random_13_LECO</t>
        </is>
      </c>
      <c r="B2258" s="0" t="inlineStr">
        <is>
          <t xml:space="preserve">random_13</t>
        </is>
      </c>
      <c r="C2258" s="0" t="inlineStr">
        <is>
          <t xml:space="preserve">d20260923</t>
        </is>
      </c>
      <c r="D2258" s="0" t="inlineStr">
        <is>
          <t xml:space="preserve">LECO</t>
        </is>
      </c>
      <c r="E2258" s="0" t="inlineStr">
        <is>
          <t xml:space="preserve">industrials</t>
        </is>
      </c>
      <c r="F2258" s="4">
        <v>57</v>
      </c>
    </row>
    <row r="2259">
      <c r="A2259" s="0" t="inlineStr">
        <is>
          <t xml:space="preserve">random_13_AAMI</t>
        </is>
      </c>
      <c r="B2259" s="0" t="inlineStr">
        <is>
          <t xml:space="preserve">random_13</t>
        </is>
      </c>
      <c r="C2259" s="0" t="inlineStr">
        <is>
          <t xml:space="preserve">d20260923</t>
        </is>
      </c>
      <c r="D2259" s="0" t="inlineStr">
        <is>
          <t xml:space="preserve">AAMI</t>
        </is>
      </c>
      <c r="E2259" s="0" t="inlineStr">
        <is>
          <t xml:space="preserve">financial_services</t>
        </is>
      </c>
      <c r="F2259" s="4">
        <v>58</v>
      </c>
    </row>
    <row r="2260">
      <c r="A2260" s="0" t="inlineStr">
        <is>
          <t xml:space="preserve">random_13_CARR</t>
        </is>
      </c>
      <c r="B2260" s="0" t="inlineStr">
        <is>
          <t xml:space="preserve">random_13</t>
        </is>
      </c>
      <c r="C2260" s="0" t="inlineStr">
        <is>
          <t xml:space="preserve">d20260923</t>
        </is>
      </c>
      <c r="D2260" s="0" t="inlineStr">
        <is>
          <t xml:space="preserve">CARR</t>
        </is>
      </c>
      <c r="E2260" s="0" t="inlineStr">
        <is>
          <t xml:space="preserve">industrials</t>
        </is>
      </c>
      <c r="F2260" s="4">
        <v>59</v>
      </c>
    </row>
    <row r="2261">
      <c r="A2261" s="0" t="inlineStr">
        <is>
          <t xml:space="preserve">random_13_HOG</t>
        </is>
      </c>
      <c r="B2261" s="0" t="inlineStr">
        <is>
          <t xml:space="preserve">random_13</t>
        </is>
      </c>
      <c r="C2261" s="0" t="inlineStr">
        <is>
          <t xml:space="preserve">d20260923</t>
        </is>
      </c>
      <c r="D2261" s="0" t="inlineStr">
        <is>
          <t xml:space="preserve">HOG</t>
        </is>
      </c>
      <c r="E2261" s="0" t="inlineStr">
        <is>
          <t xml:space="preserve">consumer_cyclical</t>
        </is>
      </c>
      <c r="F2261" s="4">
        <v>60</v>
      </c>
    </row>
    <row r="2262">
      <c r="A2262" s="0" t="inlineStr">
        <is>
          <t xml:space="preserve">random_13_UMBF</t>
        </is>
      </c>
      <c r="B2262" s="0" t="inlineStr">
        <is>
          <t xml:space="preserve">random_13</t>
        </is>
      </c>
      <c r="C2262" s="0" t="inlineStr">
        <is>
          <t xml:space="preserve">d20260923</t>
        </is>
      </c>
      <c r="D2262" s="0" t="inlineStr">
        <is>
          <t xml:space="preserve">UMBF</t>
        </is>
      </c>
      <c r="E2262" s="0" t="inlineStr">
        <is>
          <t xml:space="preserve">financial_services</t>
        </is>
      </c>
      <c r="F2262" s="4">
        <v>61</v>
      </c>
    </row>
    <row r="2263">
      <c r="A2263" s="0" t="inlineStr">
        <is>
          <t xml:space="preserve">random_13_LEA</t>
        </is>
      </c>
      <c r="B2263" s="0" t="inlineStr">
        <is>
          <t xml:space="preserve">random_13</t>
        </is>
      </c>
      <c r="C2263" s="0" t="inlineStr">
        <is>
          <t xml:space="preserve">d20260923</t>
        </is>
      </c>
      <c r="D2263" s="0" t="inlineStr">
        <is>
          <t xml:space="preserve">LEA</t>
        </is>
      </c>
      <c r="E2263" s="0" t="inlineStr">
        <is>
          <t xml:space="preserve">consumer_cyclical</t>
        </is>
      </c>
      <c r="F2263" s="4">
        <v>62</v>
      </c>
    </row>
    <row r="2264">
      <c r="A2264" s="0" t="inlineStr">
        <is>
          <t xml:space="preserve">random_13_PLTR</t>
        </is>
      </c>
      <c r="B2264" s="0" t="inlineStr">
        <is>
          <t xml:space="preserve">random_13</t>
        </is>
      </c>
      <c r="C2264" s="0" t="inlineStr">
        <is>
          <t xml:space="preserve">d20260923</t>
        </is>
      </c>
      <c r="D2264" s="0" t="inlineStr">
        <is>
          <t xml:space="preserve">PLTR</t>
        </is>
      </c>
      <c r="E2264" s="0" t="inlineStr">
        <is>
          <t xml:space="preserve">technology</t>
        </is>
      </c>
      <c r="F2264" s="4">
        <v>63</v>
      </c>
    </row>
    <row r="2265">
      <c r="A2265" s="0" t="inlineStr">
        <is>
          <t xml:space="preserve">random_13_EWTX</t>
        </is>
      </c>
      <c r="B2265" s="0" t="inlineStr">
        <is>
          <t xml:space="preserve">random_13</t>
        </is>
      </c>
      <c r="C2265" s="0" t="inlineStr">
        <is>
          <t xml:space="preserve">d20260923</t>
        </is>
      </c>
      <c r="D2265" s="0" t="inlineStr">
        <is>
          <t xml:space="preserve">EWTX</t>
        </is>
      </c>
      <c r="E2265" s="0" t="inlineStr">
        <is>
          <t xml:space="preserve">healthcare</t>
        </is>
      </c>
      <c r="F2265" s="4">
        <v>64</v>
      </c>
    </row>
    <row r="2266">
      <c r="A2266" s="0" t="inlineStr">
        <is>
          <t xml:space="preserve">random_13_STE</t>
        </is>
      </c>
      <c r="B2266" s="0" t="inlineStr">
        <is>
          <t xml:space="preserve">random_13</t>
        </is>
      </c>
      <c r="C2266" s="0" t="inlineStr">
        <is>
          <t xml:space="preserve">d20260923</t>
        </is>
      </c>
      <c r="D2266" s="0" t="inlineStr">
        <is>
          <t xml:space="preserve">STE</t>
        </is>
      </c>
      <c r="E2266" s="0" t="inlineStr">
        <is>
          <t xml:space="preserve">healthcare</t>
        </is>
      </c>
      <c r="F2266" s="4">
        <v>65</v>
      </c>
    </row>
    <row r="2267">
      <c r="A2267" s="0" t="inlineStr">
        <is>
          <t xml:space="preserve">random_13_SHOO</t>
        </is>
      </c>
      <c r="B2267" s="0" t="inlineStr">
        <is>
          <t xml:space="preserve">random_13</t>
        </is>
      </c>
      <c r="C2267" s="0" t="inlineStr">
        <is>
          <t xml:space="preserve">d20260923</t>
        </is>
      </c>
      <c r="D2267" s="0" t="inlineStr">
        <is>
          <t xml:space="preserve">SHOO</t>
        </is>
      </c>
      <c r="E2267" s="0" t="inlineStr">
        <is>
          <t xml:space="preserve">consumer_cyclical</t>
        </is>
      </c>
      <c r="F2267" s="4">
        <v>66</v>
      </c>
    </row>
    <row r="2268">
      <c r="A2268" s="0" t="inlineStr">
        <is>
          <t xml:space="preserve">random_13_OVV</t>
        </is>
      </c>
      <c r="B2268" s="0" t="inlineStr">
        <is>
          <t xml:space="preserve">random_13</t>
        </is>
      </c>
      <c r="C2268" s="0" t="inlineStr">
        <is>
          <t xml:space="preserve">d20260923</t>
        </is>
      </c>
      <c r="D2268" s="0" t="inlineStr">
        <is>
          <t xml:space="preserve">OVV</t>
        </is>
      </c>
      <c r="E2268" s="0" t="inlineStr">
        <is>
          <t xml:space="preserve">energy</t>
        </is>
      </c>
      <c r="F2268" s="4">
        <v>67</v>
      </c>
    </row>
    <row r="2269">
      <c r="A2269" s="0" t="inlineStr">
        <is>
          <t xml:space="preserve">random_13_EWBC</t>
        </is>
      </c>
      <c r="B2269" s="0" t="inlineStr">
        <is>
          <t xml:space="preserve">random_13</t>
        </is>
      </c>
      <c r="C2269" s="0" t="inlineStr">
        <is>
          <t xml:space="preserve">d20260923</t>
        </is>
      </c>
      <c r="D2269" s="0" t="inlineStr">
        <is>
          <t xml:space="preserve">EWBC</t>
        </is>
      </c>
      <c r="E2269" s="0" t="inlineStr">
        <is>
          <t xml:space="preserve">financial_services</t>
        </is>
      </c>
      <c r="F2269" s="4">
        <v>68</v>
      </c>
    </row>
    <row r="2270">
      <c r="A2270" s="0" t="inlineStr">
        <is>
          <t xml:space="preserve">random_13_LDOS</t>
        </is>
      </c>
      <c r="B2270" s="0" t="inlineStr">
        <is>
          <t xml:space="preserve">random_13</t>
        </is>
      </c>
      <c r="C2270" s="0" t="inlineStr">
        <is>
          <t xml:space="preserve">d20260923</t>
        </is>
      </c>
      <c r="D2270" s="0" t="inlineStr">
        <is>
          <t xml:space="preserve">LDOS</t>
        </is>
      </c>
      <c r="E2270" s="0" t="inlineStr">
        <is>
          <t xml:space="preserve">technology</t>
        </is>
      </c>
      <c r="F2270" s="4">
        <v>69</v>
      </c>
    </row>
    <row r="2271">
      <c r="A2271" s="0" t="inlineStr">
        <is>
          <t xml:space="preserve">random_13_V</t>
        </is>
      </c>
      <c r="B2271" s="0" t="inlineStr">
        <is>
          <t xml:space="preserve">random_13</t>
        </is>
      </c>
      <c r="C2271" s="0" t="inlineStr">
        <is>
          <t xml:space="preserve">d20260923</t>
        </is>
      </c>
      <c r="D2271" s="0" t="inlineStr">
        <is>
          <t xml:space="preserve">V</t>
        </is>
      </c>
      <c r="E2271" s="0" t="inlineStr">
        <is>
          <t xml:space="preserve">financial_services</t>
        </is>
      </c>
      <c r="F2271" s="4">
        <v>70</v>
      </c>
    </row>
    <row r="2272">
      <c r="A2272" s="0" t="inlineStr">
        <is>
          <t xml:space="preserve">random_13_PTCT</t>
        </is>
      </c>
      <c r="B2272" s="0" t="inlineStr">
        <is>
          <t xml:space="preserve">random_13</t>
        </is>
      </c>
      <c r="C2272" s="0" t="inlineStr">
        <is>
          <t xml:space="preserve">d20260923</t>
        </is>
      </c>
      <c r="D2272" s="0" t="inlineStr">
        <is>
          <t xml:space="preserve">PTCT</t>
        </is>
      </c>
      <c r="E2272" s="0" t="inlineStr">
        <is>
          <t xml:space="preserve">healthcare</t>
        </is>
      </c>
      <c r="F2272" s="4">
        <v>71</v>
      </c>
    </row>
    <row r="2273">
      <c r="A2273" s="0" t="inlineStr">
        <is>
          <t xml:space="preserve">random_13_MPC</t>
        </is>
      </c>
      <c r="B2273" s="0" t="inlineStr">
        <is>
          <t xml:space="preserve">random_13</t>
        </is>
      </c>
      <c r="C2273" s="0" t="inlineStr">
        <is>
          <t xml:space="preserve">d20260923</t>
        </is>
      </c>
      <c r="D2273" s="0" t="inlineStr">
        <is>
          <t xml:space="preserve">MPC</t>
        </is>
      </c>
      <c r="E2273" s="0" t="inlineStr">
        <is>
          <t xml:space="preserve">energy</t>
        </is>
      </c>
      <c r="F2273" s="4">
        <v>72</v>
      </c>
    </row>
    <row r="2274">
      <c r="A2274" s="0" t="inlineStr">
        <is>
          <t xml:space="preserve">random_13_LOAR</t>
        </is>
      </c>
      <c r="B2274" s="0" t="inlineStr">
        <is>
          <t xml:space="preserve">random_13</t>
        </is>
      </c>
      <c r="C2274" s="0" t="inlineStr">
        <is>
          <t xml:space="preserve">d20260923</t>
        </is>
      </c>
      <c r="D2274" s="0" t="inlineStr">
        <is>
          <t xml:space="preserve">LOAR</t>
        </is>
      </c>
      <c r="E2274" s="0" t="inlineStr">
        <is>
          <t xml:space="preserve">industrials</t>
        </is>
      </c>
      <c r="F2274" s="4">
        <v>73</v>
      </c>
    </row>
    <row r="2275">
      <c r="A2275" s="0" t="inlineStr">
        <is>
          <t xml:space="preserve">random_13_DV</t>
        </is>
      </c>
      <c r="B2275" s="0" t="inlineStr">
        <is>
          <t xml:space="preserve">random_13</t>
        </is>
      </c>
      <c r="C2275" s="0" t="inlineStr">
        <is>
          <t xml:space="preserve">d20260923</t>
        </is>
      </c>
      <c r="D2275" s="0" t="inlineStr">
        <is>
          <t xml:space="preserve">DV</t>
        </is>
      </c>
      <c r="E2275" s="0" t="inlineStr">
        <is>
          <t xml:space="preserve">technology</t>
        </is>
      </c>
      <c r="F2275" s="4">
        <v>74</v>
      </c>
    </row>
    <row r="2276">
      <c r="A2276" s="0" t="inlineStr">
        <is>
          <t xml:space="preserve">random_13_MKC</t>
        </is>
      </c>
      <c r="B2276" s="0" t="inlineStr">
        <is>
          <t xml:space="preserve">random_13</t>
        </is>
      </c>
      <c r="C2276" s="0" t="inlineStr">
        <is>
          <t xml:space="preserve">d20260923</t>
        </is>
      </c>
      <c r="D2276" s="0" t="inlineStr">
        <is>
          <t xml:space="preserve">MKC</t>
        </is>
      </c>
      <c r="E2276" s="0" t="inlineStr">
        <is>
          <t xml:space="preserve">consumer_defensive</t>
        </is>
      </c>
      <c r="F2276" s="4">
        <v>75</v>
      </c>
    </row>
    <row r="2277">
      <c r="A2277" s="0" t="inlineStr">
        <is>
          <t xml:space="preserve">random_13_SLG</t>
        </is>
      </c>
      <c r="B2277" s="0" t="inlineStr">
        <is>
          <t xml:space="preserve">random_13</t>
        </is>
      </c>
      <c r="C2277" s="0" t="inlineStr">
        <is>
          <t xml:space="preserve">d20260923</t>
        </is>
      </c>
      <c r="D2277" s="0" t="inlineStr">
        <is>
          <t xml:space="preserve">SLG</t>
        </is>
      </c>
      <c r="E2277" s="0" t="inlineStr">
        <is>
          <t xml:space="preserve">real_estate</t>
        </is>
      </c>
      <c r="F2277" s="4">
        <v>76</v>
      </c>
    </row>
    <row r="2278">
      <c r="A2278" s="0" t="inlineStr">
        <is>
          <t xml:space="preserve">random_13_STZ</t>
        </is>
      </c>
      <c r="B2278" s="0" t="inlineStr">
        <is>
          <t xml:space="preserve">random_13</t>
        </is>
      </c>
      <c r="C2278" s="0" t="inlineStr">
        <is>
          <t xml:space="preserve">d20260923</t>
        </is>
      </c>
      <c r="D2278" s="0" t="inlineStr">
        <is>
          <t xml:space="preserve">STZ</t>
        </is>
      </c>
      <c r="E2278" s="0" t="inlineStr">
        <is>
          <t xml:space="preserve">consumer_defensive</t>
        </is>
      </c>
      <c r="F2278" s="4">
        <v>77</v>
      </c>
    </row>
    <row r="2279">
      <c r="A2279" s="0" t="inlineStr">
        <is>
          <t xml:space="preserve">random_13_CR</t>
        </is>
      </c>
      <c r="B2279" s="0" t="inlineStr">
        <is>
          <t xml:space="preserve">random_13</t>
        </is>
      </c>
      <c r="C2279" s="0" t="inlineStr">
        <is>
          <t xml:space="preserve">d20260923</t>
        </is>
      </c>
      <c r="D2279" s="0" t="inlineStr">
        <is>
          <t xml:space="preserve">CR</t>
        </is>
      </c>
      <c r="E2279" s="0" t="inlineStr">
        <is>
          <t xml:space="preserve">industrials</t>
        </is>
      </c>
      <c r="F2279" s="4">
        <v>78</v>
      </c>
    </row>
    <row r="2280">
      <c r="A2280" s="0" t="inlineStr">
        <is>
          <t xml:space="preserve">random_13_FERG</t>
        </is>
      </c>
      <c r="B2280" s="0" t="inlineStr">
        <is>
          <t xml:space="preserve">random_13</t>
        </is>
      </c>
      <c r="C2280" s="0" t="inlineStr">
        <is>
          <t xml:space="preserve">d20260923</t>
        </is>
      </c>
      <c r="D2280" s="0" t="inlineStr">
        <is>
          <t xml:space="preserve">FERG</t>
        </is>
      </c>
      <c r="E2280" s="0" t="inlineStr">
        <is>
          <t xml:space="preserve">industrials</t>
        </is>
      </c>
      <c r="F2280" s="4">
        <v>79</v>
      </c>
    </row>
    <row r="2281">
      <c r="A2281" s="0" t="inlineStr">
        <is>
          <t xml:space="preserve">random_13_Q</t>
        </is>
      </c>
      <c r="B2281" s="0" t="inlineStr">
        <is>
          <t xml:space="preserve">random_13</t>
        </is>
      </c>
      <c r="C2281" s="0" t="inlineStr">
        <is>
          <t xml:space="preserve">d20260923</t>
        </is>
      </c>
      <c r="D2281" s="0" t="inlineStr">
        <is>
          <t xml:space="preserve">Q</t>
        </is>
      </c>
      <c r="E2281" s="0" t="inlineStr">
        <is>
          <t xml:space="preserve">technology</t>
        </is>
      </c>
      <c r="F2281" s="4">
        <v>80</v>
      </c>
    </row>
    <row r="2282">
      <c r="A2282" s="0" t="inlineStr">
        <is>
          <t xml:space="preserve">random_13_SNX</t>
        </is>
      </c>
      <c r="B2282" s="0" t="inlineStr">
        <is>
          <t xml:space="preserve">random_13</t>
        </is>
      </c>
      <c r="C2282" s="0" t="inlineStr">
        <is>
          <t xml:space="preserve">d20260923</t>
        </is>
      </c>
      <c r="D2282" s="0" t="inlineStr">
        <is>
          <t xml:space="preserve">SNX</t>
        </is>
      </c>
      <c r="E2282" s="0" t="inlineStr">
        <is>
          <t xml:space="preserve">technology</t>
        </is>
      </c>
      <c r="F2282" s="4">
        <v>81</v>
      </c>
    </row>
    <row r="2283">
      <c r="A2283" s="0" t="inlineStr">
        <is>
          <t xml:space="preserve">random_13_OTIS</t>
        </is>
      </c>
      <c r="B2283" s="0" t="inlineStr">
        <is>
          <t xml:space="preserve">random_13</t>
        </is>
      </c>
      <c r="C2283" s="0" t="inlineStr">
        <is>
          <t xml:space="preserve">d20260923</t>
        </is>
      </c>
      <c r="D2283" s="0" t="inlineStr">
        <is>
          <t xml:space="preserve">OTIS</t>
        </is>
      </c>
      <c r="E2283" s="0" t="inlineStr">
        <is>
          <t xml:space="preserve">industrials</t>
        </is>
      </c>
      <c r="F2283" s="4">
        <v>82</v>
      </c>
    </row>
    <row r="2284">
      <c r="A2284" s="0" t="inlineStr">
        <is>
          <t xml:space="preserve">random_13_CWK</t>
        </is>
      </c>
      <c r="B2284" s="0" t="inlineStr">
        <is>
          <t xml:space="preserve">random_13</t>
        </is>
      </c>
      <c r="C2284" s="0" t="inlineStr">
        <is>
          <t xml:space="preserve">d20260923</t>
        </is>
      </c>
      <c r="D2284" s="0" t="inlineStr">
        <is>
          <t xml:space="preserve">CWK</t>
        </is>
      </c>
      <c r="E2284" s="0" t="inlineStr">
        <is>
          <t xml:space="preserve">real_estate</t>
        </is>
      </c>
      <c r="F2284" s="4">
        <v>83</v>
      </c>
    </row>
    <row r="2285">
      <c r="A2285" s="0" t="inlineStr">
        <is>
          <t xml:space="preserve">random_13_OUST</t>
        </is>
      </c>
      <c r="B2285" s="0" t="inlineStr">
        <is>
          <t xml:space="preserve">random_13</t>
        </is>
      </c>
      <c r="C2285" s="0" t="inlineStr">
        <is>
          <t xml:space="preserve">d20260923</t>
        </is>
      </c>
      <c r="D2285" s="0" t="inlineStr">
        <is>
          <t xml:space="preserve">OUST</t>
        </is>
      </c>
      <c r="E2285" s="0" t="inlineStr">
        <is>
          <t xml:space="preserve">technology</t>
        </is>
      </c>
      <c r="F2285" s="4">
        <v>84</v>
      </c>
    </row>
    <row r="2286">
      <c r="A2286" s="0" t="inlineStr">
        <is>
          <t xml:space="preserve">random_13_BBIO</t>
        </is>
      </c>
      <c r="B2286" s="0" t="inlineStr">
        <is>
          <t xml:space="preserve">random_13</t>
        </is>
      </c>
      <c r="C2286" s="0" t="inlineStr">
        <is>
          <t xml:space="preserve">d20260923</t>
        </is>
      </c>
      <c r="D2286" s="0" t="inlineStr">
        <is>
          <t xml:space="preserve">BBIO</t>
        </is>
      </c>
      <c r="E2286" s="0" t="inlineStr">
        <is>
          <t xml:space="preserve">healthcare</t>
        </is>
      </c>
      <c r="F2286" s="4">
        <v>85</v>
      </c>
    </row>
    <row r="2287">
      <c r="A2287" s="0" t="inlineStr">
        <is>
          <t xml:space="preserve">random_13_NMIH</t>
        </is>
      </c>
      <c r="B2287" s="0" t="inlineStr">
        <is>
          <t xml:space="preserve">random_13</t>
        </is>
      </c>
      <c r="C2287" s="0" t="inlineStr">
        <is>
          <t xml:space="preserve">d20260923</t>
        </is>
      </c>
      <c r="D2287" s="0" t="inlineStr">
        <is>
          <t xml:space="preserve">NMIH</t>
        </is>
      </c>
      <c r="E2287" s="0" t="inlineStr">
        <is>
          <t xml:space="preserve">financial_services</t>
        </is>
      </c>
      <c r="F2287" s="4">
        <v>86</v>
      </c>
    </row>
    <row r="2288">
      <c r="A2288" s="0" t="inlineStr">
        <is>
          <t xml:space="preserve">random_13_LPG</t>
        </is>
      </c>
      <c r="B2288" s="0" t="inlineStr">
        <is>
          <t xml:space="preserve">random_13</t>
        </is>
      </c>
      <c r="C2288" s="0" t="inlineStr">
        <is>
          <t xml:space="preserve">d20260923</t>
        </is>
      </c>
      <c r="D2288" s="0" t="inlineStr">
        <is>
          <t xml:space="preserve">LPG</t>
        </is>
      </c>
      <c r="E2288" s="0" t="inlineStr">
        <is>
          <t xml:space="preserve">energy</t>
        </is>
      </c>
      <c r="F2288" s="4">
        <v>87</v>
      </c>
    </row>
    <row r="2289">
      <c r="A2289" s="0" t="inlineStr">
        <is>
          <t xml:space="preserve">random_13_AMRX</t>
        </is>
      </c>
      <c r="B2289" s="0" t="inlineStr">
        <is>
          <t xml:space="preserve">random_13</t>
        </is>
      </c>
      <c r="C2289" s="0" t="inlineStr">
        <is>
          <t xml:space="preserve">d20260923</t>
        </is>
      </c>
      <c r="D2289" s="0" t="inlineStr">
        <is>
          <t xml:space="preserve">AMRX</t>
        </is>
      </c>
      <c r="E2289" s="0" t="inlineStr">
        <is>
          <t xml:space="preserve">healthcare</t>
        </is>
      </c>
      <c r="F2289" s="4">
        <v>88</v>
      </c>
    </row>
    <row r="2290">
      <c r="A2290" s="0" t="inlineStr">
        <is>
          <t xml:space="preserve">random_13_TROW</t>
        </is>
      </c>
      <c r="B2290" s="0" t="inlineStr">
        <is>
          <t xml:space="preserve">random_13</t>
        </is>
      </c>
      <c r="C2290" s="0" t="inlineStr">
        <is>
          <t xml:space="preserve">d20260923</t>
        </is>
      </c>
      <c r="D2290" s="0" t="inlineStr">
        <is>
          <t xml:space="preserve">TROW</t>
        </is>
      </c>
      <c r="E2290" s="0" t="inlineStr">
        <is>
          <t xml:space="preserve">financial_services</t>
        </is>
      </c>
      <c r="F2290" s="4">
        <v>89</v>
      </c>
    </row>
    <row r="2291">
      <c r="A2291" s="0" t="inlineStr">
        <is>
          <t xml:space="preserve">random_13_STEP</t>
        </is>
      </c>
      <c r="B2291" s="0" t="inlineStr">
        <is>
          <t xml:space="preserve">random_13</t>
        </is>
      </c>
      <c r="C2291" s="0" t="inlineStr">
        <is>
          <t xml:space="preserve">d20260923</t>
        </is>
      </c>
      <c r="D2291" s="0" t="inlineStr">
        <is>
          <t xml:space="preserve">STEP</t>
        </is>
      </c>
      <c r="E2291" s="0" t="inlineStr">
        <is>
          <t xml:space="preserve">financial_services</t>
        </is>
      </c>
      <c r="F2291" s="4">
        <v>90</v>
      </c>
    </row>
    <row r="2292">
      <c r="A2292" s="0" t="inlineStr">
        <is>
          <t xml:space="preserve">random_13_GPOR</t>
        </is>
      </c>
      <c r="B2292" s="0" t="inlineStr">
        <is>
          <t xml:space="preserve">random_13</t>
        </is>
      </c>
      <c r="C2292" s="0" t="inlineStr">
        <is>
          <t xml:space="preserve">d20260923</t>
        </is>
      </c>
      <c r="D2292" s="0" t="inlineStr">
        <is>
          <t xml:space="preserve">GPOR</t>
        </is>
      </c>
      <c r="E2292" s="0" t="inlineStr">
        <is>
          <t xml:space="preserve">energy</t>
        </is>
      </c>
      <c r="F2292" s="4">
        <v>91</v>
      </c>
    </row>
    <row r="2293">
      <c r="A2293" s="0" t="inlineStr">
        <is>
          <t xml:space="preserve">random_13_EHC</t>
        </is>
      </c>
      <c r="B2293" s="0" t="inlineStr">
        <is>
          <t xml:space="preserve">random_13</t>
        </is>
      </c>
      <c r="C2293" s="0" t="inlineStr">
        <is>
          <t xml:space="preserve">d20260923</t>
        </is>
      </c>
      <c r="D2293" s="0" t="inlineStr">
        <is>
          <t xml:space="preserve">EHC</t>
        </is>
      </c>
      <c r="E2293" s="0" t="inlineStr">
        <is>
          <t xml:space="preserve">healthcare</t>
        </is>
      </c>
      <c r="F2293" s="4">
        <v>92</v>
      </c>
    </row>
    <row r="2294">
      <c r="A2294" s="0" t="inlineStr">
        <is>
          <t xml:space="preserve">random_13_COST</t>
        </is>
      </c>
      <c r="B2294" s="0" t="inlineStr">
        <is>
          <t xml:space="preserve">random_13</t>
        </is>
      </c>
      <c r="C2294" s="0" t="inlineStr">
        <is>
          <t xml:space="preserve">d20260923</t>
        </is>
      </c>
      <c r="D2294" s="0" t="inlineStr">
        <is>
          <t xml:space="preserve">COST</t>
        </is>
      </c>
      <c r="E2294" s="0" t="inlineStr">
        <is>
          <t xml:space="preserve">consumer_defensive</t>
        </is>
      </c>
      <c r="F2294" s="4">
        <v>93</v>
      </c>
    </row>
    <row r="2295">
      <c r="A2295" s="0" t="inlineStr">
        <is>
          <t xml:space="preserve">random_13_QRVO</t>
        </is>
      </c>
      <c r="B2295" s="0" t="inlineStr">
        <is>
          <t xml:space="preserve">random_13</t>
        </is>
      </c>
      <c r="C2295" s="0" t="inlineStr">
        <is>
          <t xml:space="preserve">d20260923</t>
        </is>
      </c>
      <c r="D2295" s="0" t="inlineStr">
        <is>
          <t xml:space="preserve">QRVO</t>
        </is>
      </c>
      <c r="E2295" s="0" t="inlineStr">
        <is>
          <t xml:space="preserve">technology</t>
        </is>
      </c>
      <c r="F2295" s="4">
        <v>94</v>
      </c>
    </row>
    <row r="2296">
      <c r="A2296" s="0" t="inlineStr">
        <is>
          <t xml:space="preserve">random_13_MSFT</t>
        </is>
      </c>
      <c r="B2296" s="0" t="inlineStr">
        <is>
          <t xml:space="preserve">random_13</t>
        </is>
      </c>
      <c r="C2296" s="0" t="inlineStr">
        <is>
          <t xml:space="preserve">d20260923</t>
        </is>
      </c>
      <c r="D2296" s="0" t="inlineStr">
        <is>
          <t xml:space="preserve">MSFT</t>
        </is>
      </c>
      <c r="E2296" s="0" t="inlineStr">
        <is>
          <t xml:space="preserve">technology</t>
        </is>
      </c>
      <c r="F2296" s="4">
        <v>95</v>
      </c>
    </row>
    <row r="2297">
      <c r="A2297" s="0" t="inlineStr">
        <is>
          <t xml:space="preserve">random_13_VNO</t>
        </is>
      </c>
      <c r="B2297" s="0" t="inlineStr">
        <is>
          <t xml:space="preserve">random_13</t>
        </is>
      </c>
      <c r="C2297" s="0" t="inlineStr">
        <is>
          <t xml:space="preserve">d20260923</t>
        </is>
      </c>
      <c r="D2297" s="0" t="inlineStr">
        <is>
          <t xml:space="preserve">VNO</t>
        </is>
      </c>
      <c r="E2297" s="0" t="inlineStr">
        <is>
          <t xml:space="preserve">real_estate</t>
        </is>
      </c>
      <c r="F2297" s="4">
        <v>96</v>
      </c>
    </row>
    <row r="2298">
      <c r="A2298" s="0" t="inlineStr">
        <is>
          <t xml:space="preserve">random_13_ENS</t>
        </is>
      </c>
      <c r="B2298" s="0" t="inlineStr">
        <is>
          <t xml:space="preserve">random_13</t>
        </is>
      </c>
      <c r="C2298" s="0" t="inlineStr">
        <is>
          <t xml:space="preserve">d20260923</t>
        </is>
      </c>
      <c r="D2298" s="0" t="inlineStr">
        <is>
          <t xml:space="preserve">ENS</t>
        </is>
      </c>
      <c r="E2298" s="0" t="inlineStr">
        <is>
          <t xml:space="preserve">industrials</t>
        </is>
      </c>
      <c r="F2298" s="4">
        <v>97</v>
      </c>
    </row>
    <row r="2299">
      <c r="A2299" s="0" t="inlineStr">
        <is>
          <t xml:space="preserve">random_13_DBRG</t>
        </is>
      </c>
      <c r="B2299" s="0" t="inlineStr">
        <is>
          <t xml:space="preserve">random_13</t>
        </is>
      </c>
      <c r="C2299" s="0" t="inlineStr">
        <is>
          <t xml:space="preserve">d20260923</t>
        </is>
      </c>
      <c r="D2299" s="0" t="inlineStr">
        <is>
          <t xml:space="preserve">DBRG</t>
        </is>
      </c>
      <c r="E2299" s="0" t="inlineStr">
        <is>
          <t xml:space="preserve">financial_services</t>
        </is>
      </c>
      <c r="F2299" s="4">
        <v>98</v>
      </c>
    </row>
    <row r="2300">
      <c r="A2300" s="0" t="inlineStr">
        <is>
          <t xml:space="preserve">random_13_ALM</t>
        </is>
      </c>
      <c r="B2300" s="0" t="inlineStr">
        <is>
          <t xml:space="preserve">random_13</t>
        </is>
      </c>
      <c r="C2300" s="0" t="inlineStr">
        <is>
          <t xml:space="preserve">d20260923</t>
        </is>
      </c>
      <c r="D2300" s="0" t="inlineStr">
        <is>
          <t xml:space="preserve">ALM</t>
        </is>
      </c>
      <c r="E2300" s="0" t="inlineStr">
        <is>
          <t xml:space="preserve">basic_materials</t>
        </is>
      </c>
      <c r="F2300" s="4">
        <v>99</v>
      </c>
    </row>
    <row r="2301">
      <c r="A2301" s="0" t="inlineStr">
        <is>
          <t xml:space="preserve">random_13_ORI</t>
        </is>
      </c>
      <c r="B2301" s="0" t="inlineStr">
        <is>
          <t xml:space="preserve">random_13</t>
        </is>
      </c>
      <c r="C2301" s="0" t="inlineStr">
        <is>
          <t xml:space="preserve">d20260923</t>
        </is>
      </c>
      <c r="D2301" s="0" t="inlineStr">
        <is>
          <t xml:space="preserve">ORI</t>
        </is>
      </c>
      <c r="E2301" s="0" t="inlineStr">
        <is>
          <t xml:space="preserve">financial_services</t>
        </is>
      </c>
      <c r="F2301" s="4">
        <v>100</v>
      </c>
    </row>
    <row r="2302">
      <c r="A2302" s="0" t="inlineStr">
        <is>
          <t xml:space="preserve">random_14_RYAN</t>
        </is>
      </c>
      <c r="B2302" s="0" t="inlineStr">
        <is>
          <t xml:space="preserve">random_14</t>
        </is>
      </c>
      <c r="C2302" s="0" t="inlineStr">
        <is>
          <t xml:space="preserve">d20260923</t>
        </is>
      </c>
      <c r="D2302" s="0" t="inlineStr">
        <is>
          <t xml:space="preserve">RYAN</t>
        </is>
      </c>
      <c r="E2302" s="0" t="inlineStr">
        <is>
          <t xml:space="preserve">financial_services</t>
        </is>
      </c>
      <c r="F2302" s="4">
        <v>1</v>
      </c>
    </row>
    <row r="2303">
      <c r="A2303" s="0" t="inlineStr">
        <is>
          <t xml:space="preserve">random_14_CTOS</t>
        </is>
      </c>
      <c r="B2303" s="0" t="inlineStr">
        <is>
          <t xml:space="preserve">random_14</t>
        </is>
      </c>
      <c r="C2303" s="0" t="inlineStr">
        <is>
          <t xml:space="preserve">d20260923</t>
        </is>
      </c>
      <c r="D2303" s="0" t="inlineStr">
        <is>
          <t xml:space="preserve">CTOS</t>
        </is>
      </c>
      <c r="E2303" s="0" t="inlineStr">
        <is>
          <t xml:space="preserve">industrials</t>
        </is>
      </c>
      <c r="F2303" s="4">
        <v>2</v>
      </c>
    </row>
    <row r="2304">
      <c r="A2304" s="0" t="inlineStr">
        <is>
          <t xml:space="preserve">random_14_LUV</t>
        </is>
      </c>
      <c r="B2304" s="0" t="inlineStr">
        <is>
          <t xml:space="preserve">random_14</t>
        </is>
      </c>
      <c r="C2304" s="0" t="inlineStr">
        <is>
          <t xml:space="preserve">d20260923</t>
        </is>
      </c>
      <c r="D2304" s="0" t="inlineStr">
        <is>
          <t xml:space="preserve">LUV</t>
        </is>
      </c>
      <c r="E2304" s="0" t="inlineStr">
        <is>
          <t xml:space="preserve">industrials</t>
        </is>
      </c>
      <c r="F2304" s="4">
        <v>3</v>
      </c>
    </row>
    <row r="2305">
      <c r="A2305" s="0" t="inlineStr">
        <is>
          <t xml:space="preserve">random_14_CGNX</t>
        </is>
      </c>
      <c r="B2305" s="0" t="inlineStr">
        <is>
          <t xml:space="preserve">random_14</t>
        </is>
      </c>
      <c r="C2305" s="0" t="inlineStr">
        <is>
          <t xml:space="preserve">d20260923</t>
        </is>
      </c>
      <c r="D2305" s="0" t="inlineStr">
        <is>
          <t xml:space="preserve">CGNX</t>
        </is>
      </c>
      <c r="E2305" s="0" t="inlineStr">
        <is>
          <t xml:space="preserve">technology</t>
        </is>
      </c>
      <c r="F2305" s="4">
        <v>4</v>
      </c>
    </row>
    <row r="2306">
      <c r="A2306" s="0" t="inlineStr">
        <is>
          <t xml:space="preserve">random_14_ABNB</t>
        </is>
      </c>
      <c r="B2306" s="0" t="inlineStr">
        <is>
          <t xml:space="preserve">random_14</t>
        </is>
      </c>
      <c r="C2306" s="0" t="inlineStr">
        <is>
          <t xml:space="preserve">d20260923</t>
        </is>
      </c>
      <c r="D2306" s="0" t="inlineStr">
        <is>
          <t xml:space="preserve">ABNB</t>
        </is>
      </c>
      <c r="E2306" s="0" t="inlineStr">
        <is>
          <t xml:space="preserve">consumer_cyclical</t>
        </is>
      </c>
      <c r="F2306" s="4">
        <v>5</v>
      </c>
    </row>
    <row r="2307">
      <c r="A2307" s="0" t="inlineStr">
        <is>
          <t xml:space="preserve">random_14_KEYS</t>
        </is>
      </c>
      <c r="B2307" s="0" t="inlineStr">
        <is>
          <t xml:space="preserve">random_14</t>
        </is>
      </c>
      <c r="C2307" s="0" t="inlineStr">
        <is>
          <t xml:space="preserve">d20260923</t>
        </is>
      </c>
      <c r="D2307" s="0" t="inlineStr">
        <is>
          <t xml:space="preserve">KEYS</t>
        </is>
      </c>
      <c r="E2307" s="0" t="inlineStr">
        <is>
          <t xml:space="preserve">technology</t>
        </is>
      </c>
      <c r="F2307" s="4">
        <v>6</v>
      </c>
    </row>
    <row r="2308">
      <c r="A2308" s="0" t="inlineStr">
        <is>
          <t xml:space="preserve">random_14_GMED</t>
        </is>
      </c>
      <c r="B2308" s="0" t="inlineStr">
        <is>
          <t xml:space="preserve">random_14</t>
        </is>
      </c>
      <c r="C2308" s="0" t="inlineStr">
        <is>
          <t xml:space="preserve">d20260923</t>
        </is>
      </c>
      <c r="D2308" s="0" t="inlineStr">
        <is>
          <t xml:space="preserve">GMED</t>
        </is>
      </c>
      <c r="E2308" s="0" t="inlineStr">
        <is>
          <t xml:space="preserve">healthcare</t>
        </is>
      </c>
      <c r="F2308" s="4">
        <v>7</v>
      </c>
    </row>
    <row r="2309">
      <c r="A2309" s="0" t="inlineStr">
        <is>
          <t xml:space="preserve">random_14_CSX</t>
        </is>
      </c>
      <c r="B2309" s="0" t="inlineStr">
        <is>
          <t xml:space="preserve">random_14</t>
        </is>
      </c>
      <c r="C2309" s="0" t="inlineStr">
        <is>
          <t xml:space="preserve">d20260923</t>
        </is>
      </c>
      <c r="D2309" s="0" t="inlineStr">
        <is>
          <t xml:space="preserve">CSX</t>
        </is>
      </c>
      <c r="E2309" s="0" t="inlineStr">
        <is>
          <t xml:space="preserve">industrials</t>
        </is>
      </c>
      <c r="F2309" s="4">
        <v>8</v>
      </c>
    </row>
    <row r="2310">
      <c r="A2310" s="0" t="inlineStr">
        <is>
          <t xml:space="preserve">random_14_KLAC</t>
        </is>
      </c>
      <c r="B2310" s="0" t="inlineStr">
        <is>
          <t xml:space="preserve">random_14</t>
        </is>
      </c>
      <c r="C2310" s="0" t="inlineStr">
        <is>
          <t xml:space="preserve">d20260923</t>
        </is>
      </c>
      <c r="D2310" s="0" t="inlineStr">
        <is>
          <t xml:space="preserve">KLAC</t>
        </is>
      </c>
      <c r="E2310" s="0" t="inlineStr">
        <is>
          <t xml:space="preserve">technology</t>
        </is>
      </c>
      <c r="F2310" s="4">
        <v>9</v>
      </c>
    </row>
    <row r="2311">
      <c r="A2311" s="0" t="inlineStr">
        <is>
          <t xml:space="preserve">random_14_IRDM</t>
        </is>
      </c>
      <c r="B2311" s="0" t="inlineStr">
        <is>
          <t xml:space="preserve">random_14</t>
        </is>
      </c>
      <c r="C2311" s="0" t="inlineStr">
        <is>
          <t xml:space="preserve">d20260923</t>
        </is>
      </c>
      <c r="D2311" s="0" t="inlineStr">
        <is>
          <t xml:space="preserve">IRDM</t>
        </is>
      </c>
      <c r="E2311" s="0" t="inlineStr">
        <is>
          <t xml:space="preserve">communication_services</t>
        </is>
      </c>
      <c r="F2311" s="4">
        <v>10</v>
      </c>
    </row>
    <row r="2312">
      <c r="A2312" s="0" t="inlineStr">
        <is>
          <t xml:space="preserve">random_14_OSK</t>
        </is>
      </c>
      <c r="B2312" s="0" t="inlineStr">
        <is>
          <t xml:space="preserve">random_14</t>
        </is>
      </c>
      <c r="C2312" s="0" t="inlineStr">
        <is>
          <t xml:space="preserve">d20260923</t>
        </is>
      </c>
      <c r="D2312" s="0" t="inlineStr">
        <is>
          <t xml:space="preserve">OSK</t>
        </is>
      </c>
      <c r="E2312" s="0" t="inlineStr">
        <is>
          <t xml:space="preserve">industrials</t>
        </is>
      </c>
      <c r="F2312" s="4">
        <v>11</v>
      </c>
    </row>
    <row r="2313">
      <c r="A2313" s="0" t="inlineStr">
        <is>
          <t xml:space="preserve">random_14_DOX</t>
        </is>
      </c>
      <c r="B2313" s="0" t="inlineStr">
        <is>
          <t xml:space="preserve">random_14</t>
        </is>
      </c>
      <c r="C2313" s="0" t="inlineStr">
        <is>
          <t xml:space="preserve">d20260923</t>
        </is>
      </c>
      <c r="D2313" s="0" t="inlineStr">
        <is>
          <t xml:space="preserve">DOX</t>
        </is>
      </c>
      <c r="E2313" s="0" t="inlineStr">
        <is>
          <t xml:space="preserve">technology</t>
        </is>
      </c>
      <c r="F2313" s="4">
        <v>12</v>
      </c>
    </row>
    <row r="2314">
      <c r="A2314" s="0" t="inlineStr">
        <is>
          <t xml:space="preserve">random_14_JKHY</t>
        </is>
      </c>
      <c r="B2314" s="0" t="inlineStr">
        <is>
          <t xml:space="preserve">random_14</t>
        </is>
      </c>
      <c r="C2314" s="0" t="inlineStr">
        <is>
          <t xml:space="preserve">d20260923</t>
        </is>
      </c>
      <c r="D2314" s="0" t="inlineStr">
        <is>
          <t xml:space="preserve">JKHY</t>
        </is>
      </c>
      <c r="E2314" s="0" t="inlineStr">
        <is>
          <t xml:space="preserve">technology</t>
        </is>
      </c>
      <c r="F2314" s="4">
        <v>13</v>
      </c>
    </row>
    <row r="2315">
      <c r="A2315" s="0" t="inlineStr">
        <is>
          <t xml:space="preserve">random_14_ARWR</t>
        </is>
      </c>
      <c r="B2315" s="0" t="inlineStr">
        <is>
          <t xml:space="preserve">random_14</t>
        </is>
      </c>
      <c r="C2315" s="0" t="inlineStr">
        <is>
          <t xml:space="preserve">d20260923</t>
        </is>
      </c>
      <c r="D2315" s="0" t="inlineStr">
        <is>
          <t xml:space="preserve">ARWR</t>
        </is>
      </c>
      <c r="E2315" s="0" t="inlineStr">
        <is>
          <t xml:space="preserve">healthcare</t>
        </is>
      </c>
      <c r="F2315" s="4">
        <v>14</v>
      </c>
    </row>
    <row r="2316">
      <c r="A2316" s="0" t="inlineStr">
        <is>
          <t xml:space="preserve">random_14_THO</t>
        </is>
      </c>
      <c r="B2316" s="0" t="inlineStr">
        <is>
          <t xml:space="preserve">random_14</t>
        </is>
      </c>
      <c r="C2316" s="0" t="inlineStr">
        <is>
          <t xml:space="preserve">d20260923</t>
        </is>
      </c>
      <c r="D2316" s="0" t="inlineStr">
        <is>
          <t xml:space="preserve">THO</t>
        </is>
      </c>
      <c r="E2316" s="0" t="inlineStr">
        <is>
          <t xml:space="preserve">consumer_cyclical</t>
        </is>
      </c>
      <c r="F2316" s="4">
        <v>15</v>
      </c>
    </row>
    <row r="2317">
      <c r="A2317" s="0" t="inlineStr">
        <is>
          <t xml:space="preserve">random_14_IDA</t>
        </is>
      </c>
      <c r="B2317" s="0" t="inlineStr">
        <is>
          <t xml:space="preserve">random_14</t>
        </is>
      </c>
      <c r="C2317" s="0" t="inlineStr">
        <is>
          <t xml:space="preserve">d20260923</t>
        </is>
      </c>
      <c r="D2317" s="0" t="inlineStr">
        <is>
          <t xml:space="preserve">IDA</t>
        </is>
      </c>
      <c r="E2317" s="0" t="inlineStr">
        <is>
          <t xml:space="preserve">utilities</t>
        </is>
      </c>
      <c r="F2317" s="4">
        <v>16</v>
      </c>
    </row>
    <row r="2318">
      <c r="A2318" s="0" t="inlineStr">
        <is>
          <t xml:space="preserve">random_14_RIVN</t>
        </is>
      </c>
      <c r="B2318" s="0" t="inlineStr">
        <is>
          <t xml:space="preserve">random_14</t>
        </is>
      </c>
      <c r="C2318" s="0" t="inlineStr">
        <is>
          <t xml:space="preserve">d20260923</t>
        </is>
      </c>
      <c r="D2318" s="0" t="inlineStr">
        <is>
          <t xml:space="preserve">RIVN</t>
        </is>
      </c>
      <c r="E2318" s="0" t="inlineStr">
        <is>
          <t xml:space="preserve">consumer_cyclical</t>
        </is>
      </c>
      <c r="F2318" s="4">
        <v>17</v>
      </c>
    </row>
    <row r="2319">
      <c r="A2319" s="0" t="inlineStr">
        <is>
          <t xml:space="preserve">random_14_HPQ</t>
        </is>
      </c>
      <c r="B2319" s="0" t="inlineStr">
        <is>
          <t xml:space="preserve">random_14</t>
        </is>
      </c>
      <c r="C2319" s="0" t="inlineStr">
        <is>
          <t xml:space="preserve">d20260923</t>
        </is>
      </c>
      <c r="D2319" s="0" t="inlineStr">
        <is>
          <t xml:space="preserve">HPQ</t>
        </is>
      </c>
      <c r="E2319" s="0" t="inlineStr">
        <is>
          <t xml:space="preserve">technology</t>
        </is>
      </c>
      <c r="F2319" s="4">
        <v>18</v>
      </c>
    </row>
    <row r="2320">
      <c r="A2320" s="0" t="inlineStr">
        <is>
          <t xml:space="preserve">random_14_CZR</t>
        </is>
      </c>
      <c r="B2320" s="0" t="inlineStr">
        <is>
          <t xml:space="preserve">random_14</t>
        </is>
      </c>
      <c r="C2320" s="0" t="inlineStr">
        <is>
          <t xml:space="preserve">d20260923</t>
        </is>
      </c>
      <c r="D2320" s="0" t="inlineStr">
        <is>
          <t xml:space="preserve">CZR</t>
        </is>
      </c>
      <c r="E2320" s="0" t="inlineStr">
        <is>
          <t xml:space="preserve">consumer_cyclical</t>
        </is>
      </c>
      <c r="F2320" s="4">
        <v>19</v>
      </c>
    </row>
    <row r="2321">
      <c r="A2321" s="0" t="inlineStr">
        <is>
          <t xml:space="preserve">random_14_TXT</t>
        </is>
      </c>
      <c r="B2321" s="0" t="inlineStr">
        <is>
          <t xml:space="preserve">random_14</t>
        </is>
      </c>
      <c r="C2321" s="0" t="inlineStr">
        <is>
          <t xml:space="preserve">d20260923</t>
        </is>
      </c>
      <c r="D2321" s="0" t="inlineStr">
        <is>
          <t xml:space="preserve">TXT</t>
        </is>
      </c>
      <c r="E2321" s="0" t="inlineStr">
        <is>
          <t xml:space="preserve">industrials</t>
        </is>
      </c>
      <c r="F2321" s="4">
        <v>20</v>
      </c>
    </row>
    <row r="2322">
      <c r="A2322" s="0" t="inlineStr">
        <is>
          <t xml:space="preserve">random_14_KMB</t>
        </is>
      </c>
      <c r="B2322" s="0" t="inlineStr">
        <is>
          <t xml:space="preserve">random_14</t>
        </is>
      </c>
      <c r="C2322" s="0" t="inlineStr">
        <is>
          <t xml:space="preserve">d20260923</t>
        </is>
      </c>
      <c r="D2322" s="0" t="inlineStr">
        <is>
          <t xml:space="preserve">KMB</t>
        </is>
      </c>
      <c r="E2322" s="0" t="inlineStr">
        <is>
          <t xml:space="preserve">consumer_defensive</t>
        </is>
      </c>
      <c r="F2322" s="4">
        <v>21</v>
      </c>
    </row>
    <row r="2323">
      <c r="A2323" s="0" t="inlineStr">
        <is>
          <t xml:space="preserve">random_14_LAMR</t>
        </is>
      </c>
      <c r="B2323" s="0" t="inlineStr">
        <is>
          <t xml:space="preserve">random_14</t>
        </is>
      </c>
      <c r="C2323" s="0" t="inlineStr">
        <is>
          <t xml:space="preserve">d20260923</t>
        </is>
      </c>
      <c r="D2323" s="0" t="inlineStr">
        <is>
          <t xml:space="preserve">LAMR</t>
        </is>
      </c>
      <c r="E2323" s="0" t="inlineStr">
        <is>
          <t xml:space="preserve">real_estate</t>
        </is>
      </c>
      <c r="F2323" s="4">
        <v>22</v>
      </c>
    </row>
    <row r="2324">
      <c r="A2324" s="0" t="inlineStr">
        <is>
          <t xml:space="preserve">random_14_BRX</t>
        </is>
      </c>
      <c r="B2324" s="0" t="inlineStr">
        <is>
          <t xml:space="preserve">random_14</t>
        </is>
      </c>
      <c r="C2324" s="0" t="inlineStr">
        <is>
          <t xml:space="preserve">d20260923</t>
        </is>
      </c>
      <c r="D2324" s="0" t="inlineStr">
        <is>
          <t xml:space="preserve">BRX</t>
        </is>
      </c>
      <c r="E2324" s="0" t="inlineStr">
        <is>
          <t xml:space="preserve">real_estate</t>
        </is>
      </c>
      <c r="F2324" s="4">
        <v>23</v>
      </c>
    </row>
    <row r="2325">
      <c r="A2325" s="0" t="inlineStr">
        <is>
          <t xml:space="preserve">random_14_ET</t>
        </is>
      </c>
      <c r="B2325" s="0" t="inlineStr">
        <is>
          <t xml:space="preserve">random_14</t>
        </is>
      </c>
      <c r="C2325" s="0" t="inlineStr">
        <is>
          <t xml:space="preserve">d20260923</t>
        </is>
      </c>
      <c r="D2325" s="0" t="inlineStr">
        <is>
          <t xml:space="preserve">ET</t>
        </is>
      </c>
      <c r="E2325" s="0" t="inlineStr">
        <is>
          <t xml:space="preserve">energy</t>
        </is>
      </c>
      <c r="F2325" s="4">
        <v>24</v>
      </c>
    </row>
    <row r="2326">
      <c r="A2326" s="0" t="inlineStr">
        <is>
          <t xml:space="preserve">random_14_SRRK</t>
        </is>
      </c>
      <c r="B2326" s="0" t="inlineStr">
        <is>
          <t xml:space="preserve">random_14</t>
        </is>
      </c>
      <c r="C2326" s="0" t="inlineStr">
        <is>
          <t xml:space="preserve">d20260923</t>
        </is>
      </c>
      <c r="D2326" s="0" t="inlineStr">
        <is>
          <t xml:space="preserve">SRRK</t>
        </is>
      </c>
      <c r="E2326" s="0" t="inlineStr">
        <is>
          <t xml:space="preserve">healthcare</t>
        </is>
      </c>
      <c r="F2326" s="4">
        <v>25</v>
      </c>
    </row>
    <row r="2327">
      <c r="A2327" s="0" t="inlineStr">
        <is>
          <t xml:space="preserve">random_14_EXP</t>
        </is>
      </c>
      <c r="B2327" s="0" t="inlineStr">
        <is>
          <t xml:space="preserve">random_14</t>
        </is>
      </c>
      <c r="C2327" s="0" t="inlineStr">
        <is>
          <t xml:space="preserve">d20260923</t>
        </is>
      </c>
      <c r="D2327" s="0" t="inlineStr">
        <is>
          <t xml:space="preserve">EXP</t>
        </is>
      </c>
      <c r="E2327" s="0" t="inlineStr">
        <is>
          <t xml:space="preserve">basic_materials</t>
        </is>
      </c>
      <c r="F2327" s="4">
        <v>26</v>
      </c>
    </row>
    <row r="2328">
      <c r="A2328" s="0" t="inlineStr">
        <is>
          <t xml:space="preserve">random_14_NIQ</t>
        </is>
      </c>
      <c r="B2328" s="0" t="inlineStr">
        <is>
          <t xml:space="preserve">random_14</t>
        </is>
      </c>
      <c r="C2328" s="0" t="inlineStr">
        <is>
          <t xml:space="preserve">d20260923</t>
        </is>
      </c>
      <c r="D2328" s="0" t="inlineStr">
        <is>
          <t xml:space="preserve">NIQ</t>
        </is>
      </c>
      <c r="E2328" s="0" t="inlineStr">
        <is>
          <t xml:space="preserve">technology</t>
        </is>
      </c>
      <c r="F2328" s="4">
        <v>27</v>
      </c>
    </row>
    <row r="2329">
      <c r="A2329" s="0" t="inlineStr">
        <is>
          <t xml:space="preserve">random_14_GTX</t>
        </is>
      </c>
      <c r="B2329" s="0" t="inlineStr">
        <is>
          <t xml:space="preserve">random_14</t>
        </is>
      </c>
      <c r="C2329" s="0" t="inlineStr">
        <is>
          <t xml:space="preserve">d20260923</t>
        </is>
      </c>
      <c r="D2329" s="0" t="inlineStr">
        <is>
          <t xml:space="preserve">GTX</t>
        </is>
      </c>
      <c r="E2329" s="0" t="inlineStr">
        <is>
          <t xml:space="preserve">consumer_cyclical</t>
        </is>
      </c>
      <c r="F2329" s="4">
        <v>28</v>
      </c>
    </row>
    <row r="2330">
      <c r="A2330" s="0" t="inlineStr">
        <is>
          <t xml:space="preserve">random_14_VICI</t>
        </is>
      </c>
      <c r="B2330" s="0" t="inlineStr">
        <is>
          <t xml:space="preserve">random_14</t>
        </is>
      </c>
      <c r="C2330" s="0" t="inlineStr">
        <is>
          <t xml:space="preserve">d20260923</t>
        </is>
      </c>
      <c r="D2330" s="0" t="inlineStr">
        <is>
          <t xml:space="preserve">VICI</t>
        </is>
      </c>
      <c r="E2330" s="0" t="inlineStr">
        <is>
          <t xml:space="preserve">real_estate</t>
        </is>
      </c>
      <c r="F2330" s="4">
        <v>29</v>
      </c>
    </row>
    <row r="2331">
      <c r="A2331" s="0" t="inlineStr">
        <is>
          <t xml:space="preserve">random_14_RLAY</t>
        </is>
      </c>
      <c r="B2331" s="0" t="inlineStr">
        <is>
          <t xml:space="preserve">random_14</t>
        </is>
      </c>
      <c r="C2331" s="0" t="inlineStr">
        <is>
          <t xml:space="preserve">d20260923</t>
        </is>
      </c>
      <c r="D2331" s="0" t="inlineStr">
        <is>
          <t xml:space="preserve">RLAY</t>
        </is>
      </c>
      <c r="E2331" s="0" t="inlineStr">
        <is>
          <t xml:space="preserve">healthcare</t>
        </is>
      </c>
      <c r="F2331" s="4">
        <v>30</v>
      </c>
    </row>
    <row r="2332">
      <c r="A2332" s="0" t="inlineStr">
        <is>
          <t xml:space="preserve">random_14_ESS</t>
        </is>
      </c>
      <c r="B2332" s="0" t="inlineStr">
        <is>
          <t xml:space="preserve">random_14</t>
        </is>
      </c>
      <c r="C2332" s="0" t="inlineStr">
        <is>
          <t xml:space="preserve">d20260923</t>
        </is>
      </c>
      <c r="D2332" s="0" t="inlineStr">
        <is>
          <t xml:space="preserve">ESS</t>
        </is>
      </c>
      <c r="E2332" s="0" t="inlineStr">
        <is>
          <t xml:space="preserve">real_estate</t>
        </is>
      </c>
      <c r="F2332" s="4">
        <v>31</v>
      </c>
    </row>
    <row r="2333">
      <c r="A2333" s="0" t="inlineStr">
        <is>
          <t xml:space="preserve">random_14_BLLN</t>
        </is>
      </c>
      <c r="B2333" s="0" t="inlineStr">
        <is>
          <t xml:space="preserve">random_14</t>
        </is>
      </c>
      <c r="C2333" s="0" t="inlineStr">
        <is>
          <t xml:space="preserve">d20260923</t>
        </is>
      </c>
      <c r="D2333" s="0" t="inlineStr">
        <is>
          <t xml:space="preserve">BLLN</t>
        </is>
      </c>
      <c r="E2333" s="0" t="inlineStr">
        <is>
          <t xml:space="preserve">healthcare</t>
        </is>
      </c>
      <c r="F2333" s="4">
        <v>32</v>
      </c>
    </row>
    <row r="2334">
      <c r="A2334" s="0" t="inlineStr">
        <is>
          <t xml:space="preserve">random_14_TDS</t>
        </is>
      </c>
      <c r="B2334" s="0" t="inlineStr">
        <is>
          <t xml:space="preserve">random_14</t>
        </is>
      </c>
      <c r="C2334" s="0" t="inlineStr">
        <is>
          <t xml:space="preserve">d20260923</t>
        </is>
      </c>
      <c r="D2334" s="0" t="inlineStr">
        <is>
          <t xml:space="preserve">TDS</t>
        </is>
      </c>
      <c r="E2334" s="0" t="inlineStr">
        <is>
          <t xml:space="preserve">communication_services</t>
        </is>
      </c>
      <c r="F2334" s="4">
        <v>33</v>
      </c>
    </row>
    <row r="2335">
      <c r="A2335" s="0" t="inlineStr">
        <is>
          <t xml:space="preserve">random_14_EMN</t>
        </is>
      </c>
      <c r="B2335" s="0" t="inlineStr">
        <is>
          <t xml:space="preserve">random_14</t>
        </is>
      </c>
      <c r="C2335" s="0" t="inlineStr">
        <is>
          <t xml:space="preserve">d20260923</t>
        </is>
      </c>
      <c r="D2335" s="0" t="inlineStr">
        <is>
          <t xml:space="preserve">EMN</t>
        </is>
      </c>
      <c r="E2335" s="0" t="inlineStr">
        <is>
          <t xml:space="preserve">basic_materials</t>
        </is>
      </c>
      <c r="F2335" s="4">
        <v>34</v>
      </c>
    </row>
    <row r="2336">
      <c r="A2336" s="0" t="inlineStr">
        <is>
          <t xml:space="preserve">random_14_THG</t>
        </is>
      </c>
      <c r="B2336" s="0" t="inlineStr">
        <is>
          <t xml:space="preserve">random_14</t>
        </is>
      </c>
      <c r="C2336" s="0" t="inlineStr">
        <is>
          <t xml:space="preserve">d20260923</t>
        </is>
      </c>
      <c r="D2336" s="0" t="inlineStr">
        <is>
          <t xml:space="preserve">THG</t>
        </is>
      </c>
      <c r="E2336" s="0" t="inlineStr">
        <is>
          <t xml:space="preserve">financial_services</t>
        </is>
      </c>
      <c r="F2336" s="4">
        <v>35</v>
      </c>
    </row>
    <row r="2337">
      <c r="A2337" s="0" t="inlineStr">
        <is>
          <t xml:space="preserve">random_14_OZK</t>
        </is>
      </c>
      <c r="B2337" s="0" t="inlineStr">
        <is>
          <t xml:space="preserve">random_14</t>
        </is>
      </c>
      <c r="C2337" s="0" t="inlineStr">
        <is>
          <t xml:space="preserve">d20260923</t>
        </is>
      </c>
      <c r="D2337" s="0" t="inlineStr">
        <is>
          <t xml:space="preserve">OZK</t>
        </is>
      </c>
      <c r="E2337" s="0" t="inlineStr">
        <is>
          <t xml:space="preserve">financial_services</t>
        </is>
      </c>
      <c r="F2337" s="4">
        <v>36</v>
      </c>
    </row>
    <row r="2338">
      <c r="A2338" s="0" t="inlineStr">
        <is>
          <t xml:space="preserve">random_14_MAN</t>
        </is>
      </c>
      <c r="B2338" s="0" t="inlineStr">
        <is>
          <t xml:space="preserve">random_14</t>
        </is>
      </c>
      <c r="C2338" s="0" t="inlineStr">
        <is>
          <t xml:space="preserve">d20260923</t>
        </is>
      </c>
      <c r="D2338" s="0" t="inlineStr">
        <is>
          <t xml:space="preserve">MAN</t>
        </is>
      </c>
      <c r="E2338" s="0" t="inlineStr">
        <is>
          <t xml:space="preserve">industrials</t>
        </is>
      </c>
      <c r="F2338" s="4">
        <v>37</v>
      </c>
    </row>
    <row r="2339">
      <c r="A2339" s="0" t="inlineStr">
        <is>
          <t xml:space="preserve">random_14_HIG</t>
        </is>
      </c>
      <c r="B2339" s="0" t="inlineStr">
        <is>
          <t xml:space="preserve">random_14</t>
        </is>
      </c>
      <c r="C2339" s="0" t="inlineStr">
        <is>
          <t xml:space="preserve">d20260923</t>
        </is>
      </c>
      <c r="D2339" s="0" t="inlineStr">
        <is>
          <t xml:space="preserve">HIG</t>
        </is>
      </c>
      <c r="E2339" s="0" t="inlineStr">
        <is>
          <t xml:space="preserve">financial_services</t>
        </is>
      </c>
      <c r="F2339" s="4">
        <v>38</v>
      </c>
    </row>
    <row r="2340">
      <c r="A2340" s="0" t="inlineStr">
        <is>
          <t xml:space="preserve">random_14_SHOO</t>
        </is>
      </c>
      <c r="B2340" s="0" t="inlineStr">
        <is>
          <t xml:space="preserve">random_14</t>
        </is>
      </c>
      <c r="C2340" s="0" t="inlineStr">
        <is>
          <t xml:space="preserve">d20260923</t>
        </is>
      </c>
      <c r="D2340" s="0" t="inlineStr">
        <is>
          <t xml:space="preserve">SHOO</t>
        </is>
      </c>
      <c r="E2340" s="0" t="inlineStr">
        <is>
          <t xml:space="preserve">consumer_cyclical</t>
        </is>
      </c>
      <c r="F2340" s="4">
        <v>39</v>
      </c>
    </row>
    <row r="2341">
      <c r="A2341" s="0" t="inlineStr">
        <is>
          <t xml:space="preserve">random_14_ZTS</t>
        </is>
      </c>
      <c r="B2341" s="0" t="inlineStr">
        <is>
          <t xml:space="preserve">random_14</t>
        </is>
      </c>
      <c r="C2341" s="0" t="inlineStr">
        <is>
          <t xml:space="preserve">d20260923</t>
        </is>
      </c>
      <c r="D2341" s="0" t="inlineStr">
        <is>
          <t xml:space="preserve">ZTS</t>
        </is>
      </c>
      <c r="E2341" s="0" t="inlineStr">
        <is>
          <t xml:space="preserve">healthcare</t>
        </is>
      </c>
      <c r="F2341" s="4">
        <v>40</v>
      </c>
    </row>
    <row r="2342">
      <c r="A2342" s="0" t="inlineStr">
        <is>
          <t xml:space="preserve">random_14_SLGN</t>
        </is>
      </c>
      <c r="B2342" s="0" t="inlineStr">
        <is>
          <t xml:space="preserve">random_14</t>
        </is>
      </c>
      <c r="C2342" s="0" t="inlineStr">
        <is>
          <t xml:space="preserve">d20260923</t>
        </is>
      </c>
      <c r="D2342" s="0" t="inlineStr">
        <is>
          <t xml:space="preserve">SLGN</t>
        </is>
      </c>
      <c r="E2342" s="0" t="inlineStr">
        <is>
          <t xml:space="preserve">consumer_cyclical</t>
        </is>
      </c>
      <c r="F2342" s="4">
        <v>41</v>
      </c>
    </row>
    <row r="2343">
      <c r="A2343" s="0" t="inlineStr">
        <is>
          <t xml:space="preserve">random_14_EBC</t>
        </is>
      </c>
      <c r="B2343" s="0" t="inlineStr">
        <is>
          <t xml:space="preserve">random_14</t>
        </is>
      </c>
      <c r="C2343" s="0" t="inlineStr">
        <is>
          <t xml:space="preserve">d20260923</t>
        </is>
      </c>
      <c r="D2343" s="0" t="inlineStr">
        <is>
          <t xml:space="preserve">EBC</t>
        </is>
      </c>
      <c r="E2343" s="0" t="inlineStr">
        <is>
          <t xml:space="preserve">financial_services</t>
        </is>
      </c>
      <c r="F2343" s="4">
        <v>42</v>
      </c>
    </row>
    <row r="2344">
      <c r="A2344" s="0" t="inlineStr">
        <is>
          <t xml:space="preserve">random_14_ADP</t>
        </is>
      </c>
      <c r="B2344" s="0" t="inlineStr">
        <is>
          <t xml:space="preserve">random_14</t>
        </is>
      </c>
      <c r="C2344" s="0" t="inlineStr">
        <is>
          <t xml:space="preserve">d20260923</t>
        </is>
      </c>
      <c r="D2344" s="0" t="inlineStr">
        <is>
          <t xml:space="preserve">ADP</t>
        </is>
      </c>
      <c r="E2344" s="0" t="inlineStr">
        <is>
          <t xml:space="preserve">technology</t>
        </is>
      </c>
      <c r="F2344" s="4">
        <v>43</v>
      </c>
    </row>
    <row r="2345">
      <c r="A2345" s="0" t="inlineStr">
        <is>
          <t xml:space="preserve">random_14_DNTH</t>
        </is>
      </c>
      <c r="B2345" s="0" t="inlineStr">
        <is>
          <t xml:space="preserve">random_14</t>
        </is>
      </c>
      <c r="C2345" s="0" t="inlineStr">
        <is>
          <t xml:space="preserve">d20260923</t>
        </is>
      </c>
      <c r="D2345" s="0" t="inlineStr">
        <is>
          <t xml:space="preserve">DNTH</t>
        </is>
      </c>
      <c r="E2345" s="0" t="inlineStr">
        <is>
          <t xml:space="preserve">healthcare</t>
        </is>
      </c>
      <c r="F2345" s="4">
        <v>44</v>
      </c>
    </row>
    <row r="2346">
      <c r="A2346" s="0" t="inlineStr">
        <is>
          <t xml:space="preserve">random_14_PCOR</t>
        </is>
      </c>
      <c r="B2346" s="0" t="inlineStr">
        <is>
          <t xml:space="preserve">random_14</t>
        </is>
      </c>
      <c r="C2346" s="0" t="inlineStr">
        <is>
          <t xml:space="preserve">d20260923</t>
        </is>
      </c>
      <c r="D2346" s="0" t="inlineStr">
        <is>
          <t xml:space="preserve">PCOR</t>
        </is>
      </c>
      <c r="E2346" s="0" t="inlineStr">
        <is>
          <t xml:space="preserve">technology</t>
        </is>
      </c>
      <c r="F2346" s="4">
        <v>45</v>
      </c>
    </row>
    <row r="2347">
      <c r="A2347" s="0" t="inlineStr">
        <is>
          <t xml:space="preserve">random_14_OGS</t>
        </is>
      </c>
      <c r="B2347" s="0" t="inlineStr">
        <is>
          <t xml:space="preserve">random_14</t>
        </is>
      </c>
      <c r="C2347" s="0" t="inlineStr">
        <is>
          <t xml:space="preserve">d20260923</t>
        </is>
      </c>
      <c r="D2347" s="0" t="inlineStr">
        <is>
          <t xml:space="preserve">OGS</t>
        </is>
      </c>
      <c r="E2347" s="0" t="inlineStr">
        <is>
          <t xml:space="preserve">utilities</t>
        </is>
      </c>
      <c r="F2347" s="4">
        <v>46</v>
      </c>
    </row>
    <row r="2348">
      <c r="A2348" s="0" t="inlineStr">
        <is>
          <t xml:space="preserve">random_14_ACHR</t>
        </is>
      </c>
      <c r="B2348" s="0" t="inlineStr">
        <is>
          <t xml:space="preserve">random_14</t>
        </is>
      </c>
      <c r="C2348" s="0" t="inlineStr">
        <is>
          <t xml:space="preserve">d20260923</t>
        </is>
      </c>
      <c r="D2348" s="0" t="inlineStr">
        <is>
          <t xml:space="preserve">ACHR</t>
        </is>
      </c>
      <c r="E2348" s="0" t="inlineStr">
        <is>
          <t xml:space="preserve">industrials</t>
        </is>
      </c>
      <c r="F2348" s="4">
        <v>47</v>
      </c>
    </row>
    <row r="2349">
      <c r="A2349" s="0" t="inlineStr">
        <is>
          <t xml:space="preserve">random_14_TRVI</t>
        </is>
      </c>
      <c r="B2349" s="0" t="inlineStr">
        <is>
          <t xml:space="preserve">random_14</t>
        </is>
      </c>
      <c r="C2349" s="0" t="inlineStr">
        <is>
          <t xml:space="preserve">d20260923</t>
        </is>
      </c>
      <c r="D2349" s="0" t="inlineStr">
        <is>
          <t xml:space="preserve">TRVI</t>
        </is>
      </c>
      <c r="E2349" s="0" t="inlineStr">
        <is>
          <t xml:space="preserve">healthcare</t>
        </is>
      </c>
      <c r="F2349" s="4">
        <v>48</v>
      </c>
    </row>
    <row r="2350">
      <c r="A2350" s="0" t="inlineStr">
        <is>
          <t xml:space="preserve">random_14_SOLS</t>
        </is>
      </c>
      <c r="B2350" s="0" t="inlineStr">
        <is>
          <t xml:space="preserve">random_14</t>
        </is>
      </c>
      <c r="C2350" s="0" t="inlineStr">
        <is>
          <t xml:space="preserve">d20260923</t>
        </is>
      </c>
      <c r="D2350" s="0" t="inlineStr">
        <is>
          <t xml:space="preserve">SOLS</t>
        </is>
      </c>
      <c r="E2350" s="0" t="inlineStr">
        <is>
          <t xml:space="preserve">basic_materials</t>
        </is>
      </c>
      <c r="F2350" s="4">
        <v>49</v>
      </c>
    </row>
    <row r="2351">
      <c r="A2351" s="0" t="inlineStr">
        <is>
          <t xml:space="preserve">random_14_MZTI</t>
        </is>
      </c>
      <c r="B2351" s="0" t="inlineStr">
        <is>
          <t xml:space="preserve">random_14</t>
        </is>
      </c>
      <c r="C2351" s="0" t="inlineStr">
        <is>
          <t xml:space="preserve">d20260923</t>
        </is>
      </c>
      <c r="D2351" s="0" t="inlineStr">
        <is>
          <t xml:space="preserve">MZTI</t>
        </is>
      </c>
      <c r="E2351" s="0" t="inlineStr">
        <is>
          <t xml:space="preserve">consumer_defensive</t>
        </is>
      </c>
      <c r="F2351" s="4">
        <v>50</v>
      </c>
    </row>
    <row r="2352">
      <c r="A2352" s="0" t="inlineStr">
        <is>
          <t xml:space="preserve">random_14_BXSL</t>
        </is>
      </c>
      <c r="B2352" s="0" t="inlineStr">
        <is>
          <t xml:space="preserve">random_14</t>
        </is>
      </c>
      <c r="C2352" s="0" t="inlineStr">
        <is>
          <t xml:space="preserve">d20260923</t>
        </is>
      </c>
      <c r="D2352" s="0" t="inlineStr">
        <is>
          <t xml:space="preserve">BXSL</t>
        </is>
      </c>
      <c r="E2352" s="0" t="inlineStr">
        <is>
          <t xml:space="preserve">financial_services</t>
        </is>
      </c>
      <c r="F2352" s="4">
        <v>51</v>
      </c>
    </row>
    <row r="2353">
      <c r="A2353" s="0" t="inlineStr">
        <is>
          <t xml:space="preserve">random_14_ONDS</t>
        </is>
      </c>
      <c r="B2353" s="0" t="inlineStr">
        <is>
          <t xml:space="preserve">random_14</t>
        </is>
      </c>
      <c r="C2353" s="0" t="inlineStr">
        <is>
          <t xml:space="preserve">d20260923</t>
        </is>
      </c>
      <c r="D2353" s="0" t="inlineStr">
        <is>
          <t xml:space="preserve">ONDS</t>
        </is>
      </c>
      <c r="E2353" s="0" t="inlineStr">
        <is>
          <t xml:space="preserve">technology</t>
        </is>
      </c>
      <c r="F2353" s="4">
        <v>52</v>
      </c>
    </row>
    <row r="2354">
      <c r="A2354" s="0" t="inlineStr">
        <is>
          <t xml:space="preserve">random_14_EVR</t>
        </is>
      </c>
      <c r="B2354" s="0" t="inlineStr">
        <is>
          <t xml:space="preserve">random_14</t>
        </is>
      </c>
      <c r="C2354" s="0" t="inlineStr">
        <is>
          <t xml:space="preserve">d20260923</t>
        </is>
      </c>
      <c r="D2354" s="0" t="inlineStr">
        <is>
          <t xml:space="preserve">EVR</t>
        </is>
      </c>
      <c r="E2354" s="0" t="inlineStr">
        <is>
          <t xml:space="preserve">financial_services</t>
        </is>
      </c>
      <c r="F2354" s="4">
        <v>53</v>
      </c>
    </row>
    <row r="2355">
      <c r="A2355" s="0" t="inlineStr">
        <is>
          <t xml:space="preserve">random_14_AOS</t>
        </is>
      </c>
      <c r="B2355" s="0" t="inlineStr">
        <is>
          <t xml:space="preserve">random_14</t>
        </is>
      </c>
      <c r="C2355" s="0" t="inlineStr">
        <is>
          <t xml:space="preserve">d20260923</t>
        </is>
      </c>
      <c r="D2355" s="0" t="inlineStr">
        <is>
          <t xml:space="preserve">AOS</t>
        </is>
      </c>
      <c r="E2355" s="0" t="inlineStr">
        <is>
          <t xml:space="preserve">industrials</t>
        </is>
      </c>
      <c r="F2355" s="4">
        <v>54</v>
      </c>
    </row>
    <row r="2356">
      <c r="A2356" s="0" t="inlineStr">
        <is>
          <t xml:space="preserve">random_14_GBDC</t>
        </is>
      </c>
      <c r="B2356" s="0" t="inlineStr">
        <is>
          <t xml:space="preserve">random_14</t>
        </is>
      </c>
      <c r="C2356" s="0" t="inlineStr">
        <is>
          <t xml:space="preserve">d20260923</t>
        </is>
      </c>
      <c r="D2356" s="0" t="inlineStr">
        <is>
          <t xml:space="preserve">GBDC</t>
        </is>
      </c>
      <c r="E2356" s="0" t="inlineStr">
        <is>
          <t xml:space="preserve">financial_services</t>
        </is>
      </c>
      <c r="F2356" s="4">
        <v>55</v>
      </c>
    </row>
    <row r="2357">
      <c r="A2357" s="0" t="inlineStr">
        <is>
          <t xml:space="preserve">random_14_TRV</t>
        </is>
      </c>
      <c r="B2357" s="0" t="inlineStr">
        <is>
          <t xml:space="preserve">random_14</t>
        </is>
      </c>
      <c r="C2357" s="0" t="inlineStr">
        <is>
          <t xml:space="preserve">d20260923</t>
        </is>
      </c>
      <c r="D2357" s="0" t="inlineStr">
        <is>
          <t xml:space="preserve">TRV</t>
        </is>
      </c>
      <c r="E2357" s="0" t="inlineStr">
        <is>
          <t xml:space="preserve">financial_services</t>
        </is>
      </c>
      <c r="F2357" s="4">
        <v>56</v>
      </c>
    </row>
    <row r="2358">
      <c r="A2358" s="0" t="inlineStr">
        <is>
          <t xml:space="preserve">random_14_PFSI</t>
        </is>
      </c>
      <c r="B2358" s="0" t="inlineStr">
        <is>
          <t xml:space="preserve">random_14</t>
        </is>
      </c>
      <c r="C2358" s="0" t="inlineStr">
        <is>
          <t xml:space="preserve">d20260923</t>
        </is>
      </c>
      <c r="D2358" s="0" t="inlineStr">
        <is>
          <t xml:space="preserve">PFSI</t>
        </is>
      </c>
      <c r="E2358" s="0" t="inlineStr">
        <is>
          <t xml:space="preserve">financial_services</t>
        </is>
      </c>
      <c r="F2358" s="4">
        <v>57</v>
      </c>
    </row>
    <row r="2359">
      <c r="A2359" s="0" t="inlineStr">
        <is>
          <t xml:space="preserve">random_14_PPLI</t>
        </is>
      </c>
      <c r="B2359" s="0" t="inlineStr">
        <is>
          <t xml:space="preserve">random_14</t>
        </is>
      </c>
      <c r="C2359" s="0" t="inlineStr">
        <is>
          <t xml:space="preserve">d20260923</t>
        </is>
      </c>
      <c r="D2359" s="0" t="inlineStr">
        <is>
          <t xml:space="preserve">PPLI</t>
        </is>
      </c>
      <c r="E2359" s="0" t="inlineStr">
        <is>
          <t xml:space="preserve">communication_services</t>
        </is>
      </c>
      <c r="F2359" s="4">
        <v>58</v>
      </c>
    </row>
    <row r="2360">
      <c r="A2360" s="0" t="inlineStr">
        <is>
          <t xml:space="preserve">random_14_AXON</t>
        </is>
      </c>
      <c r="B2360" s="0" t="inlineStr">
        <is>
          <t xml:space="preserve">random_14</t>
        </is>
      </c>
      <c r="C2360" s="0" t="inlineStr">
        <is>
          <t xml:space="preserve">d20260923</t>
        </is>
      </c>
      <c r="D2360" s="0" t="inlineStr">
        <is>
          <t xml:space="preserve">AXON</t>
        </is>
      </c>
      <c r="E2360" s="0" t="inlineStr">
        <is>
          <t xml:space="preserve">industrials</t>
        </is>
      </c>
      <c r="F2360" s="4">
        <v>59</v>
      </c>
    </row>
    <row r="2361">
      <c r="A2361" s="0" t="inlineStr">
        <is>
          <t xml:space="preserve">random_14_PECO</t>
        </is>
      </c>
      <c r="B2361" s="0" t="inlineStr">
        <is>
          <t xml:space="preserve">random_14</t>
        </is>
      </c>
      <c r="C2361" s="0" t="inlineStr">
        <is>
          <t xml:space="preserve">d20260923</t>
        </is>
      </c>
      <c r="D2361" s="0" t="inlineStr">
        <is>
          <t xml:space="preserve">PECO</t>
        </is>
      </c>
      <c r="E2361" s="0" t="inlineStr">
        <is>
          <t xml:space="preserve">real_estate</t>
        </is>
      </c>
      <c r="F2361" s="4">
        <v>60</v>
      </c>
    </row>
    <row r="2362">
      <c r="A2362" s="0" t="inlineStr">
        <is>
          <t xml:space="preserve">random_14_CHEF</t>
        </is>
      </c>
      <c r="B2362" s="0" t="inlineStr">
        <is>
          <t xml:space="preserve">random_14</t>
        </is>
      </c>
      <c r="C2362" s="0" t="inlineStr">
        <is>
          <t xml:space="preserve">d20260923</t>
        </is>
      </c>
      <c r="D2362" s="0" t="inlineStr">
        <is>
          <t xml:space="preserve">CHEF</t>
        </is>
      </c>
      <c r="E2362" s="0" t="inlineStr">
        <is>
          <t xml:space="preserve">consumer_defensive</t>
        </is>
      </c>
      <c r="F2362" s="4">
        <v>61</v>
      </c>
    </row>
    <row r="2363">
      <c r="A2363" s="0" t="inlineStr">
        <is>
          <t xml:space="preserve">random_14_GLW</t>
        </is>
      </c>
      <c r="B2363" s="0" t="inlineStr">
        <is>
          <t xml:space="preserve">random_14</t>
        </is>
      </c>
      <c r="C2363" s="0" t="inlineStr">
        <is>
          <t xml:space="preserve">d20260923</t>
        </is>
      </c>
      <c r="D2363" s="0" t="inlineStr">
        <is>
          <t xml:space="preserve">GLW</t>
        </is>
      </c>
      <c r="E2363" s="0" t="inlineStr">
        <is>
          <t xml:space="preserve">technology</t>
        </is>
      </c>
      <c r="F2363" s="4">
        <v>62</v>
      </c>
    </row>
    <row r="2364">
      <c r="A2364" s="0" t="inlineStr">
        <is>
          <t xml:space="preserve">random_14_NWSA</t>
        </is>
      </c>
      <c r="B2364" s="0" t="inlineStr">
        <is>
          <t xml:space="preserve">random_14</t>
        </is>
      </c>
      <c r="C2364" s="0" t="inlineStr">
        <is>
          <t xml:space="preserve">d20260923</t>
        </is>
      </c>
      <c r="D2364" s="0" t="inlineStr">
        <is>
          <t xml:space="preserve">NWSA</t>
        </is>
      </c>
      <c r="E2364" s="0" t="inlineStr">
        <is>
          <t xml:space="preserve">communication_services</t>
        </is>
      </c>
      <c r="F2364" s="4">
        <v>63</v>
      </c>
    </row>
    <row r="2365">
      <c r="A2365" s="0" t="inlineStr">
        <is>
          <t xml:space="preserve">random_14_IONS</t>
        </is>
      </c>
      <c r="B2365" s="0" t="inlineStr">
        <is>
          <t xml:space="preserve">random_14</t>
        </is>
      </c>
      <c r="C2365" s="0" t="inlineStr">
        <is>
          <t xml:space="preserve">d20260923</t>
        </is>
      </c>
      <c r="D2365" s="0" t="inlineStr">
        <is>
          <t xml:space="preserve">IONS</t>
        </is>
      </c>
      <c r="E2365" s="0" t="inlineStr">
        <is>
          <t xml:space="preserve">healthcare</t>
        </is>
      </c>
      <c r="F2365" s="4">
        <v>64</v>
      </c>
    </row>
    <row r="2366">
      <c r="A2366" s="0" t="inlineStr">
        <is>
          <t xml:space="preserve">random_14_MAIN</t>
        </is>
      </c>
      <c r="B2366" s="0" t="inlineStr">
        <is>
          <t xml:space="preserve">random_14</t>
        </is>
      </c>
      <c r="C2366" s="0" t="inlineStr">
        <is>
          <t xml:space="preserve">d20260923</t>
        </is>
      </c>
      <c r="D2366" s="0" t="inlineStr">
        <is>
          <t xml:space="preserve">MAIN</t>
        </is>
      </c>
      <c r="E2366" s="0" t="inlineStr">
        <is>
          <t xml:space="preserve">financial_services</t>
        </is>
      </c>
      <c r="F2366" s="4">
        <v>65</v>
      </c>
    </row>
    <row r="2367">
      <c r="A2367" s="0" t="inlineStr">
        <is>
          <t xml:space="preserve">random_14_HAL</t>
        </is>
      </c>
      <c r="B2367" s="0" t="inlineStr">
        <is>
          <t xml:space="preserve">random_14</t>
        </is>
      </c>
      <c r="C2367" s="0" t="inlineStr">
        <is>
          <t xml:space="preserve">d20260923</t>
        </is>
      </c>
      <c r="D2367" s="0" t="inlineStr">
        <is>
          <t xml:space="preserve">HAL</t>
        </is>
      </c>
      <c r="E2367" s="0" t="inlineStr">
        <is>
          <t xml:space="preserve">energy</t>
        </is>
      </c>
      <c r="F2367" s="4">
        <v>66</v>
      </c>
    </row>
    <row r="2368">
      <c r="A2368" s="0" t="inlineStr">
        <is>
          <t xml:space="preserve">random_14_CNR</t>
        </is>
      </c>
      <c r="B2368" s="0" t="inlineStr">
        <is>
          <t xml:space="preserve">random_14</t>
        </is>
      </c>
      <c r="C2368" s="0" t="inlineStr">
        <is>
          <t xml:space="preserve">d20260923</t>
        </is>
      </c>
      <c r="D2368" s="0" t="inlineStr">
        <is>
          <t xml:space="preserve">CNR</t>
        </is>
      </c>
      <c r="E2368" s="0" t="inlineStr">
        <is>
          <t xml:space="preserve">energy</t>
        </is>
      </c>
      <c r="F2368" s="4">
        <v>67</v>
      </c>
    </row>
    <row r="2369">
      <c r="A2369" s="0" t="inlineStr">
        <is>
          <t xml:space="preserve">random_14_JMKE</t>
        </is>
      </c>
      <c r="B2369" s="0" t="inlineStr">
        <is>
          <t xml:space="preserve">random_14</t>
        </is>
      </c>
      <c r="C2369" s="0" t="inlineStr">
        <is>
          <t xml:space="preserve">d20260923</t>
        </is>
      </c>
      <c r="D2369" s="0" t="inlineStr">
        <is>
          <t xml:space="preserve">JMKE</t>
        </is>
      </c>
      <c r="E2369" s="0" t="inlineStr">
        <is>
          <t xml:space="preserve">consumer_cyclical</t>
        </is>
      </c>
      <c r="F2369" s="4">
        <v>68</v>
      </c>
    </row>
    <row r="2370">
      <c r="A2370" s="0" t="inlineStr">
        <is>
          <t xml:space="preserve">random_14_AVAH</t>
        </is>
      </c>
      <c r="B2370" s="0" t="inlineStr">
        <is>
          <t xml:space="preserve">random_14</t>
        </is>
      </c>
      <c r="C2370" s="0" t="inlineStr">
        <is>
          <t xml:space="preserve">d20260923</t>
        </is>
      </c>
      <c r="D2370" s="0" t="inlineStr">
        <is>
          <t xml:space="preserve">AVAH</t>
        </is>
      </c>
      <c r="E2370" s="0" t="inlineStr">
        <is>
          <t xml:space="preserve">healthcare</t>
        </is>
      </c>
      <c r="F2370" s="4">
        <v>69</v>
      </c>
    </row>
    <row r="2371">
      <c r="A2371" s="0" t="inlineStr">
        <is>
          <t xml:space="preserve">random_14_RJF</t>
        </is>
      </c>
      <c r="B2371" s="0" t="inlineStr">
        <is>
          <t xml:space="preserve">random_14</t>
        </is>
      </c>
      <c r="C2371" s="0" t="inlineStr">
        <is>
          <t xml:space="preserve">d20260923</t>
        </is>
      </c>
      <c r="D2371" s="0" t="inlineStr">
        <is>
          <t xml:space="preserve">RJF</t>
        </is>
      </c>
      <c r="E2371" s="0" t="inlineStr">
        <is>
          <t xml:space="preserve">financial_services</t>
        </is>
      </c>
      <c r="F2371" s="4">
        <v>70</v>
      </c>
    </row>
    <row r="2372">
      <c r="A2372" s="0" t="inlineStr">
        <is>
          <t xml:space="preserve">random_14_MRP</t>
        </is>
      </c>
      <c r="B2372" s="0" t="inlineStr">
        <is>
          <t xml:space="preserve">random_14</t>
        </is>
      </c>
      <c r="C2372" s="0" t="inlineStr">
        <is>
          <t xml:space="preserve">d20260923</t>
        </is>
      </c>
      <c r="D2372" s="0" t="inlineStr">
        <is>
          <t xml:space="preserve">MRP</t>
        </is>
      </c>
      <c r="E2372" s="0" t="inlineStr">
        <is>
          <t xml:space="preserve">real_estate</t>
        </is>
      </c>
      <c r="F2372" s="4">
        <v>71</v>
      </c>
    </row>
    <row r="2373">
      <c r="A2373" s="0" t="inlineStr">
        <is>
          <t xml:space="preserve">random_14_NEM</t>
        </is>
      </c>
      <c r="B2373" s="0" t="inlineStr">
        <is>
          <t xml:space="preserve">random_14</t>
        </is>
      </c>
      <c r="C2373" s="0" t="inlineStr">
        <is>
          <t xml:space="preserve">d20260923</t>
        </is>
      </c>
      <c r="D2373" s="0" t="inlineStr">
        <is>
          <t xml:space="preserve">NEM</t>
        </is>
      </c>
      <c r="E2373" s="0" t="inlineStr">
        <is>
          <t xml:space="preserve">basic_materials</t>
        </is>
      </c>
      <c r="F2373" s="4">
        <v>72</v>
      </c>
    </row>
    <row r="2374">
      <c r="A2374" s="0" t="inlineStr">
        <is>
          <t xml:space="preserve">random_14_EXLS</t>
        </is>
      </c>
      <c r="B2374" s="0" t="inlineStr">
        <is>
          <t xml:space="preserve">random_14</t>
        </is>
      </c>
      <c r="C2374" s="0" t="inlineStr">
        <is>
          <t xml:space="preserve">d20260923</t>
        </is>
      </c>
      <c r="D2374" s="0" t="inlineStr">
        <is>
          <t xml:space="preserve">EXLS</t>
        </is>
      </c>
      <c r="E2374" s="0" t="inlineStr">
        <is>
          <t xml:space="preserve">technology</t>
        </is>
      </c>
      <c r="F2374" s="4">
        <v>73</v>
      </c>
    </row>
    <row r="2375">
      <c r="A2375" s="0" t="inlineStr">
        <is>
          <t xml:space="preserve">random_14_BANC</t>
        </is>
      </c>
      <c r="B2375" s="0" t="inlineStr">
        <is>
          <t xml:space="preserve">random_14</t>
        </is>
      </c>
      <c r="C2375" s="0" t="inlineStr">
        <is>
          <t xml:space="preserve">d20260923</t>
        </is>
      </c>
      <c r="D2375" s="0" t="inlineStr">
        <is>
          <t xml:space="preserve">BANC</t>
        </is>
      </c>
      <c r="E2375" s="0" t="inlineStr">
        <is>
          <t xml:space="preserve">financial_services</t>
        </is>
      </c>
      <c r="F2375" s="4">
        <v>74</v>
      </c>
    </row>
    <row r="2376">
      <c r="A2376" s="0" t="inlineStr">
        <is>
          <t xml:space="preserve">random_14_LPX</t>
        </is>
      </c>
      <c r="B2376" s="0" t="inlineStr">
        <is>
          <t xml:space="preserve">random_14</t>
        </is>
      </c>
      <c r="C2376" s="0" t="inlineStr">
        <is>
          <t xml:space="preserve">d20260923</t>
        </is>
      </c>
      <c r="D2376" s="0" t="inlineStr">
        <is>
          <t xml:space="preserve">LPX</t>
        </is>
      </c>
      <c r="E2376" s="0" t="inlineStr">
        <is>
          <t xml:space="preserve">basic_materials</t>
        </is>
      </c>
      <c r="F2376" s="4">
        <v>75</v>
      </c>
    </row>
    <row r="2377">
      <c r="A2377" s="0" t="inlineStr">
        <is>
          <t xml:space="preserve">random_14_ACA</t>
        </is>
      </c>
      <c r="B2377" s="0" t="inlineStr">
        <is>
          <t xml:space="preserve">random_14</t>
        </is>
      </c>
      <c r="C2377" s="0" t="inlineStr">
        <is>
          <t xml:space="preserve">d20260923</t>
        </is>
      </c>
      <c r="D2377" s="0" t="inlineStr">
        <is>
          <t xml:space="preserve">ACA</t>
        </is>
      </c>
      <c r="E2377" s="0" t="inlineStr">
        <is>
          <t xml:space="preserve">basic_materials</t>
        </is>
      </c>
      <c r="F2377" s="4">
        <v>76</v>
      </c>
    </row>
    <row r="2378">
      <c r="A2378" s="0" t="inlineStr">
        <is>
          <t xml:space="preserve">random_14_SEZL</t>
        </is>
      </c>
      <c r="B2378" s="0" t="inlineStr">
        <is>
          <t xml:space="preserve">random_14</t>
        </is>
      </c>
      <c r="C2378" s="0" t="inlineStr">
        <is>
          <t xml:space="preserve">d20260923</t>
        </is>
      </c>
      <c r="D2378" s="0" t="inlineStr">
        <is>
          <t xml:space="preserve">SEZL</t>
        </is>
      </c>
      <c r="E2378" s="0" t="inlineStr">
        <is>
          <t xml:space="preserve">financial_services</t>
        </is>
      </c>
      <c r="F2378" s="4">
        <v>77</v>
      </c>
    </row>
    <row r="2379">
      <c r="A2379" s="0" t="inlineStr">
        <is>
          <t xml:space="preserve">random_14_NXST</t>
        </is>
      </c>
      <c r="B2379" s="0" t="inlineStr">
        <is>
          <t xml:space="preserve">random_14</t>
        </is>
      </c>
      <c r="C2379" s="0" t="inlineStr">
        <is>
          <t xml:space="preserve">d20260923</t>
        </is>
      </c>
      <c r="D2379" s="0" t="inlineStr">
        <is>
          <t xml:space="preserve">NXST</t>
        </is>
      </c>
      <c r="E2379" s="0" t="inlineStr">
        <is>
          <t xml:space="preserve">communication_services</t>
        </is>
      </c>
      <c r="F2379" s="4">
        <v>78</v>
      </c>
    </row>
    <row r="2380">
      <c r="A2380" s="0" t="inlineStr">
        <is>
          <t xml:space="preserve">random_14_SMTC</t>
        </is>
      </c>
      <c r="B2380" s="0" t="inlineStr">
        <is>
          <t xml:space="preserve">random_14</t>
        </is>
      </c>
      <c r="C2380" s="0" t="inlineStr">
        <is>
          <t xml:space="preserve">d20260923</t>
        </is>
      </c>
      <c r="D2380" s="0" t="inlineStr">
        <is>
          <t xml:space="preserve">SMTC</t>
        </is>
      </c>
      <c r="E2380" s="0" t="inlineStr">
        <is>
          <t xml:space="preserve">technology</t>
        </is>
      </c>
      <c r="F2380" s="4">
        <v>79</v>
      </c>
    </row>
    <row r="2381">
      <c r="A2381" s="0" t="inlineStr">
        <is>
          <t xml:space="preserve">random_14_BWXT</t>
        </is>
      </c>
      <c r="B2381" s="0" t="inlineStr">
        <is>
          <t xml:space="preserve">random_14</t>
        </is>
      </c>
      <c r="C2381" s="0" t="inlineStr">
        <is>
          <t xml:space="preserve">d20260923</t>
        </is>
      </c>
      <c r="D2381" s="0" t="inlineStr">
        <is>
          <t xml:space="preserve">BWXT</t>
        </is>
      </c>
      <c r="E2381" s="0" t="inlineStr">
        <is>
          <t xml:space="preserve">industrials</t>
        </is>
      </c>
      <c r="F2381" s="4">
        <v>80</v>
      </c>
    </row>
    <row r="2382">
      <c r="A2382" s="0" t="inlineStr">
        <is>
          <t xml:space="preserve">random_14_OMF</t>
        </is>
      </c>
      <c r="B2382" s="0" t="inlineStr">
        <is>
          <t xml:space="preserve">random_14</t>
        </is>
      </c>
      <c r="C2382" s="0" t="inlineStr">
        <is>
          <t xml:space="preserve">d20260923</t>
        </is>
      </c>
      <c r="D2382" s="0" t="inlineStr">
        <is>
          <t xml:space="preserve">OMF</t>
        </is>
      </c>
      <c r="E2382" s="0" t="inlineStr">
        <is>
          <t xml:space="preserve">financial_services</t>
        </is>
      </c>
      <c r="F2382" s="4">
        <v>81</v>
      </c>
    </row>
    <row r="2383">
      <c r="A2383" s="0" t="inlineStr">
        <is>
          <t xml:space="preserve">random_14_HLNE</t>
        </is>
      </c>
      <c r="B2383" s="0" t="inlineStr">
        <is>
          <t xml:space="preserve">random_14</t>
        </is>
      </c>
      <c r="C2383" s="0" t="inlineStr">
        <is>
          <t xml:space="preserve">d20260923</t>
        </is>
      </c>
      <c r="D2383" s="0" t="inlineStr">
        <is>
          <t xml:space="preserve">HLNE</t>
        </is>
      </c>
      <c r="E2383" s="0" t="inlineStr">
        <is>
          <t xml:space="preserve">financial_services</t>
        </is>
      </c>
      <c r="F2383" s="4">
        <v>82</v>
      </c>
    </row>
    <row r="2384">
      <c r="A2384" s="0" t="inlineStr">
        <is>
          <t xml:space="preserve">random_14_PACS</t>
        </is>
      </c>
      <c r="B2384" s="0" t="inlineStr">
        <is>
          <t xml:space="preserve">random_14</t>
        </is>
      </c>
      <c r="C2384" s="0" t="inlineStr">
        <is>
          <t xml:space="preserve">d20260923</t>
        </is>
      </c>
      <c r="D2384" s="0" t="inlineStr">
        <is>
          <t xml:space="preserve">PACS</t>
        </is>
      </c>
      <c r="E2384" s="0" t="inlineStr">
        <is>
          <t xml:space="preserve">healthcare</t>
        </is>
      </c>
      <c r="F2384" s="4">
        <v>83</v>
      </c>
    </row>
    <row r="2385">
      <c r="A2385" s="0" t="inlineStr">
        <is>
          <t xml:space="preserve">random_14_ALB</t>
        </is>
      </c>
      <c r="B2385" s="0" t="inlineStr">
        <is>
          <t xml:space="preserve">random_14</t>
        </is>
      </c>
      <c r="C2385" s="0" t="inlineStr">
        <is>
          <t xml:space="preserve">d20260923</t>
        </is>
      </c>
      <c r="D2385" s="0" t="inlineStr">
        <is>
          <t xml:space="preserve">ALB</t>
        </is>
      </c>
      <c r="E2385" s="0" t="inlineStr">
        <is>
          <t xml:space="preserve">basic_materials</t>
        </is>
      </c>
      <c r="F2385" s="4">
        <v>84</v>
      </c>
    </row>
    <row r="2386">
      <c r="A2386" s="0" t="inlineStr">
        <is>
          <t xml:space="preserve">random_14_WAT</t>
        </is>
      </c>
      <c r="B2386" s="0" t="inlineStr">
        <is>
          <t xml:space="preserve">random_14</t>
        </is>
      </c>
      <c r="C2386" s="0" t="inlineStr">
        <is>
          <t xml:space="preserve">d20260923</t>
        </is>
      </c>
      <c r="D2386" s="0" t="inlineStr">
        <is>
          <t xml:space="preserve">WAT</t>
        </is>
      </c>
      <c r="E2386" s="0" t="inlineStr">
        <is>
          <t xml:space="preserve">healthcare</t>
        </is>
      </c>
      <c r="F2386" s="4">
        <v>85</v>
      </c>
    </row>
    <row r="2387">
      <c r="A2387" s="0" t="inlineStr">
        <is>
          <t xml:space="preserve">random_14_F</t>
        </is>
      </c>
      <c r="B2387" s="0" t="inlineStr">
        <is>
          <t xml:space="preserve">random_14</t>
        </is>
      </c>
      <c r="C2387" s="0" t="inlineStr">
        <is>
          <t xml:space="preserve">d20260923</t>
        </is>
      </c>
      <c r="D2387" s="0" t="inlineStr">
        <is>
          <t xml:space="preserve">F</t>
        </is>
      </c>
      <c r="E2387" s="0" t="inlineStr">
        <is>
          <t xml:space="preserve">consumer_cyclical</t>
        </is>
      </c>
      <c r="F2387" s="4">
        <v>86</v>
      </c>
    </row>
    <row r="2388">
      <c r="A2388" s="0" t="inlineStr">
        <is>
          <t xml:space="preserve">random_14_TNGX</t>
        </is>
      </c>
      <c r="B2388" s="0" t="inlineStr">
        <is>
          <t xml:space="preserve">random_14</t>
        </is>
      </c>
      <c r="C2388" s="0" t="inlineStr">
        <is>
          <t xml:space="preserve">d20260923</t>
        </is>
      </c>
      <c r="D2388" s="0" t="inlineStr">
        <is>
          <t xml:space="preserve">TNGX</t>
        </is>
      </c>
      <c r="E2388" s="0" t="inlineStr">
        <is>
          <t xml:space="preserve">healthcare</t>
        </is>
      </c>
      <c r="F2388" s="4">
        <v>87</v>
      </c>
    </row>
    <row r="2389">
      <c r="A2389" s="0" t="inlineStr">
        <is>
          <t xml:space="preserve">random_14_TSN</t>
        </is>
      </c>
      <c r="B2389" s="0" t="inlineStr">
        <is>
          <t xml:space="preserve">random_14</t>
        </is>
      </c>
      <c r="C2389" s="0" t="inlineStr">
        <is>
          <t xml:space="preserve">d20260923</t>
        </is>
      </c>
      <c r="D2389" s="0" t="inlineStr">
        <is>
          <t xml:space="preserve">TSN</t>
        </is>
      </c>
      <c r="E2389" s="0" t="inlineStr">
        <is>
          <t xml:space="preserve">consumer_defensive</t>
        </is>
      </c>
      <c r="F2389" s="4">
        <v>88</v>
      </c>
    </row>
    <row r="2390">
      <c r="A2390" s="0" t="inlineStr">
        <is>
          <t xml:space="preserve">random_14_MXL</t>
        </is>
      </c>
      <c r="B2390" s="0" t="inlineStr">
        <is>
          <t xml:space="preserve">random_14</t>
        </is>
      </c>
      <c r="C2390" s="0" t="inlineStr">
        <is>
          <t xml:space="preserve">d20260923</t>
        </is>
      </c>
      <c r="D2390" s="0" t="inlineStr">
        <is>
          <t xml:space="preserve">MXL</t>
        </is>
      </c>
      <c r="E2390" s="0" t="inlineStr">
        <is>
          <t xml:space="preserve">technology</t>
        </is>
      </c>
      <c r="F2390" s="4">
        <v>89</v>
      </c>
    </row>
    <row r="2391">
      <c r="A2391" s="0" t="inlineStr">
        <is>
          <t xml:space="preserve">random_14_NSIT</t>
        </is>
      </c>
      <c r="B2391" s="0" t="inlineStr">
        <is>
          <t xml:space="preserve">random_14</t>
        </is>
      </c>
      <c r="C2391" s="0" t="inlineStr">
        <is>
          <t xml:space="preserve">d20260923</t>
        </is>
      </c>
      <c r="D2391" s="0" t="inlineStr">
        <is>
          <t xml:space="preserve">NSIT</t>
        </is>
      </c>
      <c r="E2391" s="0" t="inlineStr">
        <is>
          <t xml:space="preserve">technology</t>
        </is>
      </c>
      <c r="F2391" s="4">
        <v>90</v>
      </c>
    </row>
    <row r="2392">
      <c r="A2392" s="0" t="inlineStr">
        <is>
          <t xml:space="preserve">random_14_BWA</t>
        </is>
      </c>
      <c r="B2392" s="0" t="inlineStr">
        <is>
          <t xml:space="preserve">random_14</t>
        </is>
      </c>
      <c r="C2392" s="0" t="inlineStr">
        <is>
          <t xml:space="preserve">d20260923</t>
        </is>
      </c>
      <c r="D2392" s="0" t="inlineStr">
        <is>
          <t xml:space="preserve">BWA</t>
        </is>
      </c>
      <c r="E2392" s="0" t="inlineStr">
        <is>
          <t xml:space="preserve">consumer_cyclical</t>
        </is>
      </c>
      <c r="F2392" s="4">
        <v>91</v>
      </c>
    </row>
    <row r="2393">
      <c r="A2393" s="0" t="inlineStr">
        <is>
          <t xml:space="preserve">random_14_VRTX</t>
        </is>
      </c>
      <c r="B2393" s="0" t="inlineStr">
        <is>
          <t xml:space="preserve">random_14</t>
        </is>
      </c>
      <c r="C2393" s="0" t="inlineStr">
        <is>
          <t xml:space="preserve">d20260923</t>
        </is>
      </c>
      <c r="D2393" s="0" t="inlineStr">
        <is>
          <t xml:space="preserve">VRTX</t>
        </is>
      </c>
      <c r="E2393" s="0" t="inlineStr">
        <is>
          <t xml:space="preserve">healthcare</t>
        </is>
      </c>
      <c r="F2393" s="4">
        <v>92</v>
      </c>
    </row>
    <row r="2394">
      <c r="A2394" s="0" t="inlineStr">
        <is>
          <t xml:space="preserve">random_14_S</t>
        </is>
      </c>
      <c r="B2394" s="0" t="inlineStr">
        <is>
          <t xml:space="preserve">random_14</t>
        </is>
      </c>
      <c r="C2394" s="0" t="inlineStr">
        <is>
          <t xml:space="preserve">d20260923</t>
        </is>
      </c>
      <c r="D2394" s="0" t="inlineStr">
        <is>
          <t xml:space="preserve">S</t>
        </is>
      </c>
      <c r="E2394" s="0" t="inlineStr">
        <is>
          <t xml:space="preserve">technology</t>
        </is>
      </c>
      <c r="F2394" s="4">
        <v>93</v>
      </c>
    </row>
    <row r="2395">
      <c r="A2395" s="0" t="inlineStr">
        <is>
          <t xml:space="preserve">random_14_RKT</t>
        </is>
      </c>
      <c r="B2395" s="0" t="inlineStr">
        <is>
          <t xml:space="preserve">random_14</t>
        </is>
      </c>
      <c r="C2395" s="0" t="inlineStr">
        <is>
          <t xml:space="preserve">d20260923</t>
        </is>
      </c>
      <c r="D2395" s="0" t="inlineStr">
        <is>
          <t xml:space="preserve">RKT</t>
        </is>
      </c>
      <c r="E2395" s="0" t="inlineStr">
        <is>
          <t xml:space="preserve">financial_services</t>
        </is>
      </c>
      <c r="F2395" s="4">
        <v>94</v>
      </c>
    </row>
    <row r="2396">
      <c r="A2396" s="0" t="inlineStr">
        <is>
          <t xml:space="preserve">random_14_GWRE</t>
        </is>
      </c>
      <c r="B2396" s="0" t="inlineStr">
        <is>
          <t xml:space="preserve">random_14</t>
        </is>
      </c>
      <c r="C2396" s="0" t="inlineStr">
        <is>
          <t xml:space="preserve">d20260923</t>
        </is>
      </c>
      <c r="D2396" s="0" t="inlineStr">
        <is>
          <t xml:space="preserve">GWRE</t>
        </is>
      </c>
      <c r="E2396" s="0" t="inlineStr">
        <is>
          <t xml:space="preserve">technology</t>
        </is>
      </c>
      <c r="F2396" s="4">
        <v>95</v>
      </c>
    </row>
    <row r="2397">
      <c r="A2397" s="0" t="inlineStr">
        <is>
          <t xml:space="preserve">random_14_RXO</t>
        </is>
      </c>
      <c r="B2397" s="0" t="inlineStr">
        <is>
          <t xml:space="preserve">random_14</t>
        </is>
      </c>
      <c r="C2397" s="0" t="inlineStr">
        <is>
          <t xml:space="preserve">d20260923</t>
        </is>
      </c>
      <c r="D2397" s="0" t="inlineStr">
        <is>
          <t xml:space="preserve">RXO</t>
        </is>
      </c>
      <c r="E2397" s="0" t="inlineStr">
        <is>
          <t xml:space="preserve">industrials</t>
        </is>
      </c>
      <c r="F2397" s="4">
        <v>96</v>
      </c>
    </row>
    <row r="2398">
      <c r="A2398" s="0" t="inlineStr">
        <is>
          <t xml:space="preserve">random_14_CAI</t>
        </is>
      </c>
      <c r="B2398" s="0" t="inlineStr">
        <is>
          <t xml:space="preserve">random_14</t>
        </is>
      </c>
      <c r="C2398" s="0" t="inlineStr">
        <is>
          <t xml:space="preserve">d20260923</t>
        </is>
      </c>
      <c r="D2398" s="0" t="inlineStr">
        <is>
          <t xml:space="preserve">CAI</t>
        </is>
      </c>
      <c r="E2398" s="0" t="inlineStr">
        <is>
          <t xml:space="preserve">healthcare</t>
        </is>
      </c>
      <c r="F2398" s="4">
        <v>97</v>
      </c>
    </row>
    <row r="2399">
      <c r="A2399" s="0" t="inlineStr">
        <is>
          <t xml:space="preserve">random_14_PRVA</t>
        </is>
      </c>
      <c r="B2399" s="0" t="inlineStr">
        <is>
          <t xml:space="preserve">random_14</t>
        </is>
      </c>
      <c r="C2399" s="0" t="inlineStr">
        <is>
          <t xml:space="preserve">d20260923</t>
        </is>
      </c>
      <c r="D2399" s="0" t="inlineStr">
        <is>
          <t xml:space="preserve">PRVA</t>
        </is>
      </c>
      <c r="E2399" s="0" t="inlineStr">
        <is>
          <t xml:space="preserve">healthcare</t>
        </is>
      </c>
      <c r="F2399" s="4">
        <v>98</v>
      </c>
    </row>
    <row r="2400">
      <c r="A2400" s="0" t="inlineStr">
        <is>
          <t xml:space="preserve">random_14_BOX</t>
        </is>
      </c>
      <c r="B2400" s="0" t="inlineStr">
        <is>
          <t xml:space="preserve">random_14</t>
        </is>
      </c>
      <c r="C2400" s="0" t="inlineStr">
        <is>
          <t xml:space="preserve">d20260923</t>
        </is>
      </c>
      <c r="D2400" s="0" t="inlineStr">
        <is>
          <t xml:space="preserve">BOX</t>
        </is>
      </c>
      <c r="E2400" s="0" t="inlineStr">
        <is>
          <t xml:space="preserve">technology</t>
        </is>
      </c>
      <c r="F2400" s="4">
        <v>99</v>
      </c>
    </row>
    <row r="2401">
      <c r="A2401" s="0" t="inlineStr">
        <is>
          <t xml:space="preserve">random_14_MSCI</t>
        </is>
      </c>
      <c r="B2401" s="0" t="inlineStr">
        <is>
          <t xml:space="preserve">random_14</t>
        </is>
      </c>
      <c r="C2401" s="0" t="inlineStr">
        <is>
          <t xml:space="preserve">d20260923</t>
        </is>
      </c>
      <c r="D2401" s="0" t="inlineStr">
        <is>
          <t xml:space="preserve">MSCI</t>
        </is>
      </c>
      <c r="E2401" s="0" t="inlineStr">
        <is>
          <t xml:space="preserve">financial_services</t>
        </is>
      </c>
      <c r="F2401" s="4">
        <v>100</v>
      </c>
    </row>
    <row r="2402">
      <c r="A2402" s="0" t="inlineStr">
        <is>
          <t xml:space="preserve">random_15_CINF</t>
        </is>
      </c>
      <c r="B2402" s="0" t="inlineStr">
        <is>
          <t xml:space="preserve">random_15</t>
        </is>
      </c>
      <c r="C2402" s="0" t="inlineStr">
        <is>
          <t xml:space="preserve">d20260923</t>
        </is>
      </c>
      <c r="D2402" s="0" t="inlineStr">
        <is>
          <t xml:space="preserve">CINF</t>
        </is>
      </c>
      <c r="E2402" s="0" t="inlineStr">
        <is>
          <t xml:space="preserve">financial_services</t>
        </is>
      </c>
      <c r="F2402" s="4">
        <v>1</v>
      </c>
    </row>
    <row r="2403">
      <c r="A2403" s="0" t="inlineStr">
        <is>
          <t xml:space="preserve">random_15_CDW</t>
        </is>
      </c>
      <c r="B2403" s="0" t="inlineStr">
        <is>
          <t xml:space="preserve">random_15</t>
        </is>
      </c>
      <c r="C2403" s="0" t="inlineStr">
        <is>
          <t xml:space="preserve">d20260923</t>
        </is>
      </c>
      <c r="D2403" s="0" t="inlineStr">
        <is>
          <t xml:space="preserve">CDW</t>
        </is>
      </c>
      <c r="E2403" s="0" t="inlineStr">
        <is>
          <t xml:space="preserve">technology</t>
        </is>
      </c>
      <c r="F2403" s="4">
        <v>2</v>
      </c>
    </row>
    <row r="2404">
      <c r="A2404" s="0" t="inlineStr">
        <is>
          <t xml:space="preserve">random_15_VAL</t>
        </is>
      </c>
      <c r="B2404" s="0" t="inlineStr">
        <is>
          <t xml:space="preserve">random_15</t>
        </is>
      </c>
      <c r="C2404" s="0" t="inlineStr">
        <is>
          <t xml:space="preserve">d20260923</t>
        </is>
      </c>
      <c r="D2404" s="0" t="inlineStr">
        <is>
          <t xml:space="preserve">VAL</t>
        </is>
      </c>
      <c r="E2404" s="0" t="inlineStr">
        <is>
          <t xml:space="preserve">energy</t>
        </is>
      </c>
      <c r="F2404" s="4">
        <v>3</v>
      </c>
    </row>
    <row r="2405">
      <c r="A2405" s="0" t="inlineStr">
        <is>
          <t xml:space="preserve">random_15_FR</t>
        </is>
      </c>
      <c r="B2405" s="0" t="inlineStr">
        <is>
          <t xml:space="preserve">random_15</t>
        </is>
      </c>
      <c r="C2405" s="0" t="inlineStr">
        <is>
          <t xml:space="preserve">d20260923</t>
        </is>
      </c>
      <c r="D2405" s="0" t="inlineStr">
        <is>
          <t xml:space="preserve">FR</t>
        </is>
      </c>
      <c r="E2405" s="0" t="inlineStr">
        <is>
          <t xml:space="preserve">real_estate</t>
        </is>
      </c>
      <c r="F2405" s="4">
        <v>4</v>
      </c>
    </row>
    <row r="2406">
      <c r="A2406" s="0" t="inlineStr">
        <is>
          <t xml:space="preserve">random_15_W</t>
        </is>
      </c>
      <c r="B2406" s="0" t="inlineStr">
        <is>
          <t xml:space="preserve">random_15</t>
        </is>
      </c>
      <c r="C2406" s="0" t="inlineStr">
        <is>
          <t xml:space="preserve">d20260923</t>
        </is>
      </c>
      <c r="D2406" s="0" t="inlineStr">
        <is>
          <t xml:space="preserve">W</t>
        </is>
      </c>
      <c r="E2406" s="0" t="inlineStr">
        <is>
          <t xml:space="preserve">consumer_cyclical</t>
        </is>
      </c>
      <c r="F2406" s="4">
        <v>5</v>
      </c>
    </row>
    <row r="2407">
      <c r="A2407" s="0" t="inlineStr">
        <is>
          <t xml:space="preserve">random_15_SFBS</t>
        </is>
      </c>
      <c r="B2407" s="0" t="inlineStr">
        <is>
          <t xml:space="preserve">random_15</t>
        </is>
      </c>
      <c r="C2407" s="0" t="inlineStr">
        <is>
          <t xml:space="preserve">d20260923</t>
        </is>
      </c>
      <c r="D2407" s="0" t="inlineStr">
        <is>
          <t xml:space="preserve">SFBS</t>
        </is>
      </c>
      <c r="E2407" s="0" t="inlineStr">
        <is>
          <t xml:space="preserve">financial_services</t>
        </is>
      </c>
      <c r="F2407" s="4">
        <v>6</v>
      </c>
    </row>
    <row r="2408">
      <c r="A2408" s="0" t="inlineStr">
        <is>
          <t xml:space="preserve">random_15_EPAM</t>
        </is>
      </c>
      <c r="B2408" s="0" t="inlineStr">
        <is>
          <t xml:space="preserve">random_15</t>
        </is>
      </c>
      <c r="C2408" s="0" t="inlineStr">
        <is>
          <t xml:space="preserve">d20260923</t>
        </is>
      </c>
      <c r="D2408" s="0" t="inlineStr">
        <is>
          <t xml:space="preserve">EPAM</t>
        </is>
      </c>
      <c r="E2408" s="0" t="inlineStr">
        <is>
          <t xml:space="preserve">technology</t>
        </is>
      </c>
      <c r="F2408" s="4">
        <v>7</v>
      </c>
    </row>
    <row r="2409">
      <c r="A2409" s="0" t="inlineStr">
        <is>
          <t xml:space="preserve">random_15_SUI</t>
        </is>
      </c>
      <c r="B2409" s="0" t="inlineStr">
        <is>
          <t xml:space="preserve">random_15</t>
        </is>
      </c>
      <c r="C2409" s="0" t="inlineStr">
        <is>
          <t xml:space="preserve">d20260923</t>
        </is>
      </c>
      <c r="D2409" s="0" t="inlineStr">
        <is>
          <t xml:space="preserve">SUI</t>
        </is>
      </c>
      <c r="E2409" s="0" t="inlineStr">
        <is>
          <t xml:space="preserve">real_estate</t>
        </is>
      </c>
      <c r="F2409" s="4">
        <v>8</v>
      </c>
    </row>
    <row r="2410">
      <c r="A2410" s="0" t="inlineStr">
        <is>
          <t xml:space="preserve">random_15_IMVT</t>
        </is>
      </c>
      <c r="B2410" s="0" t="inlineStr">
        <is>
          <t xml:space="preserve">random_15</t>
        </is>
      </c>
      <c r="C2410" s="0" t="inlineStr">
        <is>
          <t xml:space="preserve">d20260923</t>
        </is>
      </c>
      <c r="D2410" s="0" t="inlineStr">
        <is>
          <t xml:space="preserve">IMVT</t>
        </is>
      </c>
      <c r="E2410" s="0" t="inlineStr">
        <is>
          <t xml:space="preserve">healthcare</t>
        </is>
      </c>
      <c r="F2410" s="4">
        <v>9</v>
      </c>
    </row>
    <row r="2411">
      <c r="A2411" s="0" t="inlineStr">
        <is>
          <t xml:space="preserve">random_15_WST</t>
        </is>
      </c>
      <c r="B2411" s="0" t="inlineStr">
        <is>
          <t xml:space="preserve">random_15</t>
        </is>
      </c>
      <c r="C2411" s="0" t="inlineStr">
        <is>
          <t xml:space="preserve">d20260923</t>
        </is>
      </c>
      <c r="D2411" s="0" t="inlineStr">
        <is>
          <t xml:space="preserve">WST</t>
        </is>
      </c>
      <c r="E2411" s="0" t="inlineStr">
        <is>
          <t xml:space="preserve">healthcare</t>
        </is>
      </c>
      <c r="F2411" s="4">
        <v>10</v>
      </c>
    </row>
    <row r="2412">
      <c r="A2412" s="0" t="inlineStr">
        <is>
          <t xml:space="preserve">random_15_ZION</t>
        </is>
      </c>
      <c r="B2412" s="0" t="inlineStr">
        <is>
          <t xml:space="preserve">random_15</t>
        </is>
      </c>
      <c r="C2412" s="0" t="inlineStr">
        <is>
          <t xml:space="preserve">d20260923</t>
        </is>
      </c>
      <c r="D2412" s="0" t="inlineStr">
        <is>
          <t xml:space="preserve">ZION</t>
        </is>
      </c>
      <c r="E2412" s="0" t="inlineStr">
        <is>
          <t xml:space="preserve">financial_services</t>
        </is>
      </c>
      <c r="F2412" s="4">
        <v>11</v>
      </c>
    </row>
    <row r="2413">
      <c r="A2413" s="0" t="inlineStr">
        <is>
          <t xml:space="preserve">random_15_CPT</t>
        </is>
      </c>
      <c r="B2413" s="0" t="inlineStr">
        <is>
          <t xml:space="preserve">random_15</t>
        </is>
      </c>
      <c r="C2413" s="0" t="inlineStr">
        <is>
          <t xml:space="preserve">d20260923</t>
        </is>
      </c>
      <c r="D2413" s="0" t="inlineStr">
        <is>
          <t xml:space="preserve">CPT</t>
        </is>
      </c>
      <c r="E2413" s="0" t="inlineStr">
        <is>
          <t xml:space="preserve">real_estate</t>
        </is>
      </c>
      <c r="F2413" s="4">
        <v>12</v>
      </c>
    </row>
    <row r="2414">
      <c r="A2414" s="0" t="inlineStr">
        <is>
          <t xml:space="preserve">random_15_NRG</t>
        </is>
      </c>
      <c r="B2414" s="0" t="inlineStr">
        <is>
          <t xml:space="preserve">random_15</t>
        </is>
      </c>
      <c r="C2414" s="0" t="inlineStr">
        <is>
          <t xml:space="preserve">d20260923</t>
        </is>
      </c>
      <c r="D2414" s="0" t="inlineStr">
        <is>
          <t xml:space="preserve">NRG</t>
        </is>
      </c>
      <c r="E2414" s="0" t="inlineStr">
        <is>
          <t xml:space="preserve">utilities</t>
        </is>
      </c>
      <c r="F2414" s="4">
        <v>13</v>
      </c>
    </row>
    <row r="2415">
      <c r="A2415" s="0" t="inlineStr">
        <is>
          <t xml:space="preserve">random_15_BILL</t>
        </is>
      </c>
      <c r="B2415" s="0" t="inlineStr">
        <is>
          <t xml:space="preserve">random_15</t>
        </is>
      </c>
      <c r="C2415" s="0" t="inlineStr">
        <is>
          <t xml:space="preserve">d20260923</t>
        </is>
      </c>
      <c r="D2415" s="0" t="inlineStr">
        <is>
          <t xml:space="preserve">BILL</t>
        </is>
      </c>
      <c r="E2415" s="0" t="inlineStr">
        <is>
          <t xml:space="preserve">technology</t>
        </is>
      </c>
      <c r="F2415" s="4">
        <v>14</v>
      </c>
    </row>
    <row r="2416">
      <c r="A2416" s="0" t="inlineStr">
        <is>
          <t xml:space="preserve">random_15_CZR</t>
        </is>
      </c>
      <c r="B2416" s="0" t="inlineStr">
        <is>
          <t xml:space="preserve">random_15</t>
        </is>
      </c>
      <c r="C2416" s="0" t="inlineStr">
        <is>
          <t xml:space="preserve">d20260923</t>
        </is>
      </c>
      <c r="D2416" s="0" t="inlineStr">
        <is>
          <t xml:space="preserve">CZR</t>
        </is>
      </c>
      <c r="E2416" s="0" t="inlineStr">
        <is>
          <t xml:space="preserve">consumer_cyclical</t>
        </is>
      </c>
      <c r="F2416" s="4">
        <v>15</v>
      </c>
    </row>
    <row r="2417">
      <c r="A2417" s="0" t="inlineStr">
        <is>
          <t xml:space="preserve">random_15_DUOL</t>
        </is>
      </c>
      <c r="B2417" s="0" t="inlineStr">
        <is>
          <t xml:space="preserve">random_15</t>
        </is>
      </c>
      <c r="C2417" s="0" t="inlineStr">
        <is>
          <t xml:space="preserve">d20260923</t>
        </is>
      </c>
      <c r="D2417" s="0" t="inlineStr">
        <is>
          <t xml:space="preserve">DUOL</t>
        </is>
      </c>
      <c r="E2417" s="0" t="inlineStr">
        <is>
          <t xml:space="preserve">technology</t>
        </is>
      </c>
      <c r="F2417" s="4">
        <v>16</v>
      </c>
    </row>
    <row r="2418">
      <c r="A2418" s="0" t="inlineStr">
        <is>
          <t xml:space="preserve">random_15_KMT</t>
        </is>
      </c>
      <c r="B2418" s="0" t="inlineStr">
        <is>
          <t xml:space="preserve">random_15</t>
        </is>
      </c>
      <c r="C2418" s="0" t="inlineStr">
        <is>
          <t xml:space="preserve">d20260923</t>
        </is>
      </c>
      <c r="D2418" s="0" t="inlineStr">
        <is>
          <t xml:space="preserve">KMT</t>
        </is>
      </c>
      <c r="E2418" s="0" t="inlineStr">
        <is>
          <t xml:space="preserve">industrials</t>
        </is>
      </c>
      <c r="F2418" s="4">
        <v>17</v>
      </c>
    </row>
    <row r="2419">
      <c r="A2419" s="0" t="inlineStr">
        <is>
          <t xml:space="preserve">random_15_EHC</t>
        </is>
      </c>
      <c r="B2419" s="0" t="inlineStr">
        <is>
          <t xml:space="preserve">random_15</t>
        </is>
      </c>
      <c r="C2419" s="0" t="inlineStr">
        <is>
          <t xml:space="preserve">d20260923</t>
        </is>
      </c>
      <c r="D2419" s="0" t="inlineStr">
        <is>
          <t xml:space="preserve">EHC</t>
        </is>
      </c>
      <c r="E2419" s="0" t="inlineStr">
        <is>
          <t xml:space="preserve">healthcare</t>
        </is>
      </c>
      <c r="F2419" s="4">
        <v>18</v>
      </c>
    </row>
    <row r="2420">
      <c r="A2420" s="0" t="inlineStr">
        <is>
          <t xml:space="preserve">random_15_LNG</t>
        </is>
      </c>
      <c r="B2420" s="0" t="inlineStr">
        <is>
          <t xml:space="preserve">random_15</t>
        </is>
      </c>
      <c r="C2420" s="0" t="inlineStr">
        <is>
          <t xml:space="preserve">d20260923</t>
        </is>
      </c>
      <c r="D2420" s="0" t="inlineStr">
        <is>
          <t xml:space="preserve">LNG</t>
        </is>
      </c>
      <c r="E2420" s="0" t="inlineStr">
        <is>
          <t xml:space="preserve">energy</t>
        </is>
      </c>
      <c r="F2420" s="4">
        <v>19</v>
      </c>
    </row>
    <row r="2421">
      <c r="A2421" s="0" t="inlineStr">
        <is>
          <t xml:space="preserve">random_15_NIQ</t>
        </is>
      </c>
      <c r="B2421" s="0" t="inlineStr">
        <is>
          <t xml:space="preserve">random_15</t>
        </is>
      </c>
      <c r="C2421" s="0" t="inlineStr">
        <is>
          <t xml:space="preserve">d20260923</t>
        </is>
      </c>
      <c r="D2421" s="0" t="inlineStr">
        <is>
          <t xml:space="preserve">NIQ</t>
        </is>
      </c>
      <c r="E2421" s="0" t="inlineStr">
        <is>
          <t xml:space="preserve">technology</t>
        </is>
      </c>
      <c r="F2421" s="4">
        <v>20</v>
      </c>
    </row>
    <row r="2422">
      <c r="A2422" s="0" t="inlineStr">
        <is>
          <t xml:space="preserve">random_15_WMB</t>
        </is>
      </c>
      <c r="B2422" s="0" t="inlineStr">
        <is>
          <t xml:space="preserve">random_15</t>
        </is>
      </c>
      <c r="C2422" s="0" t="inlineStr">
        <is>
          <t xml:space="preserve">d20260923</t>
        </is>
      </c>
      <c r="D2422" s="0" t="inlineStr">
        <is>
          <t xml:space="preserve">WMB</t>
        </is>
      </c>
      <c r="E2422" s="0" t="inlineStr">
        <is>
          <t xml:space="preserve">energy</t>
        </is>
      </c>
      <c r="F2422" s="4">
        <v>21</v>
      </c>
    </row>
    <row r="2423">
      <c r="A2423" s="0" t="inlineStr">
        <is>
          <t xml:space="preserve">random_15_RRR</t>
        </is>
      </c>
      <c r="B2423" s="0" t="inlineStr">
        <is>
          <t xml:space="preserve">random_15</t>
        </is>
      </c>
      <c r="C2423" s="0" t="inlineStr">
        <is>
          <t xml:space="preserve">d20260923</t>
        </is>
      </c>
      <c r="D2423" s="0" t="inlineStr">
        <is>
          <t xml:space="preserve">RRR</t>
        </is>
      </c>
      <c r="E2423" s="0" t="inlineStr">
        <is>
          <t xml:space="preserve">consumer_cyclical</t>
        </is>
      </c>
      <c r="F2423" s="4">
        <v>22</v>
      </c>
    </row>
    <row r="2424">
      <c r="A2424" s="0" t="inlineStr">
        <is>
          <t xml:space="preserve">random_15_WY</t>
        </is>
      </c>
      <c r="B2424" s="0" t="inlineStr">
        <is>
          <t xml:space="preserve">random_15</t>
        </is>
      </c>
      <c r="C2424" s="0" t="inlineStr">
        <is>
          <t xml:space="preserve">d20260923</t>
        </is>
      </c>
      <c r="D2424" s="0" t="inlineStr">
        <is>
          <t xml:space="preserve">WY</t>
        </is>
      </c>
      <c r="E2424" s="0" t="inlineStr">
        <is>
          <t xml:space="preserve">real_estate</t>
        </is>
      </c>
      <c r="F2424" s="4">
        <v>23</v>
      </c>
    </row>
    <row r="2425">
      <c r="A2425" s="0" t="inlineStr">
        <is>
          <t xml:space="preserve">random_15_GRND</t>
        </is>
      </c>
      <c r="B2425" s="0" t="inlineStr">
        <is>
          <t xml:space="preserve">random_15</t>
        </is>
      </c>
      <c r="C2425" s="0" t="inlineStr">
        <is>
          <t xml:space="preserve">d20260923</t>
        </is>
      </c>
      <c r="D2425" s="0" t="inlineStr">
        <is>
          <t xml:space="preserve">GRND</t>
        </is>
      </c>
      <c r="E2425" s="0" t="inlineStr">
        <is>
          <t xml:space="preserve">technology</t>
        </is>
      </c>
      <c r="F2425" s="4">
        <v>24</v>
      </c>
    </row>
    <row r="2426">
      <c r="A2426" s="0" t="inlineStr">
        <is>
          <t xml:space="preserve">random_15_NSIT</t>
        </is>
      </c>
      <c r="B2426" s="0" t="inlineStr">
        <is>
          <t xml:space="preserve">random_15</t>
        </is>
      </c>
      <c r="C2426" s="0" t="inlineStr">
        <is>
          <t xml:space="preserve">d20260923</t>
        </is>
      </c>
      <c r="D2426" s="0" t="inlineStr">
        <is>
          <t xml:space="preserve">NSIT</t>
        </is>
      </c>
      <c r="E2426" s="0" t="inlineStr">
        <is>
          <t xml:space="preserve">technology</t>
        </is>
      </c>
      <c r="F2426" s="4">
        <v>25</v>
      </c>
    </row>
    <row r="2427">
      <c r="A2427" s="0" t="inlineStr">
        <is>
          <t xml:space="preserve">random_15_LDOS</t>
        </is>
      </c>
      <c r="B2427" s="0" t="inlineStr">
        <is>
          <t xml:space="preserve">random_15</t>
        </is>
      </c>
      <c r="C2427" s="0" t="inlineStr">
        <is>
          <t xml:space="preserve">d20260923</t>
        </is>
      </c>
      <c r="D2427" s="0" t="inlineStr">
        <is>
          <t xml:space="preserve">LDOS</t>
        </is>
      </c>
      <c r="E2427" s="0" t="inlineStr">
        <is>
          <t xml:space="preserve">technology</t>
        </is>
      </c>
      <c r="F2427" s="4">
        <v>26</v>
      </c>
    </row>
    <row r="2428">
      <c r="A2428" s="0" t="inlineStr">
        <is>
          <t xml:space="preserve">random_15_ENS</t>
        </is>
      </c>
      <c r="B2428" s="0" t="inlineStr">
        <is>
          <t xml:space="preserve">random_15</t>
        </is>
      </c>
      <c r="C2428" s="0" t="inlineStr">
        <is>
          <t xml:space="preserve">d20260923</t>
        </is>
      </c>
      <c r="D2428" s="0" t="inlineStr">
        <is>
          <t xml:space="preserve">ENS</t>
        </is>
      </c>
      <c r="E2428" s="0" t="inlineStr">
        <is>
          <t xml:space="preserve">industrials</t>
        </is>
      </c>
      <c r="F2428" s="4">
        <v>27</v>
      </c>
    </row>
    <row r="2429">
      <c r="A2429" s="0" t="inlineStr">
        <is>
          <t xml:space="preserve">random_15_TALO</t>
        </is>
      </c>
      <c r="B2429" s="0" t="inlineStr">
        <is>
          <t xml:space="preserve">random_15</t>
        </is>
      </c>
      <c r="C2429" s="0" t="inlineStr">
        <is>
          <t xml:space="preserve">d20260923</t>
        </is>
      </c>
      <c r="D2429" s="0" t="inlineStr">
        <is>
          <t xml:space="preserve">TALO</t>
        </is>
      </c>
      <c r="E2429" s="0" t="inlineStr">
        <is>
          <t xml:space="preserve">energy</t>
        </is>
      </c>
      <c r="F2429" s="4">
        <v>28</v>
      </c>
    </row>
    <row r="2430">
      <c r="A2430" s="0" t="inlineStr">
        <is>
          <t xml:space="preserve">random_15_TPC</t>
        </is>
      </c>
      <c r="B2430" s="0" t="inlineStr">
        <is>
          <t xml:space="preserve">random_15</t>
        </is>
      </c>
      <c r="C2430" s="0" t="inlineStr">
        <is>
          <t xml:space="preserve">d20260923</t>
        </is>
      </c>
      <c r="D2430" s="0" t="inlineStr">
        <is>
          <t xml:space="preserve">TPC</t>
        </is>
      </c>
      <c r="E2430" s="0" t="inlineStr">
        <is>
          <t xml:space="preserve">industrials</t>
        </is>
      </c>
      <c r="F2430" s="4">
        <v>29</v>
      </c>
    </row>
    <row r="2431">
      <c r="A2431" s="0" t="inlineStr">
        <is>
          <t xml:space="preserve">random_15_ARMK</t>
        </is>
      </c>
      <c r="B2431" s="0" t="inlineStr">
        <is>
          <t xml:space="preserve">random_15</t>
        </is>
      </c>
      <c r="C2431" s="0" t="inlineStr">
        <is>
          <t xml:space="preserve">d20260923</t>
        </is>
      </c>
      <c r="D2431" s="0" t="inlineStr">
        <is>
          <t xml:space="preserve">ARMK</t>
        </is>
      </c>
      <c r="E2431" s="0" t="inlineStr">
        <is>
          <t xml:space="preserve">industrials</t>
        </is>
      </c>
      <c r="F2431" s="4">
        <v>30</v>
      </c>
    </row>
    <row r="2432">
      <c r="A2432" s="0" t="inlineStr">
        <is>
          <t xml:space="preserve">random_15_PSN</t>
        </is>
      </c>
      <c r="B2432" s="0" t="inlineStr">
        <is>
          <t xml:space="preserve">random_15</t>
        </is>
      </c>
      <c r="C2432" s="0" t="inlineStr">
        <is>
          <t xml:space="preserve">d20260923</t>
        </is>
      </c>
      <c r="D2432" s="0" t="inlineStr">
        <is>
          <t xml:space="preserve">PSN</t>
        </is>
      </c>
      <c r="E2432" s="0" t="inlineStr">
        <is>
          <t xml:space="preserve">technology</t>
        </is>
      </c>
      <c r="F2432" s="4">
        <v>31</v>
      </c>
    </row>
    <row r="2433">
      <c r="A2433" s="0" t="inlineStr">
        <is>
          <t xml:space="preserve">random_15_VST</t>
        </is>
      </c>
      <c r="B2433" s="0" t="inlineStr">
        <is>
          <t xml:space="preserve">random_15</t>
        </is>
      </c>
      <c r="C2433" s="0" t="inlineStr">
        <is>
          <t xml:space="preserve">d20260923</t>
        </is>
      </c>
      <c r="D2433" s="0" t="inlineStr">
        <is>
          <t xml:space="preserve">VST</t>
        </is>
      </c>
      <c r="E2433" s="0" t="inlineStr">
        <is>
          <t xml:space="preserve">utilities</t>
        </is>
      </c>
      <c r="F2433" s="4">
        <v>32</v>
      </c>
    </row>
    <row r="2434">
      <c r="A2434" s="0" t="inlineStr">
        <is>
          <t xml:space="preserve">random_15_NESR</t>
        </is>
      </c>
      <c r="B2434" s="0" t="inlineStr">
        <is>
          <t xml:space="preserve">random_15</t>
        </is>
      </c>
      <c r="C2434" s="0" t="inlineStr">
        <is>
          <t xml:space="preserve">d20260923</t>
        </is>
      </c>
      <c r="D2434" s="0" t="inlineStr">
        <is>
          <t xml:space="preserve">NESR</t>
        </is>
      </c>
      <c r="E2434" s="0" t="inlineStr">
        <is>
          <t xml:space="preserve">energy</t>
        </is>
      </c>
      <c r="F2434" s="4">
        <v>33</v>
      </c>
    </row>
    <row r="2435">
      <c r="A2435" s="0" t="inlineStr">
        <is>
          <t xml:space="preserve">random_15_IVZ</t>
        </is>
      </c>
      <c r="B2435" s="0" t="inlineStr">
        <is>
          <t xml:space="preserve">random_15</t>
        </is>
      </c>
      <c r="C2435" s="0" t="inlineStr">
        <is>
          <t xml:space="preserve">d20260923</t>
        </is>
      </c>
      <c r="D2435" s="0" t="inlineStr">
        <is>
          <t xml:space="preserve">IVZ</t>
        </is>
      </c>
      <c r="E2435" s="0" t="inlineStr">
        <is>
          <t xml:space="preserve">financial_services</t>
        </is>
      </c>
      <c r="F2435" s="4">
        <v>34</v>
      </c>
    </row>
    <row r="2436">
      <c r="A2436" s="0" t="inlineStr">
        <is>
          <t xml:space="preserve">random_15_HRI</t>
        </is>
      </c>
      <c r="B2436" s="0" t="inlineStr">
        <is>
          <t xml:space="preserve">random_15</t>
        </is>
      </c>
      <c r="C2436" s="0" t="inlineStr">
        <is>
          <t xml:space="preserve">d20260923</t>
        </is>
      </c>
      <c r="D2436" s="0" t="inlineStr">
        <is>
          <t xml:space="preserve">HRI</t>
        </is>
      </c>
      <c r="E2436" s="0" t="inlineStr">
        <is>
          <t xml:space="preserve">industrials</t>
        </is>
      </c>
      <c r="F2436" s="4">
        <v>35</v>
      </c>
    </row>
    <row r="2437">
      <c r="A2437" s="0" t="inlineStr">
        <is>
          <t xml:space="preserve">random_15_EVR</t>
        </is>
      </c>
      <c r="B2437" s="0" t="inlineStr">
        <is>
          <t xml:space="preserve">random_15</t>
        </is>
      </c>
      <c r="C2437" s="0" t="inlineStr">
        <is>
          <t xml:space="preserve">d20260923</t>
        </is>
      </c>
      <c r="D2437" s="0" t="inlineStr">
        <is>
          <t xml:space="preserve">EVR</t>
        </is>
      </c>
      <c r="E2437" s="0" t="inlineStr">
        <is>
          <t xml:space="preserve">financial_services</t>
        </is>
      </c>
      <c r="F2437" s="4">
        <v>36</v>
      </c>
    </row>
    <row r="2438">
      <c r="A2438" s="0" t="inlineStr">
        <is>
          <t xml:space="preserve">random_15_PNW</t>
        </is>
      </c>
      <c r="B2438" s="0" t="inlineStr">
        <is>
          <t xml:space="preserve">random_15</t>
        </is>
      </c>
      <c r="C2438" s="0" t="inlineStr">
        <is>
          <t xml:space="preserve">d20260923</t>
        </is>
      </c>
      <c r="D2438" s="0" t="inlineStr">
        <is>
          <t xml:space="preserve">PNW</t>
        </is>
      </c>
      <c r="E2438" s="0" t="inlineStr">
        <is>
          <t xml:space="preserve">utilities</t>
        </is>
      </c>
      <c r="F2438" s="4">
        <v>37</v>
      </c>
    </row>
    <row r="2439">
      <c r="A2439" s="0" t="inlineStr">
        <is>
          <t xml:space="preserve">random_15_ISRG</t>
        </is>
      </c>
      <c r="B2439" s="0" t="inlineStr">
        <is>
          <t xml:space="preserve">random_15</t>
        </is>
      </c>
      <c r="C2439" s="0" t="inlineStr">
        <is>
          <t xml:space="preserve">d20260923</t>
        </is>
      </c>
      <c r="D2439" s="0" t="inlineStr">
        <is>
          <t xml:space="preserve">ISRG</t>
        </is>
      </c>
      <c r="E2439" s="0" t="inlineStr">
        <is>
          <t xml:space="preserve">healthcare</t>
        </is>
      </c>
      <c r="F2439" s="4">
        <v>38</v>
      </c>
    </row>
    <row r="2440">
      <c r="A2440" s="0" t="inlineStr">
        <is>
          <t xml:space="preserve">random_15_ADEA</t>
        </is>
      </c>
      <c r="B2440" s="0" t="inlineStr">
        <is>
          <t xml:space="preserve">random_15</t>
        </is>
      </c>
      <c r="C2440" s="0" t="inlineStr">
        <is>
          <t xml:space="preserve">d20260923</t>
        </is>
      </c>
      <c r="D2440" s="0" t="inlineStr">
        <is>
          <t xml:space="preserve">ADEA</t>
        </is>
      </c>
      <c r="E2440" s="0" t="inlineStr">
        <is>
          <t xml:space="preserve">technology</t>
        </is>
      </c>
      <c r="F2440" s="4">
        <v>39</v>
      </c>
    </row>
    <row r="2441">
      <c r="A2441" s="0" t="inlineStr">
        <is>
          <t xml:space="preserve">random_15_COP</t>
        </is>
      </c>
      <c r="B2441" s="0" t="inlineStr">
        <is>
          <t xml:space="preserve">random_15</t>
        </is>
      </c>
      <c r="C2441" s="0" t="inlineStr">
        <is>
          <t xml:space="preserve">d20260923</t>
        </is>
      </c>
      <c r="D2441" s="0" t="inlineStr">
        <is>
          <t xml:space="preserve">COP</t>
        </is>
      </c>
      <c r="E2441" s="0" t="inlineStr">
        <is>
          <t xml:space="preserve">energy</t>
        </is>
      </c>
      <c r="F2441" s="4">
        <v>40</v>
      </c>
    </row>
    <row r="2442">
      <c r="A2442" s="0" t="inlineStr">
        <is>
          <t xml:space="preserve">random_15_UNP</t>
        </is>
      </c>
      <c r="B2442" s="0" t="inlineStr">
        <is>
          <t xml:space="preserve">random_15</t>
        </is>
      </c>
      <c r="C2442" s="0" t="inlineStr">
        <is>
          <t xml:space="preserve">d20260923</t>
        </is>
      </c>
      <c r="D2442" s="0" t="inlineStr">
        <is>
          <t xml:space="preserve">UNP</t>
        </is>
      </c>
      <c r="E2442" s="0" t="inlineStr">
        <is>
          <t xml:space="preserve">industrials</t>
        </is>
      </c>
      <c r="F2442" s="4">
        <v>41</v>
      </c>
    </row>
    <row r="2443">
      <c r="A2443" s="0" t="inlineStr">
        <is>
          <t xml:space="preserve">random_15_GPK</t>
        </is>
      </c>
      <c r="B2443" s="0" t="inlineStr">
        <is>
          <t xml:space="preserve">random_15</t>
        </is>
      </c>
      <c r="C2443" s="0" t="inlineStr">
        <is>
          <t xml:space="preserve">d20260923</t>
        </is>
      </c>
      <c r="D2443" s="0" t="inlineStr">
        <is>
          <t xml:space="preserve">GPK</t>
        </is>
      </c>
      <c r="E2443" s="0" t="inlineStr">
        <is>
          <t xml:space="preserve">consumer_cyclical</t>
        </is>
      </c>
      <c r="F2443" s="4">
        <v>42</v>
      </c>
    </row>
    <row r="2444">
      <c r="A2444" s="0" t="inlineStr">
        <is>
          <t xml:space="preserve">random_15_DOCN</t>
        </is>
      </c>
      <c r="B2444" s="0" t="inlineStr">
        <is>
          <t xml:space="preserve">random_15</t>
        </is>
      </c>
      <c r="C2444" s="0" t="inlineStr">
        <is>
          <t xml:space="preserve">d20260923</t>
        </is>
      </c>
      <c r="D2444" s="0" t="inlineStr">
        <is>
          <t xml:space="preserve">DOCN</t>
        </is>
      </c>
      <c r="E2444" s="0" t="inlineStr">
        <is>
          <t xml:space="preserve">technology</t>
        </is>
      </c>
      <c r="F2444" s="4">
        <v>43</v>
      </c>
    </row>
    <row r="2445">
      <c r="A2445" s="0" t="inlineStr">
        <is>
          <t xml:space="preserve">random_15_STGW</t>
        </is>
      </c>
      <c r="B2445" s="0" t="inlineStr">
        <is>
          <t xml:space="preserve">random_15</t>
        </is>
      </c>
      <c r="C2445" s="0" t="inlineStr">
        <is>
          <t xml:space="preserve">d20260923</t>
        </is>
      </c>
      <c r="D2445" s="0" t="inlineStr">
        <is>
          <t xml:space="preserve">STGW</t>
        </is>
      </c>
      <c r="E2445" s="0" t="inlineStr">
        <is>
          <t xml:space="preserve">communication_services</t>
        </is>
      </c>
      <c r="F2445" s="4">
        <v>44</v>
      </c>
    </row>
    <row r="2446">
      <c r="A2446" s="0" t="inlineStr">
        <is>
          <t xml:space="preserve">random_15_CAKE</t>
        </is>
      </c>
      <c r="B2446" s="0" t="inlineStr">
        <is>
          <t xml:space="preserve">random_15</t>
        </is>
      </c>
      <c r="C2446" s="0" t="inlineStr">
        <is>
          <t xml:space="preserve">d20260923</t>
        </is>
      </c>
      <c r="D2446" s="0" t="inlineStr">
        <is>
          <t xml:space="preserve">CAKE</t>
        </is>
      </c>
      <c r="E2446" s="0" t="inlineStr">
        <is>
          <t xml:space="preserve">consumer_cyclical</t>
        </is>
      </c>
      <c r="F2446" s="4">
        <v>45</v>
      </c>
    </row>
    <row r="2447">
      <c r="A2447" s="0" t="inlineStr">
        <is>
          <t xml:space="preserve">random_15_XPO</t>
        </is>
      </c>
      <c r="B2447" s="0" t="inlineStr">
        <is>
          <t xml:space="preserve">random_15</t>
        </is>
      </c>
      <c r="C2447" s="0" t="inlineStr">
        <is>
          <t xml:space="preserve">d20260923</t>
        </is>
      </c>
      <c r="D2447" s="0" t="inlineStr">
        <is>
          <t xml:space="preserve">XPO</t>
        </is>
      </c>
      <c r="E2447" s="0" t="inlineStr">
        <is>
          <t xml:space="preserve">industrials</t>
        </is>
      </c>
      <c r="F2447" s="4">
        <v>46</v>
      </c>
    </row>
    <row r="2448">
      <c r="A2448" s="0" t="inlineStr">
        <is>
          <t xml:space="preserve">random_15_GDDY</t>
        </is>
      </c>
      <c r="B2448" s="0" t="inlineStr">
        <is>
          <t xml:space="preserve">random_15</t>
        </is>
      </c>
      <c r="C2448" s="0" t="inlineStr">
        <is>
          <t xml:space="preserve">d20260923</t>
        </is>
      </c>
      <c r="D2448" s="0" t="inlineStr">
        <is>
          <t xml:space="preserve">GDDY</t>
        </is>
      </c>
      <c r="E2448" s="0" t="inlineStr">
        <is>
          <t xml:space="preserve">technology</t>
        </is>
      </c>
      <c r="F2448" s="4">
        <v>47</v>
      </c>
    </row>
    <row r="2449">
      <c r="A2449" s="0" t="inlineStr">
        <is>
          <t xml:space="preserve">random_15_ORCL</t>
        </is>
      </c>
      <c r="B2449" s="0" t="inlineStr">
        <is>
          <t xml:space="preserve">random_15</t>
        </is>
      </c>
      <c r="C2449" s="0" t="inlineStr">
        <is>
          <t xml:space="preserve">d20260923</t>
        </is>
      </c>
      <c r="D2449" s="0" t="inlineStr">
        <is>
          <t xml:space="preserve">ORCL</t>
        </is>
      </c>
      <c r="E2449" s="0" t="inlineStr">
        <is>
          <t xml:space="preserve">technology</t>
        </is>
      </c>
      <c r="F2449" s="4">
        <v>48</v>
      </c>
    </row>
    <row r="2450">
      <c r="A2450" s="0" t="inlineStr">
        <is>
          <t xml:space="preserve">random_15_FHN</t>
        </is>
      </c>
      <c r="B2450" s="0" t="inlineStr">
        <is>
          <t xml:space="preserve">random_15</t>
        </is>
      </c>
      <c r="C2450" s="0" t="inlineStr">
        <is>
          <t xml:space="preserve">d20260923</t>
        </is>
      </c>
      <c r="D2450" s="0" t="inlineStr">
        <is>
          <t xml:space="preserve">FHN</t>
        </is>
      </c>
      <c r="E2450" s="0" t="inlineStr">
        <is>
          <t xml:space="preserve">financial_services</t>
        </is>
      </c>
      <c r="F2450" s="4">
        <v>49</v>
      </c>
    </row>
    <row r="2451">
      <c r="A2451" s="0" t="inlineStr">
        <is>
          <t xml:space="preserve">random_15_MMED</t>
        </is>
      </c>
      <c r="B2451" s="0" t="inlineStr">
        <is>
          <t xml:space="preserve">random_15</t>
        </is>
      </c>
      <c r="C2451" s="0" t="inlineStr">
        <is>
          <t xml:space="preserve">d20260923</t>
        </is>
      </c>
      <c r="D2451" s="0" t="inlineStr">
        <is>
          <t xml:space="preserve">MMED</t>
        </is>
      </c>
      <c r="E2451" s="0" t="inlineStr">
        <is>
          <t xml:space="preserve">healthcare</t>
        </is>
      </c>
      <c r="F2451" s="4">
        <v>50</v>
      </c>
    </row>
    <row r="2452">
      <c r="A2452" s="0" t="inlineStr">
        <is>
          <t xml:space="preserve">random_15_TFC</t>
        </is>
      </c>
      <c r="B2452" s="0" t="inlineStr">
        <is>
          <t xml:space="preserve">random_15</t>
        </is>
      </c>
      <c r="C2452" s="0" t="inlineStr">
        <is>
          <t xml:space="preserve">d20260923</t>
        </is>
      </c>
      <c r="D2452" s="0" t="inlineStr">
        <is>
          <t xml:space="preserve">TFC</t>
        </is>
      </c>
      <c r="E2452" s="0" t="inlineStr">
        <is>
          <t xml:space="preserve">financial_services</t>
        </is>
      </c>
      <c r="F2452" s="4">
        <v>51</v>
      </c>
    </row>
    <row r="2453">
      <c r="A2453" s="0" t="inlineStr">
        <is>
          <t xml:space="preserve">random_15_BCC</t>
        </is>
      </c>
      <c r="B2453" s="0" t="inlineStr">
        <is>
          <t xml:space="preserve">random_15</t>
        </is>
      </c>
      <c r="C2453" s="0" t="inlineStr">
        <is>
          <t xml:space="preserve">d20260923</t>
        </is>
      </c>
      <c r="D2453" s="0" t="inlineStr">
        <is>
          <t xml:space="preserve">BCC</t>
        </is>
      </c>
      <c r="E2453" s="0" t="inlineStr">
        <is>
          <t xml:space="preserve">basic_materials</t>
        </is>
      </c>
      <c r="F2453" s="4">
        <v>52</v>
      </c>
    </row>
    <row r="2454">
      <c r="A2454" s="0" t="inlineStr">
        <is>
          <t xml:space="preserve">random_15_BWA</t>
        </is>
      </c>
      <c r="B2454" s="0" t="inlineStr">
        <is>
          <t xml:space="preserve">random_15</t>
        </is>
      </c>
      <c r="C2454" s="0" t="inlineStr">
        <is>
          <t xml:space="preserve">d20260923</t>
        </is>
      </c>
      <c r="D2454" s="0" t="inlineStr">
        <is>
          <t xml:space="preserve">BWA</t>
        </is>
      </c>
      <c r="E2454" s="0" t="inlineStr">
        <is>
          <t xml:space="preserve">consumer_cyclical</t>
        </is>
      </c>
      <c r="F2454" s="4">
        <v>53</v>
      </c>
    </row>
    <row r="2455">
      <c r="A2455" s="0" t="inlineStr">
        <is>
          <t xml:space="preserve">random_15_VRT</t>
        </is>
      </c>
      <c r="B2455" s="0" t="inlineStr">
        <is>
          <t xml:space="preserve">random_15</t>
        </is>
      </c>
      <c r="C2455" s="0" t="inlineStr">
        <is>
          <t xml:space="preserve">d20260923</t>
        </is>
      </c>
      <c r="D2455" s="0" t="inlineStr">
        <is>
          <t xml:space="preserve">VRT</t>
        </is>
      </c>
      <c r="E2455" s="0" t="inlineStr">
        <is>
          <t xml:space="preserve">industrials</t>
        </is>
      </c>
      <c r="F2455" s="4">
        <v>54</v>
      </c>
    </row>
    <row r="2456">
      <c r="A2456" s="0" t="inlineStr">
        <is>
          <t xml:space="preserve">random_15_CLX</t>
        </is>
      </c>
      <c r="B2456" s="0" t="inlineStr">
        <is>
          <t xml:space="preserve">random_15</t>
        </is>
      </c>
      <c r="C2456" s="0" t="inlineStr">
        <is>
          <t xml:space="preserve">d20260923</t>
        </is>
      </c>
      <c r="D2456" s="0" t="inlineStr">
        <is>
          <t xml:space="preserve">CLX</t>
        </is>
      </c>
      <c r="E2456" s="0" t="inlineStr">
        <is>
          <t xml:space="preserve">consumer_defensive</t>
        </is>
      </c>
      <c r="F2456" s="4">
        <v>55</v>
      </c>
    </row>
    <row r="2457">
      <c r="A2457" s="0" t="inlineStr">
        <is>
          <t xml:space="preserve">random_15_SSD</t>
        </is>
      </c>
      <c r="B2457" s="0" t="inlineStr">
        <is>
          <t xml:space="preserve">random_15</t>
        </is>
      </c>
      <c r="C2457" s="0" t="inlineStr">
        <is>
          <t xml:space="preserve">d20260923</t>
        </is>
      </c>
      <c r="D2457" s="0" t="inlineStr">
        <is>
          <t xml:space="preserve">SSD</t>
        </is>
      </c>
      <c r="E2457" s="0" t="inlineStr">
        <is>
          <t xml:space="preserve">basic_materials</t>
        </is>
      </c>
      <c r="F2457" s="4">
        <v>56</v>
      </c>
    </row>
    <row r="2458">
      <c r="A2458" s="0" t="inlineStr">
        <is>
          <t xml:space="preserve">random_15_HLNE</t>
        </is>
      </c>
      <c r="B2458" s="0" t="inlineStr">
        <is>
          <t xml:space="preserve">random_15</t>
        </is>
      </c>
      <c r="C2458" s="0" t="inlineStr">
        <is>
          <t xml:space="preserve">d20260923</t>
        </is>
      </c>
      <c r="D2458" s="0" t="inlineStr">
        <is>
          <t xml:space="preserve">HLNE</t>
        </is>
      </c>
      <c r="E2458" s="0" t="inlineStr">
        <is>
          <t xml:space="preserve">financial_services</t>
        </is>
      </c>
      <c r="F2458" s="4">
        <v>57</v>
      </c>
    </row>
    <row r="2459">
      <c r="A2459" s="0" t="inlineStr">
        <is>
          <t xml:space="preserve">random_15_MSTR</t>
        </is>
      </c>
      <c r="B2459" s="0" t="inlineStr">
        <is>
          <t xml:space="preserve">random_15</t>
        </is>
      </c>
      <c r="C2459" s="0" t="inlineStr">
        <is>
          <t xml:space="preserve">d20260923</t>
        </is>
      </c>
      <c r="D2459" s="0" t="inlineStr">
        <is>
          <t xml:space="preserve">MSTR</t>
        </is>
      </c>
      <c r="E2459" s="0" t="inlineStr">
        <is>
          <t xml:space="preserve">technology</t>
        </is>
      </c>
      <c r="F2459" s="4">
        <v>58</v>
      </c>
    </row>
    <row r="2460">
      <c r="A2460" s="0" t="inlineStr">
        <is>
          <t xml:space="preserve">random_15_JNJ</t>
        </is>
      </c>
      <c r="B2460" s="0" t="inlineStr">
        <is>
          <t xml:space="preserve">random_15</t>
        </is>
      </c>
      <c r="C2460" s="0" t="inlineStr">
        <is>
          <t xml:space="preserve">d20260923</t>
        </is>
      </c>
      <c r="D2460" s="0" t="inlineStr">
        <is>
          <t xml:space="preserve">JNJ</t>
        </is>
      </c>
      <c r="E2460" s="0" t="inlineStr">
        <is>
          <t xml:space="preserve">healthcare</t>
        </is>
      </c>
      <c r="F2460" s="4">
        <v>59</v>
      </c>
    </row>
    <row r="2461">
      <c r="A2461" s="0" t="inlineStr">
        <is>
          <t xml:space="preserve">random_15_CARR</t>
        </is>
      </c>
      <c r="B2461" s="0" t="inlineStr">
        <is>
          <t xml:space="preserve">random_15</t>
        </is>
      </c>
      <c r="C2461" s="0" t="inlineStr">
        <is>
          <t xml:space="preserve">d20260923</t>
        </is>
      </c>
      <c r="D2461" s="0" t="inlineStr">
        <is>
          <t xml:space="preserve">CARR</t>
        </is>
      </c>
      <c r="E2461" s="0" t="inlineStr">
        <is>
          <t xml:space="preserve">industrials</t>
        </is>
      </c>
      <c r="F2461" s="4">
        <v>60</v>
      </c>
    </row>
    <row r="2462">
      <c r="A2462" s="0" t="inlineStr">
        <is>
          <t xml:space="preserve">random_15_OGN</t>
        </is>
      </c>
      <c r="B2462" s="0" t="inlineStr">
        <is>
          <t xml:space="preserve">random_15</t>
        </is>
      </c>
      <c r="C2462" s="0" t="inlineStr">
        <is>
          <t xml:space="preserve">d20260923</t>
        </is>
      </c>
      <c r="D2462" s="0" t="inlineStr">
        <is>
          <t xml:space="preserve">OGN</t>
        </is>
      </c>
      <c r="E2462" s="0" t="inlineStr">
        <is>
          <t xml:space="preserve">healthcare</t>
        </is>
      </c>
      <c r="F2462" s="4">
        <v>61</v>
      </c>
    </row>
    <row r="2463">
      <c r="A2463" s="0" t="inlineStr">
        <is>
          <t xml:space="preserve">random_15_AMD</t>
        </is>
      </c>
      <c r="B2463" s="0" t="inlineStr">
        <is>
          <t xml:space="preserve">random_15</t>
        </is>
      </c>
      <c r="C2463" s="0" t="inlineStr">
        <is>
          <t xml:space="preserve">d20260923</t>
        </is>
      </c>
      <c r="D2463" s="0" t="inlineStr">
        <is>
          <t xml:space="preserve">AMD</t>
        </is>
      </c>
      <c r="E2463" s="0" t="inlineStr">
        <is>
          <t xml:space="preserve">technology</t>
        </is>
      </c>
      <c r="F2463" s="4">
        <v>62</v>
      </c>
    </row>
    <row r="2464">
      <c r="A2464" s="0" t="inlineStr">
        <is>
          <t xml:space="preserve">random_15_AAON</t>
        </is>
      </c>
      <c r="B2464" s="0" t="inlineStr">
        <is>
          <t xml:space="preserve">random_15</t>
        </is>
      </c>
      <c r="C2464" s="0" t="inlineStr">
        <is>
          <t xml:space="preserve">d20260923</t>
        </is>
      </c>
      <c r="D2464" s="0" t="inlineStr">
        <is>
          <t xml:space="preserve">AAON</t>
        </is>
      </c>
      <c r="E2464" s="0" t="inlineStr">
        <is>
          <t xml:space="preserve">industrials</t>
        </is>
      </c>
      <c r="F2464" s="4">
        <v>63</v>
      </c>
    </row>
    <row r="2465">
      <c r="A2465" s="0" t="inlineStr">
        <is>
          <t xml:space="preserve">random_15_FE</t>
        </is>
      </c>
      <c r="B2465" s="0" t="inlineStr">
        <is>
          <t xml:space="preserve">random_15</t>
        </is>
      </c>
      <c r="C2465" s="0" t="inlineStr">
        <is>
          <t xml:space="preserve">d20260923</t>
        </is>
      </c>
      <c r="D2465" s="0" t="inlineStr">
        <is>
          <t xml:space="preserve">FE</t>
        </is>
      </c>
      <c r="E2465" s="0" t="inlineStr">
        <is>
          <t xml:space="preserve">utilities</t>
        </is>
      </c>
      <c r="F2465" s="4">
        <v>64</v>
      </c>
    </row>
    <row r="2466">
      <c r="A2466" s="0" t="inlineStr">
        <is>
          <t xml:space="preserve">random_15_NUE</t>
        </is>
      </c>
      <c r="B2466" s="0" t="inlineStr">
        <is>
          <t xml:space="preserve">random_15</t>
        </is>
      </c>
      <c r="C2466" s="0" t="inlineStr">
        <is>
          <t xml:space="preserve">d20260923</t>
        </is>
      </c>
      <c r="D2466" s="0" t="inlineStr">
        <is>
          <t xml:space="preserve">NUE</t>
        </is>
      </c>
      <c r="E2466" s="0" t="inlineStr">
        <is>
          <t xml:space="preserve">basic_materials</t>
        </is>
      </c>
      <c r="F2466" s="4">
        <v>65</v>
      </c>
    </row>
    <row r="2467">
      <c r="A2467" s="0" t="inlineStr">
        <is>
          <t xml:space="preserve">random_15_ASTS</t>
        </is>
      </c>
      <c r="B2467" s="0" t="inlineStr">
        <is>
          <t xml:space="preserve">random_15</t>
        </is>
      </c>
      <c r="C2467" s="0" t="inlineStr">
        <is>
          <t xml:space="preserve">d20260923</t>
        </is>
      </c>
      <c r="D2467" s="0" t="inlineStr">
        <is>
          <t xml:space="preserve">ASTS</t>
        </is>
      </c>
      <c r="E2467" s="0" t="inlineStr">
        <is>
          <t xml:space="preserve">communication_services</t>
        </is>
      </c>
      <c r="F2467" s="4">
        <v>66</v>
      </c>
    </row>
    <row r="2468">
      <c r="A2468" s="0" t="inlineStr">
        <is>
          <t xml:space="preserve">random_15_TWST</t>
        </is>
      </c>
      <c r="B2468" s="0" t="inlineStr">
        <is>
          <t xml:space="preserve">random_15</t>
        </is>
      </c>
      <c r="C2468" s="0" t="inlineStr">
        <is>
          <t xml:space="preserve">d20260923</t>
        </is>
      </c>
      <c r="D2468" s="0" t="inlineStr">
        <is>
          <t xml:space="preserve">TWST</t>
        </is>
      </c>
      <c r="E2468" s="0" t="inlineStr">
        <is>
          <t xml:space="preserve">healthcare</t>
        </is>
      </c>
      <c r="F2468" s="4">
        <v>67</v>
      </c>
    </row>
    <row r="2469">
      <c r="A2469" s="0" t="inlineStr">
        <is>
          <t xml:space="preserve">random_15_FTAI</t>
        </is>
      </c>
      <c r="B2469" s="0" t="inlineStr">
        <is>
          <t xml:space="preserve">random_15</t>
        </is>
      </c>
      <c r="C2469" s="0" t="inlineStr">
        <is>
          <t xml:space="preserve">d20260923</t>
        </is>
      </c>
      <c r="D2469" s="0" t="inlineStr">
        <is>
          <t xml:space="preserve">FTAI</t>
        </is>
      </c>
      <c r="E2469" s="0" t="inlineStr">
        <is>
          <t xml:space="preserve">industrials</t>
        </is>
      </c>
      <c r="F2469" s="4">
        <v>68</v>
      </c>
    </row>
    <row r="2470">
      <c r="A2470" s="0" t="inlineStr">
        <is>
          <t xml:space="preserve">random_15_NCLH</t>
        </is>
      </c>
      <c r="B2470" s="0" t="inlineStr">
        <is>
          <t xml:space="preserve">random_15</t>
        </is>
      </c>
      <c r="C2470" s="0" t="inlineStr">
        <is>
          <t xml:space="preserve">d20260923</t>
        </is>
      </c>
      <c r="D2470" s="0" t="inlineStr">
        <is>
          <t xml:space="preserve">NCLH</t>
        </is>
      </c>
      <c r="E2470" s="0" t="inlineStr">
        <is>
          <t xml:space="preserve">consumer_cyclical</t>
        </is>
      </c>
      <c r="F2470" s="4">
        <v>69</v>
      </c>
    </row>
    <row r="2471">
      <c r="A2471" s="0" t="inlineStr">
        <is>
          <t xml:space="preserve">random_15_EQT</t>
        </is>
      </c>
      <c r="B2471" s="0" t="inlineStr">
        <is>
          <t xml:space="preserve">random_15</t>
        </is>
      </c>
      <c r="C2471" s="0" t="inlineStr">
        <is>
          <t xml:space="preserve">d20260923</t>
        </is>
      </c>
      <c r="D2471" s="0" t="inlineStr">
        <is>
          <t xml:space="preserve">EQT</t>
        </is>
      </c>
      <c r="E2471" s="0" t="inlineStr">
        <is>
          <t xml:space="preserve">energy</t>
        </is>
      </c>
      <c r="F2471" s="4">
        <v>70</v>
      </c>
    </row>
    <row r="2472">
      <c r="A2472" s="0" t="inlineStr">
        <is>
          <t xml:space="preserve">random_15_BULL</t>
        </is>
      </c>
      <c r="B2472" s="0" t="inlineStr">
        <is>
          <t xml:space="preserve">random_15</t>
        </is>
      </c>
      <c r="C2472" s="0" t="inlineStr">
        <is>
          <t xml:space="preserve">d20260923</t>
        </is>
      </c>
      <c r="D2472" s="0" t="inlineStr">
        <is>
          <t xml:space="preserve">BULL</t>
        </is>
      </c>
      <c r="E2472" s="0" t="inlineStr">
        <is>
          <t xml:space="preserve">technology</t>
        </is>
      </c>
      <c r="F2472" s="4">
        <v>71</v>
      </c>
    </row>
    <row r="2473">
      <c r="A2473" s="0" t="inlineStr">
        <is>
          <t xml:space="preserve">random_15_MKSI</t>
        </is>
      </c>
      <c r="B2473" s="0" t="inlineStr">
        <is>
          <t xml:space="preserve">random_15</t>
        </is>
      </c>
      <c r="C2473" s="0" t="inlineStr">
        <is>
          <t xml:space="preserve">d20260923</t>
        </is>
      </c>
      <c r="D2473" s="0" t="inlineStr">
        <is>
          <t xml:space="preserve">MKSI</t>
        </is>
      </c>
      <c r="E2473" s="0" t="inlineStr">
        <is>
          <t xml:space="preserve">technology</t>
        </is>
      </c>
      <c r="F2473" s="4">
        <v>72</v>
      </c>
    </row>
    <row r="2474">
      <c r="A2474" s="0" t="inlineStr">
        <is>
          <t xml:space="preserve">random_15_ALNY</t>
        </is>
      </c>
      <c r="B2474" s="0" t="inlineStr">
        <is>
          <t xml:space="preserve">random_15</t>
        </is>
      </c>
      <c r="C2474" s="0" t="inlineStr">
        <is>
          <t xml:space="preserve">d20260923</t>
        </is>
      </c>
      <c r="D2474" s="0" t="inlineStr">
        <is>
          <t xml:space="preserve">ALNY</t>
        </is>
      </c>
      <c r="E2474" s="0" t="inlineStr">
        <is>
          <t xml:space="preserve">healthcare</t>
        </is>
      </c>
      <c r="F2474" s="4">
        <v>73</v>
      </c>
    </row>
    <row r="2475">
      <c r="A2475" s="0" t="inlineStr">
        <is>
          <t xml:space="preserve">random_15_RBLX</t>
        </is>
      </c>
      <c r="B2475" s="0" t="inlineStr">
        <is>
          <t xml:space="preserve">random_15</t>
        </is>
      </c>
      <c r="C2475" s="0" t="inlineStr">
        <is>
          <t xml:space="preserve">d20260923</t>
        </is>
      </c>
      <c r="D2475" s="0" t="inlineStr">
        <is>
          <t xml:space="preserve">RBLX</t>
        </is>
      </c>
      <c r="E2475" s="0" t="inlineStr">
        <is>
          <t xml:space="preserve">technology</t>
        </is>
      </c>
      <c r="F2475" s="4">
        <v>74</v>
      </c>
    </row>
    <row r="2476">
      <c r="A2476" s="0" t="inlineStr">
        <is>
          <t xml:space="preserve">random_15_BKU</t>
        </is>
      </c>
      <c r="B2476" s="0" t="inlineStr">
        <is>
          <t xml:space="preserve">random_15</t>
        </is>
      </c>
      <c r="C2476" s="0" t="inlineStr">
        <is>
          <t xml:space="preserve">d20260923</t>
        </is>
      </c>
      <c r="D2476" s="0" t="inlineStr">
        <is>
          <t xml:space="preserve">BKU</t>
        </is>
      </c>
      <c r="E2476" s="0" t="inlineStr">
        <is>
          <t xml:space="preserve">financial_services</t>
        </is>
      </c>
      <c r="F2476" s="4">
        <v>75</v>
      </c>
    </row>
    <row r="2477">
      <c r="A2477" s="0" t="inlineStr">
        <is>
          <t xml:space="preserve">random_15_NBIX</t>
        </is>
      </c>
      <c r="B2477" s="0" t="inlineStr">
        <is>
          <t xml:space="preserve">random_15</t>
        </is>
      </c>
      <c r="C2477" s="0" t="inlineStr">
        <is>
          <t xml:space="preserve">d20260923</t>
        </is>
      </c>
      <c r="D2477" s="0" t="inlineStr">
        <is>
          <t xml:space="preserve">NBIX</t>
        </is>
      </c>
      <c r="E2477" s="0" t="inlineStr">
        <is>
          <t xml:space="preserve">healthcare</t>
        </is>
      </c>
      <c r="F2477" s="4">
        <v>76</v>
      </c>
    </row>
    <row r="2478">
      <c r="A2478" s="0" t="inlineStr">
        <is>
          <t xml:space="preserve">random_15_WAT</t>
        </is>
      </c>
      <c r="B2478" s="0" t="inlineStr">
        <is>
          <t xml:space="preserve">random_15</t>
        </is>
      </c>
      <c r="C2478" s="0" t="inlineStr">
        <is>
          <t xml:space="preserve">d20260923</t>
        </is>
      </c>
      <c r="D2478" s="0" t="inlineStr">
        <is>
          <t xml:space="preserve">WAT</t>
        </is>
      </c>
      <c r="E2478" s="0" t="inlineStr">
        <is>
          <t xml:space="preserve">healthcare</t>
        </is>
      </c>
      <c r="F2478" s="4">
        <v>77</v>
      </c>
    </row>
    <row r="2479">
      <c r="A2479" s="0" t="inlineStr">
        <is>
          <t xml:space="preserve">random_15_JOBY</t>
        </is>
      </c>
      <c r="B2479" s="0" t="inlineStr">
        <is>
          <t xml:space="preserve">random_15</t>
        </is>
      </c>
      <c r="C2479" s="0" t="inlineStr">
        <is>
          <t xml:space="preserve">d20260923</t>
        </is>
      </c>
      <c r="D2479" s="0" t="inlineStr">
        <is>
          <t xml:space="preserve">JOBY</t>
        </is>
      </c>
      <c r="E2479" s="0" t="inlineStr">
        <is>
          <t xml:space="preserve">industrials</t>
        </is>
      </c>
      <c r="F2479" s="4">
        <v>78</v>
      </c>
    </row>
    <row r="2480">
      <c r="A2480" s="0" t="inlineStr">
        <is>
          <t xml:space="preserve">random_15_LGND</t>
        </is>
      </c>
      <c r="B2480" s="0" t="inlineStr">
        <is>
          <t xml:space="preserve">random_15</t>
        </is>
      </c>
      <c r="C2480" s="0" t="inlineStr">
        <is>
          <t xml:space="preserve">d20260923</t>
        </is>
      </c>
      <c r="D2480" s="0" t="inlineStr">
        <is>
          <t xml:space="preserve">LGND</t>
        </is>
      </c>
      <c r="E2480" s="0" t="inlineStr">
        <is>
          <t xml:space="preserve">healthcare</t>
        </is>
      </c>
      <c r="F2480" s="4">
        <v>79</v>
      </c>
    </row>
    <row r="2481">
      <c r="A2481" s="0" t="inlineStr">
        <is>
          <t xml:space="preserve">random_15_TXT</t>
        </is>
      </c>
      <c r="B2481" s="0" t="inlineStr">
        <is>
          <t xml:space="preserve">random_15</t>
        </is>
      </c>
      <c r="C2481" s="0" t="inlineStr">
        <is>
          <t xml:space="preserve">d20260923</t>
        </is>
      </c>
      <c r="D2481" s="0" t="inlineStr">
        <is>
          <t xml:space="preserve">TXT</t>
        </is>
      </c>
      <c r="E2481" s="0" t="inlineStr">
        <is>
          <t xml:space="preserve">industrials</t>
        </is>
      </c>
      <c r="F2481" s="4">
        <v>80</v>
      </c>
    </row>
    <row r="2482">
      <c r="A2482" s="0" t="inlineStr">
        <is>
          <t xml:space="preserve">random_15_VECO</t>
        </is>
      </c>
      <c r="B2482" s="0" t="inlineStr">
        <is>
          <t xml:space="preserve">random_15</t>
        </is>
      </c>
      <c r="C2482" s="0" t="inlineStr">
        <is>
          <t xml:space="preserve">d20260923</t>
        </is>
      </c>
      <c r="D2482" s="0" t="inlineStr">
        <is>
          <t xml:space="preserve">VECO</t>
        </is>
      </c>
      <c r="E2482" s="0" t="inlineStr">
        <is>
          <t xml:space="preserve">technology</t>
        </is>
      </c>
      <c r="F2482" s="4">
        <v>81</v>
      </c>
    </row>
    <row r="2483">
      <c r="A2483" s="0" t="inlineStr">
        <is>
          <t xml:space="preserve">random_15_RLAY</t>
        </is>
      </c>
      <c r="B2483" s="0" t="inlineStr">
        <is>
          <t xml:space="preserve">random_15</t>
        </is>
      </c>
      <c r="C2483" s="0" t="inlineStr">
        <is>
          <t xml:space="preserve">d20260923</t>
        </is>
      </c>
      <c r="D2483" s="0" t="inlineStr">
        <is>
          <t xml:space="preserve">RLAY</t>
        </is>
      </c>
      <c r="E2483" s="0" t="inlineStr">
        <is>
          <t xml:space="preserve">healthcare</t>
        </is>
      </c>
      <c r="F2483" s="4">
        <v>82</v>
      </c>
    </row>
    <row r="2484">
      <c r="A2484" s="0" t="inlineStr">
        <is>
          <t xml:space="preserve">random_15_HL</t>
        </is>
      </c>
      <c r="B2484" s="0" t="inlineStr">
        <is>
          <t xml:space="preserve">random_15</t>
        </is>
      </c>
      <c r="C2484" s="0" t="inlineStr">
        <is>
          <t xml:space="preserve">d20260923</t>
        </is>
      </c>
      <c r="D2484" s="0" t="inlineStr">
        <is>
          <t xml:space="preserve">HL</t>
        </is>
      </c>
      <c r="E2484" s="0" t="inlineStr">
        <is>
          <t xml:space="preserve">basic_materials</t>
        </is>
      </c>
      <c r="F2484" s="4">
        <v>83</v>
      </c>
    </row>
    <row r="2485">
      <c r="A2485" s="0" t="inlineStr">
        <is>
          <t xml:space="preserve">random_15_CWK</t>
        </is>
      </c>
      <c r="B2485" s="0" t="inlineStr">
        <is>
          <t xml:space="preserve">random_15</t>
        </is>
      </c>
      <c r="C2485" s="0" t="inlineStr">
        <is>
          <t xml:space="preserve">d20260923</t>
        </is>
      </c>
      <c r="D2485" s="0" t="inlineStr">
        <is>
          <t xml:space="preserve">CWK</t>
        </is>
      </c>
      <c r="E2485" s="0" t="inlineStr">
        <is>
          <t xml:space="preserve">real_estate</t>
        </is>
      </c>
      <c r="F2485" s="4">
        <v>84</v>
      </c>
    </row>
    <row r="2486">
      <c r="A2486" s="0" t="inlineStr">
        <is>
          <t xml:space="preserve">random_15_DECK</t>
        </is>
      </c>
      <c r="B2486" s="0" t="inlineStr">
        <is>
          <t xml:space="preserve">random_15</t>
        </is>
      </c>
      <c r="C2486" s="0" t="inlineStr">
        <is>
          <t xml:space="preserve">d20260923</t>
        </is>
      </c>
      <c r="D2486" s="0" t="inlineStr">
        <is>
          <t xml:space="preserve">DECK</t>
        </is>
      </c>
      <c r="E2486" s="0" t="inlineStr">
        <is>
          <t xml:space="preserve">consumer_cyclical</t>
        </is>
      </c>
      <c r="F2486" s="4">
        <v>85</v>
      </c>
    </row>
    <row r="2487">
      <c r="A2487" s="0" t="inlineStr">
        <is>
          <t xml:space="preserve">random_15_CALM</t>
        </is>
      </c>
      <c r="B2487" s="0" t="inlineStr">
        <is>
          <t xml:space="preserve">random_15</t>
        </is>
      </c>
      <c r="C2487" s="0" t="inlineStr">
        <is>
          <t xml:space="preserve">d20260923</t>
        </is>
      </c>
      <c r="D2487" s="0" t="inlineStr">
        <is>
          <t xml:space="preserve">CALM</t>
        </is>
      </c>
      <c r="E2487" s="0" t="inlineStr">
        <is>
          <t xml:space="preserve">consumer_defensive</t>
        </is>
      </c>
      <c r="F2487" s="4">
        <v>86</v>
      </c>
    </row>
    <row r="2488">
      <c r="A2488" s="0" t="inlineStr">
        <is>
          <t xml:space="preserve">random_15_FDXF</t>
        </is>
      </c>
      <c r="B2488" s="0" t="inlineStr">
        <is>
          <t xml:space="preserve">random_15</t>
        </is>
      </c>
      <c r="C2488" s="0" t="inlineStr">
        <is>
          <t xml:space="preserve">d20260923</t>
        </is>
      </c>
      <c r="D2488" s="0" t="inlineStr">
        <is>
          <t xml:space="preserve">FDXF</t>
        </is>
      </c>
      <c r="E2488" s="0" t="inlineStr">
        <is>
          <t xml:space="preserve">industrials</t>
        </is>
      </c>
      <c r="F2488" s="4">
        <v>87</v>
      </c>
    </row>
    <row r="2489">
      <c r="A2489" s="0" t="inlineStr">
        <is>
          <t xml:space="preserve">random_15_CIFR</t>
        </is>
      </c>
      <c r="B2489" s="0" t="inlineStr">
        <is>
          <t xml:space="preserve">random_15</t>
        </is>
      </c>
      <c r="C2489" s="0" t="inlineStr">
        <is>
          <t xml:space="preserve">d20260923</t>
        </is>
      </c>
      <c r="D2489" s="0" t="inlineStr">
        <is>
          <t xml:space="preserve">CIFR</t>
        </is>
      </c>
      <c r="E2489" s="0" t="inlineStr">
        <is>
          <t xml:space="preserve">technology</t>
        </is>
      </c>
      <c r="F2489" s="4">
        <v>88</v>
      </c>
    </row>
    <row r="2490">
      <c r="A2490" s="0" t="inlineStr">
        <is>
          <t xml:space="preserve">random_15_BCRX</t>
        </is>
      </c>
      <c r="B2490" s="0" t="inlineStr">
        <is>
          <t xml:space="preserve">random_15</t>
        </is>
      </c>
      <c r="C2490" s="0" t="inlineStr">
        <is>
          <t xml:space="preserve">d20260923</t>
        </is>
      </c>
      <c r="D2490" s="0" t="inlineStr">
        <is>
          <t xml:space="preserve">BCRX</t>
        </is>
      </c>
      <c r="E2490" s="0" t="inlineStr">
        <is>
          <t xml:space="preserve">healthcare</t>
        </is>
      </c>
      <c r="F2490" s="4">
        <v>89</v>
      </c>
    </row>
    <row r="2491">
      <c r="A2491" s="0" t="inlineStr">
        <is>
          <t xml:space="preserve">random_15_CAG</t>
        </is>
      </c>
      <c r="B2491" s="0" t="inlineStr">
        <is>
          <t xml:space="preserve">random_15</t>
        </is>
      </c>
      <c r="C2491" s="0" t="inlineStr">
        <is>
          <t xml:space="preserve">d20260923</t>
        </is>
      </c>
      <c r="D2491" s="0" t="inlineStr">
        <is>
          <t xml:space="preserve">CAG</t>
        </is>
      </c>
      <c r="E2491" s="0" t="inlineStr">
        <is>
          <t xml:space="preserve">consumer_defensive</t>
        </is>
      </c>
      <c r="F2491" s="4">
        <v>90</v>
      </c>
    </row>
    <row r="2492">
      <c r="A2492" s="0" t="inlineStr">
        <is>
          <t xml:space="preserve">random_15_URGN</t>
        </is>
      </c>
      <c r="B2492" s="0" t="inlineStr">
        <is>
          <t xml:space="preserve">random_15</t>
        </is>
      </c>
      <c r="C2492" s="0" t="inlineStr">
        <is>
          <t xml:space="preserve">d20260923</t>
        </is>
      </c>
      <c r="D2492" s="0" t="inlineStr">
        <is>
          <t xml:space="preserve">URGN</t>
        </is>
      </c>
      <c r="E2492" s="0" t="inlineStr">
        <is>
          <t xml:space="preserve">healthcare</t>
        </is>
      </c>
      <c r="F2492" s="4">
        <v>91</v>
      </c>
    </row>
    <row r="2493">
      <c r="A2493" s="0" t="inlineStr">
        <is>
          <t xml:space="preserve">random_15_APLD</t>
        </is>
      </c>
      <c r="B2493" s="0" t="inlineStr">
        <is>
          <t xml:space="preserve">random_15</t>
        </is>
      </c>
      <c r="C2493" s="0" t="inlineStr">
        <is>
          <t xml:space="preserve">d20260923</t>
        </is>
      </c>
      <c r="D2493" s="0" t="inlineStr">
        <is>
          <t xml:space="preserve">APLD</t>
        </is>
      </c>
      <c r="E2493" s="0" t="inlineStr">
        <is>
          <t xml:space="preserve">technology</t>
        </is>
      </c>
      <c r="F2493" s="4">
        <v>92</v>
      </c>
    </row>
    <row r="2494">
      <c r="A2494" s="0" t="inlineStr">
        <is>
          <t xml:space="preserve">random_15_ACIW</t>
        </is>
      </c>
      <c r="B2494" s="0" t="inlineStr">
        <is>
          <t xml:space="preserve">random_15</t>
        </is>
      </c>
      <c r="C2494" s="0" t="inlineStr">
        <is>
          <t xml:space="preserve">d20260923</t>
        </is>
      </c>
      <c r="D2494" s="0" t="inlineStr">
        <is>
          <t xml:space="preserve">ACIW</t>
        </is>
      </c>
      <c r="E2494" s="0" t="inlineStr">
        <is>
          <t xml:space="preserve">technology</t>
        </is>
      </c>
      <c r="F2494" s="4">
        <v>93</v>
      </c>
    </row>
    <row r="2495">
      <c r="A2495" s="0" t="inlineStr">
        <is>
          <t xml:space="preserve">random_15_WHR</t>
        </is>
      </c>
      <c r="B2495" s="0" t="inlineStr">
        <is>
          <t xml:space="preserve">random_15</t>
        </is>
      </c>
      <c r="C2495" s="0" t="inlineStr">
        <is>
          <t xml:space="preserve">d20260923</t>
        </is>
      </c>
      <c r="D2495" s="0" t="inlineStr">
        <is>
          <t xml:space="preserve">WHR</t>
        </is>
      </c>
      <c r="E2495" s="0" t="inlineStr">
        <is>
          <t xml:space="preserve">consumer_cyclical</t>
        </is>
      </c>
      <c r="F2495" s="4">
        <v>94</v>
      </c>
    </row>
    <row r="2496">
      <c r="A2496" s="0" t="inlineStr">
        <is>
          <t xml:space="preserve">random_15_FIX</t>
        </is>
      </c>
      <c r="B2496" s="0" t="inlineStr">
        <is>
          <t xml:space="preserve">random_15</t>
        </is>
      </c>
      <c r="C2496" s="0" t="inlineStr">
        <is>
          <t xml:space="preserve">d20260923</t>
        </is>
      </c>
      <c r="D2496" s="0" t="inlineStr">
        <is>
          <t xml:space="preserve">FIX</t>
        </is>
      </c>
      <c r="E2496" s="0" t="inlineStr">
        <is>
          <t xml:space="preserve">industrials</t>
        </is>
      </c>
      <c r="F2496" s="4">
        <v>95</v>
      </c>
    </row>
    <row r="2497">
      <c r="A2497" s="0" t="inlineStr">
        <is>
          <t xml:space="preserve">random_15_DOCU</t>
        </is>
      </c>
      <c r="B2497" s="0" t="inlineStr">
        <is>
          <t xml:space="preserve">random_15</t>
        </is>
      </c>
      <c r="C2497" s="0" t="inlineStr">
        <is>
          <t xml:space="preserve">d20260923</t>
        </is>
      </c>
      <c r="D2497" s="0" t="inlineStr">
        <is>
          <t xml:space="preserve">DOCU</t>
        </is>
      </c>
      <c r="E2497" s="0" t="inlineStr">
        <is>
          <t xml:space="preserve">technology</t>
        </is>
      </c>
      <c r="F2497" s="4">
        <v>96</v>
      </c>
    </row>
    <row r="2498">
      <c r="A2498" s="0" t="inlineStr">
        <is>
          <t xml:space="preserve">random_15_ON</t>
        </is>
      </c>
      <c r="B2498" s="0" t="inlineStr">
        <is>
          <t xml:space="preserve">random_15</t>
        </is>
      </c>
      <c r="C2498" s="0" t="inlineStr">
        <is>
          <t xml:space="preserve">d20260923</t>
        </is>
      </c>
      <c r="D2498" s="0" t="inlineStr">
        <is>
          <t xml:space="preserve">ON</t>
        </is>
      </c>
      <c r="E2498" s="0" t="inlineStr">
        <is>
          <t xml:space="preserve">technology</t>
        </is>
      </c>
      <c r="F2498" s="4">
        <v>97</v>
      </c>
    </row>
    <row r="2499">
      <c r="A2499" s="0" t="inlineStr">
        <is>
          <t xml:space="preserve">random_15_C</t>
        </is>
      </c>
      <c r="B2499" s="0" t="inlineStr">
        <is>
          <t xml:space="preserve">random_15</t>
        </is>
      </c>
      <c r="C2499" s="0" t="inlineStr">
        <is>
          <t xml:space="preserve">d20260923</t>
        </is>
      </c>
      <c r="D2499" s="0" t="inlineStr">
        <is>
          <t xml:space="preserve">C</t>
        </is>
      </c>
      <c r="E2499" s="0" t="inlineStr">
        <is>
          <t xml:space="preserve">financial_services</t>
        </is>
      </c>
      <c r="F2499" s="4">
        <v>98</v>
      </c>
    </row>
    <row r="2500">
      <c r="A2500" s="0" t="inlineStr">
        <is>
          <t xml:space="preserve">random_15_TAP</t>
        </is>
      </c>
      <c r="B2500" s="0" t="inlineStr">
        <is>
          <t xml:space="preserve">random_15</t>
        </is>
      </c>
      <c r="C2500" s="0" t="inlineStr">
        <is>
          <t xml:space="preserve">d20260923</t>
        </is>
      </c>
      <c r="D2500" s="0" t="inlineStr">
        <is>
          <t xml:space="preserve">TAP</t>
        </is>
      </c>
      <c r="E2500" s="0" t="inlineStr">
        <is>
          <t xml:space="preserve">consumer_defensive</t>
        </is>
      </c>
      <c r="F2500" s="4">
        <v>99</v>
      </c>
    </row>
    <row r="2501">
      <c r="A2501" s="0" t="inlineStr">
        <is>
          <t xml:space="preserve">random_15_SPGI</t>
        </is>
      </c>
      <c r="B2501" s="0" t="inlineStr">
        <is>
          <t xml:space="preserve">random_15</t>
        </is>
      </c>
      <c r="C2501" s="0" t="inlineStr">
        <is>
          <t xml:space="preserve">d20260923</t>
        </is>
      </c>
      <c r="D2501" s="0" t="inlineStr">
        <is>
          <t xml:space="preserve">SPGI</t>
        </is>
      </c>
      <c r="E2501" s="0" t="inlineStr">
        <is>
          <t xml:space="preserve">financial_services</t>
        </is>
      </c>
      <c r="F2501" s="4">
        <v>100</v>
      </c>
    </row>
    <row r="2502">
      <c r="A2502" s="0" t="inlineStr">
        <is>
          <t xml:space="preserve">random_16_BEAM</t>
        </is>
      </c>
      <c r="B2502" s="0" t="inlineStr">
        <is>
          <t xml:space="preserve">random_16</t>
        </is>
      </c>
      <c r="C2502" s="0" t="inlineStr">
        <is>
          <t xml:space="preserve">d20260923</t>
        </is>
      </c>
      <c r="D2502" s="0" t="inlineStr">
        <is>
          <t xml:space="preserve">BEAM</t>
        </is>
      </c>
      <c r="E2502" s="0" t="inlineStr">
        <is>
          <t xml:space="preserve">healthcare</t>
        </is>
      </c>
      <c r="F2502" s="4">
        <v>1</v>
      </c>
    </row>
    <row r="2503">
      <c r="A2503" s="0" t="inlineStr">
        <is>
          <t xml:space="preserve">random_16_WAT</t>
        </is>
      </c>
      <c r="B2503" s="0" t="inlineStr">
        <is>
          <t xml:space="preserve">random_16</t>
        </is>
      </c>
      <c r="C2503" s="0" t="inlineStr">
        <is>
          <t xml:space="preserve">d20260923</t>
        </is>
      </c>
      <c r="D2503" s="0" t="inlineStr">
        <is>
          <t xml:space="preserve">WAT</t>
        </is>
      </c>
      <c r="E2503" s="0" t="inlineStr">
        <is>
          <t xml:space="preserve">healthcare</t>
        </is>
      </c>
      <c r="F2503" s="4">
        <v>2</v>
      </c>
    </row>
    <row r="2504">
      <c r="A2504" s="0" t="inlineStr">
        <is>
          <t xml:space="preserve">random_16_MOS</t>
        </is>
      </c>
      <c r="B2504" s="0" t="inlineStr">
        <is>
          <t xml:space="preserve">random_16</t>
        </is>
      </c>
      <c r="C2504" s="0" t="inlineStr">
        <is>
          <t xml:space="preserve">d20260923</t>
        </is>
      </c>
      <c r="D2504" s="0" t="inlineStr">
        <is>
          <t xml:space="preserve">MOS</t>
        </is>
      </c>
      <c r="E2504" s="0" t="inlineStr">
        <is>
          <t xml:space="preserve">basic_materials</t>
        </is>
      </c>
      <c r="F2504" s="4">
        <v>3</v>
      </c>
    </row>
    <row r="2505">
      <c r="A2505" s="0" t="inlineStr">
        <is>
          <t xml:space="preserve">random_16_TSN</t>
        </is>
      </c>
      <c r="B2505" s="0" t="inlineStr">
        <is>
          <t xml:space="preserve">random_16</t>
        </is>
      </c>
      <c r="C2505" s="0" t="inlineStr">
        <is>
          <t xml:space="preserve">d20260923</t>
        </is>
      </c>
      <c r="D2505" s="0" t="inlineStr">
        <is>
          <t xml:space="preserve">TSN</t>
        </is>
      </c>
      <c r="E2505" s="0" t="inlineStr">
        <is>
          <t xml:space="preserve">consumer_defensive</t>
        </is>
      </c>
      <c r="F2505" s="4">
        <v>4</v>
      </c>
    </row>
    <row r="2506">
      <c r="A2506" s="0" t="inlineStr">
        <is>
          <t xml:space="preserve">random_16_ATI</t>
        </is>
      </c>
      <c r="B2506" s="0" t="inlineStr">
        <is>
          <t xml:space="preserve">random_16</t>
        </is>
      </c>
      <c r="C2506" s="0" t="inlineStr">
        <is>
          <t xml:space="preserve">d20260923</t>
        </is>
      </c>
      <c r="D2506" s="0" t="inlineStr">
        <is>
          <t xml:space="preserve">ATI</t>
        </is>
      </c>
      <c r="E2506" s="0" t="inlineStr">
        <is>
          <t xml:space="preserve">industrials</t>
        </is>
      </c>
      <c r="F2506" s="4">
        <v>5</v>
      </c>
    </row>
    <row r="2507">
      <c r="A2507" s="0" t="inlineStr">
        <is>
          <t xml:space="preserve">random_16_ET</t>
        </is>
      </c>
      <c r="B2507" s="0" t="inlineStr">
        <is>
          <t xml:space="preserve">random_16</t>
        </is>
      </c>
      <c r="C2507" s="0" t="inlineStr">
        <is>
          <t xml:space="preserve">d20260923</t>
        </is>
      </c>
      <c r="D2507" s="0" t="inlineStr">
        <is>
          <t xml:space="preserve">ET</t>
        </is>
      </c>
      <c r="E2507" s="0" t="inlineStr">
        <is>
          <t xml:space="preserve">energy</t>
        </is>
      </c>
      <c r="F2507" s="4">
        <v>6</v>
      </c>
    </row>
    <row r="2508">
      <c r="A2508" s="0" t="inlineStr">
        <is>
          <t xml:space="preserve">random_16_OLED</t>
        </is>
      </c>
      <c r="B2508" s="0" t="inlineStr">
        <is>
          <t xml:space="preserve">random_16</t>
        </is>
      </c>
      <c r="C2508" s="0" t="inlineStr">
        <is>
          <t xml:space="preserve">d20260923</t>
        </is>
      </c>
      <c r="D2508" s="0" t="inlineStr">
        <is>
          <t xml:space="preserve">OLED</t>
        </is>
      </c>
      <c r="E2508" s="0" t="inlineStr">
        <is>
          <t xml:space="preserve">technology</t>
        </is>
      </c>
      <c r="F2508" s="4">
        <v>7</v>
      </c>
    </row>
    <row r="2509">
      <c r="A2509" s="0" t="inlineStr">
        <is>
          <t xml:space="preserve">random_16_MTDR</t>
        </is>
      </c>
      <c r="B2509" s="0" t="inlineStr">
        <is>
          <t xml:space="preserve">random_16</t>
        </is>
      </c>
      <c r="C2509" s="0" t="inlineStr">
        <is>
          <t xml:space="preserve">d20260923</t>
        </is>
      </c>
      <c r="D2509" s="0" t="inlineStr">
        <is>
          <t xml:space="preserve">MTDR</t>
        </is>
      </c>
      <c r="E2509" s="0" t="inlineStr">
        <is>
          <t xml:space="preserve">energy</t>
        </is>
      </c>
      <c r="F2509" s="4">
        <v>8</v>
      </c>
    </row>
    <row r="2510">
      <c r="A2510" s="0" t="inlineStr">
        <is>
          <t xml:space="preserve">random_16_SKT</t>
        </is>
      </c>
      <c r="B2510" s="0" t="inlineStr">
        <is>
          <t xml:space="preserve">random_16</t>
        </is>
      </c>
      <c r="C2510" s="0" t="inlineStr">
        <is>
          <t xml:space="preserve">d20260923</t>
        </is>
      </c>
      <c r="D2510" s="0" t="inlineStr">
        <is>
          <t xml:space="preserve">SKT</t>
        </is>
      </c>
      <c r="E2510" s="0" t="inlineStr">
        <is>
          <t xml:space="preserve">real_estate</t>
        </is>
      </c>
      <c r="F2510" s="4">
        <v>9</v>
      </c>
    </row>
    <row r="2511">
      <c r="A2511" s="0" t="inlineStr">
        <is>
          <t xml:space="preserve">random_16_HWM</t>
        </is>
      </c>
      <c r="B2511" s="0" t="inlineStr">
        <is>
          <t xml:space="preserve">random_16</t>
        </is>
      </c>
      <c r="C2511" s="0" t="inlineStr">
        <is>
          <t xml:space="preserve">d20260923</t>
        </is>
      </c>
      <c r="D2511" s="0" t="inlineStr">
        <is>
          <t xml:space="preserve">HWM</t>
        </is>
      </c>
      <c r="E2511" s="0" t="inlineStr">
        <is>
          <t xml:space="preserve">industrials</t>
        </is>
      </c>
      <c r="F2511" s="4">
        <v>10</v>
      </c>
    </row>
    <row r="2512">
      <c r="A2512" s="0" t="inlineStr">
        <is>
          <t xml:space="preserve">random_16_UNP</t>
        </is>
      </c>
      <c r="B2512" s="0" t="inlineStr">
        <is>
          <t xml:space="preserve">random_16</t>
        </is>
      </c>
      <c r="C2512" s="0" t="inlineStr">
        <is>
          <t xml:space="preserve">d20260923</t>
        </is>
      </c>
      <c r="D2512" s="0" t="inlineStr">
        <is>
          <t xml:space="preserve">UNP</t>
        </is>
      </c>
      <c r="E2512" s="0" t="inlineStr">
        <is>
          <t xml:space="preserve">industrials</t>
        </is>
      </c>
      <c r="F2512" s="4">
        <v>11</v>
      </c>
    </row>
    <row r="2513">
      <c r="A2513" s="0" t="inlineStr">
        <is>
          <t xml:space="preserve">random_16_ISRG</t>
        </is>
      </c>
      <c r="B2513" s="0" t="inlineStr">
        <is>
          <t xml:space="preserve">random_16</t>
        </is>
      </c>
      <c r="C2513" s="0" t="inlineStr">
        <is>
          <t xml:space="preserve">d20260923</t>
        </is>
      </c>
      <c r="D2513" s="0" t="inlineStr">
        <is>
          <t xml:space="preserve">ISRG</t>
        </is>
      </c>
      <c r="E2513" s="0" t="inlineStr">
        <is>
          <t xml:space="preserve">healthcare</t>
        </is>
      </c>
      <c r="F2513" s="4">
        <v>12</v>
      </c>
    </row>
    <row r="2514">
      <c r="A2514" s="0" t="inlineStr">
        <is>
          <t xml:space="preserve">random_16_FTDR</t>
        </is>
      </c>
      <c r="B2514" s="0" t="inlineStr">
        <is>
          <t xml:space="preserve">random_16</t>
        </is>
      </c>
      <c r="C2514" s="0" t="inlineStr">
        <is>
          <t xml:space="preserve">d20260923</t>
        </is>
      </c>
      <c r="D2514" s="0" t="inlineStr">
        <is>
          <t xml:space="preserve">FTDR</t>
        </is>
      </c>
      <c r="E2514" s="0" t="inlineStr">
        <is>
          <t xml:space="preserve">consumer_cyclical</t>
        </is>
      </c>
      <c r="F2514" s="4">
        <v>13</v>
      </c>
    </row>
    <row r="2515">
      <c r="A2515" s="0" t="inlineStr">
        <is>
          <t xml:space="preserve">random_16_TRNO</t>
        </is>
      </c>
      <c r="B2515" s="0" t="inlineStr">
        <is>
          <t xml:space="preserve">random_16</t>
        </is>
      </c>
      <c r="C2515" s="0" t="inlineStr">
        <is>
          <t xml:space="preserve">d20260923</t>
        </is>
      </c>
      <c r="D2515" s="0" t="inlineStr">
        <is>
          <t xml:space="preserve">TRNO</t>
        </is>
      </c>
      <c r="E2515" s="0" t="inlineStr">
        <is>
          <t xml:space="preserve">real_estate</t>
        </is>
      </c>
      <c r="F2515" s="4">
        <v>14</v>
      </c>
    </row>
    <row r="2516">
      <c r="A2516" s="0" t="inlineStr">
        <is>
          <t xml:space="preserve">random_16_SOLS</t>
        </is>
      </c>
      <c r="B2516" s="0" t="inlineStr">
        <is>
          <t xml:space="preserve">random_16</t>
        </is>
      </c>
      <c r="C2516" s="0" t="inlineStr">
        <is>
          <t xml:space="preserve">d20260923</t>
        </is>
      </c>
      <c r="D2516" s="0" t="inlineStr">
        <is>
          <t xml:space="preserve">SOLS</t>
        </is>
      </c>
      <c r="E2516" s="0" t="inlineStr">
        <is>
          <t xml:space="preserve">basic_materials</t>
        </is>
      </c>
      <c r="F2516" s="4">
        <v>15</v>
      </c>
    </row>
    <row r="2517">
      <c r="A2517" s="0" t="inlineStr">
        <is>
          <t xml:space="preserve">random_16_MFP</t>
        </is>
      </c>
      <c r="B2517" s="0" t="inlineStr">
        <is>
          <t xml:space="preserve">random_16</t>
        </is>
      </c>
      <c r="C2517" s="0" t="inlineStr">
        <is>
          <t xml:space="preserve">d20260923</t>
        </is>
      </c>
      <c r="D2517" s="0" t="inlineStr">
        <is>
          <t xml:space="preserve">MFP</t>
        </is>
      </c>
      <c r="E2517" s="0" t="inlineStr">
        <is>
          <t xml:space="preserve">industrials</t>
        </is>
      </c>
      <c r="F2517" s="4">
        <v>16</v>
      </c>
    </row>
    <row r="2518">
      <c r="A2518" s="0" t="inlineStr">
        <is>
          <t xml:space="preserve">random_16_GRBK</t>
        </is>
      </c>
      <c r="B2518" s="0" t="inlineStr">
        <is>
          <t xml:space="preserve">random_16</t>
        </is>
      </c>
      <c r="C2518" s="0" t="inlineStr">
        <is>
          <t xml:space="preserve">d20260923</t>
        </is>
      </c>
      <c r="D2518" s="0" t="inlineStr">
        <is>
          <t xml:space="preserve">GRBK</t>
        </is>
      </c>
      <c r="E2518" s="0" t="inlineStr">
        <is>
          <t xml:space="preserve">consumer_cyclical</t>
        </is>
      </c>
      <c r="F2518" s="4">
        <v>17</v>
      </c>
    </row>
    <row r="2519">
      <c r="A2519" s="0" t="inlineStr">
        <is>
          <t xml:space="preserve">random_16_FERG</t>
        </is>
      </c>
      <c r="B2519" s="0" t="inlineStr">
        <is>
          <t xml:space="preserve">random_16</t>
        </is>
      </c>
      <c r="C2519" s="0" t="inlineStr">
        <is>
          <t xml:space="preserve">d20260923</t>
        </is>
      </c>
      <c r="D2519" s="0" t="inlineStr">
        <is>
          <t xml:space="preserve">FERG</t>
        </is>
      </c>
      <c r="E2519" s="0" t="inlineStr">
        <is>
          <t xml:space="preserve">industrials</t>
        </is>
      </c>
      <c r="F2519" s="4">
        <v>18</v>
      </c>
    </row>
    <row r="2520">
      <c r="A2520" s="0" t="inlineStr">
        <is>
          <t xml:space="preserve">random_16_ELVN</t>
        </is>
      </c>
      <c r="B2520" s="0" t="inlineStr">
        <is>
          <t xml:space="preserve">random_16</t>
        </is>
      </c>
      <c r="C2520" s="0" t="inlineStr">
        <is>
          <t xml:space="preserve">d20260923</t>
        </is>
      </c>
      <c r="D2520" s="0" t="inlineStr">
        <is>
          <t xml:space="preserve">ELVN</t>
        </is>
      </c>
      <c r="E2520" s="0" t="inlineStr">
        <is>
          <t xml:space="preserve">healthcare</t>
        </is>
      </c>
      <c r="F2520" s="4">
        <v>19</v>
      </c>
    </row>
    <row r="2521">
      <c r="A2521" s="0" t="inlineStr">
        <is>
          <t xml:space="preserve">random_16_OWL</t>
        </is>
      </c>
      <c r="B2521" s="0" t="inlineStr">
        <is>
          <t xml:space="preserve">random_16</t>
        </is>
      </c>
      <c r="C2521" s="0" t="inlineStr">
        <is>
          <t xml:space="preserve">d20260923</t>
        </is>
      </c>
      <c r="D2521" s="0" t="inlineStr">
        <is>
          <t xml:space="preserve">OWL</t>
        </is>
      </c>
      <c r="E2521" s="0" t="inlineStr">
        <is>
          <t xml:space="preserve">financial_services</t>
        </is>
      </c>
      <c r="F2521" s="4">
        <v>20</v>
      </c>
    </row>
    <row r="2522">
      <c r="A2522" s="0" t="inlineStr">
        <is>
          <t xml:space="preserve">random_16_CPAY</t>
        </is>
      </c>
      <c r="B2522" s="0" t="inlineStr">
        <is>
          <t xml:space="preserve">random_16</t>
        </is>
      </c>
      <c r="C2522" s="0" t="inlineStr">
        <is>
          <t xml:space="preserve">d20260923</t>
        </is>
      </c>
      <c r="D2522" s="0" t="inlineStr">
        <is>
          <t xml:space="preserve">CPAY</t>
        </is>
      </c>
      <c r="E2522" s="0" t="inlineStr">
        <is>
          <t xml:space="preserve">technology</t>
        </is>
      </c>
      <c r="F2522" s="4">
        <v>21</v>
      </c>
    </row>
    <row r="2523">
      <c r="A2523" s="0" t="inlineStr">
        <is>
          <t xml:space="preserve">random_16_ZM</t>
        </is>
      </c>
      <c r="B2523" s="0" t="inlineStr">
        <is>
          <t xml:space="preserve">random_16</t>
        </is>
      </c>
      <c r="C2523" s="0" t="inlineStr">
        <is>
          <t xml:space="preserve">d20260923</t>
        </is>
      </c>
      <c r="D2523" s="0" t="inlineStr">
        <is>
          <t xml:space="preserve">ZM</t>
        </is>
      </c>
      <c r="E2523" s="0" t="inlineStr">
        <is>
          <t xml:space="preserve">technology</t>
        </is>
      </c>
      <c r="F2523" s="4">
        <v>22</v>
      </c>
    </row>
    <row r="2524">
      <c r="A2524" s="0" t="inlineStr">
        <is>
          <t xml:space="preserve">random_16_ST</t>
        </is>
      </c>
      <c r="B2524" s="0" t="inlineStr">
        <is>
          <t xml:space="preserve">random_16</t>
        </is>
      </c>
      <c r="C2524" s="0" t="inlineStr">
        <is>
          <t xml:space="preserve">d20260923</t>
        </is>
      </c>
      <c r="D2524" s="0" t="inlineStr">
        <is>
          <t xml:space="preserve">ST</t>
        </is>
      </c>
      <c r="E2524" s="0" t="inlineStr">
        <is>
          <t xml:space="preserve">technology</t>
        </is>
      </c>
      <c r="F2524" s="4">
        <v>23</v>
      </c>
    </row>
    <row r="2525">
      <c r="A2525" s="0" t="inlineStr">
        <is>
          <t xml:space="preserve">random_16_MOH</t>
        </is>
      </c>
      <c r="B2525" s="0" t="inlineStr">
        <is>
          <t xml:space="preserve">random_16</t>
        </is>
      </c>
      <c r="C2525" s="0" t="inlineStr">
        <is>
          <t xml:space="preserve">d20260923</t>
        </is>
      </c>
      <c r="D2525" s="0" t="inlineStr">
        <is>
          <t xml:space="preserve">MOH</t>
        </is>
      </c>
      <c r="E2525" s="0" t="inlineStr">
        <is>
          <t xml:space="preserve">healthcare</t>
        </is>
      </c>
      <c r="F2525" s="4">
        <v>24</v>
      </c>
    </row>
    <row r="2526">
      <c r="A2526" s="0" t="inlineStr">
        <is>
          <t xml:space="preserve">random_16_TTD</t>
        </is>
      </c>
      <c r="B2526" s="0" t="inlineStr">
        <is>
          <t xml:space="preserve">random_16</t>
        </is>
      </c>
      <c r="C2526" s="0" t="inlineStr">
        <is>
          <t xml:space="preserve">d20260923</t>
        </is>
      </c>
      <c r="D2526" s="0" t="inlineStr">
        <is>
          <t xml:space="preserve">TTD</t>
        </is>
      </c>
      <c r="E2526" s="0" t="inlineStr">
        <is>
          <t xml:space="preserve">communication_services</t>
        </is>
      </c>
      <c r="F2526" s="4">
        <v>25</v>
      </c>
    </row>
    <row r="2527">
      <c r="A2527" s="0" t="inlineStr">
        <is>
          <t xml:space="preserve">random_16_ADMA</t>
        </is>
      </c>
      <c r="B2527" s="0" t="inlineStr">
        <is>
          <t xml:space="preserve">random_16</t>
        </is>
      </c>
      <c r="C2527" s="0" t="inlineStr">
        <is>
          <t xml:space="preserve">d20260923</t>
        </is>
      </c>
      <c r="D2527" s="0" t="inlineStr">
        <is>
          <t xml:space="preserve">ADMA</t>
        </is>
      </c>
      <c r="E2527" s="0" t="inlineStr">
        <is>
          <t xml:space="preserve">healthcare</t>
        </is>
      </c>
      <c r="F2527" s="4">
        <v>26</v>
      </c>
    </row>
    <row r="2528">
      <c r="A2528" s="0" t="inlineStr">
        <is>
          <t xml:space="preserve">random_16_LEGN</t>
        </is>
      </c>
      <c r="B2528" s="0" t="inlineStr">
        <is>
          <t xml:space="preserve">random_16</t>
        </is>
      </c>
      <c r="C2528" s="0" t="inlineStr">
        <is>
          <t xml:space="preserve">d20260923</t>
        </is>
      </c>
      <c r="D2528" s="0" t="inlineStr">
        <is>
          <t xml:space="preserve">LEGN</t>
        </is>
      </c>
      <c r="E2528" s="0" t="inlineStr">
        <is>
          <t xml:space="preserve">healthcare</t>
        </is>
      </c>
      <c r="F2528" s="4">
        <v>27</v>
      </c>
    </row>
    <row r="2529">
      <c r="A2529" s="0" t="inlineStr">
        <is>
          <t xml:space="preserve">random_16_SNA</t>
        </is>
      </c>
      <c r="B2529" s="0" t="inlineStr">
        <is>
          <t xml:space="preserve">random_16</t>
        </is>
      </c>
      <c r="C2529" s="0" t="inlineStr">
        <is>
          <t xml:space="preserve">d20260923</t>
        </is>
      </c>
      <c r="D2529" s="0" t="inlineStr">
        <is>
          <t xml:space="preserve">SNA</t>
        </is>
      </c>
      <c r="E2529" s="0" t="inlineStr">
        <is>
          <t xml:space="preserve">industrials</t>
        </is>
      </c>
      <c r="F2529" s="4">
        <v>28</v>
      </c>
    </row>
    <row r="2530">
      <c r="A2530" s="0" t="inlineStr">
        <is>
          <t xml:space="preserve">random_16_BDC</t>
        </is>
      </c>
      <c r="B2530" s="0" t="inlineStr">
        <is>
          <t xml:space="preserve">random_16</t>
        </is>
      </c>
      <c r="C2530" s="0" t="inlineStr">
        <is>
          <t xml:space="preserve">d20260923</t>
        </is>
      </c>
      <c r="D2530" s="0" t="inlineStr">
        <is>
          <t xml:space="preserve">BDC</t>
        </is>
      </c>
      <c r="E2530" s="0" t="inlineStr">
        <is>
          <t xml:space="preserve">technology</t>
        </is>
      </c>
      <c r="F2530" s="4">
        <v>29</v>
      </c>
    </row>
    <row r="2531">
      <c r="A2531" s="0" t="inlineStr">
        <is>
          <t xml:space="preserve">random_16_ADT</t>
        </is>
      </c>
      <c r="B2531" s="0" t="inlineStr">
        <is>
          <t xml:space="preserve">random_16</t>
        </is>
      </c>
      <c r="C2531" s="0" t="inlineStr">
        <is>
          <t xml:space="preserve">d20260923</t>
        </is>
      </c>
      <c r="D2531" s="0" t="inlineStr">
        <is>
          <t xml:space="preserve">ADT</t>
        </is>
      </c>
      <c r="E2531" s="0" t="inlineStr">
        <is>
          <t xml:space="preserve">industrials</t>
        </is>
      </c>
      <c r="F2531" s="4">
        <v>30</v>
      </c>
    </row>
    <row r="2532">
      <c r="A2532" s="0" t="inlineStr">
        <is>
          <t xml:space="preserve">random_16_AEE</t>
        </is>
      </c>
      <c r="B2532" s="0" t="inlineStr">
        <is>
          <t xml:space="preserve">random_16</t>
        </is>
      </c>
      <c r="C2532" s="0" t="inlineStr">
        <is>
          <t xml:space="preserve">d20260923</t>
        </is>
      </c>
      <c r="D2532" s="0" t="inlineStr">
        <is>
          <t xml:space="preserve">AEE</t>
        </is>
      </c>
      <c r="E2532" s="0" t="inlineStr">
        <is>
          <t xml:space="preserve">utilities</t>
        </is>
      </c>
      <c r="F2532" s="4">
        <v>31</v>
      </c>
    </row>
    <row r="2533">
      <c r="A2533" s="0" t="inlineStr">
        <is>
          <t xml:space="preserve">random_16_CNK</t>
        </is>
      </c>
      <c r="B2533" s="0" t="inlineStr">
        <is>
          <t xml:space="preserve">random_16</t>
        </is>
      </c>
      <c r="C2533" s="0" t="inlineStr">
        <is>
          <t xml:space="preserve">d20260923</t>
        </is>
      </c>
      <c r="D2533" s="0" t="inlineStr">
        <is>
          <t xml:space="preserve">CNK</t>
        </is>
      </c>
      <c r="E2533" s="0" t="inlineStr">
        <is>
          <t xml:space="preserve">communication_services</t>
        </is>
      </c>
      <c r="F2533" s="4">
        <v>32</v>
      </c>
    </row>
    <row r="2534">
      <c r="A2534" s="0" t="inlineStr">
        <is>
          <t xml:space="preserve">random_16_MP</t>
        </is>
      </c>
      <c r="B2534" s="0" t="inlineStr">
        <is>
          <t xml:space="preserve">random_16</t>
        </is>
      </c>
      <c r="C2534" s="0" t="inlineStr">
        <is>
          <t xml:space="preserve">d20260923</t>
        </is>
      </c>
      <c r="D2534" s="0" t="inlineStr">
        <is>
          <t xml:space="preserve">MP</t>
        </is>
      </c>
      <c r="E2534" s="0" t="inlineStr">
        <is>
          <t xml:space="preserve">basic_materials</t>
        </is>
      </c>
      <c r="F2534" s="4">
        <v>33</v>
      </c>
    </row>
    <row r="2535">
      <c r="A2535" s="0" t="inlineStr">
        <is>
          <t xml:space="preserve">random_16_NTAP</t>
        </is>
      </c>
      <c r="B2535" s="0" t="inlineStr">
        <is>
          <t xml:space="preserve">random_16</t>
        </is>
      </c>
      <c r="C2535" s="0" t="inlineStr">
        <is>
          <t xml:space="preserve">d20260923</t>
        </is>
      </c>
      <c r="D2535" s="0" t="inlineStr">
        <is>
          <t xml:space="preserve">NTAP</t>
        </is>
      </c>
      <c r="E2535" s="0" t="inlineStr">
        <is>
          <t xml:space="preserve">technology</t>
        </is>
      </c>
      <c r="F2535" s="4">
        <v>34</v>
      </c>
    </row>
    <row r="2536">
      <c r="A2536" s="0" t="inlineStr">
        <is>
          <t xml:space="preserve">random_16_GNW</t>
        </is>
      </c>
      <c r="B2536" s="0" t="inlineStr">
        <is>
          <t xml:space="preserve">random_16</t>
        </is>
      </c>
      <c r="C2536" s="0" t="inlineStr">
        <is>
          <t xml:space="preserve">d20260923</t>
        </is>
      </c>
      <c r="D2536" s="0" t="inlineStr">
        <is>
          <t xml:space="preserve">GNW</t>
        </is>
      </c>
      <c r="E2536" s="0" t="inlineStr">
        <is>
          <t xml:space="preserve">financial_services</t>
        </is>
      </c>
      <c r="F2536" s="4">
        <v>35</v>
      </c>
    </row>
    <row r="2537">
      <c r="A2537" s="0" t="inlineStr">
        <is>
          <t xml:space="preserve">random_16_BFAM</t>
        </is>
      </c>
      <c r="B2537" s="0" t="inlineStr">
        <is>
          <t xml:space="preserve">random_16</t>
        </is>
      </c>
      <c r="C2537" s="0" t="inlineStr">
        <is>
          <t xml:space="preserve">d20260923</t>
        </is>
      </c>
      <c r="D2537" s="0" t="inlineStr">
        <is>
          <t xml:space="preserve">BFAM</t>
        </is>
      </c>
      <c r="E2537" s="0" t="inlineStr">
        <is>
          <t xml:space="preserve">industrials</t>
        </is>
      </c>
      <c r="F2537" s="4">
        <v>36</v>
      </c>
    </row>
    <row r="2538">
      <c r="A2538" s="0" t="inlineStr">
        <is>
          <t xml:space="preserve">random_16_SPXC</t>
        </is>
      </c>
      <c r="B2538" s="0" t="inlineStr">
        <is>
          <t xml:space="preserve">random_16</t>
        </is>
      </c>
      <c r="C2538" s="0" t="inlineStr">
        <is>
          <t xml:space="preserve">d20260923</t>
        </is>
      </c>
      <c r="D2538" s="0" t="inlineStr">
        <is>
          <t xml:space="preserve">SPXC</t>
        </is>
      </c>
      <c r="E2538" s="0" t="inlineStr">
        <is>
          <t xml:space="preserve">basic_materials</t>
        </is>
      </c>
      <c r="F2538" s="4">
        <v>37</v>
      </c>
    </row>
    <row r="2539">
      <c r="A2539" s="0" t="inlineStr">
        <is>
          <t xml:space="preserve">random_16_COLD</t>
        </is>
      </c>
      <c r="B2539" s="0" t="inlineStr">
        <is>
          <t xml:space="preserve">random_16</t>
        </is>
      </c>
      <c r="C2539" s="0" t="inlineStr">
        <is>
          <t xml:space="preserve">d20260923</t>
        </is>
      </c>
      <c r="D2539" s="0" t="inlineStr">
        <is>
          <t xml:space="preserve">COLD</t>
        </is>
      </c>
      <c r="E2539" s="0" t="inlineStr">
        <is>
          <t xml:space="preserve">real_estate</t>
        </is>
      </c>
      <c r="F2539" s="4">
        <v>38</v>
      </c>
    </row>
    <row r="2540">
      <c r="A2540" s="0" t="inlineStr">
        <is>
          <t xml:space="preserve">random_16_VNO</t>
        </is>
      </c>
      <c r="B2540" s="0" t="inlineStr">
        <is>
          <t xml:space="preserve">random_16</t>
        </is>
      </c>
      <c r="C2540" s="0" t="inlineStr">
        <is>
          <t xml:space="preserve">d20260923</t>
        </is>
      </c>
      <c r="D2540" s="0" t="inlineStr">
        <is>
          <t xml:space="preserve">VNO</t>
        </is>
      </c>
      <c r="E2540" s="0" t="inlineStr">
        <is>
          <t xml:space="preserve">real_estate</t>
        </is>
      </c>
      <c r="F2540" s="4">
        <v>39</v>
      </c>
    </row>
    <row r="2541">
      <c r="A2541" s="0" t="inlineStr">
        <is>
          <t xml:space="preserve">random_16_IBKR</t>
        </is>
      </c>
      <c r="B2541" s="0" t="inlineStr">
        <is>
          <t xml:space="preserve">random_16</t>
        </is>
      </c>
      <c r="C2541" s="0" t="inlineStr">
        <is>
          <t xml:space="preserve">d20260923</t>
        </is>
      </c>
      <c r="D2541" s="0" t="inlineStr">
        <is>
          <t xml:space="preserve">IBKR</t>
        </is>
      </c>
      <c r="E2541" s="0" t="inlineStr">
        <is>
          <t xml:space="preserve">financial_services</t>
        </is>
      </c>
      <c r="F2541" s="4">
        <v>40</v>
      </c>
    </row>
    <row r="2542">
      <c r="A2542" s="0" t="inlineStr">
        <is>
          <t xml:space="preserve">random_16_NHI</t>
        </is>
      </c>
      <c r="B2542" s="0" t="inlineStr">
        <is>
          <t xml:space="preserve">random_16</t>
        </is>
      </c>
      <c r="C2542" s="0" t="inlineStr">
        <is>
          <t xml:space="preserve">d20260923</t>
        </is>
      </c>
      <c r="D2542" s="0" t="inlineStr">
        <is>
          <t xml:space="preserve">NHI</t>
        </is>
      </c>
      <c r="E2542" s="0" t="inlineStr">
        <is>
          <t xml:space="preserve">real_estate</t>
        </is>
      </c>
      <c r="F2542" s="4">
        <v>41</v>
      </c>
    </row>
    <row r="2543">
      <c r="A2543" s="0" t="inlineStr">
        <is>
          <t xml:space="preserve">random_16_CHD</t>
        </is>
      </c>
      <c r="B2543" s="0" t="inlineStr">
        <is>
          <t xml:space="preserve">random_16</t>
        </is>
      </c>
      <c r="C2543" s="0" t="inlineStr">
        <is>
          <t xml:space="preserve">d20260923</t>
        </is>
      </c>
      <c r="D2543" s="0" t="inlineStr">
        <is>
          <t xml:space="preserve">CHD</t>
        </is>
      </c>
      <c r="E2543" s="0" t="inlineStr">
        <is>
          <t xml:space="preserve">consumer_defensive</t>
        </is>
      </c>
      <c r="F2543" s="4">
        <v>42</v>
      </c>
    </row>
    <row r="2544">
      <c r="A2544" s="0" t="inlineStr">
        <is>
          <t xml:space="preserve">random_16_VLO</t>
        </is>
      </c>
      <c r="B2544" s="0" t="inlineStr">
        <is>
          <t xml:space="preserve">random_16</t>
        </is>
      </c>
      <c r="C2544" s="0" t="inlineStr">
        <is>
          <t xml:space="preserve">d20260923</t>
        </is>
      </c>
      <c r="D2544" s="0" t="inlineStr">
        <is>
          <t xml:space="preserve">VLO</t>
        </is>
      </c>
      <c r="E2544" s="0" t="inlineStr">
        <is>
          <t xml:space="preserve">energy</t>
        </is>
      </c>
      <c r="F2544" s="4">
        <v>43</v>
      </c>
    </row>
    <row r="2545">
      <c r="A2545" s="0" t="inlineStr">
        <is>
          <t xml:space="preserve">random_16_VICI</t>
        </is>
      </c>
      <c r="B2545" s="0" t="inlineStr">
        <is>
          <t xml:space="preserve">random_16</t>
        </is>
      </c>
      <c r="C2545" s="0" t="inlineStr">
        <is>
          <t xml:space="preserve">d20260923</t>
        </is>
      </c>
      <c r="D2545" s="0" t="inlineStr">
        <is>
          <t xml:space="preserve">VICI</t>
        </is>
      </c>
      <c r="E2545" s="0" t="inlineStr">
        <is>
          <t xml:space="preserve">real_estate</t>
        </is>
      </c>
      <c r="F2545" s="4">
        <v>44</v>
      </c>
    </row>
    <row r="2546">
      <c r="A2546" s="0" t="inlineStr">
        <is>
          <t xml:space="preserve">random_16_CFR</t>
        </is>
      </c>
      <c r="B2546" s="0" t="inlineStr">
        <is>
          <t xml:space="preserve">random_16</t>
        </is>
      </c>
      <c r="C2546" s="0" t="inlineStr">
        <is>
          <t xml:space="preserve">d20260923</t>
        </is>
      </c>
      <c r="D2546" s="0" t="inlineStr">
        <is>
          <t xml:space="preserve">CFR</t>
        </is>
      </c>
      <c r="E2546" s="0" t="inlineStr">
        <is>
          <t xml:space="preserve">financial_services</t>
        </is>
      </c>
      <c r="F2546" s="4">
        <v>45</v>
      </c>
    </row>
    <row r="2547">
      <c r="A2547" s="0" t="inlineStr">
        <is>
          <t xml:space="preserve">random_16_ALL</t>
        </is>
      </c>
      <c r="B2547" s="0" t="inlineStr">
        <is>
          <t xml:space="preserve">random_16</t>
        </is>
      </c>
      <c r="C2547" s="0" t="inlineStr">
        <is>
          <t xml:space="preserve">d20260923</t>
        </is>
      </c>
      <c r="D2547" s="0" t="inlineStr">
        <is>
          <t xml:space="preserve">ALL</t>
        </is>
      </c>
      <c r="E2547" s="0" t="inlineStr">
        <is>
          <t xml:space="preserve">financial_services</t>
        </is>
      </c>
      <c r="F2547" s="4">
        <v>46</v>
      </c>
    </row>
    <row r="2548">
      <c r="A2548" s="0" t="inlineStr">
        <is>
          <t xml:space="preserve">random_16_HNI</t>
        </is>
      </c>
      <c r="B2548" s="0" t="inlineStr">
        <is>
          <t xml:space="preserve">random_16</t>
        </is>
      </c>
      <c r="C2548" s="0" t="inlineStr">
        <is>
          <t xml:space="preserve">d20260923</t>
        </is>
      </c>
      <c r="D2548" s="0" t="inlineStr">
        <is>
          <t xml:space="preserve">HNI</t>
        </is>
      </c>
      <c r="E2548" s="0" t="inlineStr">
        <is>
          <t xml:space="preserve">consumer_cyclical</t>
        </is>
      </c>
      <c r="F2548" s="4">
        <v>47</v>
      </c>
    </row>
    <row r="2549">
      <c r="A2549" s="0" t="inlineStr">
        <is>
          <t xml:space="preserve">random_16_ALM</t>
        </is>
      </c>
      <c r="B2549" s="0" t="inlineStr">
        <is>
          <t xml:space="preserve">random_16</t>
        </is>
      </c>
      <c r="C2549" s="0" t="inlineStr">
        <is>
          <t xml:space="preserve">d20260923</t>
        </is>
      </c>
      <c r="D2549" s="0" t="inlineStr">
        <is>
          <t xml:space="preserve">ALM</t>
        </is>
      </c>
      <c r="E2549" s="0" t="inlineStr">
        <is>
          <t xml:space="preserve">basic_materials</t>
        </is>
      </c>
      <c r="F2549" s="4">
        <v>48</v>
      </c>
    </row>
    <row r="2550">
      <c r="A2550" s="0" t="inlineStr">
        <is>
          <t xml:space="preserve">random_16_PEG</t>
        </is>
      </c>
      <c r="B2550" s="0" t="inlineStr">
        <is>
          <t xml:space="preserve">random_16</t>
        </is>
      </c>
      <c r="C2550" s="0" t="inlineStr">
        <is>
          <t xml:space="preserve">d20260923</t>
        </is>
      </c>
      <c r="D2550" s="0" t="inlineStr">
        <is>
          <t xml:space="preserve">PEG</t>
        </is>
      </c>
      <c r="E2550" s="0" t="inlineStr">
        <is>
          <t xml:space="preserve">utilities</t>
        </is>
      </c>
      <c r="F2550" s="4">
        <v>49</v>
      </c>
    </row>
    <row r="2551">
      <c r="A2551" s="0" t="inlineStr">
        <is>
          <t xml:space="preserve">random_16_EXEL</t>
        </is>
      </c>
      <c r="B2551" s="0" t="inlineStr">
        <is>
          <t xml:space="preserve">random_16</t>
        </is>
      </c>
      <c r="C2551" s="0" t="inlineStr">
        <is>
          <t xml:space="preserve">d20260923</t>
        </is>
      </c>
      <c r="D2551" s="0" t="inlineStr">
        <is>
          <t xml:space="preserve">EXEL</t>
        </is>
      </c>
      <c r="E2551" s="0" t="inlineStr">
        <is>
          <t xml:space="preserve">healthcare</t>
        </is>
      </c>
      <c r="F2551" s="4">
        <v>50</v>
      </c>
    </row>
    <row r="2552">
      <c r="A2552" s="0" t="inlineStr">
        <is>
          <t xml:space="preserve">random_16_PNC</t>
        </is>
      </c>
      <c r="B2552" s="0" t="inlineStr">
        <is>
          <t xml:space="preserve">random_16</t>
        </is>
      </c>
      <c r="C2552" s="0" t="inlineStr">
        <is>
          <t xml:space="preserve">d20260923</t>
        </is>
      </c>
      <c r="D2552" s="0" t="inlineStr">
        <is>
          <t xml:space="preserve">PNC</t>
        </is>
      </c>
      <c r="E2552" s="0" t="inlineStr">
        <is>
          <t xml:space="preserve">financial_services</t>
        </is>
      </c>
      <c r="F2552" s="4">
        <v>51</v>
      </c>
    </row>
    <row r="2553">
      <c r="A2553" s="0" t="inlineStr">
        <is>
          <t xml:space="preserve">random_16_HCC</t>
        </is>
      </c>
      <c r="B2553" s="0" t="inlineStr">
        <is>
          <t xml:space="preserve">random_16</t>
        </is>
      </c>
      <c r="C2553" s="0" t="inlineStr">
        <is>
          <t xml:space="preserve">d20260923</t>
        </is>
      </c>
      <c r="D2553" s="0" t="inlineStr">
        <is>
          <t xml:space="preserve">HCC</t>
        </is>
      </c>
      <c r="E2553" s="0" t="inlineStr">
        <is>
          <t xml:space="preserve">energy</t>
        </is>
      </c>
      <c r="F2553" s="4">
        <v>52</v>
      </c>
    </row>
    <row r="2554">
      <c r="A2554" s="0" t="inlineStr">
        <is>
          <t xml:space="preserve">random_16_NUVB</t>
        </is>
      </c>
      <c r="B2554" s="0" t="inlineStr">
        <is>
          <t xml:space="preserve">random_16</t>
        </is>
      </c>
      <c r="C2554" s="0" t="inlineStr">
        <is>
          <t xml:space="preserve">d20260923</t>
        </is>
      </c>
      <c r="D2554" s="0" t="inlineStr">
        <is>
          <t xml:space="preserve">NUVB</t>
        </is>
      </c>
      <c r="E2554" s="0" t="inlineStr">
        <is>
          <t xml:space="preserve">healthcare</t>
        </is>
      </c>
      <c r="F2554" s="4">
        <v>53</v>
      </c>
    </row>
    <row r="2555">
      <c r="A2555" s="0" t="inlineStr">
        <is>
          <t xml:space="preserve">random_16_LNT</t>
        </is>
      </c>
      <c r="B2555" s="0" t="inlineStr">
        <is>
          <t xml:space="preserve">random_16</t>
        </is>
      </c>
      <c r="C2555" s="0" t="inlineStr">
        <is>
          <t xml:space="preserve">d20260923</t>
        </is>
      </c>
      <c r="D2555" s="0" t="inlineStr">
        <is>
          <t xml:space="preserve">LNT</t>
        </is>
      </c>
      <c r="E2555" s="0" t="inlineStr">
        <is>
          <t xml:space="preserve">utilities</t>
        </is>
      </c>
      <c r="F2555" s="4">
        <v>54</v>
      </c>
    </row>
    <row r="2556">
      <c r="A2556" s="0" t="inlineStr">
        <is>
          <t xml:space="preserve">random_16_APO</t>
        </is>
      </c>
      <c r="B2556" s="0" t="inlineStr">
        <is>
          <t xml:space="preserve">random_16</t>
        </is>
      </c>
      <c r="C2556" s="0" t="inlineStr">
        <is>
          <t xml:space="preserve">d20260923</t>
        </is>
      </c>
      <c r="D2556" s="0" t="inlineStr">
        <is>
          <t xml:space="preserve">APO</t>
        </is>
      </c>
      <c r="E2556" s="0" t="inlineStr">
        <is>
          <t xml:space="preserve">financial_services</t>
        </is>
      </c>
      <c r="F2556" s="4">
        <v>55</v>
      </c>
    </row>
    <row r="2557">
      <c r="A2557" s="0" t="inlineStr">
        <is>
          <t xml:space="preserve">random_16_UFPI</t>
        </is>
      </c>
      <c r="B2557" s="0" t="inlineStr">
        <is>
          <t xml:space="preserve">random_16</t>
        </is>
      </c>
      <c r="C2557" s="0" t="inlineStr">
        <is>
          <t xml:space="preserve">d20260923</t>
        </is>
      </c>
      <c r="D2557" s="0" t="inlineStr">
        <is>
          <t xml:space="preserve">UFPI</t>
        </is>
      </c>
      <c r="E2557" s="0" t="inlineStr">
        <is>
          <t xml:space="preserve">basic_materials</t>
        </is>
      </c>
      <c r="F2557" s="4">
        <v>56</v>
      </c>
    </row>
    <row r="2558">
      <c r="A2558" s="0" t="inlineStr">
        <is>
          <t xml:space="preserve">random_16_AVAH</t>
        </is>
      </c>
      <c r="B2558" s="0" t="inlineStr">
        <is>
          <t xml:space="preserve">random_16</t>
        </is>
      </c>
      <c r="C2558" s="0" t="inlineStr">
        <is>
          <t xml:space="preserve">d20260923</t>
        </is>
      </c>
      <c r="D2558" s="0" t="inlineStr">
        <is>
          <t xml:space="preserve">AVAH</t>
        </is>
      </c>
      <c r="E2558" s="0" t="inlineStr">
        <is>
          <t xml:space="preserve">healthcare</t>
        </is>
      </c>
      <c r="F2558" s="4">
        <v>57</v>
      </c>
    </row>
    <row r="2559">
      <c r="A2559" s="0" t="inlineStr">
        <is>
          <t xml:space="preserve">random_16_LEU</t>
        </is>
      </c>
      <c r="B2559" s="0" t="inlineStr">
        <is>
          <t xml:space="preserve">random_16</t>
        </is>
      </c>
      <c r="C2559" s="0" t="inlineStr">
        <is>
          <t xml:space="preserve">d20260923</t>
        </is>
      </c>
      <c r="D2559" s="0" t="inlineStr">
        <is>
          <t xml:space="preserve">LEU</t>
        </is>
      </c>
      <c r="E2559" s="0" t="inlineStr">
        <is>
          <t xml:space="preserve">energy</t>
        </is>
      </c>
      <c r="F2559" s="4">
        <v>58</v>
      </c>
    </row>
    <row r="2560">
      <c r="A2560" s="0" t="inlineStr">
        <is>
          <t xml:space="preserve">random_16_AAL</t>
        </is>
      </c>
      <c r="B2560" s="0" t="inlineStr">
        <is>
          <t xml:space="preserve">random_16</t>
        </is>
      </c>
      <c r="C2560" s="0" t="inlineStr">
        <is>
          <t xml:space="preserve">d20260923</t>
        </is>
      </c>
      <c r="D2560" s="0" t="inlineStr">
        <is>
          <t xml:space="preserve">AAL</t>
        </is>
      </c>
      <c r="E2560" s="0" t="inlineStr">
        <is>
          <t xml:space="preserve">industrials</t>
        </is>
      </c>
      <c r="F2560" s="4">
        <v>59</v>
      </c>
    </row>
    <row r="2561">
      <c r="A2561" s="0" t="inlineStr">
        <is>
          <t xml:space="preserve">random_16_VFC</t>
        </is>
      </c>
      <c r="B2561" s="0" t="inlineStr">
        <is>
          <t xml:space="preserve">random_16</t>
        </is>
      </c>
      <c r="C2561" s="0" t="inlineStr">
        <is>
          <t xml:space="preserve">d20260923</t>
        </is>
      </c>
      <c r="D2561" s="0" t="inlineStr">
        <is>
          <t xml:space="preserve">VFC</t>
        </is>
      </c>
      <c r="E2561" s="0" t="inlineStr">
        <is>
          <t xml:space="preserve">consumer_cyclical</t>
        </is>
      </c>
      <c r="F2561" s="4">
        <v>60</v>
      </c>
    </row>
    <row r="2562">
      <c r="A2562" s="0" t="inlineStr">
        <is>
          <t xml:space="preserve">random_16_SEIC</t>
        </is>
      </c>
      <c r="B2562" s="0" t="inlineStr">
        <is>
          <t xml:space="preserve">random_16</t>
        </is>
      </c>
      <c r="C2562" s="0" t="inlineStr">
        <is>
          <t xml:space="preserve">d20260923</t>
        </is>
      </c>
      <c r="D2562" s="0" t="inlineStr">
        <is>
          <t xml:space="preserve">SEIC</t>
        </is>
      </c>
      <c r="E2562" s="0" t="inlineStr">
        <is>
          <t xml:space="preserve">financial_services</t>
        </is>
      </c>
      <c r="F2562" s="4">
        <v>61</v>
      </c>
    </row>
    <row r="2563">
      <c r="A2563" s="0" t="inlineStr">
        <is>
          <t xml:space="preserve">random_16_BKR</t>
        </is>
      </c>
      <c r="B2563" s="0" t="inlineStr">
        <is>
          <t xml:space="preserve">random_16</t>
        </is>
      </c>
      <c r="C2563" s="0" t="inlineStr">
        <is>
          <t xml:space="preserve">d20260923</t>
        </is>
      </c>
      <c r="D2563" s="0" t="inlineStr">
        <is>
          <t xml:space="preserve">BKR</t>
        </is>
      </c>
      <c r="E2563" s="0" t="inlineStr">
        <is>
          <t xml:space="preserve">energy</t>
        </is>
      </c>
      <c r="F2563" s="4">
        <v>62</v>
      </c>
    </row>
    <row r="2564">
      <c r="A2564" s="0" t="inlineStr">
        <is>
          <t xml:space="preserve">random_16_UDR</t>
        </is>
      </c>
      <c r="B2564" s="0" t="inlineStr">
        <is>
          <t xml:space="preserve">random_16</t>
        </is>
      </c>
      <c r="C2564" s="0" t="inlineStr">
        <is>
          <t xml:space="preserve">d20260923</t>
        </is>
      </c>
      <c r="D2564" s="0" t="inlineStr">
        <is>
          <t xml:space="preserve">UDR</t>
        </is>
      </c>
      <c r="E2564" s="0" t="inlineStr">
        <is>
          <t xml:space="preserve">real_estate</t>
        </is>
      </c>
      <c r="F2564" s="4">
        <v>63</v>
      </c>
    </row>
    <row r="2565">
      <c r="A2565" s="0" t="inlineStr">
        <is>
          <t xml:space="preserve">random_16_NUE</t>
        </is>
      </c>
      <c r="B2565" s="0" t="inlineStr">
        <is>
          <t xml:space="preserve">random_16</t>
        </is>
      </c>
      <c r="C2565" s="0" t="inlineStr">
        <is>
          <t xml:space="preserve">d20260923</t>
        </is>
      </c>
      <c r="D2565" s="0" t="inlineStr">
        <is>
          <t xml:space="preserve">NUE</t>
        </is>
      </c>
      <c r="E2565" s="0" t="inlineStr">
        <is>
          <t xml:space="preserve">basic_materials</t>
        </is>
      </c>
      <c r="F2565" s="4">
        <v>64</v>
      </c>
    </row>
    <row r="2566">
      <c r="A2566" s="0" t="inlineStr">
        <is>
          <t xml:space="preserve">random_16_SHC</t>
        </is>
      </c>
      <c r="B2566" s="0" t="inlineStr">
        <is>
          <t xml:space="preserve">random_16</t>
        </is>
      </c>
      <c r="C2566" s="0" t="inlineStr">
        <is>
          <t xml:space="preserve">d20260923</t>
        </is>
      </c>
      <c r="D2566" s="0" t="inlineStr">
        <is>
          <t xml:space="preserve">SHC</t>
        </is>
      </c>
      <c r="E2566" s="0" t="inlineStr">
        <is>
          <t xml:space="preserve">healthcare</t>
        </is>
      </c>
      <c r="F2566" s="4">
        <v>65</v>
      </c>
    </row>
    <row r="2567">
      <c r="A2567" s="0" t="inlineStr">
        <is>
          <t xml:space="preserve">random_16_BA</t>
        </is>
      </c>
      <c r="B2567" s="0" t="inlineStr">
        <is>
          <t xml:space="preserve">random_16</t>
        </is>
      </c>
      <c r="C2567" s="0" t="inlineStr">
        <is>
          <t xml:space="preserve">d20260923</t>
        </is>
      </c>
      <c r="D2567" s="0" t="inlineStr">
        <is>
          <t xml:space="preserve">BA</t>
        </is>
      </c>
      <c r="E2567" s="0" t="inlineStr">
        <is>
          <t xml:space="preserve">industrials</t>
        </is>
      </c>
      <c r="F2567" s="4">
        <v>66</v>
      </c>
    </row>
    <row r="2568">
      <c r="A2568" s="0" t="inlineStr">
        <is>
          <t xml:space="preserve">random_16_KYMR</t>
        </is>
      </c>
      <c r="B2568" s="0" t="inlineStr">
        <is>
          <t xml:space="preserve">random_16</t>
        </is>
      </c>
      <c r="C2568" s="0" t="inlineStr">
        <is>
          <t xml:space="preserve">d20260923</t>
        </is>
      </c>
      <c r="D2568" s="0" t="inlineStr">
        <is>
          <t xml:space="preserve">KYMR</t>
        </is>
      </c>
      <c r="E2568" s="0" t="inlineStr">
        <is>
          <t xml:space="preserve">healthcare</t>
        </is>
      </c>
      <c r="F2568" s="4">
        <v>67</v>
      </c>
    </row>
    <row r="2569">
      <c r="A2569" s="0" t="inlineStr">
        <is>
          <t xml:space="preserve">random_16_TRMB</t>
        </is>
      </c>
      <c r="B2569" s="0" t="inlineStr">
        <is>
          <t xml:space="preserve">random_16</t>
        </is>
      </c>
      <c r="C2569" s="0" t="inlineStr">
        <is>
          <t xml:space="preserve">d20260923</t>
        </is>
      </c>
      <c r="D2569" s="0" t="inlineStr">
        <is>
          <t xml:space="preserve">TRMB</t>
        </is>
      </c>
      <c r="E2569" s="0" t="inlineStr">
        <is>
          <t xml:space="preserve">technology</t>
        </is>
      </c>
      <c r="F2569" s="4">
        <v>68</v>
      </c>
    </row>
    <row r="2570">
      <c r="A2570" s="0" t="inlineStr">
        <is>
          <t xml:space="preserve">random_16_MKSI</t>
        </is>
      </c>
      <c r="B2570" s="0" t="inlineStr">
        <is>
          <t xml:space="preserve">random_16</t>
        </is>
      </c>
      <c r="C2570" s="0" t="inlineStr">
        <is>
          <t xml:space="preserve">d20260923</t>
        </is>
      </c>
      <c r="D2570" s="0" t="inlineStr">
        <is>
          <t xml:space="preserve">MKSI</t>
        </is>
      </c>
      <c r="E2570" s="0" t="inlineStr">
        <is>
          <t xml:space="preserve">technology</t>
        </is>
      </c>
      <c r="F2570" s="4">
        <v>69</v>
      </c>
    </row>
    <row r="2571">
      <c r="A2571" s="0" t="inlineStr">
        <is>
          <t xml:space="preserve">random_16_SRE</t>
        </is>
      </c>
      <c r="B2571" s="0" t="inlineStr">
        <is>
          <t xml:space="preserve">random_16</t>
        </is>
      </c>
      <c r="C2571" s="0" t="inlineStr">
        <is>
          <t xml:space="preserve">d20260923</t>
        </is>
      </c>
      <c r="D2571" s="0" t="inlineStr">
        <is>
          <t xml:space="preserve">SRE</t>
        </is>
      </c>
      <c r="E2571" s="0" t="inlineStr">
        <is>
          <t xml:space="preserve">utilities</t>
        </is>
      </c>
      <c r="F2571" s="4">
        <v>70</v>
      </c>
    </row>
    <row r="2572">
      <c r="A2572" s="0" t="inlineStr">
        <is>
          <t xml:space="preserve">random_16_LOPE</t>
        </is>
      </c>
      <c r="B2572" s="0" t="inlineStr">
        <is>
          <t xml:space="preserve">random_16</t>
        </is>
      </c>
      <c r="C2572" s="0" t="inlineStr">
        <is>
          <t xml:space="preserve">d20260923</t>
        </is>
      </c>
      <c r="D2572" s="0" t="inlineStr">
        <is>
          <t xml:space="preserve">LOPE</t>
        </is>
      </c>
      <c r="E2572" s="0" t="inlineStr">
        <is>
          <t xml:space="preserve">consumer_defensive</t>
        </is>
      </c>
      <c r="F2572" s="4">
        <v>71</v>
      </c>
    </row>
    <row r="2573">
      <c r="A2573" s="0" t="inlineStr">
        <is>
          <t xml:space="preserve">random_16_CHEF</t>
        </is>
      </c>
      <c r="B2573" s="0" t="inlineStr">
        <is>
          <t xml:space="preserve">random_16</t>
        </is>
      </c>
      <c r="C2573" s="0" t="inlineStr">
        <is>
          <t xml:space="preserve">d20260923</t>
        </is>
      </c>
      <c r="D2573" s="0" t="inlineStr">
        <is>
          <t xml:space="preserve">CHEF</t>
        </is>
      </c>
      <c r="E2573" s="0" t="inlineStr">
        <is>
          <t xml:space="preserve">consumer_defensive</t>
        </is>
      </c>
      <c r="F2573" s="4">
        <v>72</v>
      </c>
    </row>
    <row r="2574">
      <c r="A2574" s="0" t="inlineStr">
        <is>
          <t xml:space="preserve">random_16_MAT</t>
        </is>
      </c>
      <c r="B2574" s="0" t="inlineStr">
        <is>
          <t xml:space="preserve">random_16</t>
        </is>
      </c>
      <c r="C2574" s="0" t="inlineStr">
        <is>
          <t xml:space="preserve">d20260923</t>
        </is>
      </c>
      <c r="D2574" s="0" t="inlineStr">
        <is>
          <t xml:space="preserve">MAT</t>
        </is>
      </c>
      <c r="E2574" s="0" t="inlineStr">
        <is>
          <t xml:space="preserve">consumer_cyclical</t>
        </is>
      </c>
      <c r="F2574" s="4">
        <v>73</v>
      </c>
    </row>
    <row r="2575">
      <c r="A2575" s="0" t="inlineStr">
        <is>
          <t xml:space="preserve">random_16_CCI</t>
        </is>
      </c>
      <c r="B2575" s="0" t="inlineStr">
        <is>
          <t xml:space="preserve">random_16</t>
        </is>
      </c>
      <c r="C2575" s="0" t="inlineStr">
        <is>
          <t xml:space="preserve">d20260923</t>
        </is>
      </c>
      <c r="D2575" s="0" t="inlineStr">
        <is>
          <t xml:space="preserve">CCI</t>
        </is>
      </c>
      <c r="E2575" s="0" t="inlineStr">
        <is>
          <t xml:space="preserve">real_estate</t>
        </is>
      </c>
      <c r="F2575" s="4">
        <v>74</v>
      </c>
    </row>
    <row r="2576">
      <c r="A2576" s="0" t="inlineStr">
        <is>
          <t xml:space="preserve">random_16_AGCO</t>
        </is>
      </c>
      <c r="B2576" s="0" t="inlineStr">
        <is>
          <t xml:space="preserve">random_16</t>
        </is>
      </c>
      <c r="C2576" s="0" t="inlineStr">
        <is>
          <t xml:space="preserve">d20260923</t>
        </is>
      </c>
      <c r="D2576" s="0" t="inlineStr">
        <is>
          <t xml:space="preserve">AGCO</t>
        </is>
      </c>
      <c r="E2576" s="0" t="inlineStr">
        <is>
          <t xml:space="preserve">industrials</t>
        </is>
      </c>
      <c r="F2576" s="4">
        <v>75</v>
      </c>
    </row>
    <row r="2577">
      <c r="A2577" s="0" t="inlineStr">
        <is>
          <t xml:space="preserve">random_16_PLD</t>
        </is>
      </c>
      <c r="B2577" s="0" t="inlineStr">
        <is>
          <t xml:space="preserve">random_16</t>
        </is>
      </c>
      <c r="C2577" s="0" t="inlineStr">
        <is>
          <t xml:space="preserve">d20260923</t>
        </is>
      </c>
      <c r="D2577" s="0" t="inlineStr">
        <is>
          <t xml:space="preserve">PLD</t>
        </is>
      </c>
      <c r="E2577" s="0" t="inlineStr">
        <is>
          <t xml:space="preserve">real_estate</t>
        </is>
      </c>
      <c r="F2577" s="4">
        <v>76</v>
      </c>
    </row>
    <row r="2578">
      <c r="A2578" s="0" t="inlineStr">
        <is>
          <t xml:space="preserve">random_16_NVDA</t>
        </is>
      </c>
      <c r="B2578" s="0" t="inlineStr">
        <is>
          <t xml:space="preserve">random_16</t>
        </is>
      </c>
      <c r="C2578" s="0" t="inlineStr">
        <is>
          <t xml:space="preserve">d20260923</t>
        </is>
      </c>
      <c r="D2578" s="0" t="inlineStr">
        <is>
          <t xml:space="preserve">NVDA</t>
        </is>
      </c>
      <c r="E2578" s="0" t="inlineStr">
        <is>
          <t xml:space="preserve">technology</t>
        </is>
      </c>
      <c r="F2578" s="4">
        <v>77</v>
      </c>
    </row>
    <row r="2579">
      <c r="A2579" s="0" t="inlineStr">
        <is>
          <t xml:space="preserve">random_16_AKAM</t>
        </is>
      </c>
      <c r="B2579" s="0" t="inlineStr">
        <is>
          <t xml:space="preserve">random_16</t>
        </is>
      </c>
      <c r="C2579" s="0" t="inlineStr">
        <is>
          <t xml:space="preserve">d20260923</t>
        </is>
      </c>
      <c r="D2579" s="0" t="inlineStr">
        <is>
          <t xml:space="preserve">AKAM</t>
        </is>
      </c>
      <c r="E2579" s="0" t="inlineStr">
        <is>
          <t xml:space="preserve">technology</t>
        </is>
      </c>
      <c r="F2579" s="4">
        <v>78</v>
      </c>
    </row>
    <row r="2580">
      <c r="A2580" s="0" t="inlineStr">
        <is>
          <t xml:space="preserve">random_16_URBN</t>
        </is>
      </c>
      <c r="B2580" s="0" t="inlineStr">
        <is>
          <t xml:space="preserve">random_16</t>
        </is>
      </c>
      <c r="C2580" s="0" t="inlineStr">
        <is>
          <t xml:space="preserve">d20260923</t>
        </is>
      </c>
      <c r="D2580" s="0" t="inlineStr">
        <is>
          <t xml:space="preserve">URBN</t>
        </is>
      </c>
      <c r="E2580" s="0" t="inlineStr">
        <is>
          <t xml:space="preserve">consumer_cyclical</t>
        </is>
      </c>
      <c r="F2580" s="4">
        <v>79</v>
      </c>
    </row>
    <row r="2581">
      <c r="A2581" s="0" t="inlineStr">
        <is>
          <t xml:space="preserve">random_16_BJ</t>
        </is>
      </c>
      <c r="B2581" s="0" t="inlineStr">
        <is>
          <t xml:space="preserve">random_16</t>
        </is>
      </c>
      <c r="C2581" s="0" t="inlineStr">
        <is>
          <t xml:space="preserve">d20260923</t>
        </is>
      </c>
      <c r="D2581" s="0" t="inlineStr">
        <is>
          <t xml:space="preserve">BJ</t>
        </is>
      </c>
      <c r="E2581" s="0" t="inlineStr">
        <is>
          <t xml:space="preserve">consumer_defensive</t>
        </is>
      </c>
      <c r="F2581" s="4">
        <v>80</v>
      </c>
    </row>
    <row r="2582">
      <c r="A2582" s="0" t="inlineStr">
        <is>
          <t xml:space="preserve">random_16_ARQT</t>
        </is>
      </c>
      <c r="B2582" s="0" t="inlineStr">
        <is>
          <t xml:space="preserve">random_16</t>
        </is>
      </c>
      <c r="C2582" s="0" t="inlineStr">
        <is>
          <t xml:space="preserve">d20260923</t>
        </is>
      </c>
      <c r="D2582" s="0" t="inlineStr">
        <is>
          <t xml:space="preserve">ARQT</t>
        </is>
      </c>
      <c r="E2582" s="0" t="inlineStr">
        <is>
          <t xml:space="preserve">healthcare</t>
        </is>
      </c>
      <c r="F2582" s="4">
        <v>81</v>
      </c>
    </row>
    <row r="2583">
      <c r="A2583" s="0" t="inlineStr">
        <is>
          <t xml:space="preserve">random_16_MTB</t>
        </is>
      </c>
      <c r="B2583" s="0" t="inlineStr">
        <is>
          <t xml:space="preserve">random_16</t>
        </is>
      </c>
      <c r="C2583" s="0" t="inlineStr">
        <is>
          <t xml:space="preserve">d20260923</t>
        </is>
      </c>
      <c r="D2583" s="0" t="inlineStr">
        <is>
          <t xml:space="preserve">MTB</t>
        </is>
      </c>
      <c r="E2583" s="0" t="inlineStr">
        <is>
          <t xml:space="preserve">financial_services</t>
        </is>
      </c>
      <c r="F2583" s="4">
        <v>82</v>
      </c>
    </row>
    <row r="2584">
      <c r="A2584" s="0" t="inlineStr">
        <is>
          <t xml:space="preserve">random_16_AMBA</t>
        </is>
      </c>
      <c r="B2584" s="0" t="inlineStr">
        <is>
          <t xml:space="preserve">random_16</t>
        </is>
      </c>
      <c r="C2584" s="0" t="inlineStr">
        <is>
          <t xml:space="preserve">d20260923</t>
        </is>
      </c>
      <c r="D2584" s="0" t="inlineStr">
        <is>
          <t xml:space="preserve">AMBA</t>
        </is>
      </c>
      <c r="E2584" s="0" t="inlineStr">
        <is>
          <t xml:space="preserve">technology</t>
        </is>
      </c>
      <c r="F2584" s="4">
        <v>83</v>
      </c>
    </row>
    <row r="2585">
      <c r="A2585" s="0" t="inlineStr">
        <is>
          <t xml:space="preserve">random_16_MORN</t>
        </is>
      </c>
      <c r="B2585" s="0" t="inlineStr">
        <is>
          <t xml:space="preserve">random_16</t>
        </is>
      </c>
      <c r="C2585" s="0" t="inlineStr">
        <is>
          <t xml:space="preserve">d20260923</t>
        </is>
      </c>
      <c r="D2585" s="0" t="inlineStr">
        <is>
          <t xml:space="preserve">MORN</t>
        </is>
      </c>
      <c r="E2585" s="0" t="inlineStr">
        <is>
          <t xml:space="preserve">financial_services</t>
        </is>
      </c>
      <c r="F2585" s="4">
        <v>84</v>
      </c>
    </row>
    <row r="2586">
      <c r="A2586" s="0" t="inlineStr">
        <is>
          <t xml:space="preserve">random_16_LPX</t>
        </is>
      </c>
      <c r="B2586" s="0" t="inlineStr">
        <is>
          <t xml:space="preserve">random_16</t>
        </is>
      </c>
      <c r="C2586" s="0" t="inlineStr">
        <is>
          <t xml:space="preserve">d20260923</t>
        </is>
      </c>
      <c r="D2586" s="0" t="inlineStr">
        <is>
          <t xml:space="preserve">LPX</t>
        </is>
      </c>
      <c r="E2586" s="0" t="inlineStr">
        <is>
          <t xml:space="preserve">basic_materials</t>
        </is>
      </c>
      <c r="F2586" s="4">
        <v>85</v>
      </c>
    </row>
    <row r="2587">
      <c r="A2587" s="0" t="inlineStr">
        <is>
          <t xml:space="preserve">random_16_AAON</t>
        </is>
      </c>
      <c r="B2587" s="0" t="inlineStr">
        <is>
          <t xml:space="preserve">random_16</t>
        </is>
      </c>
      <c r="C2587" s="0" t="inlineStr">
        <is>
          <t xml:space="preserve">d20260923</t>
        </is>
      </c>
      <c r="D2587" s="0" t="inlineStr">
        <is>
          <t xml:space="preserve">AAON</t>
        </is>
      </c>
      <c r="E2587" s="0" t="inlineStr">
        <is>
          <t xml:space="preserve">industrials</t>
        </is>
      </c>
      <c r="F2587" s="4">
        <v>86</v>
      </c>
    </row>
    <row r="2588">
      <c r="A2588" s="0" t="inlineStr">
        <is>
          <t xml:space="preserve">random_16_LPLA</t>
        </is>
      </c>
      <c r="B2588" s="0" t="inlineStr">
        <is>
          <t xml:space="preserve">random_16</t>
        </is>
      </c>
      <c r="C2588" s="0" t="inlineStr">
        <is>
          <t xml:space="preserve">d20260923</t>
        </is>
      </c>
      <c r="D2588" s="0" t="inlineStr">
        <is>
          <t xml:space="preserve">LPLA</t>
        </is>
      </c>
      <c r="E2588" s="0" t="inlineStr">
        <is>
          <t xml:space="preserve">financial_services</t>
        </is>
      </c>
      <c r="F2588" s="4">
        <v>87</v>
      </c>
    </row>
    <row r="2589">
      <c r="A2589" s="0" t="inlineStr">
        <is>
          <t xml:space="preserve">random_16_ACAD</t>
        </is>
      </c>
      <c r="B2589" s="0" t="inlineStr">
        <is>
          <t xml:space="preserve">random_16</t>
        </is>
      </c>
      <c r="C2589" s="0" t="inlineStr">
        <is>
          <t xml:space="preserve">d20260923</t>
        </is>
      </c>
      <c r="D2589" s="0" t="inlineStr">
        <is>
          <t xml:space="preserve">ACAD</t>
        </is>
      </c>
      <c r="E2589" s="0" t="inlineStr">
        <is>
          <t xml:space="preserve">healthcare</t>
        </is>
      </c>
      <c r="F2589" s="4">
        <v>88</v>
      </c>
    </row>
    <row r="2590">
      <c r="A2590" s="0" t="inlineStr">
        <is>
          <t xml:space="preserve">random_16_ROST</t>
        </is>
      </c>
      <c r="B2590" s="0" t="inlineStr">
        <is>
          <t xml:space="preserve">random_16</t>
        </is>
      </c>
      <c r="C2590" s="0" t="inlineStr">
        <is>
          <t xml:space="preserve">d20260923</t>
        </is>
      </c>
      <c r="D2590" s="0" t="inlineStr">
        <is>
          <t xml:space="preserve">ROST</t>
        </is>
      </c>
      <c r="E2590" s="0" t="inlineStr">
        <is>
          <t xml:space="preserve">consumer_cyclical</t>
        </is>
      </c>
      <c r="F2590" s="4">
        <v>89</v>
      </c>
    </row>
    <row r="2591">
      <c r="A2591" s="0" t="inlineStr">
        <is>
          <t xml:space="preserve">random_16_PCVX</t>
        </is>
      </c>
      <c r="B2591" s="0" t="inlineStr">
        <is>
          <t xml:space="preserve">random_16</t>
        </is>
      </c>
      <c r="C2591" s="0" t="inlineStr">
        <is>
          <t xml:space="preserve">d20260923</t>
        </is>
      </c>
      <c r="D2591" s="0" t="inlineStr">
        <is>
          <t xml:space="preserve">PCVX</t>
        </is>
      </c>
      <c r="E2591" s="0" t="inlineStr">
        <is>
          <t xml:space="preserve">healthcare</t>
        </is>
      </c>
      <c r="F2591" s="4">
        <v>90</v>
      </c>
    </row>
    <row r="2592">
      <c r="A2592" s="0" t="inlineStr">
        <is>
          <t xml:space="preserve">random_16_SYNA</t>
        </is>
      </c>
      <c r="B2592" s="0" t="inlineStr">
        <is>
          <t xml:space="preserve">random_16</t>
        </is>
      </c>
      <c r="C2592" s="0" t="inlineStr">
        <is>
          <t xml:space="preserve">d20260923</t>
        </is>
      </c>
      <c r="D2592" s="0" t="inlineStr">
        <is>
          <t xml:space="preserve">SYNA</t>
        </is>
      </c>
      <c r="E2592" s="0" t="inlineStr">
        <is>
          <t xml:space="preserve">technology</t>
        </is>
      </c>
      <c r="F2592" s="4">
        <v>91</v>
      </c>
    </row>
    <row r="2593">
      <c r="A2593" s="0" t="inlineStr">
        <is>
          <t xml:space="preserve">random_16_TGTX</t>
        </is>
      </c>
      <c r="B2593" s="0" t="inlineStr">
        <is>
          <t xml:space="preserve">random_16</t>
        </is>
      </c>
      <c r="C2593" s="0" t="inlineStr">
        <is>
          <t xml:space="preserve">d20260923</t>
        </is>
      </c>
      <c r="D2593" s="0" t="inlineStr">
        <is>
          <t xml:space="preserve">TGTX</t>
        </is>
      </c>
      <c r="E2593" s="0" t="inlineStr">
        <is>
          <t xml:space="preserve">healthcare</t>
        </is>
      </c>
      <c r="F2593" s="4">
        <v>92</v>
      </c>
    </row>
    <row r="2594">
      <c r="A2594" s="0" t="inlineStr">
        <is>
          <t xml:space="preserve">random_16_CHRD</t>
        </is>
      </c>
      <c r="B2594" s="0" t="inlineStr">
        <is>
          <t xml:space="preserve">random_16</t>
        </is>
      </c>
      <c r="C2594" s="0" t="inlineStr">
        <is>
          <t xml:space="preserve">d20260923</t>
        </is>
      </c>
      <c r="D2594" s="0" t="inlineStr">
        <is>
          <t xml:space="preserve">CHRD</t>
        </is>
      </c>
      <c r="E2594" s="0" t="inlineStr">
        <is>
          <t xml:space="preserve">energy</t>
        </is>
      </c>
      <c r="F2594" s="4">
        <v>93</v>
      </c>
    </row>
    <row r="2595">
      <c r="A2595" s="0" t="inlineStr">
        <is>
          <t xml:space="preserve">random_16_ROK</t>
        </is>
      </c>
      <c r="B2595" s="0" t="inlineStr">
        <is>
          <t xml:space="preserve">random_16</t>
        </is>
      </c>
      <c r="C2595" s="0" t="inlineStr">
        <is>
          <t xml:space="preserve">d20260923</t>
        </is>
      </c>
      <c r="D2595" s="0" t="inlineStr">
        <is>
          <t xml:space="preserve">ROK</t>
        </is>
      </c>
      <c r="E2595" s="0" t="inlineStr">
        <is>
          <t xml:space="preserve">industrials</t>
        </is>
      </c>
      <c r="F2595" s="4">
        <v>94</v>
      </c>
    </row>
    <row r="2596">
      <c r="A2596" s="0" t="inlineStr">
        <is>
          <t xml:space="preserve">random_16_OSK</t>
        </is>
      </c>
      <c r="B2596" s="0" t="inlineStr">
        <is>
          <t xml:space="preserve">random_16</t>
        </is>
      </c>
      <c r="C2596" s="0" t="inlineStr">
        <is>
          <t xml:space="preserve">d20260923</t>
        </is>
      </c>
      <c r="D2596" s="0" t="inlineStr">
        <is>
          <t xml:space="preserve">OSK</t>
        </is>
      </c>
      <c r="E2596" s="0" t="inlineStr">
        <is>
          <t xml:space="preserve">industrials</t>
        </is>
      </c>
      <c r="F2596" s="4">
        <v>95</v>
      </c>
    </row>
    <row r="2597">
      <c r="A2597" s="0" t="inlineStr">
        <is>
          <t xml:space="preserve">random_16_WM</t>
        </is>
      </c>
      <c r="B2597" s="0" t="inlineStr">
        <is>
          <t xml:space="preserve">random_16</t>
        </is>
      </c>
      <c r="C2597" s="0" t="inlineStr">
        <is>
          <t xml:space="preserve">d20260923</t>
        </is>
      </c>
      <c r="D2597" s="0" t="inlineStr">
        <is>
          <t xml:space="preserve">WM</t>
        </is>
      </c>
      <c r="E2597" s="0" t="inlineStr">
        <is>
          <t xml:space="preserve">industrials</t>
        </is>
      </c>
      <c r="F2597" s="4">
        <v>96</v>
      </c>
    </row>
    <row r="2598">
      <c r="A2598" s="0" t="inlineStr">
        <is>
          <t xml:space="preserve">random_16_TRN</t>
        </is>
      </c>
      <c r="B2598" s="0" t="inlineStr">
        <is>
          <t xml:space="preserve">random_16</t>
        </is>
      </c>
      <c r="C2598" s="0" t="inlineStr">
        <is>
          <t xml:space="preserve">d20260923</t>
        </is>
      </c>
      <c r="D2598" s="0" t="inlineStr">
        <is>
          <t xml:space="preserve">TRN</t>
        </is>
      </c>
      <c r="E2598" s="0" t="inlineStr">
        <is>
          <t xml:space="preserve">industrials</t>
        </is>
      </c>
      <c r="F2598" s="4">
        <v>97</v>
      </c>
    </row>
    <row r="2599">
      <c r="A2599" s="0" t="inlineStr">
        <is>
          <t xml:space="preserve">random_16_MH</t>
        </is>
      </c>
      <c r="B2599" s="0" t="inlineStr">
        <is>
          <t xml:space="preserve">random_16</t>
        </is>
      </c>
      <c r="C2599" s="0" t="inlineStr">
        <is>
          <t xml:space="preserve">d20260923</t>
        </is>
      </c>
      <c r="D2599" s="0" t="inlineStr">
        <is>
          <t xml:space="preserve">MH</t>
        </is>
      </c>
      <c r="E2599" s="0" t="inlineStr">
        <is>
          <t xml:space="preserve">consumer_defensive</t>
        </is>
      </c>
      <c r="F2599" s="4">
        <v>98</v>
      </c>
    </row>
    <row r="2600">
      <c r="A2600" s="0" t="inlineStr">
        <is>
          <t xml:space="preserve">random_16_STWD</t>
        </is>
      </c>
      <c r="B2600" s="0" t="inlineStr">
        <is>
          <t xml:space="preserve">random_16</t>
        </is>
      </c>
      <c r="C2600" s="0" t="inlineStr">
        <is>
          <t xml:space="preserve">d20260923</t>
        </is>
      </c>
      <c r="D2600" s="0" t="inlineStr">
        <is>
          <t xml:space="preserve">STWD</t>
        </is>
      </c>
      <c r="E2600" s="0" t="inlineStr">
        <is>
          <t xml:space="preserve">real_estate</t>
        </is>
      </c>
      <c r="F2600" s="4">
        <v>99</v>
      </c>
    </row>
    <row r="2601">
      <c r="A2601" s="0" t="inlineStr">
        <is>
          <t xml:space="preserve">random_16_AVPT</t>
        </is>
      </c>
      <c r="B2601" s="0" t="inlineStr">
        <is>
          <t xml:space="preserve">random_16</t>
        </is>
      </c>
      <c r="C2601" s="0" t="inlineStr">
        <is>
          <t xml:space="preserve">d20260923</t>
        </is>
      </c>
      <c r="D2601" s="0" t="inlineStr">
        <is>
          <t xml:space="preserve">AVPT</t>
        </is>
      </c>
      <c r="E2601" s="0" t="inlineStr">
        <is>
          <t xml:space="preserve">technology</t>
        </is>
      </c>
      <c r="F2601" s="4">
        <v>100</v>
      </c>
    </row>
    <row r="2602">
      <c r="A2602" s="0" t="inlineStr">
        <is>
          <t xml:space="preserve">random_17_FAF</t>
        </is>
      </c>
      <c r="B2602" s="0" t="inlineStr">
        <is>
          <t xml:space="preserve">random_17</t>
        </is>
      </c>
      <c r="C2602" s="0" t="inlineStr">
        <is>
          <t xml:space="preserve">d20260923</t>
        </is>
      </c>
      <c r="D2602" s="0" t="inlineStr">
        <is>
          <t xml:space="preserve">FAF</t>
        </is>
      </c>
      <c r="E2602" s="0" t="inlineStr">
        <is>
          <t xml:space="preserve">financial_services</t>
        </is>
      </c>
      <c r="F2602" s="4">
        <v>1</v>
      </c>
    </row>
    <row r="2603">
      <c r="A2603" s="0" t="inlineStr">
        <is>
          <t xml:space="preserve">random_17_KO</t>
        </is>
      </c>
      <c r="B2603" s="0" t="inlineStr">
        <is>
          <t xml:space="preserve">random_17</t>
        </is>
      </c>
      <c r="C2603" s="0" t="inlineStr">
        <is>
          <t xml:space="preserve">d20260923</t>
        </is>
      </c>
      <c r="D2603" s="0" t="inlineStr">
        <is>
          <t xml:space="preserve">KO</t>
        </is>
      </c>
      <c r="E2603" s="0" t="inlineStr">
        <is>
          <t xml:space="preserve">consumer_defensive</t>
        </is>
      </c>
      <c r="F2603" s="4">
        <v>2</v>
      </c>
    </row>
    <row r="2604">
      <c r="A2604" s="0" t="inlineStr">
        <is>
          <t xml:space="preserve">random_17_MSCI</t>
        </is>
      </c>
      <c r="B2604" s="0" t="inlineStr">
        <is>
          <t xml:space="preserve">random_17</t>
        </is>
      </c>
      <c r="C2604" s="0" t="inlineStr">
        <is>
          <t xml:space="preserve">d20260923</t>
        </is>
      </c>
      <c r="D2604" s="0" t="inlineStr">
        <is>
          <t xml:space="preserve">MSCI</t>
        </is>
      </c>
      <c r="E2604" s="0" t="inlineStr">
        <is>
          <t xml:space="preserve">financial_services</t>
        </is>
      </c>
      <c r="F2604" s="4">
        <v>3</v>
      </c>
    </row>
    <row r="2605">
      <c r="A2605" s="0" t="inlineStr">
        <is>
          <t xml:space="preserve">random_17_CALM</t>
        </is>
      </c>
      <c r="B2605" s="0" t="inlineStr">
        <is>
          <t xml:space="preserve">random_17</t>
        </is>
      </c>
      <c r="C2605" s="0" t="inlineStr">
        <is>
          <t xml:space="preserve">d20260923</t>
        </is>
      </c>
      <c r="D2605" s="0" t="inlineStr">
        <is>
          <t xml:space="preserve">CALM</t>
        </is>
      </c>
      <c r="E2605" s="0" t="inlineStr">
        <is>
          <t xml:space="preserve">consumer_defensive</t>
        </is>
      </c>
      <c r="F2605" s="4">
        <v>4</v>
      </c>
    </row>
    <row r="2606">
      <c r="A2606" s="0" t="inlineStr">
        <is>
          <t xml:space="preserve">random_17_CF</t>
        </is>
      </c>
      <c r="B2606" s="0" t="inlineStr">
        <is>
          <t xml:space="preserve">random_17</t>
        </is>
      </c>
      <c r="C2606" s="0" t="inlineStr">
        <is>
          <t xml:space="preserve">d20260923</t>
        </is>
      </c>
      <c r="D2606" s="0" t="inlineStr">
        <is>
          <t xml:space="preserve">CF</t>
        </is>
      </c>
      <c r="E2606" s="0" t="inlineStr">
        <is>
          <t xml:space="preserve">basic_materials</t>
        </is>
      </c>
      <c r="F2606" s="4">
        <v>5</v>
      </c>
    </row>
    <row r="2607">
      <c r="A2607" s="0" t="inlineStr">
        <is>
          <t xml:space="preserve">random_17_GD</t>
        </is>
      </c>
      <c r="B2607" s="0" t="inlineStr">
        <is>
          <t xml:space="preserve">random_17</t>
        </is>
      </c>
      <c r="C2607" s="0" t="inlineStr">
        <is>
          <t xml:space="preserve">d20260923</t>
        </is>
      </c>
      <c r="D2607" s="0" t="inlineStr">
        <is>
          <t xml:space="preserve">GD</t>
        </is>
      </c>
      <c r="E2607" s="0" t="inlineStr">
        <is>
          <t xml:space="preserve">industrials</t>
        </is>
      </c>
      <c r="F2607" s="4">
        <v>6</v>
      </c>
    </row>
    <row r="2608">
      <c r="A2608" s="0" t="inlineStr">
        <is>
          <t xml:space="preserve">random_17_ARCB</t>
        </is>
      </c>
      <c r="B2608" s="0" t="inlineStr">
        <is>
          <t xml:space="preserve">random_17</t>
        </is>
      </c>
      <c r="C2608" s="0" t="inlineStr">
        <is>
          <t xml:space="preserve">d20260923</t>
        </is>
      </c>
      <c r="D2608" s="0" t="inlineStr">
        <is>
          <t xml:space="preserve">ARCB</t>
        </is>
      </c>
      <c r="E2608" s="0" t="inlineStr">
        <is>
          <t xml:space="preserve">industrials</t>
        </is>
      </c>
      <c r="F2608" s="4">
        <v>7</v>
      </c>
    </row>
    <row r="2609">
      <c r="A2609" s="0" t="inlineStr">
        <is>
          <t xml:space="preserve">random_17_RDDT</t>
        </is>
      </c>
      <c r="B2609" s="0" t="inlineStr">
        <is>
          <t xml:space="preserve">random_17</t>
        </is>
      </c>
      <c r="C2609" s="0" t="inlineStr">
        <is>
          <t xml:space="preserve">d20260923</t>
        </is>
      </c>
      <c r="D2609" s="0" t="inlineStr">
        <is>
          <t xml:space="preserve">RDDT</t>
        </is>
      </c>
      <c r="E2609" s="0" t="inlineStr">
        <is>
          <t xml:space="preserve">communication_services</t>
        </is>
      </c>
      <c r="F2609" s="4">
        <v>8</v>
      </c>
    </row>
    <row r="2610">
      <c r="A2610" s="0" t="inlineStr">
        <is>
          <t xml:space="preserve">random_17_AVAH</t>
        </is>
      </c>
      <c r="B2610" s="0" t="inlineStr">
        <is>
          <t xml:space="preserve">random_17</t>
        </is>
      </c>
      <c r="C2610" s="0" t="inlineStr">
        <is>
          <t xml:space="preserve">d20260923</t>
        </is>
      </c>
      <c r="D2610" s="0" t="inlineStr">
        <is>
          <t xml:space="preserve">AVAH</t>
        </is>
      </c>
      <c r="E2610" s="0" t="inlineStr">
        <is>
          <t xml:space="preserve">healthcare</t>
        </is>
      </c>
      <c r="F2610" s="4">
        <v>9</v>
      </c>
    </row>
    <row r="2611">
      <c r="A2611" s="0" t="inlineStr">
        <is>
          <t xml:space="preserve">random_17_HOMB</t>
        </is>
      </c>
      <c r="B2611" s="0" t="inlineStr">
        <is>
          <t xml:space="preserve">random_17</t>
        </is>
      </c>
      <c r="C2611" s="0" t="inlineStr">
        <is>
          <t xml:space="preserve">d20260923</t>
        </is>
      </c>
      <c r="D2611" s="0" t="inlineStr">
        <is>
          <t xml:space="preserve">HOMB</t>
        </is>
      </c>
      <c r="E2611" s="0" t="inlineStr">
        <is>
          <t xml:space="preserve">financial_services</t>
        </is>
      </c>
      <c r="F2611" s="4">
        <v>10</v>
      </c>
    </row>
    <row r="2612">
      <c r="A2612" s="0" t="inlineStr">
        <is>
          <t xml:space="preserve">random_17_SLAB</t>
        </is>
      </c>
      <c r="B2612" s="0" t="inlineStr">
        <is>
          <t xml:space="preserve">random_17</t>
        </is>
      </c>
      <c r="C2612" s="0" t="inlineStr">
        <is>
          <t xml:space="preserve">d20260923</t>
        </is>
      </c>
      <c r="D2612" s="0" t="inlineStr">
        <is>
          <t xml:space="preserve">SLAB</t>
        </is>
      </c>
      <c r="E2612" s="0" t="inlineStr">
        <is>
          <t xml:space="preserve">technology</t>
        </is>
      </c>
      <c r="F2612" s="4">
        <v>11</v>
      </c>
    </row>
    <row r="2613">
      <c r="A2613" s="0" t="inlineStr">
        <is>
          <t xml:space="preserve">random_17_HWM</t>
        </is>
      </c>
      <c r="B2613" s="0" t="inlineStr">
        <is>
          <t xml:space="preserve">random_17</t>
        </is>
      </c>
      <c r="C2613" s="0" t="inlineStr">
        <is>
          <t xml:space="preserve">d20260923</t>
        </is>
      </c>
      <c r="D2613" s="0" t="inlineStr">
        <is>
          <t xml:space="preserve">HWM</t>
        </is>
      </c>
      <c r="E2613" s="0" t="inlineStr">
        <is>
          <t xml:space="preserve">industrials</t>
        </is>
      </c>
      <c r="F2613" s="4">
        <v>12</v>
      </c>
    </row>
    <row r="2614">
      <c r="A2614" s="0" t="inlineStr">
        <is>
          <t xml:space="preserve">random_17_MU</t>
        </is>
      </c>
      <c r="B2614" s="0" t="inlineStr">
        <is>
          <t xml:space="preserve">random_17</t>
        </is>
      </c>
      <c r="C2614" s="0" t="inlineStr">
        <is>
          <t xml:space="preserve">d20260923</t>
        </is>
      </c>
      <c r="D2614" s="0" t="inlineStr">
        <is>
          <t xml:space="preserve">MU</t>
        </is>
      </c>
      <c r="E2614" s="0" t="inlineStr">
        <is>
          <t xml:space="preserve">technology</t>
        </is>
      </c>
      <c r="F2614" s="4">
        <v>13</v>
      </c>
    </row>
    <row r="2615">
      <c r="A2615" s="0" t="inlineStr">
        <is>
          <t xml:space="preserve">random_17_VZ</t>
        </is>
      </c>
      <c r="B2615" s="0" t="inlineStr">
        <is>
          <t xml:space="preserve">random_17</t>
        </is>
      </c>
      <c r="C2615" s="0" t="inlineStr">
        <is>
          <t xml:space="preserve">d20260923</t>
        </is>
      </c>
      <c r="D2615" s="0" t="inlineStr">
        <is>
          <t xml:space="preserve">VZ</t>
        </is>
      </c>
      <c r="E2615" s="0" t="inlineStr">
        <is>
          <t xml:space="preserve">communication_services</t>
        </is>
      </c>
      <c r="F2615" s="4">
        <v>14</v>
      </c>
    </row>
    <row r="2616">
      <c r="A2616" s="0" t="inlineStr">
        <is>
          <t xml:space="preserve">random_17_WPC</t>
        </is>
      </c>
      <c r="B2616" s="0" t="inlineStr">
        <is>
          <t xml:space="preserve">random_17</t>
        </is>
      </c>
      <c r="C2616" s="0" t="inlineStr">
        <is>
          <t xml:space="preserve">d20260923</t>
        </is>
      </c>
      <c r="D2616" s="0" t="inlineStr">
        <is>
          <t xml:space="preserve">WPC</t>
        </is>
      </c>
      <c r="E2616" s="0" t="inlineStr">
        <is>
          <t xml:space="preserve">real_estate</t>
        </is>
      </c>
      <c r="F2616" s="4">
        <v>15</v>
      </c>
    </row>
    <row r="2617">
      <c r="A2617" s="0" t="inlineStr">
        <is>
          <t xml:space="preserve">random_17_UNH</t>
        </is>
      </c>
      <c r="B2617" s="0" t="inlineStr">
        <is>
          <t xml:space="preserve">random_17</t>
        </is>
      </c>
      <c r="C2617" s="0" t="inlineStr">
        <is>
          <t xml:space="preserve">d20260923</t>
        </is>
      </c>
      <c r="D2617" s="0" t="inlineStr">
        <is>
          <t xml:space="preserve">UNH</t>
        </is>
      </c>
      <c r="E2617" s="0" t="inlineStr">
        <is>
          <t xml:space="preserve">healthcare</t>
        </is>
      </c>
      <c r="F2617" s="4">
        <v>16</v>
      </c>
    </row>
    <row r="2618">
      <c r="A2618" s="0" t="inlineStr">
        <is>
          <t xml:space="preserve">random_17_AROC</t>
        </is>
      </c>
      <c r="B2618" s="0" t="inlineStr">
        <is>
          <t xml:space="preserve">random_17</t>
        </is>
      </c>
      <c r="C2618" s="0" t="inlineStr">
        <is>
          <t xml:space="preserve">d20260923</t>
        </is>
      </c>
      <c r="D2618" s="0" t="inlineStr">
        <is>
          <t xml:space="preserve">AROC</t>
        </is>
      </c>
      <c r="E2618" s="0" t="inlineStr">
        <is>
          <t xml:space="preserve">energy</t>
        </is>
      </c>
      <c r="F2618" s="4">
        <v>17</v>
      </c>
    </row>
    <row r="2619">
      <c r="A2619" s="0" t="inlineStr">
        <is>
          <t xml:space="preserve">random_17_OII</t>
        </is>
      </c>
      <c r="B2619" s="0" t="inlineStr">
        <is>
          <t xml:space="preserve">random_17</t>
        </is>
      </c>
      <c r="C2619" s="0" t="inlineStr">
        <is>
          <t xml:space="preserve">d20260923</t>
        </is>
      </c>
      <c r="D2619" s="0" t="inlineStr">
        <is>
          <t xml:space="preserve">OII</t>
        </is>
      </c>
      <c r="E2619" s="0" t="inlineStr">
        <is>
          <t xml:space="preserve">energy</t>
        </is>
      </c>
      <c r="F2619" s="4">
        <v>18</v>
      </c>
    </row>
    <row r="2620">
      <c r="A2620" s="0" t="inlineStr">
        <is>
          <t xml:space="preserve">random_17_UMBF</t>
        </is>
      </c>
      <c r="B2620" s="0" t="inlineStr">
        <is>
          <t xml:space="preserve">random_17</t>
        </is>
      </c>
      <c r="C2620" s="0" t="inlineStr">
        <is>
          <t xml:space="preserve">d20260923</t>
        </is>
      </c>
      <c r="D2620" s="0" t="inlineStr">
        <is>
          <t xml:space="preserve">UMBF</t>
        </is>
      </c>
      <c r="E2620" s="0" t="inlineStr">
        <is>
          <t xml:space="preserve">financial_services</t>
        </is>
      </c>
      <c r="F2620" s="4">
        <v>19</v>
      </c>
    </row>
    <row r="2621">
      <c r="A2621" s="0" t="inlineStr">
        <is>
          <t xml:space="preserve">random_17_SPCX</t>
        </is>
      </c>
      <c r="B2621" s="0" t="inlineStr">
        <is>
          <t xml:space="preserve">random_17</t>
        </is>
      </c>
      <c r="C2621" s="0" t="inlineStr">
        <is>
          <t xml:space="preserve">d20260923</t>
        </is>
      </c>
      <c r="D2621" s="0" t="inlineStr">
        <is>
          <t xml:space="preserve">SPCX</t>
        </is>
      </c>
      <c r="E2621" s="0" t="inlineStr">
        <is>
          <t xml:space="preserve">industrials</t>
        </is>
      </c>
      <c r="F2621" s="4">
        <v>20</v>
      </c>
    </row>
    <row r="2622">
      <c r="A2622" s="0" t="inlineStr">
        <is>
          <t xml:space="preserve">random_17_ZD</t>
        </is>
      </c>
      <c r="B2622" s="0" t="inlineStr">
        <is>
          <t xml:space="preserve">random_17</t>
        </is>
      </c>
      <c r="C2622" s="0" t="inlineStr">
        <is>
          <t xml:space="preserve">d20260923</t>
        </is>
      </c>
      <c r="D2622" s="0" t="inlineStr">
        <is>
          <t xml:space="preserve">ZD</t>
        </is>
      </c>
      <c r="E2622" s="0" t="inlineStr">
        <is>
          <t xml:space="preserve">communication_services</t>
        </is>
      </c>
      <c r="F2622" s="4">
        <v>21</v>
      </c>
    </row>
    <row r="2623">
      <c r="A2623" s="0" t="inlineStr">
        <is>
          <t xml:space="preserve">random_17_H</t>
        </is>
      </c>
      <c r="B2623" s="0" t="inlineStr">
        <is>
          <t xml:space="preserve">random_17</t>
        </is>
      </c>
      <c r="C2623" s="0" t="inlineStr">
        <is>
          <t xml:space="preserve">d20260923</t>
        </is>
      </c>
      <c r="D2623" s="0" t="inlineStr">
        <is>
          <t xml:space="preserve">H</t>
        </is>
      </c>
      <c r="E2623" s="0" t="inlineStr">
        <is>
          <t xml:space="preserve">consumer_cyclical</t>
        </is>
      </c>
      <c r="F2623" s="4">
        <v>22</v>
      </c>
    </row>
    <row r="2624">
      <c r="A2624" s="0" t="inlineStr">
        <is>
          <t xml:space="preserve">random_17_CORZ</t>
        </is>
      </c>
      <c r="B2624" s="0" t="inlineStr">
        <is>
          <t xml:space="preserve">random_17</t>
        </is>
      </c>
      <c r="C2624" s="0" t="inlineStr">
        <is>
          <t xml:space="preserve">d20260923</t>
        </is>
      </c>
      <c r="D2624" s="0" t="inlineStr">
        <is>
          <t xml:space="preserve">CORZ</t>
        </is>
      </c>
      <c r="E2624" s="0" t="inlineStr">
        <is>
          <t xml:space="preserve">technology</t>
        </is>
      </c>
      <c r="F2624" s="4">
        <v>23</v>
      </c>
    </row>
    <row r="2625">
      <c r="A2625" s="0" t="inlineStr">
        <is>
          <t xml:space="preserve">random_17_HPQ</t>
        </is>
      </c>
      <c r="B2625" s="0" t="inlineStr">
        <is>
          <t xml:space="preserve">random_17</t>
        </is>
      </c>
      <c r="C2625" s="0" t="inlineStr">
        <is>
          <t xml:space="preserve">d20260923</t>
        </is>
      </c>
      <c r="D2625" s="0" t="inlineStr">
        <is>
          <t xml:space="preserve">HPQ</t>
        </is>
      </c>
      <c r="E2625" s="0" t="inlineStr">
        <is>
          <t xml:space="preserve">technology</t>
        </is>
      </c>
      <c r="F2625" s="4">
        <v>24</v>
      </c>
    </row>
    <row r="2626">
      <c r="A2626" s="0" t="inlineStr">
        <is>
          <t xml:space="preserve">random_17_EXEL</t>
        </is>
      </c>
      <c r="B2626" s="0" t="inlineStr">
        <is>
          <t xml:space="preserve">random_17</t>
        </is>
      </c>
      <c r="C2626" s="0" t="inlineStr">
        <is>
          <t xml:space="preserve">d20260923</t>
        </is>
      </c>
      <c r="D2626" s="0" t="inlineStr">
        <is>
          <t xml:space="preserve">EXEL</t>
        </is>
      </c>
      <c r="E2626" s="0" t="inlineStr">
        <is>
          <t xml:space="preserve">healthcare</t>
        </is>
      </c>
      <c r="F2626" s="4">
        <v>25</v>
      </c>
    </row>
    <row r="2627">
      <c r="A2627" s="0" t="inlineStr">
        <is>
          <t xml:space="preserve">random_17_LFUS</t>
        </is>
      </c>
      <c r="B2627" s="0" t="inlineStr">
        <is>
          <t xml:space="preserve">random_17</t>
        </is>
      </c>
      <c r="C2627" s="0" t="inlineStr">
        <is>
          <t xml:space="preserve">d20260923</t>
        </is>
      </c>
      <c r="D2627" s="0" t="inlineStr">
        <is>
          <t xml:space="preserve">LFUS</t>
        </is>
      </c>
      <c r="E2627" s="0" t="inlineStr">
        <is>
          <t xml:space="preserve">technology</t>
        </is>
      </c>
      <c r="F2627" s="4">
        <v>26</v>
      </c>
    </row>
    <row r="2628">
      <c r="A2628" s="0" t="inlineStr">
        <is>
          <t xml:space="preserve">random_17_MRCY</t>
        </is>
      </c>
      <c r="B2628" s="0" t="inlineStr">
        <is>
          <t xml:space="preserve">random_17</t>
        </is>
      </c>
      <c r="C2628" s="0" t="inlineStr">
        <is>
          <t xml:space="preserve">d20260923</t>
        </is>
      </c>
      <c r="D2628" s="0" t="inlineStr">
        <is>
          <t xml:space="preserve">MRCY</t>
        </is>
      </c>
      <c r="E2628" s="0" t="inlineStr">
        <is>
          <t xml:space="preserve">industrials</t>
        </is>
      </c>
      <c r="F2628" s="4">
        <v>27</v>
      </c>
    </row>
    <row r="2629">
      <c r="A2629" s="0" t="inlineStr">
        <is>
          <t xml:space="preserve">random_17_ADBE</t>
        </is>
      </c>
      <c r="B2629" s="0" t="inlineStr">
        <is>
          <t xml:space="preserve">random_17</t>
        </is>
      </c>
      <c r="C2629" s="0" t="inlineStr">
        <is>
          <t xml:space="preserve">d20260923</t>
        </is>
      </c>
      <c r="D2629" s="0" t="inlineStr">
        <is>
          <t xml:space="preserve">ADBE</t>
        </is>
      </c>
      <c r="E2629" s="0" t="inlineStr">
        <is>
          <t xml:space="preserve">technology</t>
        </is>
      </c>
      <c r="F2629" s="4">
        <v>28</v>
      </c>
    </row>
    <row r="2630">
      <c r="A2630" s="0" t="inlineStr">
        <is>
          <t xml:space="preserve">random_17_TCBI</t>
        </is>
      </c>
      <c r="B2630" s="0" t="inlineStr">
        <is>
          <t xml:space="preserve">random_17</t>
        </is>
      </c>
      <c r="C2630" s="0" t="inlineStr">
        <is>
          <t xml:space="preserve">d20260923</t>
        </is>
      </c>
      <c r="D2630" s="0" t="inlineStr">
        <is>
          <t xml:space="preserve">TCBI</t>
        </is>
      </c>
      <c r="E2630" s="0" t="inlineStr">
        <is>
          <t xml:space="preserve">financial_services</t>
        </is>
      </c>
      <c r="F2630" s="4">
        <v>29</v>
      </c>
    </row>
    <row r="2631">
      <c r="A2631" s="0" t="inlineStr">
        <is>
          <t xml:space="preserve">random_17_ARCC</t>
        </is>
      </c>
      <c r="B2631" s="0" t="inlineStr">
        <is>
          <t xml:space="preserve">random_17</t>
        </is>
      </c>
      <c r="C2631" s="0" t="inlineStr">
        <is>
          <t xml:space="preserve">d20260923</t>
        </is>
      </c>
      <c r="D2631" s="0" t="inlineStr">
        <is>
          <t xml:space="preserve">ARCC</t>
        </is>
      </c>
      <c r="E2631" s="0" t="inlineStr">
        <is>
          <t xml:space="preserve">financial_services</t>
        </is>
      </c>
      <c r="F2631" s="4">
        <v>30</v>
      </c>
    </row>
    <row r="2632">
      <c r="A2632" s="0" t="inlineStr">
        <is>
          <t xml:space="preserve">random_17_LIF</t>
        </is>
      </c>
      <c r="B2632" s="0" t="inlineStr">
        <is>
          <t xml:space="preserve">random_17</t>
        </is>
      </c>
      <c r="C2632" s="0" t="inlineStr">
        <is>
          <t xml:space="preserve">d20260923</t>
        </is>
      </c>
      <c r="D2632" s="0" t="inlineStr">
        <is>
          <t xml:space="preserve">LIF</t>
        </is>
      </c>
      <c r="E2632" s="0" t="inlineStr">
        <is>
          <t xml:space="preserve">technology</t>
        </is>
      </c>
      <c r="F2632" s="4">
        <v>31</v>
      </c>
    </row>
    <row r="2633">
      <c r="A2633" s="0" t="inlineStr">
        <is>
          <t xml:space="preserve">random_17_CHDN</t>
        </is>
      </c>
      <c r="B2633" s="0" t="inlineStr">
        <is>
          <t xml:space="preserve">random_17</t>
        </is>
      </c>
      <c r="C2633" s="0" t="inlineStr">
        <is>
          <t xml:space="preserve">d20260923</t>
        </is>
      </c>
      <c r="D2633" s="0" t="inlineStr">
        <is>
          <t xml:space="preserve">CHDN</t>
        </is>
      </c>
      <c r="E2633" s="0" t="inlineStr">
        <is>
          <t xml:space="preserve">consumer_cyclical</t>
        </is>
      </c>
      <c r="F2633" s="4">
        <v>32</v>
      </c>
    </row>
    <row r="2634">
      <c r="A2634" s="0" t="inlineStr">
        <is>
          <t xml:space="preserve">random_17_NXT</t>
        </is>
      </c>
      <c r="B2634" s="0" t="inlineStr">
        <is>
          <t xml:space="preserve">random_17</t>
        </is>
      </c>
      <c r="C2634" s="0" t="inlineStr">
        <is>
          <t xml:space="preserve">d20260923</t>
        </is>
      </c>
      <c r="D2634" s="0" t="inlineStr">
        <is>
          <t xml:space="preserve">NXT</t>
        </is>
      </c>
      <c r="E2634" s="0" t="inlineStr">
        <is>
          <t xml:space="preserve">energy</t>
        </is>
      </c>
      <c r="F2634" s="4">
        <v>33</v>
      </c>
    </row>
    <row r="2635">
      <c r="A2635" s="0" t="inlineStr">
        <is>
          <t xml:space="preserve">random_17_IFF</t>
        </is>
      </c>
      <c r="B2635" s="0" t="inlineStr">
        <is>
          <t xml:space="preserve">random_17</t>
        </is>
      </c>
      <c r="C2635" s="0" t="inlineStr">
        <is>
          <t xml:space="preserve">d20260923</t>
        </is>
      </c>
      <c r="D2635" s="0" t="inlineStr">
        <is>
          <t xml:space="preserve">IFF</t>
        </is>
      </c>
      <c r="E2635" s="0" t="inlineStr">
        <is>
          <t xml:space="preserve">basic_materials</t>
        </is>
      </c>
      <c r="F2635" s="4">
        <v>34</v>
      </c>
    </row>
    <row r="2636">
      <c r="A2636" s="0" t="inlineStr">
        <is>
          <t xml:space="preserve">random_17_BFLY</t>
        </is>
      </c>
      <c r="B2636" s="0" t="inlineStr">
        <is>
          <t xml:space="preserve">random_17</t>
        </is>
      </c>
      <c r="C2636" s="0" t="inlineStr">
        <is>
          <t xml:space="preserve">d20260923</t>
        </is>
      </c>
      <c r="D2636" s="0" t="inlineStr">
        <is>
          <t xml:space="preserve">BFLY</t>
        </is>
      </c>
      <c r="E2636" s="0" t="inlineStr">
        <is>
          <t xml:space="preserve">healthcare</t>
        </is>
      </c>
      <c r="F2636" s="4">
        <v>35</v>
      </c>
    </row>
    <row r="2637">
      <c r="A2637" s="0" t="inlineStr">
        <is>
          <t xml:space="preserve">random_17_COP</t>
        </is>
      </c>
      <c r="B2637" s="0" t="inlineStr">
        <is>
          <t xml:space="preserve">random_17</t>
        </is>
      </c>
      <c r="C2637" s="0" t="inlineStr">
        <is>
          <t xml:space="preserve">d20260923</t>
        </is>
      </c>
      <c r="D2637" s="0" t="inlineStr">
        <is>
          <t xml:space="preserve">COP</t>
        </is>
      </c>
      <c r="E2637" s="0" t="inlineStr">
        <is>
          <t xml:space="preserve">energy</t>
        </is>
      </c>
      <c r="F2637" s="4">
        <v>36</v>
      </c>
    </row>
    <row r="2638">
      <c r="A2638" s="0" t="inlineStr">
        <is>
          <t xml:space="preserve">random_17_MC</t>
        </is>
      </c>
      <c r="B2638" s="0" t="inlineStr">
        <is>
          <t xml:space="preserve">random_17</t>
        </is>
      </c>
      <c r="C2638" s="0" t="inlineStr">
        <is>
          <t xml:space="preserve">d20260923</t>
        </is>
      </c>
      <c r="D2638" s="0" t="inlineStr">
        <is>
          <t xml:space="preserve">MC</t>
        </is>
      </c>
      <c r="E2638" s="0" t="inlineStr">
        <is>
          <t xml:space="preserve">financial_services</t>
        </is>
      </c>
      <c r="F2638" s="4">
        <v>37</v>
      </c>
    </row>
    <row r="2639">
      <c r="A2639" s="0" t="inlineStr">
        <is>
          <t xml:space="preserve">random_17_HQY</t>
        </is>
      </c>
      <c r="B2639" s="0" t="inlineStr">
        <is>
          <t xml:space="preserve">random_17</t>
        </is>
      </c>
      <c r="C2639" s="0" t="inlineStr">
        <is>
          <t xml:space="preserve">d20260923</t>
        </is>
      </c>
      <c r="D2639" s="0" t="inlineStr">
        <is>
          <t xml:space="preserve">HQY</t>
        </is>
      </c>
      <c r="E2639" s="0" t="inlineStr">
        <is>
          <t xml:space="preserve">healthcare</t>
        </is>
      </c>
      <c r="F2639" s="4">
        <v>38</v>
      </c>
    </row>
    <row r="2640">
      <c r="A2640" s="0" t="inlineStr">
        <is>
          <t xml:space="preserve">random_17_AMZN</t>
        </is>
      </c>
      <c r="B2640" s="0" t="inlineStr">
        <is>
          <t xml:space="preserve">random_17</t>
        </is>
      </c>
      <c r="C2640" s="0" t="inlineStr">
        <is>
          <t xml:space="preserve">d20260923</t>
        </is>
      </c>
      <c r="D2640" s="0" t="inlineStr">
        <is>
          <t xml:space="preserve">AMZN</t>
        </is>
      </c>
      <c r="E2640" s="0" t="inlineStr">
        <is>
          <t xml:space="preserve">consumer_cyclical</t>
        </is>
      </c>
      <c r="F2640" s="4">
        <v>39</v>
      </c>
    </row>
    <row r="2641">
      <c r="A2641" s="0" t="inlineStr">
        <is>
          <t xml:space="preserve">random_17_TOWN</t>
        </is>
      </c>
      <c r="B2641" s="0" t="inlineStr">
        <is>
          <t xml:space="preserve">random_17</t>
        </is>
      </c>
      <c r="C2641" s="0" t="inlineStr">
        <is>
          <t xml:space="preserve">d20260923</t>
        </is>
      </c>
      <c r="D2641" s="0" t="inlineStr">
        <is>
          <t xml:space="preserve">TOWN</t>
        </is>
      </c>
      <c r="E2641" s="0" t="inlineStr">
        <is>
          <t xml:space="preserve">financial_services</t>
        </is>
      </c>
      <c r="F2641" s="4">
        <v>40</v>
      </c>
    </row>
    <row r="2642">
      <c r="A2642" s="0" t="inlineStr">
        <is>
          <t xml:space="preserve">random_17_UEC</t>
        </is>
      </c>
      <c r="B2642" s="0" t="inlineStr">
        <is>
          <t xml:space="preserve">random_17</t>
        </is>
      </c>
      <c r="C2642" s="0" t="inlineStr">
        <is>
          <t xml:space="preserve">d20260923</t>
        </is>
      </c>
      <c r="D2642" s="0" t="inlineStr">
        <is>
          <t xml:space="preserve">UEC</t>
        </is>
      </c>
      <c r="E2642" s="0" t="inlineStr">
        <is>
          <t xml:space="preserve">energy</t>
        </is>
      </c>
      <c r="F2642" s="4">
        <v>41</v>
      </c>
    </row>
    <row r="2643">
      <c r="A2643" s="0" t="inlineStr">
        <is>
          <t xml:space="preserve">random_17_MP</t>
        </is>
      </c>
      <c r="B2643" s="0" t="inlineStr">
        <is>
          <t xml:space="preserve">random_17</t>
        </is>
      </c>
      <c r="C2643" s="0" t="inlineStr">
        <is>
          <t xml:space="preserve">d20260923</t>
        </is>
      </c>
      <c r="D2643" s="0" t="inlineStr">
        <is>
          <t xml:space="preserve">MP</t>
        </is>
      </c>
      <c r="E2643" s="0" t="inlineStr">
        <is>
          <t xml:space="preserve">basic_materials</t>
        </is>
      </c>
      <c r="F2643" s="4">
        <v>42</v>
      </c>
    </row>
    <row r="2644">
      <c r="A2644" s="0" t="inlineStr">
        <is>
          <t xml:space="preserve">random_17_ACHC</t>
        </is>
      </c>
      <c r="B2644" s="0" t="inlineStr">
        <is>
          <t xml:space="preserve">random_17</t>
        </is>
      </c>
      <c r="C2644" s="0" t="inlineStr">
        <is>
          <t xml:space="preserve">d20260923</t>
        </is>
      </c>
      <c r="D2644" s="0" t="inlineStr">
        <is>
          <t xml:space="preserve">ACHC</t>
        </is>
      </c>
      <c r="E2644" s="0" t="inlineStr">
        <is>
          <t xml:space="preserve">healthcare</t>
        </is>
      </c>
      <c r="F2644" s="4">
        <v>43</v>
      </c>
    </row>
    <row r="2645">
      <c r="A2645" s="0" t="inlineStr">
        <is>
          <t xml:space="preserve">random_17_LTH</t>
        </is>
      </c>
      <c r="B2645" s="0" t="inlineStr">
        <is>
          <t xml:space="preserve">random_17</t>
        </is>
      </c>
      <c r="C2645" s="0" t="inlineStr">
        <is>
          <t xml:space="preserve">d20260923</t>
        </is>
      </c>
      <c r="D2645" s="0" t="inlineStr">
        <is>
          <t xml:space="preserve">LTH</t>
        </is>
      </c>
      <c r="E2645" s="0" t="inlineStr">
        <is>
          <t xml:space="preserve">consumer_cyclical</t>
        </is>
      </c>
      <c r="F2645" s="4">
        <v>44</v>
      </c>
    </row>
    <row r="2646">
      <c r="A2646" s="0" t="inlineStr">
        <is>
          <t xml:space="preserve">random_17_NP</t>
        </is>
      </c>
      <c r="B2646" s="0" t="inlineStr">
        <is>
          <t xml:space="preserve">random_17</t>
        </is>
      </c>
      <c r="C2646" s="0" t="inlineStr">
        <is>
          <t xml:space="preserve">d20260923</t>
        </is>
      </c>
      <c r="D2646" s="0" t="inlineStr">
        <is>
          <t xml:space="preserve">NP</t>
        </is>
      </c>
      <c r="E2646" s="0" t="inlineStr">
        <is>
          <t xml:space="preserve">financial_services</t>
        </is>
      </c>
      <c r="F2646" s="4">
        <v>45</v>
      </c>
    </row>
    <row r="2647">
      <c r="A2647" s="0" t="inlineStr">
        <is>
          <t xml:space="preserve">random_17_IBOC</t>
        </is>
      </c>
      <c r="B2647" s="0" t="inlineStr">
        <is>
          <t xml:space="preserve">random_17</t>
        </is>
      </c>
      <c r="C2647" s="0" t="inlineStr">
        <is>
          <t xml:space="preserve">d20260923</t>
        </is>
      </c>
      <c r="D2647" s="0" t="inlineStr">
        <is>
          <t xml:space="preserve">IBOC</t>
        </is>
      </c>
      <c r="E2647" s="0" t="inlineStr">
        <is>
          <t xml:space="preserve">financial_services</t>
        </is>
      </c>
      <c r="F2647" s="4">
        <v>46</v>
      </c>
    </row>
    <row r="2648">
      <c r="A2648" s="0" t="inlineStr">
        <is>
          <t xml:space="preserve">random_17_BXP</t>
        </is>
      </c>
      <c r="B2648" s="0" t="inlineStr">
        <is>
          <t xml:space="preserve">random_17</t>
        </is>
      </c>
      <c r="C2648" s="0" t="inlineStr">
        <is>
          <t xml:space="preserve">d20260923</t>
        </is>
      </c>
      <c r="D2648" s="0" t="inlineStr">
        <is>
          <t xml:space="preserve">BXP</t>
        </is>
      </c>
      <c r="E2648" s="0" t="inlineStr">
        <is>
          <t xml:space="preserve">real_estate</t>
        </is>
      </c>
      <c r="F2648" s="4">
        <v>47</v>
      </c>
    </row>
    <row r="2649">
      <c r="A2649" s="0" t="inlineStr">
        <is>
          <t xml:space="preserve">random_17_EW</t>
        </is>
      </c>
      <c r="B2649" s="0" t="inlineStr">
        <is>
          <t xml:space="preserve">random_17</t>
        </is>
      </c>
      <c r="C2649" s="0" t="inlineStr">
        <is>
          <t xml:space="preserve">d20260923</t>
        </is>
      </c>
      <c r="D2649" s="0" t="inlineStr">
        <is>
          <t xml:space="preserve">EW</t>
        </is>
      </c>
      <c r="E2649" s="0" t="inlineStr">
        <is>
          <t xml:space="preserve">healthcare</t>
        </is>
      </c>
      <c r="F2649" s="4">
        <v>48</v>
      </c>
    </row>
    <row r="2650">
      <c r="A2650" s="0" t="inlineStr">
        <is>
          <t xml:space="preserve">random_17_GEHC</t>
        </is>
      </c>
      <c r="B2650" s="0" t="inlineStr">
        <is>
          <t xml:space="preserve">random_17</t>
        </is>
      </c>
      <c r="C2650" s="0" t="inlineStr">
        <is>
          <t xml:space="preserve">d20260923</t>
        </is>
      </c>
      <c r="D2650" s="0" t="inlineStr">
        <is>
          <t xml:space="preserve">GEHC</t>
        </is>
      </c>
      <c r="E2650" s="0" t="inlineStr">
        <is>
          <t xml:space="preserve">healthcare</t>
        </is>
      </c>
      <c r="F2650" s="4">
        <v>49</v>
      </c>
    </row>
    <row r="2651">
      <c r="A2651" s="0" t="inlineStr">
        <is>
          <t xml:space="preserve">random_17_CRBG</t>
        </is>
      </c>
      <c r="B2651" s="0" t="inlineStr">
        <is>
          <t xml:space="preserve">random_17</t>
        </is>
      </c>
      <c r="C2651" s="0" t="inlineStr">
        <is>
          <t xml:space="preserve">d20260923</t>
        </is>
      </c>
      <c r="D2651" s="0" t="inlineStr">
        <is>
          <t xml:space="preserve">CRBG</t>
        </is>
      </c>
      <c r="E2651" s="0" t="inlineStr">
        <is>
          <t xml:space="preserve">financial_services</t>
        </is>
      </c>
      <c r="F2651" s="4">
        <v>50</v>
      </c>
    </row>
    <row r="2652">
      <c r="A2652" s="0" t="inlineStr">
        <is>
          <t xml:space="preserve">random_17_INTC</t>
        </is>
      </c>
      <c r="B2652" s="0" t="inlineStr">
        <is>
          <t xml:space="preserve">random_17</t>
        </is>
      </c>
      <c r="C2652" s="0" t="inlineStr">
        <is>
          <t xml:space="preserve">d20260923</t>
        </is>
      </c>
      <c r="D2652" s="0" t="inlineStr">
        <is>
          <t xml:space="preserve">INTC</t>
        </is>
      </c>
      <c r="E2652" s="0" t="inlineStr">
        <is>
          <t xml:space="preserve">technology</t>
        </is>
      </c>
      <c r="F2652" s="4">
        <v>51</v>
      </c>
    </row>
    <row r="2653">
      <c r="A2653" s="0" t="inlineStr">
        <is>
          <t xml:space="preserve">random_17_MCK</t>
        </is>
      </c>
      <c r="B2653" s="0" t="inlineStr">
        <is>
          <t xml:space="preserve">random_17</t>
        </is>
      </c>
      <c r="C2653" s="0" t="inlineStr">
        <is>
          <t xml:space="preserve">d20260923</t>
        </is>
      </c>
      <c r="D2653" s="0" t="inlineStr">
        <is>
          <t xml:space="preserve">MCK</t>
        </is>
      </c>
      <c r="E2653" s="0" t="inlineStr">
        <is>
          <t xml:space="preserve">healthcare</t>
        </is>
      </c>
      <c r="F2653" s="4">
        <v>52</v>
      </c>
    </row>
    <row r="2654">
      <c r="A2654" s="0" t="inlineStr">
        <is>
          <t xml:space="preserve">random_17_OMC</t>
        </is>
      </c>
      <c r="B2654" s="0" t="inlineStr">
        <is>
          <t xml:space="preserve">random_17</t>
        </is>
      </c>
      <c r="C2654" s="0" t="inlineStr">
        <is>
          <t xml:space="preserve">d20260923</t>
        </is>
      </c>
      <c r="D2654" s="0" t="inlineStr">
        <is>
          <t xml:space="preserve">OMC</t>
        </is>
      </c>
      <c r="E2654" s="0" t="inlineStr">
        <is>
          <t xml:space="preserve">communication_services</t>
        </is>
      </c>
      <c r="F2654" s="4">
        <v>53</v>
      </c>
    </row>
    <row r="2655">
      <c r="A2655" s="0" t="inlineStr">
        <is>
          <t xml:space="preserve">random_17_OCTV</t>
        </is>
      </c>
      <c r="B2655" s="0" t="inlineStr">
        <is>
          <t xml:space="preserve">random_17</t>
        </is>
      </c>
      <c r="C2655" s="0" t="inlineStr">
        <is>
          <t xml:space="preserve">d20260923</t>
        </is>
      </c>
      <c r="D2655" s="0" t="inlineStr">
        <is>
          <t xml:space="preserve">OCTV</t>
        </is>
      </c>
      <c r="E2655" s="0" t="inlineStr">
        <is>
          <t xml:space="preserve">technology</t>
        </is>
      </c>
      <c r="F2655" s="4">
        <v>54</v>
      </c>
    </row>
    <row r="2656">
      <c r="A2656" s="0" t="inlineStr">
        <is>
          <t xml:space="preserve">random_17_GRBK</t>
        </is>
      </c>
      <c r="B2656" s="0" t="inlineStr">
        <is>
          <t xml:space="preserve">random_17</t>
        </is>
      </c>
      <c r="C2656" s="0" t="inlineStr">
        <is>
          <t xml:space="preserve">d20260923</t>
        </is>
      </c>
      <c r="D2656" s="0" t="inlineStr">
        <is>
          <t xml:space="preserve">GRBK</t>
        </is>
      </c>
      <c r="E2656" s="0" t="inlineStr">
        <is>
          <t xml:space="preserve">consumer_cyclical</t>
        </is>
      </c>
      <c r="F2656" s="4">
        <v>55</v>
      </c>
    </row>
    <row r="2657">
      <c r="A2657" s="0" t="inlineStr">
        <is>
          <t xml:space="preserve">random_17_TFC</t>
        </is>
      </c>
      <c r="B2657" s="0" t="inlineStr">
        <is>
          <t xml:space="preserve">random_17</t>
        </is>
      </c>
      <c r="C2657" s="0" t="inlineStr">
        <is>
          <t xml:space="preserve">d20260923</t>
        </is>
      </c>
      <c r="D2657" s="0" t="inlineStr">
        <is>
          <t xml:space="preserve">TFC</t>
        </is>
      </c>
      <c r="E2657" s="0" t="inlineStr">
        <is>
          <t xml:space="preserve">financial_services</t>
        </is>
      </c>
      <c r="F2657" s="4">
        <v>56</v>
      </c>
    </row>
    <row r="2658">
      <c r="A2658" s="0" t="inlineStr">
        <is>
          <t xml:space="preserve">random_17_PTEN</t>
        </is>
      </c>
      <c r="B2658" s="0" t="inlineStr">
        <is>
          <t xml:space="preserve">random_17</t>
        </is>
      </c>
      <c r="C2658" s="0" t="inlineStr">
        <is>
          <t xml:space="preserve">d20260923</t>
        </is>
      </c>
      <c r="D2658" s="0" t="inlineStr">
        <is>
          <t xml:space="preserve">PTEN</t>
        </is>
      </c>
      <c r="E2658" s="0" t="inlineStr">
        <is>
          <t xml:space="preserve">energy</t>
        </is>
      </c>
      <c r="F2658" s="4">
        <v>57</v>
      </c>
    </row>
    <row r="2659">
      <c r="A2659" s="0" t="inlineStr">
        <is>
          <t xml:space="preserve">random_17_ZBRA</t>
        </is>
      </c>
      <c r="B2659" s="0" t="inlineStr">
        <is>
          <t xml:space="preserve">random_17</t>
        </is>
      </c>
      <c r="C2659" s="0" t="inlineStr">
        <is>
          <t xml:space="preserve">d20260923</t>
        </is>
      </c>
      <c r="D2659" s="0" t="inlineStr">
        <is>
          <t xml:space="preserve">ZBRA</t>
        </is>
      </c>
      <c r="E2659" s="0" t="inlineStr">
        <is>
          <t xml:space="preserve">technology</t>
        </is>
      </c>
      <c r="F2659" s="4">
        <v>58</v>
      </c>
    </row>
    <row r="2660">
      <c r="A2660" s="0" t="inlineStr">
        <is>
          <t xml:space="preserve">random_17_NAVN</t>
        </is>
      </c>
      <c r="B2660" s="0" t="inlineStr">
        <is>
          <t xml:space="preserve">random_17</t>
        </is>
      </c>
      <c r="C2660" s="0" t="inlineStr">
        <is>
          <t xml:space="preserve">d20260923</t>
        </is>
      </c>
      <c r="D2660" s="0" t="inlineStr">
        <is>
          <t xml:space="preserve">NAVN</t>
        </is>
      </c>
      <c r="E2660" s="0" t="inlineStr">
        <is>
          <t xml:space="preserve">technology</t>
        </is>
      </c>
      <c r="F2660" s="4">
        <v>59</v>
      </c>
    </row>
    <row r="2661">
      <c r="A2661" s="0" t="inlineStr">
        <is>
          <t xml:space="preserve">random_17_EL</t>
        </is>
      </c>
      <c r="B2661" s="0" t="inlineStr">
        <is>
          <t xml:space="preserve">random_17</t>
        </is>
      </c>
      <c r="C2661" s="0" t="inlineStr">
        <is>
          <t xml:space="preserve">d20260923</t>
        </is>
      </c>
      <c r="D2661" s="0" t="inlineStr">
        <is>
          <t xml:space="preserve">EL</t>
        </is>
      </c>
      <c r="E2661" s="0" t="inlineStr">
        <is>
          <t xml:space="preserve">consumer_defensive</t>
        </is>
      </c>
      <c r="F2661" s="4">
        <v>60</v>
      </c>
    </row>
    <row r="2662">
      <c r="A2662" s="0" t="inlineStr">
        <is>
          <t xml:space="preserve">random_17_GL</t>
        </is>
      </c>
      <c r="B2662" s="0" t="inlineStr">
        <is>
          <t xml:space="preserve">random_17</t>
        </is>
      </c>
      <c r="C2662" s="0" t="inlineStr">
        <is>
          <t xml:space="preserve">d20260923</t>
        </is>
      </c>
      <c r="D2662" s="0" t="inlineStr">
        <is>
          <t xml:space="preserve">GL</t>
        </is>
      </c>
      <c r="E2662" s="0" t="inlineStr">
        <is>
          <t xml:space="preserve">financial_services</t>
        </is>
      </c>
      <c r="F2662" s="4">
        <v>61</v>
      </c>
    </row>
    <row r="2663">
      <c r="A2663" s="0" t="inlineStr">
        <is>
          <t xml:space="preserve">random_17_MZTI</t>
        </is>
      </c>
      <c r="B2663" s="0" t="inlineStr">
        <is>
          <t xml:space="preserve">random_17</t>
        </is>
      </c>
      <c r="C2663" s="0" t="inlineStr">
        <is>
          <t xml:space="preserve">d20260923</t>
        </is>
      </c>
      <c r="D2663" s="0" t="inlineStr">
        <is>
          <t xml:space="preserve">MZTI</t>
        </is>
      </c>
      <c r="E2663" s="0" t="inlineStr">
        <is>
          <t xml:space="preserve">consumer_defensive</t>
        </is>
      </c>
      <c r="F2663" s="4">
        <v>62</v>
      </c>
    </row>
    <row r="2664">
      <c r="A2664" s="0" t="inlineStr">
        <is>
          <t xml:space="preserve">random_17_RKLB</t>
        </is>
      </c>
      <c r="B2664" s="0" t="inlineStr">
        <is>
          <t xml:space="preserve">random_17</t>
        </is>
      </c>
      <c r="C2664" s="0" t="inlineStr">
        <is>
          <t xml:space="preserve">d20260923</t>
        </is>
      </c>
      <c r="D2664" s="0" t="inlineStr">
        <is>
          <t xml:space="preserve">RKLB</t>
        </is>
      </c>
      <c r="E2664" s="0" t="inlineStr">
        <is>
          <t xml:space="preserve">industrials</t>
        </is>
      </c>
      <c r="F2664" s="4">
        <v>63</v>
      </c>
    </row>
    <row r="2665">
      <c r="A2665" s="0" t="inlineStr">
        <is>
          <t xml:space="preserve">random_17_VCYT</t>
        </is>
      </c>
      <c r="B2665" s="0" t="inlineStr">
        <is>
          <t xml:space="preserve">random_17</t>
        </is>
      </c>
      <c r="C2665" s="0" t="inlineStr">
        <is>
          <t xml:space="preserve">d20260923</t>
        </is>
      </c>
      <c r="D2665" s="0" t="inlineStr">
        <is>
          <t xml:space="preserve">VCYT</t>
        </is>
      </c>
      <c r="E2665" s="0" t="inlineStr">
        <is>
          <t xml:space="preserve">healthcare</t>
        </is>
      </c>
      <c r="F2665" s="4">
        <v>64</v>
      </c>
    </row>
    <row r="2666">
      <c r="A2666" s="0" t="inlineStr">
        <is>
          <t xml:space="preserve">random_17_NKE</t>
        </is>
      </c>
      <c r="B2666" s="0" t="inlineStr">
        <is>
          <t xml:space="preserve">random_17</t>
        </is>
      </c>
      <c r="C2666" s="0" t="inlineStr">
        <is>
          <t xml:space="preserve">d20260923</t>
        </is>
      </c>
      <c r="D2666" s="0" t="inlineStr">
        <is>
          <t xml:space="preserve">NKE</t>
        </is>
      </c>
      <c r="E2666" s="0" t="inlineStr">
        <is>
          <t xml:space="preserve">consumer_cyclical</t>
        </is>
      </c>
      <c r="F2666" s="4">
        <v>65</v>
      </c>
    </row>
    <row r="2667">
      <c r="A2667" s="0" t="inlineStr">
        <is>
          <t xml:space="preserve">random_17_ZTS</t>
        </is>
      </c>
      <c r="B2667" s="0" t="inlineStr">
        <is>
          <t xml:space="preserve">random_17</t>
        </is>
      </c>
      <c r="C2667" s="0" t="inlineStr">
        <is>
          <t xml:space="preserve">d20260923</t>
        </is>
      </c>
      <c r="D2667" s="0" t="inlineStr">
        <is>
          <t xml:space="preserve">ZTS</t>
        </is>
      </c>
      <c r="E2667" s="0" t="inlineStr">
        <is>
          <t xml:space="preserve">healthcare</t>
        </is>
      </c>
      <c r="F2667" s="4">
        <v>66</v>
      </c>
    </row>
    <row r="2668">
      <c r="A2668" s="0" t="inlineStr">
        <is>
          <t xml:space="preserve">random_17_FFIN</t>
        </is>
      </c>
      <c r="B2668" s="0" t="inlineStr">
        <is>
          <t xml:space="preserve">random_17</t>
        </is>
      </c>
      <c r="C2668" s="0" t="inlineStr">
        <is>
          <t xml:space="preserve">d20260923</t>
        </is>
      </c>
      <c r="D2668" s="0" t="inlineStr">
        <is>
          <t xml:space="preserve">FFIN</t>
        </is>
      </c>
      <c r="E2668" s="0" t="inlineStr">
        <is>
          <t xml:space="preserve">financial_services</t>
        </is>
      </c>
      <c r="F2668" s="4">
        <v>67</v>
      </c>
    </row>
    <row r="2669">
      <c r="A2669" s="0" t="inlineStr">
        <is>
          <t xml:space="preserve">random_17_FUL</t>
        </is>
      </c>
      <c r="B2669" s="0" t="inlineStr">
        <is>
          <t xml:space="preserve">random_17</t>
        </is>
      </c>
      <c r="C2669" s="0" t="inlineStr">
        <is>
          <t xml:space="preserve">d20260923</t>
        </is>
      </c>
      <c r="D2669" s="0" t="inlineStr">
        <is>
          <t xml:space="preserve">FUL</t>
        </is>
      </c>
      <c r="E2669" s="0" t="inlineStr">
        <is>
          <t xml:space="preserve">basic_materials</t>
        </is>
      </c>
      <c r="F2669" s="4">
        <v>68</v>
      </c>
    </row>
    <row r="2670">
      <c r="A2670" s="0" t="inlineStr">
        <is>
          <t xml:space="preserve">random_17_GNW</t>
        </is>
      </c>
      <c r="B2670" s="0" t="inlineStr">
        <is>
          <t xml:space="preserve">random_17</t>
        </is>
      </c>
      <c r="C2670" s="0" t="inlineStr">
        <is>
          <t xml:space="preserve">d20260923</t>
        </is>
      </c>
      <c r="D2670" s="0" t="inlineStr">
        <is>
          <t xml:space="preserve">GNW</t>
        </is>
      </c>
      <c r="E2670" s="0" t="inlineStr">
        <is>
          <t xml:space="preserve">financial_services</t>
        </is>
      </c>
      <c r="F2670" s="4">
        <v>69</v>
      </c>
    </row>
    <row r="2671">
      <c r="A2671" s="0" t="inlineStr">
        <is>
          <t xml:space="preserve">random_17_EXPD</t>
        </is>
      </c>
      <c r="B2671" s="0" t="inlineStr">
        <is>
          <t xml:space="preserve">random_17</t>
        </is>
      </c>
      <c r="C2671" s="0" t="inlineStr">
        <is>
          <t xml:space="preserve">d20260923</t>
        </is>
      </c>
      <c r="D2671" s="0" t="inlineStr">
        <is>
          <t xml:space="preserve">EXPD</t>
        </is>
      </c>
      <c r="E2671" s="0" t="inlineStr">
        <is>
          <t xml:space="preserve">industrials</t>
        </is>
      </c>
      <c r="F2671" s="4">
        <v>70</v>
      </c>
    </row>
    <row r="2672">
      <c r="A2672" s="0" t="inlineStr">
        <is>
          <t xml:space="preserve">random_17_DOX</t>
        </is>
      </c>
      <c r="B2672" s="0" t="inlineStr">
        <is>
          <t xml:space="preserve">random_17</t>
        </is>
      </c>
      <c r="C2672" s="0" t="inlineStr">
        <is>
          <t xml:space="preserve">d20260923</t>
        </is>
      </c>
      <c r="D2672" s="0" t="inlineStr">
        <is>
          <t xml:space="preserve">DOX</t>
        </is>
      </c>
      <c r="E2672" s="0" t="inlineStr">
        <is>
          <t xml:space="preserve">technology</t>
        </is>
      </c>
      <c r="F2672" s="4">
        <v>71</v>
      </c>
    </row>
    <row r="2673">
      <c r="A2673" s="0" t="inlineStr">
        <is>
          <t xml:space="preserve">random_17_AJG</t>
        </is>
      </c>
      <c r="B2673" s="0" t="inlineStr">
        <is>
          <t xml:space="preserve">random_17</t>
        </is>
      </c>
      <c r="C2673" s="0" t="inlineStr">
        <is>
          <t xml:space="preserve">d20260923</t>
        </is>
      </c>
      <c r="D2673" s="0" t="inlineStr">
        <is>
          <t xml:space="preserve">AJG</t>
        </is>
      </c>
      <c r="E2673" s="0" t="inlineStr">
        <is>
          <t xml:space="preserve">financial_services</t>
        </is>
      </c>
      <c r="F2673" s="4">
        <v>72</v>
      </c>
    </row>
    <row r="2674">
      <c r="A2674" s="0" t="inlineStr">
        <is>
          <t xml:space="preserve">random_17_ECG</t>
        </is>
      </c>
      <c r="B2674" s="0" t="inlineStr">
        <is>
          <t xml:space="preserve">random_17</t>
        </is>
      </c>
      <c r="C2674" s="0" t="inlineStr">
        <is>
          <t xml:space="preserve">d20260923</t>
        </is>
      </c>
      <c r="D2674" s="0" t="inlineStr">
        <is>
          <t xml:space="preserve">ECG</t>
        </is>
      </c>
      <c r="E2674" s="0" t="inlineStr">
        <is>
          <t xml:space="preserve">industrials</t>
        </is>
      </c>
      <c r="F2674" s="4">
        <v>73</v>
      </c>
    </row>
    <row r="2675">
      <c r="A2675" s="0" t="inlineStr">
        <is>
          <t xml:space="preserve">random_17_CNO</t>
        </is>
      </c>
      <c r="B2675" s="0" t="inlineStr">
        <is>
          <t xml:space="preserve">random_17</t>
        </is>
      </c>
      <c r="C2675" s="0" t="inlineStr">
        <is>
          <t xml:space="preserve">d20260923</t>
        </is>
      </c>
      <c r="D2675" s="0" t="inlineStr">
        <is>
          <t xml:space="preserve">CNO</t>
        </is>
      </c>
      <c r="E2675" s="0" t="inlineStr">
        <is>
          <t xml:space="preserve">financial_services</t>
        </is>
      </c>
      <c r="F2675" s="4">
        <v>74</v>
      </c>
    </row>
    <row r="2676">
      <c r="A2676" s="0" t="inlineStr">
        <is>
          <t xml:space="preserve">random_17_FCN</t>
        </is>
      </c>
      <c r="B2676" s="0" t="inlineStr">
        <is>
          <t xml:space="preserve">random_17</t>
        </is>
      </c>
      <c r="C2676" s="0" t="inlineStr">
        <is>
          <t xml:space="preserve">d20260923</t>
        </is>
      </c>
      <c r="D2676" s="0" t="inlineStr">
        <is>
          <t xml:space="preserve">FCN</t>
        </is>
      </c>
      <c r="E2676" s="0" t="inlineStr">
        <is>
          <t xml:space="preserve">industrials</t>
        </is>
      </c>
      <c r="F2676" s="4">
        <v>75</v>
      </c>
    </row>
    <row r="2677">
      <c r="A2677" s="0" t="inlineStr">
        <is>
          <t xml:space="preserve">random_17_NESR</t>
        </is>
      </c>
      <c r="B2677" s="0" t="inlineStr">
        <is>
          <t xml:space="preserve">random_17</t>
        </is>
      </c>
      <c r="C2677" s="0" t="inlineStr">
        <is>
          <t xml:space="preserve">d20260923</t>
        </is>
      </c>
      <c r="D2677" s="0" t="inlineStr">
        <is>
          <t xml:space="preserve">NESR</t>
        </is>
      </c>
      <c r="E2677" s="0" t="inlineStr">
        <is>
          <t xml:space="preserve">energy</t>
        </is>
      </c>
      <c r="F2677" s="4">
        <v>76</v>
      </c>
    </row>
    <row r="2678">
      <c r="A2678" s="0" t="inlineStr">
        <is>
          <t xml:space="preserve">random_17_SLB</t>
        </is>
      </c>
      <c r="B2678" s="0" t="inlineStr">
        <is>
          <t xml:space="preserve">random_17</t>
        </is>
      </c>
      <c r="C2678" s="0" t="inlineStr">
        <is>
          <t xml:space="preserve">d20260923</t>
        </is>
      </c>
      <c r="D2678" s="0" t="inlineStr">
        <is>
          <t xml:space="preserve">SLB</t>
        </is>
      </c>
      <c r="E2678" s="0" t="inlineStr">
        <is>
          <t xml:space="preserve">energy</t>
        </is>
      </c>
      <c r="F2678" s="4">
        <v>77</v>
      </c>
    </row>
    <row r="2679">
      <c r="A2679" s="0" t="inlineStr">
        <is>
          <t xml:space="preserve">random_17_DGII</t>
        </is>
      </c>
      <c r="B2679" s="0" t="inlineStr">
        <is>
          <t xml:space="preserve">random_17</t>
        </is>
      </c>
      <c r="C2679" s="0" t="inlineStr">
        <is>
          <t xml:space="preserve">d20260923</t>
        </is>
      </c>
      <c r="D2679" s="0" t="inlineStr">
        <is>
          <t xml:space="preserve">DGII</t>
        </is>
      </c>
      <c r="E2679" s="0" t="inlineStr">
        <is>
          <t xml:space="preserve">technology</t>
        </is>
      </c>
      <c r="F2679" s="4">
        <v>78</v>
      </c>
    </row>
    <row r="2680">
      <c r="A2680" s="0" t="inlineStr">
        <is>
          <t xml:space="preserve">random_17_MH</t>
        </is>
      </c>
      <c r="B2680" s="0" t="inlineStr">
        <is>
          <t xml:space="preserve">random_17</t>
        </is>
      </c>
      <c r="C2680" s="0" t="inlineStr">
        <is>
          <t xml:space="preserve">d20260923</t>
        </is>
      </c>
      <c r="D2680" s="0" t="inlineStr">
        <is>
          <t xml:space="preserve">MH</t>
        </is>
      </c>
      <c r="E2680" s="0" t="inlineStr">
        <is>
          <t xml:space="preserve">consumer_defensive</t>
        </is>
      </c>
      <c r="F2680" s="4">
        <v>79</v>
      </c>
    </row>
    <row r="2681">
      <c r="A2681" s="0" t="inlineStr">
        <is>
          <t xml:space="preserve">random_17_CBRS</t>
        </is>
      </c>
      <c r="B2681" s="0" t="inlineStr">
        <is>
          <t xml:space="preserve">random_17</t>
        </is>
      </c>
      <c r="C2681" s="0" t="inlineStr">
        <is>
          <t xml:space="preserve">d20260923</t>
        </is>
      </c>
      <c r="D2681" s="0" t="inlineStr">
        <is>
          <t xml:space="preserve">CBRS</t>
        </is>
      </c>
      <c r="E2681" s="0" t="inlineStr">
        <is>
          <t xml:space="preserve">technology</t>
        </is>
      </c>
      <c r="F2681" s="4">
        <v>80</v>
      </c>
    </row>
    <row r="2682">
      <c r="A2682" s="0" t="inlineStr">
        <is>
          <t xml:space="preserve">random_17_ED</t>
        </is>
      </c>
      <c r="B2682" s="0" t="inlineStr">
        <is>
          <t xml:space="preserve">random_17</t>
        </is>
      </c>
      <c r="C2682" s="0" t="inlineStr">
        <is>
          <t xml:space="preserve">d20260923</t>
        </is>
      </c>
      <c r="D2682" s="0" t="inlineStr">
        <is>
          <t xml:space="preserve">ED</t>
        </is>
      </c>
      <c r="E2682" s="0" t="inlineStr">
        <is>
          <t xml:space="preserve">utilities</t>
        </is>
      </c>
      <c r="F2682" s="4">
        <v>81</v>
      </c>
    </row>
    <row r="2683">
      <c r="A2683" s="0" t="inlineStr">
        <is>
          <t xml:space="preserve">random_17_VOYG</t>
        </is>
      </c>
      <c r="B2683" s="0" t="inlineStr">
        <is>
          <t xml:space="preserve">random_17</t>
        </is>
      </c>
      <c r="C2683" s="0" t="inlineStr">
        <is>
          <t xml:space="preserve">d20260923</t>
        </is>
      </c>
      <c r="D2683" s="0" t="inlineStr">
        <is>
          <t xml:space="preserve">VOYG</t>
        </is>
      </c>
      <c r="E2683" s="0" t="inlineStr">
        <is>
          <t xml:space="preserve">industrials</t>
        </is>
      </c>
      <c r="F2683" s="4">
        <v>82</v>
      </c>
    </row>
    <row r="2684">
      <c r="A2684" s="0" t="inlineStr">
        <is>
          <t xml:space="preserve">random_17_HNI</t>
        </is>
      </c>
      <c r="B2684" s="0" t="inlineStr">
        <is>
          <t xml:space="preserve">random_17</t>
        </is>
      </c>
      <c r="C2684" s="0" t="inlineStr">
        <is>
          <t xml:space="preserve">d20260923</t>
        </is>
      </c>
      <c r="D2684" s="0" t="inlineStr">
        <is>
          <t xml:space="preserve">HNI</t>
        </is>
      </c>
      <c r="E2684" s="0" t="inlineStr">
        <is>
          <t xml:space="preserve">consumer_cyclical</t>
        </is>
      </c>
      <c r="F2684" s="4">
        <v>83</v>
      </c>
    </row>
    <row r="2685">
      <c r="A2685" s="0" t="inlineStr">
        <is>
          <t xml:space="preserve">random_17_SFBS</t>
        </is>
      </c>
      <c r="B2685" s="0" t="inlineStr">
        <is>
          <t xml:space="preserve">random_17</t>
        </is>
      </c>
      <c r="C2685" s="0" t="inlineStr">
        <is>
          <t xml:space="preserve">d20260923</t>
        </is>
      </c>
      <c r="D2685" s="0" t="inlineStr">
        <is>
          <t xml:space="preserve">SFBS</t>
        </is>
      </c>
      <c r="E2685" s="0" t="inlineStr">
        <is>
          <t xml:space="preserve">financial_services</t>
        </is>
      </c>
      <c r="F2685" s="4">
        <v>84</v>
      </c>
    </row>
    <row r="2686">
      <c r="A2686" s="0" t="inlineStr">
        <is>
          <t xml:space="preserve">random_17_VOYA</t>
        </is>
      </c>
      <c r="B2686" s="0" t="inlineStr">
        <is>
          <t xml:space="preserve">random_17</t>
        </is>
      </c>
      <c r="C2686" s="0" t="inlineStr">
        <is>
          <t xml:space="preserve">d20260923</t>
        </is>
      </c>
      <c r="D2686" s="0" t="inlineStr">
        <is>
          <t xml:space="preserve">VOYA</t>
        </is>
      </c>
      <c r="E2686" s="0" t="inlineStr">
        <is>
          <t xml:space="preserve">financial_services</t>
        </is>
      </c>
      <c r="F2686" s="4">
        <v>85</v>
      </c>
    </row>
    <row r="2687">
      <c r="A2687" s="0" t="inlineStr">
        <is>
          <t xml:space="preserve">random_17_SPSC</t>
        </is>
      </c>
      <c r="B2687" s="0" t="inlineStr">
        <is>
          <t xml:space="preserve">random_17</t>
        </is>
      </c>
      <c r="C2687" s="0" t="inlineStr">
        <is>
          <t xml:space="preserve">d20260923</t>
        </is>
      </c>
      <c r="D2687" s="0" t="inlineStr">
        <is>
          <t xml:space="preserve">SPSC</t>
        </is>
      </c>
      <c r="E2687" s="0" t="inlineStr">
        <is>
          <t xml:space="preserve">technology</t>
        </is>
      </c>
      <c r="F2687" s="4">
        <v>86</v>
      </c>
    </row>
    <row r="2688">
      <c r="A2688" s="0" t="inlineStr">
        <is>
          <t xml:space="preserve">random_17_ACI</t>
        </is>
      </c>
      <c r="B2688" s="0" t="inlineStr">
        <is>
          <t xml:space="preserve">random_17</t>
        </is>
      </c>
      <c r="C2688" s="0" t="inlineStr">
        <is>
          <t xml:space="preserve">d20260923</t>
        </is>
      </c>
      <c r="D2688" s="0" t="inlineStr">
        <is>
          <t xml:space="preserve">ACI</t>
        </is>
      </c>
      <c r="E2688" s="0" t="inlineStr">
        <is>
          <t xml:space="preserve">consumer_defensive</t>
        </is>
      </c>
      <c r="F2688" s="4">
        <v>87</v>
      </c>
    </row>
    <row r="2689">
      <c r="A2689" s="0" t="inlineStr">
        <is>
          <t xml:space="preserve">random_17_BRZE</t>
        </is>
      </c>
      <c r="B2689" s="0" t="inlineStr">
        <is>
          <t xml:space="preserve">random_17</t>
        </is>
      </c>
      <c r="C2689" s="0" t="inlineStr">
        <is>
          <t xml:space="preserve">d20260923</t>
        </is>
      </c>
      <c r="D2689" s="0" t="inlineStr">
        <is>
          <t xml:space="preserve">BRZE</t>
        </is>
      </c>
      <c r="E2689" s="0" t="inlineStr">
        <is>
          <t xml:space="preserve">technology</t>
        </is>
      </c>
      <c r="F2689" s="4">
        <v>88</v>
      </c>
    </row>
    <row r="2690">
      <c r="A2690" s="0" t="inlineStr">
        <is>
          <t xml:space="preserve">random_17_TDS</t>
        </is>
      </c>
      <c r="B2690" s="0" t="inlineStr">
        <is>
          <t xml:space="preserve">random_17</t>
        </is>
      </c>
      <c r="C2690" s="0" t="inlineStr">
        <is>
          <t xml:space="preserve">d20260923</t>
        </is>
      </c>
      <c r="D2690" s="0" t="inlineStr">
        <is>
          <t xml:space="preserve">TDS</t>
        </is>
      </c>
      <c r="E2690" s="0" t="inlineStr">
        <is>
          <t xml:space="preserve">communication_services</t>
        </is>
      </c>
      <c r="F2690" s="4">
        <v>89</v>
      </c>
    </row>
    <row r="2691">
      <c r="A2691" s="0" t="inlineStr">
        <is>
          <t xml:space="preserve">random_17_FCFS</t>
        </is>
      </c>
      <c r="B2691" s="0" t="inlineStr">
        <is>
          <t xml:space="preserve">random_17</t>
        </is>
      </c>
      <c r="C2691" s="0" t="inlineStr">
        <is>
          <t xml:space="preserve">d20260923</t>
        </is>
      </c>
      <c r="D2691" s="0" t="inlineStr">
        <is>
          <t xml:space="preserve">FCFS</t>
        </is>
      </c>
      <c r="E2691" s="0" t="inlineStr">
        <is>
          <t xml:space="preserve">financial_services</t>
        </is>
      </c>
      <c r="F2691" s="4">
        <v>90</v>
      </c>
    </row>
    <row r="2692">
      <c r="A2692" s="0" t="inlineStr">
        <is>
          <t xml:space="preserve">random_17_FOUR</t>
        </is>
      </c>
      <c r="B2692" s="0" t="inlineStr">
        <is>
          <t xml:space="preserve">random_17</t>
        </is>
      </c>
      <c r="C2692" s="0" t="inlineStr">
        <is>
          <t xml:space="preserve">d20260923</t>
        </is>
      </c>
      <c r="D2692" s="0" t="inlineStr">
        <is>
          <t xml:space="preserve">FOUR</t>
        </is>
      </c>
      <c r="E2692" s="0" t="inlineStr">
        <is>
          <t xml:space="preserve">technology</t>
        </is>
      </c>
      <c r="F2692" s="4">
        <v>91</v>
      </c>
    </row>
    <row r="2693">
      <c r="A2693" s="0" t="inlineStr">
        <is>
          <t xml:space="preserve">random_17_BKE</t>
        </is>
      </c>
      <c r="B2693" s="0" t="inlineStr">
        <is>
          <t xml:space="preserve">random_17</t>
        </is>
      </c>
      <c r="C2693" s="0" t="inlineStr">
        <is>
          <t xml:space="preserve">d20260923</t>
        </is>
      </c>
      <c r="D2693" s="0" t="inlineStr">
        <is>
          <t xml:space="preserve">BKE</t>
        </is>
      </c>
      <c r="E2693" s="0" t="inlineStr">
        <is>
          <t xml:space="preserve">consumer_cyclical</t>
        </is>
      </c>
      <c r="F2693" s="4">
        <v>92</v>
      </c>
    </row>
    <row r="2694">
      <c r="A2694" s="0" t="inlineStr">
        <is>
          <t xml:space="preserve">random_17_BRX</t>
        </is>
      </c>
      <c r="B2694" s="0" t="inlineStr">
        <is>
          <t xml:space="preserve">random_17</t>
        </is>
      </c>
      <c r="C2694" s="0" t="inlineStr">
        <is>
          <t xml:space="preserve">d20260923</t>
        </is>
      </c>
      <c r="D2694" s="0" t="inlineStr">
        <is>
          <t xml:space="preserve">BRX</t>
        </is>
      </c>
      <c r="E2694" s="0" t="inlineStr">
        <is>
          <t xml:space="preserve">real_estate</t>
        </is>
      </c>
      <c r="F2694" s="4">
        <v>93</v>
      </c>
    </row>
    <row r="2695">
      <c r="A2695" s="0" t="inlineStr">
        <is>
          <t xml:space="preserve">random_17_FIZZ</t>
        </is>
      </c>
      <c r="B2695" s="0" t="inlineStr">
        <is>
          <t xml:space="preserve">random_17</t>
        </is>
      </c>
      <c r="C2695" s="0" t="inlineStr">
        <is>
          <t xml:space="preserve">d20260923</t>
        </is>
      </c>
      <c r="D2695" s="0" t="inlineStr">
        <is>
          <t xml:space="preserve">FIZZ</t>
        </is>
      </c>
      <c r="E2695" s="0" t="inlineStr">
        <is>
          <t xml:space="preserve">consumer_defensive</t>
        </is>
      </c>
      <c r="F2695" s="4">
        <v>94</v>
      </c>
    </row>
    <row r="2696">
      <c r="A2696" s="0" t="inlineStr">
        <is>
          <t xml:space="preserve">random_17_GPCR</t>
        </is>
      </c>
      <c r="B2696" s="0" t="inlineStr">
        <is>
          <t xml:space="preserve">random_17</t>
        </is>
      </c>
      <c r="C2696" s="0" t="inlineStr">
        <is>
          <t xml:space="preserve">d20260923</t>
        </is>
      </c>
      <c r="D2696" s="0" t="inlineStr">
        <is>
          <t xml:space="preserve">GPCR</t>
        </is>
      </c>
      <c r="E2696" s="0" t="inlineStr">
        <is>
          <t xml:space="preserve">healthcare</t>
        </is>
      </c>
      <c r="F2696" s="4">
        <v>95</v>
      </c>
    </row>
    <row r="2697">
      <c r="A2697" s="0" t="inlineStr">
        <is>
          <t xml:space="preserve">random_17_CRL</t>
        </is>
      </c>
      <c r="B2697" s="0" t="inlineStr">
        <is>
          <t xml:space="preserve">random_17</t>
        </is>
      </c>
      <c r="C2697" s="0" t="inlineStr">
        <is>
          <t xml:space="preserve">d20260923</t>
        </is>
      </c>
      <c r="D2697" s="0" t="inlineStr">
        <is>
          <t xml:space="preserve">CRL</t>
        </is>
      </c>
      <c r="E2697" s="0" t="inlineStr">
        <is>
          <t xml:space="preserve">healthcare</t>
        </is>
      </c>
      <c r="F2697" s="4">
        <v>96</v>
      </c>
    </row>
    <row r="2698">
      <c r="A2698" s="0" t="inlineStr">
        <is>
          <t xml:space="preserve">random_17_MCHB</t>
        </is>
      </c>
      <c r="B2698" s="0" t="inlineStr">
        <is>
          <t xml:space="preserve">random_17</t>
        </is>
      </c>
      <c r="C2698" s="0" t="inlineStr">
        <is>
          <t xml:space="preserve">d20260923</t>
        </is>
      </c>
      <c r="D2698" s="0" t="inlineStr">
        <is>
          <t xml:space="preserve">MCHB</t>
        </is>
      </c>
      <c r="E2698" s="0" t="inlineStr">
        <is>
          <t xml:space="preserve">financial_services</t>
        </is>
      </c>
      <c r="F2698" s="4">
        <v>97</v>
      </c>
    </row>
    <row r="2699">
      <c r="A2699" s="0" t="inlineStr">
        <is>
          <t xml:space="preserve">random_17_DOC</t>
        </is>
      </c>
      <c r="B2699" s="0" t="inlineStr">
        <is>
          <t xml:space="preserve">random_17</t>
        </is>
      </c>
      <c r="C2699" s="0" t="inlineStr">
        <is>
          <t xml:space="preserve">d20260923</t>
        </is>
      </c>
      <c r="D2699" s="0" t="inlineStr">
        <is>
          <t xml:space="preserve">DOC</t>
        </is>
      </c>
      <c r="E2699" s="0" t="inlineStr">
        <is>
          <t xml:space="preserve">real_estate</t>
        </is>
      </c>
      <c r="F2699" s="4">
        <v>98</v>
      </c>
    </row>
    <row r="2700">
      <c r="A2700" s="0" t="inlineStr">
        <is>
          <t xml:space="preserve">random_17_DIOD</t>
        </is>
      </c>
      <c r="B2700" s="0" t="inlineStr">
        <is>
          <t xml:space="preserve">random_17</t>
        </is>
      </c>
      <c r="C2700" s="0" t="inlineStr">
        <is>
          <t xml:space="preserve">d20260923</t>
        </is>
      </c>
      <c r="D2700" s="0" t="inlineStr">
        <is>
          <t xml:space="preserve">DIOD</t>
        </is>
      </c>
      <c r="E2700" s="0" t="inlineStr">
        <is>
          <t xml:space="preserve">technology</t>
        </is>
      </c>
      <c r="F2700" s="4">
        <v>99</v>
      </c>
    </row>
    <row r="2701">
      <c r="A2701" s="0" t="inlineStr">
        <is>
          <t xml:space="preserve">random_17_KNTK</t>
        </is>
      </c>
      <c r="B2701" s="0" t="inlineStr">
        <is>
          <t xml:space="preserve">random_17</t>
        </is>
      </c>
      <c r="C2701" s="0" t="inlineStr">
        <is>
          <t xml:space="preserve">d20260923</t>
        </is>
      </c>
      <c r="D2701" s="0" t="inlineStr">
        <is>
          <t xml:space="preserve">KNTK</t>
        </is>
      </c>
      <c r="E2701" s="0" t="inlineStr">
        <is>
          <t xml:space="preserve">energy</t>
        </is>
      </c>
      <c r="F2701" s="4">
        <v>100</v>
      </c>
    </row>
    <row r="2702">
      <c r="A2702" s="0" t="inlineStr">
        <is>
          <t xml:space="preserve">random_18_GAP</t>
        </is>
      </c>
      <c r="B2702" s="0" t="inlineStr">
        <is>
          <t xml:space="preserve">random_18</t>
        </is>
      </c>
      <c r="C2702" s="0" t="inlineStr">
        <is>
          <t xml:space="preserve">d20260923</t>
        </is>
      </c>
      <c r="D2702" s="0" t="inlineStr">
        <is>
          <t xml:space="preserve">GAP</t>
        </is>
      </c>
      <c r="E2702" s="0" t="inlineStr">
        <is>
          <t xml:space="preserve">consumer_cyclical</t>
        </is>
      </c>
      <c r="F2702" s="4">
        <v>1</v>
      </c>
    </row>
    <row r="2703">
      <c r="A2703" s="0" t="inlineStr">
        <is>
          <t xml:space="preserve">random_18_HRMY</t>
        </is>
      </c>
      <c r="B2703" s="0" t="inlineStr">
        <is>
          <t xml:space="preserve">random_18</t>
        </is>
      </c>
      <c r="C2703" s="0" t="inlineStr">
        <is>
          <t xml:space="preserve">d20260923</t>
        </is>
      </c>
      <c r="D2703" s="0" t="inlineStr">
        <is>
          <t xml:space="preserve">HRMY</t>
        </is>
      </c>
      <c r="E2703" s="0" t="inlineStr">
        <is>
          <t xml:space="preserve">healthcare</t>
        </is>
      </c>
      <c r="F2703" s="4">
        <v>2</v>
      </c>
    </row>
    <row r="2704">
      <c r="A2704" s="0" t="inlineStr">
        <is>
          <t xml:space="preserve">random_18_TNGX</t>
        </is>
      </c>
      <c r="B2704" s="0" t="inlineStr">
        <is>
          <t xml:space="preserve">random_18</t>
        </is>
      </c>
      <c r="C2704" s="0" t="inlineStr">
        <is>
          <t xml:space="preserve">d20260923</t>
        </is>
      </c>
      <c r="D2704" s="0" t="inlineStr">
        <is>
          <t xml:space="preserve">TNGX</t>
        </is>
      </c>
      <c r="E2704" s="0" t="inlineStr">
        <is>
          <t xml:space="preserve">healthcare</t>
        </is>
      </c>
      <c r="F2704" s="4">
        <v>3</v>
      </c>
    </row>
    <row r="2705">
      <c r="A2705" s="0" t="inlineStr">
        <is>
          <t xml:space="preserve">random_18_ZETA</t>
        </is>
      </c>
      <c r="B2705" s="0" t="inlineStr">
        <is>
          <t xml:space="preserve">random_18</t>
        </is>
      </c>
      <c r="C2705" s="0" t="inlineStr">
        <is>
          <t xml:space="preserve">d20260923</t>
        </is>
      </c>
      <c r="D2705" s="0" t="inlineStr">
        <is>
          <t xml:space="preserve">ZETA</t>
        </is>
      </c>
      <c r="E2705" s="0" t="inlineStr">
        <is>
          <t xml:space="preserve">technology</t>
        </is>
      </c>
      <c r="F2705" s="4">
        <v>4</v>
      </c>
    </row>
    <row r="2706">
      <c r="A2706" s="0" t="inlineStr">
        <is>
          <t xml:space="preserve">random_18_ATRO</t>
        </is>
      </c>
      <c r="B2706" s="0" t="inlineStr">
        <is>
          <t xml:space="preserve">random_18</t>
        </is>
      </c>
      <c r="C2706" s="0" t="inlineStr">
        <is>
          <t xml:space="preserve">d20260923</t>
        </is>
      </c>
      <c r="D2706" s="0" t="inlineStr">
        <is>
          <t xml:space="preserve">ATRO</t>
        </is>
      </c>
      <c r="E2706" s="0" t="inlineStr">
        <is>
          <t xml:space="preserve">industrials</t>
        </is>
      </c>
      <c r="F2706" s="4">
        <v>5</v>
      </c>
    </row>
    <row r="2707">
      <c r="A2707" s="0" t="inlineStr">
        <is>
          <t xml:space="preserve">random_18_INFQ</t>
        </is>
      </c>
      <c r="B2707" s="0" t="inlineStr">
        <is>
          <t xml:space="preserve">random_18</t>
        </is>
      </c>
      <c r="C2707" s="0" t="inlineStr">
        <is>
          <t xml:space="preserve">d20260923</t>
        </is>
      </c>
      <c r="D2707" s="0" t="inlineStr">
        <is>
          <t xml:space="preserve">INFQ</t>
        </is>
      </c>
      <c r="E2707" s="0" t="inlineStr">
        <is>
          <t xml:space="preserve">technology</t>
        </is>
      </c>
      <c r="F2707" s="4">
        <v>6</v>
      </c>
    </row>
    <row r="2708">
      <c r="A2708" s="0" t="inlineStr">
        <is>
          <t xml:space="preserve">random_18_RMBS</t>
        </is>
      </c>
      <c r="B2708" s="0" t="inlineStr">
        <is>
          <t xml:space="preserve">random_18</t>
        </is>
      </c>
      <c r="C2708" s="0" t="inlineStr">
        <is>
          <t xml:space="preserve">d20260923</t>
        </is>
      </c>
      <c r="D2708" s="0" t="inlineStr">
        <is>
          <t xml:space="preserve">RMBS</t>
        </is>
      </c>
      <c r="E2708" s="0" t="inlineStr">
        <is>
          <t xml:space="preserve">technology</t>
        </is>
      </c>
      <c r="F2708" s="4">
        <v>7</v>
      </c>
    </row>
    <row r="2709">
      <c r="A2709" s="0" t="inlineStr">
        <is>
          <t xml:space="preserve">random_18_PPLI</t>
        </is>
      </c>
      <c r="B2709" s="0" t="inlineStr">
        <is>
          <t xml:space="preserve">random_18</t>
        </is>
      </c>
      <c r="C2709" s="0" t="inlineStr">
        <is>
          <t xml:space="preserve">d20260923</t>
        </is>
      </c>
      <c r="D2709" s="0" t="inlineStr">
        <is>
          <t xml:space="preserve">PPLI</t>
        </is>
      </c>
      <c r="E2709" s="0" t="inlineStr">
        <is>
          <t xml:space="preserve">communication_services</t>
        </is>
      </c>
      <c r="F2709" s="4">
        <v>8</v>
      </c>
    </row>
    <row r="2710">
      <c r="A2710" s="0" t="inlineStr">
        <is>
          <t xml:space="preserve">random_18_MD</t>
        </is>
      </c>
      <c r="B2710" s="0" t="inlineStr">
        <is>
          <t xml:space="preserve">random_18</t>
        </is>
      </c>
      <c r="C2710" s="0" t="inlineStr">
        <is>
          <t xml:space="preserve">d20260923</t>
        </is>
      </c>
      <c r="D2710" s="0" t="inlineStr">
        <is>
          <t xml:space="preserve">MD</t>
        </is>
      </c>
      <c r="E2710" s="0" t="inlineStr">
        <is>
          <t xml:space="preserve">healthcare</t>
        </is>
      </c>
      <c r="F2710" s="4">
        <v>9</v>
      </c>
    </row>
    <row r="2711">
      <c r="A2711" s="0" t="inlineStr">
        <is>
          <t xml:space="preserve">random_18_MP</t>
        </is>
      </c>
      <c r="B2711" s="0" t="inlineStr">
        <is>
          <t xml:space="preserve">random_18</t>
        </is>
      </c>
      <c r="C2711" s="0" t="inlineStr">
        <is>
          <t xml:space="preserve">d20260923</t>
        </is>
      </c>
      <c r="D2711" s="0" t="inlineStr">
        <is>
          <t xml:space="preserve">MP</t>
        </is>
      </c>
      <c r="E2711" s="0" t="inlineStr">
        <is>
          <t xml:space="preserve">basic_materials</t>
        </is>
      </c>
      <c r="F2711" s="4">
        <v>10</v>
      </c>
    </row>
    <row r="2712">
      <c r="A2712" s="0" t="inlineStr">
        <is>
          <t xml:space="preserve">random_18_FRT</t>
        </is>
      </c>
      <c r="B2712" s="0" t="inlineStr">
        <is>
          <t xml:space="preserve">random_18</t>
        </is>
      </c>
      <c r="C2712" s="0" t="inlineStr">
        <is>
          <t xml:space="preserve">d20260923</t>
        </is>
      </c>
      <c r="D2712" s="0" t="inlineStr">
        <is>
          <t xml:space="preserve">FRT</t>
        </is>
      </c>
      <c r="E2712" s="0" t="inlineStr">
        <is>
          <t xml:space="preserve">real_estate</t>
        </is>
      </c>
      <c r="F2712" s="4">
        <v>11</v>
      </c>
    </row>
    <row r="2713">
      <c r="A2713" s="0" t="inlineStr">
        <is>
          <t xml:space="preserve">random_18_SHAZ</t>
        </is>
      </c>
      <c r="B2713" s="0" t="inlineStr">
        <is>
          <t xml:space="preserve">random_18</t>
        </is>
      </c>
      <c r="C2713" s="0" t="inlineStr">
        <is>
          <t xml:space="preserve">d20260923</t>
        </is>
      </c>
      <c r="D2713" s="0" t="inlineStr">
        <is>
          <t xml:space="preserve">SHAZ</t>
        </is>
      </c>
      <c r="E2713" s="0" t="inlineStr">
        <is>
          <t xml:space="preserve">technology</t>
        </is>
      </c>
      <c r="F2713" s="4">
        <v>12</v>
      </c>
    </row>
    <row r="2714">
      <c r="A2714" s="0" t="inlineStr">
        <is>
          <t xml:space="preserve">random_18_NCLH</t>
        </is>
      </c>
      <c r="B2714" s="0" t="inlineStr">
        <is>
          <t xml:space="preserve">random_18</t>
        </is>
      </c>
      <c r="C2714" s="0" t="inlineStr">
        <is>
          <t xml:space="preserve">d20260923</t>
        </is>
      </c>
      <c r="D2714" s="0" t="inlineStr">
        <is>
          <t xml:space="preserve">NCLH</t>
        </is>
      </c>
      <c r="E2714" s="0" t="inlineStr">
        <is>
          <t xml:space="preserve">consumer_cyclical</t>
        </is>
      </c>
      <c r="F2714" s="4">
        <v>13</v>
      </c>
    </row>
    <row r="2715">
      <c r="A2715" s="0" t="inlineStr">
        <is>
          <t xml:space="preserve">random_18_SR</t>
        </is>
      </c>
      <c r="B2715" s="0" t="inlineStr">
        <is>
          <t xml:space="preserve">random_18</t>
        </is>
      </c>
      <c r="C2715" s="0" t="inlineStr">
        <is>
          <t xml:space="preserve">d20260923</t>
        </is>
      </c>
      <c r="D2715" s="0" t="inlineStr">
        <is>
          <t xml:space="preserve">SR</t>
        </is>
      </c>
      <c r="E2715" s="0" t="inlineStr">
        <is>
          <t xml:space="preserve">utilities</t>
        </is>
      </c>
      <c r="F2715" s="4">
        <v>14</v>
      </c>
    </row>
    <row r="2716">
      <c r="A2716" s="0" t="inlineStr">
        <is>
          <t xml:space="preserve">random_18_EXR</t>
        </is>
      </c>
      <c r="B2716" s="0" t="inlineStr">
        <is>
          <t xml:space="preserve">random_18</t>
        </is>
      </c>
      <c r="C2716" s="0" t="inlineStr">
        <is>
          <t xml:space="preserve">d20260923</t>
        </is>
      </c>
      <c r="D2716" s="0" t="inlineStr">
        <is>
          <t xml:space="preserve">EXR</t>
        </is>
      </c>
      <c r="E2716" s="0" t="inlineStr">
        <is>
          <t xml:space="preserve">real_estate</t>
        </is>
      </c>
      <c r="F2716" s="4">
        <v>15</v>
      </c>
    </row>
    <row r="2717">
      <c r="A2717" s="0" t="inlineStr">
        <is>
          <t xml:space="preserve">random_18_HOG</t>
        </is>
      </c>
      <c r="B2717" s="0" t="inlineStr">
        <is>
          <t xml:space="preserve">random_18</t>
        </is>
      </c>
      <c r="C2717" s="0" t="inlineStr">
        <is>
          <t xml:space="preserve">d20260923</t>
        </is>
      </c>
      <c r="D2717" s="0" t="inlineStr">
        <is>
          <t xml:space="preserve">HOG</t>
        </is>
      </c>
      <c r="E2717" s="0" t="inlineStr">
        <is>
          <t xml:space="preserve">consumer_cyclical</t>
        </is>
      </c>
      <c r="F2717" s="4">
        <v>16</v>
      </c>
    </row>
    <row r="2718">
      <c r="A2718" s="0" t="inlineStr">
        <is>
          <t xml:space="preserve">random_18_DYN</t>
        </is>
      </c>
      <c r="B2718" s="0" t="inlineStr">
        <is>
          <t xml:space="preserve">random_18</t>
        </is>
      </c>
      <c r="C2718" s="0" t="inlineStr">
        <is>
          <t xml:space="preserve">d20260923</t>
        </is>
      </c>
      <c r="D2718" s="0" t="inlineStr">
        <is>
          <t xml:space="preserve">DYN</t>
        </is>
      </c>
      <c r="E2718" s="0" t="inlineStr">
        <is>
          <t xml:space="preserve">healthcare</t>
        </is>
      </c>
      <c r="F2718" s="4">
        <v>17</v>
      </c>
    </row>
    <row r="2719">
      <c r="A2719" s="0" t="inlineStr">
        <is>
          <t xml:space="preserve">random_18_MIAX</t>
        </is>
      </c>
      <c r="B2719" s="0" t="inlineStr">
        <is>
          <t xml:space="preserve">random_18</t>
        </is>
      </c>
      <c r="C2719" s="0" t="inlineStr">
        <is>
          <t xml:space="preserve">d20260923</t>
        </is>
      </c>
      <c r="D2719" s="0" t="inlineStr">
        <is>
          <t xml:space="preserve">MIAX</t>
        </is>
      </c>
      <c r="E2719" s="0" t="inlineStr">
        <is>
          <t xml:space="preserve">financial_services</t>
        </is>
      </c>
      <c r="F2719" s="4">
        <v>18</v>
      </c>
    </row>
    <row r="2720">
      <c r="A2720" s="0" t="inlineStr">
        <is>
          <t xml:space="preserve">random_18_IDYA</t>
        </is>
      </c>
      <c r="B2720" s="0" t="inlineStr">
        <is>
          <t xml:space="preserve">random_18</t>
        </is>
      </c>
      <c r="C2720" s="0" t="inlineStr">
        <is>
          <t xml:space="preserve">d20260923</t>
        </is>
      </c>
      <c r="D2720" s="0" t="inlineStr">
        <is>
          <t xml:space="preserve">IDYA</t>
        </is>
      </c>
      <c r="E2720" s="0" t="inlineStr">
        <is>
          <t xml:space="preserve">healthcare</t>
        </is>
      </c>
      <c r="F2720" s="4">
        <v>19</v>
      </c>
    </row>
    <row r="2721">
      <c r="A2721" s="0" t="inlineStr">
        <is>
          <t xml:space="preserve">random_18_WRB</t>
        </is>
      </c>
      <c r="B2721" s="0" t="inlineStr">
        <is>
          <t xml:space="preserve">random_18</t>
        </is>
      </c>
      <c r="C2721" s="0" t="inlineStr">
        <is>
          <t xml:space="preserve">d20260923</t>
        </is>
      </c>
      <c r="D2721" s="0" t="inlineStr">
        <is>
          <t xml:space="preserve">WRB</t>
        </is>
      </c>
      <c r="E2721" s="0" t="inlineStr">
        <is>
          <t xml:space="preserve">financial_services</t>
        </is>
      </c>
      <c r="F2721" s="4">
        <v>20</v>
      </c>
    </row>
    <row r="2722">
      <c r="A2722" s="0" t="inlineStr">
        <is>
          <t xml:space="preserve">random_18_RJF</t>
        </is>
      </c>
      <c r="B2722" s="0" t="inlineStr">
        <is>
          <t xml:space="preserve">random_18</t>
        </is>
      </c>
      <c r="C2722" s="0" t="inlineStr">
        <is>
          <t xml:space="preserve">d20260923</t>
        </is>
      </c>
      <c r="D2722" s="0" t="inlineStr">
        <is>
          <t xml:space="preserve">RJF</t>
        </is>
      </c>
      <c r="E2722" s="0" t="inlineStr">
        <is>
          <t xml:space="preserve">financial_services</t>
        </is>
      </c>
      <c r="F2722" s="4">
        <v>21</v>
      </c>
    </row>
    <row r="2723">
      <c r="A2723" s="0" t="inlineStr">
        <is>
          <t xml:space="preserve">random_18_TEM</t>
        </is>
      </c>
      <c r="B2723" s="0" t="inlineStr">
        <is>
          <t xml:space="preserve">random_18</t>
        </is>
      </c>
      <c r="C2723" s="0" t="inlineStr">
        <is>
          <t xml:space="preserve">d20260923</t>
        </is>
      </c>
      <c r="D2723" s="0" t="inlineStr">
        <is>
          <t xml:space="preserve">TEM</t>
        </is>
      </c>
      <c r="E2723" s="0" t="inlineStr">
        <is>
          <t xml:space="preserve">healthcare</t>
        </is>
      </c>
      <c r="F2723" s="4">
        <v>22</v>
      </c>
    </row>
    <row r="2724">
      <c r="A2724" s="0" t="inlineStr">
        <is>
          <t xml:space="preserve">random_18_CART</t>
        </is>
      </c>
      <c r="B2724" s="0" t="inlineStr">
        <is>
          <t xml:space="preserve">random_18</t>
        </is>
      </c>
      <c r="C2724" s="0" t="inlineStr">
        <is>
          <t xml:space="preserve">d20260923</t>
        </is>
      </c>
      <c r="D2724" s="0" t="inlineStr">
        <is>
          <t xml:space="preserve">CART</t>
        </is>
      </c>
      <c r="E2724" s="0" t="inlineStr">
        <is>
          <t xml:space="preserve">technology</t>
        </is>
      </c>
      <c r="F2724" s="4">
        <v>23</v>
      </c>
    </row>
    <row r="2725">
      <c r="A2725" s="0" t="inlineStr">
        <is>
          <t xml:space="preserve">random_18_CNP</t>
        </is>
      </c>
      <c r="B2725" s="0" t="inlineStr">
        <is>
          <t xml:space="preserve">random_18</t>
        </is>
      </c>
      <c r="C2725" s="0" t="inlineStr">
        <is>
          <t xml:space="preserve">d20260923</t>
        </is>
      </c>
      <c r="D2725" s="0" t="inlineStr">
        <is>
          <t xml:space="preserve">CNP</t>
        </is>
      </c>
      <c r="E2725" s="0" t="inlineStr">
        <is>
          <t xml:space="preserve">utilities</t>
        </is>
      </c>
      <c r="F2725" s="4">
        <v>24</v>
      </c>
    </row>
    <row r="2726">
      <c r="A2726" s="0" t="inlineStr">
        <is>
          <t xml:space="preserve">random_18_PSX</t>
        </is>
      </c>
      <c r="B2726" s="0" t="inlineStr">
        <is>
          <t xml:space="preserve">random_18</t>
        </is>
      </c>
      <c r="C2726" s="0" t="inlineStr">
        <is>
          <t xml:space="preserve">d20260923</t>
        </is>
      </c>
      <c r="D2726" s="0" t="inlineStr">
        <is>
          <t xml:space="preserve">PSX</t>
        </is>
      </c>
      <c r="E2726" s="0" t="inlineStr">
        <is>
          <t xml:space="preserve">energy</t>
        </is>
      </c>
      <c r="F2726" s="4">
        <v>25</v>
      </c>
    </row>
    <row r="2727">
      <c r="A2727" s="0" t="inlineStr">
        <is>
          <t xml:space="preserve">random_18_MOD</t>
        </is>
      </c>
      <c r="B2727" s="0" t="inlineStr">
        <is>
          <t xml:space="preserve">random_18</t>
        </is>
      </c>
      <c r="C2727" s="0" t="inlineStr">
        <is>
          <t xml:space="preserve">d20260923</t>
        </is>
      </c>
      <c r="D2727" s="0" t="inlineStr">
        <is>
          <t xml:space="preserve">MOD</t>
        </is>
      </c>
      <c r="E2727" s="0" t="inlineStr">
        <is>
          <t xml:space="preserve">industrials</t>
        </is>
      </c>
      <c r="F2727" s="4">
        <v>26</v>
      </c>
    </row>
    <row r="2728">
      <c r="A2728" s="0" t="inlineStr">
        <is>
          <t xml:space="preserve">random_18_SUPN</t>
        </is>
      </c>
      <c r="B2728" s="0" t="inlineStr">
        <is>
          <t xml:space="preserve">random_18</t>
        </is>
      </c>
      <c r="C2728" s="0" t="inlineStr">
        <is>
          <t xml:space="preserve">d20260923</t>
        </is>
      </c>
      <c r="D2728" s="0" t="inlineStr">
        <is>
          <t xml:space="preserve">SUPN</t>
        </is>
      </c>
      <c r="E2728" s="0" t="inlineStr">
        <is>
          <t xml:space="preserve">healthcare</t>
        </is>
      </c>
      <c r="F2728" s="4">
        <v>27</v>
      </c>
    </row>
    <row r="2729">
      <c r="A2729" s="0" t="inlineStr">
        <is>
          <t xml:space="preserve">random_18_DE</t>
        </is>
      </c>
      <c r="B2729" s="0" t="inlineStr">
        <is>
          <t xml:space="preserve">random_18</t>
        </is>
      </c>
      <c r="C2729" s="0" t="inlineStr">
        <is>
          <t xml:space="preserve">d20260923</t>
        </is>
      </c>
      <c r="D2729" s="0" t="inlineStr">
        <is>
          <t xml:space="preserve">DE</t>
        </is>
      </c>
      <c r="E2729" s="0" t="inlineStr">
        <is>
          <t xml:space="preserve">industrials</t>
        </is>
      </c>
      <c r="F2729" s="4">
        <v>28</v>
      </c>
    </row>
    <row r="2730">
      <c r="A2730" s="0" t="inlineStr">
        <is>
          <t xml:space="preserve">random_18_BRX</t>
        </is>
      </c>
      <c r="B2730" s="0" t="inlineStr">
        <is>
          <t xml:space="preserve">random_18</t>
        </is>
      </c>
      <c r="C2730" s="0" t="inlineStr">
        <is>
          <t xml:space="preserve">d20260923</t>
        </is>
      </c>
      <c r="D2730" s="0" t="inlineStr">
        <is>
          <t xml:space="preserve">BRX</t>
        </is>
      </c>
      <c r="E2730" s="0" t="inlineStr">
        <is>
          <t xml:space="preserve">real_estate</t>
        </is>
      </c>
      <c r="F2730" s="4">
        <v>29</v>
      </c>
    </row>
    <row r="2731">
      <c r="A2731" s="0" t="inlineStr">
        <is>
          <t xml:space="preserve">random_18_UHS</t>
        </is>
      </c>
      <c r="B2731" s="0" t="inlineStr">
        <is>
          <t xml:space="preserve">random_18</t>
        </is>
      </c>
      <c r="C2731" s="0" t="inlineStr">
        <is>
          <t xml:space="preserve">d20260923</t>
        </is>
      </c>
      <c r="D2731" s="0" t="inlineStr">
        <is>
          <t xml:space="preserve">UHS</t>
        </is>
      </c>
      <c r="E2731" s="0" t="inlineStr">
        <is>
          <t xml:space="preserve">healthcare</t>
        </is>
      </c>
      <c r="F2731" s="4">
        <v>30</v>
      </c>
    </row>
    <row r="2732">
      <c r="A2732" s="0" t="inlineStr">
        <is>
          <t xml:space="preserve">random_18_TFX</t>
        </is>
      </c>
      <c r="B2732" s="0" t="inlineStr">
        <is>
          <t xml:space="preserve">random_18</t>
        </is>
      </c>
      <c r="C2732" s="0" t="inlineStr">
        <is>
          <t xml:space="preserve">d20260923</t>
        </is>
      </c>
      <c r="D2732" s="0" t="inlineStr">
        <is>
          <t xml:space="preserve">TFX</t>
        </is>
      </c>
      <c r="E2732" s="0" t="inlineStr">
        <is>
          <t xml:space="preserve">healthcare</t>
        </is>
      </c>
      <c r="F2732" s="4">
        <v>31</v>
      </c>
    </row>
    <row r="2733">
      <c r="A2733" s="0" t="inlineStr">
        <is>
          <t xml:space="preserve">random_18_MAIR</t>
        </is>
      </c>
      <c r="B2733" s="0" t="inlineStr">
        <is>
          <t xml:space="preserve">random_18</t>
        </is>
      </c>
      <c r="C2733" s="0" t="inlineStr">
        <is>
          <t xml:space="preserve">d20260923</t>
        </is>
      </c>
      <c r="D2733" s="0" t="inlineStr">
        <is>
          <t xml:space="preserve">MAIR</t>
        </is>
      </c>
      <c r="E2733" s="0" t="inlineStr">
        <is>
          <t xml:space="preserve">industrials</t>
        </is>
      </c>
      <c r="F2733" s="4">
        <v>32</v>
      </c>
    </row>
    <row r="2734">
      <c r="A2734" s="0" t="inlineStr">
        <is>
          <t xml:space="preserve">random_18_VSAT</t>
        </is>
      </c>
      <c r="B2734" s="0" t="inlineStr">
        <is>
          <t xml:space="preserve">random_18</t>
        </is>
      </c>
      <c r="C2734" s="0" t="inlineStr">
        <is>
          <t xml:space="preserve">d20260923</t>
        </is>
      </c>
      <c r="D2734" s="0" t="inlineStr">
        <is>
          <t xml:space="preserve">VSAT</t>
        </is>
      </c>
      <c r="E2734" s="0" t="inlineStr">
        <is>
          <t xml:space="preserve">technology</t>
        </is>
      </c>
      <c r="F2734" s="4">
        <v>33</v>
      </c>
    </row>
    <row r="2735">
      <c r="A2735" s="0" t="inlineStr">
        <is>
          <t xml:space="preserve">random_18_KEX</t>
        </is>
      </c>
      <c r="B2735" s="0" t="inlineStr">
        <is>
          <t xml:space="preserve">random_18</t>
        </is>
      </c>
      <c r="C2735" s="0" t="inlineStr">
        <is>
          <t xml:space="preserve">d20260923</t>
        </is>
      </c>
      <c r="D2735" s="0" t="inlineStr">
        <is>
          <t xml:space="preserve">KEX</t>
        </is>
      </c>
      <c r="E2735" s="0" t="inlineStr">
        <is>
          <t xml:space="preserve">industrials</t>
        </is>
      </c>
      <c r="F2735" s="4">
        <v>34</v>
      </c>
    </row>
    <row r="2736">
      <c r="A2736" s="0" t="inlineStr">
        <is>
          <t xml:space="preserve">random_18_ECG</t>
        </is>
      </c>
      <c r="B2736" s="0" t="inlineStr">
        <is>
          <t xml:space="preserve">random_18</t>
        </is>
      </c>
      <c r="C2736" s="0" t="inlineStr">
        <is>
          <t xml:space="preserve">d20260923</t>
        </is>
      </c>
      <c r="D2736" s="0" t="inlineStr">
        <is>
          <t xml:space="preserve">ECG</t>
        </is>
      </c>
      <c r="E2736" s="0" t="inlineStr">
        <is>
          <t xml:space="preserve">industrials</t>
        </is>
      </c>
      <c r="F2736" s="4">
        <v>35</v>
      </c>
    </row>
    <row r="2737">
      <c r="A2737" s="0" t="inlineStr">
        <is>
          <t xml:space="preserve">random_18_INSW</t>
        </is>
      </c>
      <c r="B2737" s="0" t="inlineStr">
        <is>
          <t xml:space="preserve">random_18</t>
        </is>
      </c>
      <c r="C2737" s="0" t="inlineStr">
        <is>
          <t xml:space="preserve">d20260923</t>
        </is>
      </c>
      <c r="D2737" s="0" t="inlineStr">
        <is>
          <t xml:space="preserve">INSW</t>
        </is>
      </c>
      <c r="E2737" s="0" t="inlineStr">
        <is>
          <t xml:space="preserve">industrials</t>
        </is>
      </c>
      <c r="F2737" s="4">
        <v>36</v>
      </c>
    </row>
    <row r="2738">
      <c r="A2738" s="0" t="inlineStr">
        <is>
          <t xml:space="preserve">random_18_GPCR</t>
        </is>
      </c>
      <c r="B2738" s="0" t="inlineStr">
        <is>
          <t xml:space="preserve">random_18</t>
        </is>
      </c>
      <c r="C2738" s="0" t="inlineStr">
        <is>
          <t xml:space="preserve">d20260923</t>
        </is>
      </c>
      <c r="D2738" s="0" t="inlineStr">
        <is>
          <t xml:space="preserve">GPCR</t>
        </is>
      </c>
      <c r="E2738" s="0" t="inlineStr">
        <is>
          <t xml:space="preserve">healthcare</t>
        </is>
      </c>
      <c r="F2738" s="4">
        <v>37</v>
      </c>
    </row>
    <row r="2739">
      <c r="A2739" s="0" t="inlineStr">
        <is>
          <t xml:space="preserve">random_18_GEHC</t>
        </is>
      </c>
      <c r="B2739" s="0" t="inlineStr">
        <is>
          <t xml:space="preserve">random_18</t>
        </is>
      </c>
      <c r="C2739" s="0" t="inlineStr">
        <is>
          <t xml:space="preserve">d20260923</t>
        </is>
      </c>
      <c r="D2739" s="0" t="inlineStr">
        <is>
          <t xml:space="preserve">GEHC</t>
        </is>
      </c>
      <c r="E2739" s="0" t="inlineStr">
        <is>
          <t xml:space="preserve">healthcare</t>
        </is>
      </c>
      <c r="F2739" s="4">
        <v>38</v>
      </c>
    </row>
    <row r="2740">
      <c r="A2740" s="0" t="inlineStr">
        <is>
          <t xml:space="preserve">random_18_APH</t>
        </is>
      </c>
      <c r="B2740" s="0" t="inlineStr">
        <is>
          <t xml:space="preserve">random_18</t>
        </is>
      </c>
      <c r="C2740" s="0" t="inlineStr">
        <is>
          <t xml:space="preserve">d20260923</t>
        </is>
      </c>
      <c r="D2740" s="0" t="inlineStr">
        <is>
          <t xml:space="preserve">APH</t>
        </is>
      </c>
      <c r="E2740" s="0" t="inlineStr">
        <is>
          <t xml:space="preserve">technology</t>
        </is>
      </c>
      <c r="F2740" s="4">
        <v>39</v>
      </c>
    </row>
    <row r="2741">
      <c r="A2741" s="0" t="inlineStr">
        <is>
          <t xml:space="preserve">random_18_ANDG</t>
        </is>
      </c>
      <c r="B2741" s="0" t="inlineStr">
        <is>
          <t xml:space="preserve">random_18</t>
        </is>
      </c>
      <c r="C2741" s="0" t="inlineStr">
        <is>
          <t xml:space="preserve">d20260923</t>
        </is>
      </c>
      <c r="D2741" s="0" t="inlineStr">
        <is>
          <t xml:space="preserve">ANDG</t>
        </is>
      </c>
      <c r="E2741" s="0" t="inlineStr">
        <is>
          <t xml:space="preserve">consumer_cyclical</t>
        </is>
      </c>
      <c r="F2741" s="4">
        <v>40</v>
      </c>
    </row>
    <row r="2742">
      <c r="A2742" s="0" t="inlineStr">
        <is>
          <t xml:space="preserve">random_18_SEIC</t>
        </is>
      </c>
      <c r="B2742" s="0" t="inlineStr">
        <is>
          <t xml:space="preserve">random_18</t>
        </is>
      </c>
      <c r="C2742" s="0" t="inlineStr">
        <is>
          <t xml:space="preserve">d20260923</t>
        </is>
      </c>
      <c r="D2742" s="0" t="inlineStr">
        <is>
          <t xml:space="preserve">SEIC</t>
        </is>
      </c>
      <c r="E2742" s="0" t="inlineStr">
        <is>
          <t xml:space="preserve">financial_services</t>
        </is>
      </c>
      <c r="F2742" s="4">
        <v>41</v>
      </c>
    </row>
    <row r="2743">
      <c r="A2743" s="0" t="inlineStr">
        <is>
          <t xml:space="preserve">random_18_CALX</t>
        </is>
      </c>
      <c r="B2743" s="0" t="inlineStr">
        <is>
          <t xml:space="preserve">random_18</t>
        </is>
      </c>
      <c r="C2743" s="0" t="inlineStr">
        <is>
          <t xml:space="preserve">d20260923</t>
        </is>
      </c>
      <c r="D2743" s="0" t="inlineStr">
        <is>
          <t xml:space="preserve">CALX</t>
        </is>
      </c>
      <c r="E2743" s="0" t="inlineStr">
        <is>
          <t xml:space="preserve">technology</t>
        </is>
      </c>
      <c r="F2743" s="4">
        <v>42</v>
      </c>
    </row>
    <row r="2744">
      <c r="A2744" s="0" t="inlineStr">
        <is>
          <t xml:space="preserve">random_18_ABBV</t>
        </is>
      </c>
      <c r="B2744" s="0" t="inlineStr">
        <is>
          <t xml:space="preserve">random_18</t>
        </is>
      </c>
      <c r="C2744" s="0" t="inlineStr">
        <is>
          <t xml:space="preserve">d20260923</t>
        </is>
      </c>
      <c r="D2744" s="0" t="inlineStr">
        <is>
          <t xml:space="preserve">ABBV</t>
        </is>
      </c>
      <c r="E2744" s="0" t="inlineStr">
        <is>
          <t xml:space="preserve">healthcare</t>
        </is>
      </c>
      <c r="F2744" s="4">
        <v>43</v>
      </c>
    </row>
    <row r="2745">
      <c r="A2745" s="0" t="inlineStr">
        <is>
          <t xml:space="preserve">random_18_SKYW</t>
        </is>
      </c>
      <c r="B2745" s="0" t="inlineStr">
        <is>
          <t xml:space="preserve">random_18</t>
        </is>
      </c>
      <c r="C2745" s="0" t="inlineStr">
        <is>
          <t xml:space="preserve">d20260923</t>
        </is>
      </c>
      <c r="D2745" s="0" t="inlineStr">
        <is>
          <t xml:space="preserve">SKYW</t>
        </is>
      </c>
      <c r="E2745" s="0" t="inlineStr">
        <is>
          <t xml:space="preserve">industrials</t>
        </is>
      </c>
      <c r="F2745" s="4">
        <v>44</v>
      </c>
    </row>
    <row r="2746">
      <c r="A2746" s="0" t="inlineStr">
        <is>
          <t xml:space="preserve">random_18_CALM</t>
        </is>
      </c>
      <c r="B2746" s="0" t="inlineStr">
        <is>
          <t xml:space="preserve">random_18</t>
        </is>
      </c>
      <c r="C2746" s="0" t="inlineStr">
        <is>
          <t xml:space="preserve">d20260923</t>
        </is>
      </c>
      <c r="D2746" s="0" t="inlineStr">
        <is>
          <t xml:space="preserve">CALM</t>
        </is>
      </c>
      <c r="E2746" s="0" t="inlineStr">
        <is>
          <t xml:space="preserve">consumer_defensive</t>
        </is>
      </c>
      <c r="F2746" s="4">
        <v>45</v>
      </c>
    </row>
    <row r="2747">
      <c r="A2747" s="0" t="inlineStr">
        <is>
          <t xml:space="preserve">random_18_GBTG</t>
        </is>
      </c>
      <c r="B2747" s="0" t="inlineStr">
        <is>
          <t xml:space="preserve">random_18</t>
        </is>
      </c>
      <c r="C2747" s="0" t="inlineStr">
        <is>
          <t xml:space="preserve">d20260923</t>
        </is>
      </c>
      <c r="D2747" s="0" t="inlineStr">
        <is>
          <t xml:space="preserve">GBTG</t>
        </is>
      </c>
      <c r="E2747" s="0" t="inlineStr">
        <is>
          <t xml:space="preserve">consumer_cyclical</t>
        </is>
      </c>
      <c r="F2747" s="4">
        <v>46</v>
      </c>
    </row>
    <row r="2748">
      <c r="A2748" s="0" t="inlineStr">
        <is>
          <t xml:space="preserve">random_18_AMD</t>
        </is>
      </c>
      <c r="B2748" s="0" t="inlineStr">
        <is>
          <t xml:space="preserve">random_18</t>
        </is>
      </c>
      <c r="C2748" s="0" t="inlineStr">
        <is>
          <t xml:space="preserve">d20260923</t>
        </is>
      </c>
      <c r="D2748" s="0" t="inlineStr">
        <is>
          <t xml:space="preserve">AMD</t>
        </is>
      </c>
      <c r="E2748" s="0" t="inlineStr">
        <is>
          <t xml:space="preserve">technology</t>
        </is>
      </c>
      <c r="F2748" s="4">
        <v>47</v>
      </c>
    </row>
    <row r="2749">
      <c r="A2749" s="0" t="inlineStr">
        <is>
          <t xml:space="preserve">random_18_KBR</t>
        </is>
      </c>
      <c r="B2749" s="0" t="inlineStr">
        <is>
          <t xml:space="preserve">random_18</t>
        </is>
      </c>
      <c r="C2749" s="0" t="inlineStr">
        <is>
          <t xml:space="preserve">d20260923</t>
        </is>
      </c>
      <c r="D2749" s="0" t="inlineStr">
        <is>
          <t xml:space="preserve">KBR</t>
        </is>
      </c>
      <c r="E2749" s="0" t="inlineStr">
        <is>
          <t xml:space="preserve">industrials</t>
        </is>
      </c>
      <c r="F2749" s="4">
        <v>48</v>
      </c>
    </row>
    <row r="2750">
      <c r="A2750" s="0" t="inlineStr">
        <is>
          <t xml:space="preserve">random_18_WSM</t>
        </is>
      </c>
      <c r="B2750" s="0" t="inlineStr">
        <is>
          <t xml:space="preserve">random_18</t>
        </is>
      </c>
      <c r="C2750" s="0" t="inlineStr">
        <is>
          <t xml:space="preserve">d20260923</t>
        </is>
      </c>
      <c r="D2750" s="0" t="inlineStr">
        <is>
          <t xml:space="preserve">WSM</t>
        </is>
      </c>
      <c r="E2750" s="0" t="inlineStr">
        <is>
          <t xml:space="preserve">consumer_cyclical</t>
        </is>
      </c>
      <c r="F2750" s="4">
        <v>49</v>
      </c>
    </row>
    <row r="2751">
      <c r="A2751" s="0" t="inlineStr">
        <is>
          <t xml:space="preserve">random_18_ADM</t>
        </is>
      </c>
      <c r="B2751" s="0" t="inlineStr">
        <is>
          <t xml:space="preserve">random_18</t>
        </is>
      </c>
      <c r="C2751" s="0" t="inlineStr">
        <is>
          <t xml:space="preserve">d20260923</t>
        </is>
      </c>
      <c r="D2751" s="0" t="inlineStr">
        <is>
          <t xml:space="preserve">ADM</t>
        </is>
      </c>
      <c r="E2751" s="0" t="inlineStr">
        <is>
          <t xml:space="preserve">consumer_defensive</t>
        </is>
      </c>
      <c r="F2751" s="4">
        <v>50</v>
      </c>
    </row>
    <row r="2752">
      <c r="A2752" s="0" t="inlineStr">
        <is>
          <t xml:space="preserve">random_18_NEE</t>
        </is>
      </c>
      <c r="B2752" s="0" t="inlineStr">
        <is>
          <t xml:space="preserve">random_18</t>
        </is>
      </c>
      <c r="C2752" s="0" t="inlineStr">
        <is>
          <t xml:space="preserve">d20260923</t>
        </is>
      </c>
      <c r="D2752" s="0" t="inlineStr">
        <is>
          <t xml:space="preserve">NEE</t>
        </is>
      </c>
      <c r="E2752" s="0" t="inlineStr">
        <is>
          <t xml:space="preserve">utilities</t>
        </is>
      </c>
      <c r="F2752" s="4">
        <v>51</v>
      </c>
    </row>
    <row r="2753">
      <c r="A2753" s="0" t="inlineStr">
        <is>
          <t xml:space="preserve">random_18_BROS</t>
        </is>
      </c>
      <c r="B2753" s="0" t="inlineStr">
        <is>
          <t xml:space="preserve">random_18</t>
        </is>
      </c>
      <c r="C2753" s="0" t="inlineStr">
        <is>
          <t xml:space="preserve">d20260923</t>
        </is>
      </c>
      <c r="D2753" s="0" t="inlineStr">
        <is>
          <t xml:space="preserve">BROS</t>
        </is>
      </c>
      <c r="E2753" s="0" t="inlineStr">
        <is>
          <t xml:space="preserve">consumer_cyclical</t>
        </is>
      </c>
      <c r="F2753" s="4">
        <v>52</v>
      </c>
    </row>
    <row r="2754">
      <c r="A2754" s="0" t="inlineStr">
        <is>
          <t xml:space="preserve">random_18_MSI</t>
        </is>
      </c>
      <c r="B2754" s="0" t="inlineStr">
        <is>
          <t xml:space="preserve">random_18</t>
        </is>
      </c>
      <c r="C2754" s="0" t="inlineStr">
        <is>
          <t xml:space="preserve">d20260923</t>
        </is>
      </c>
      <c r="D2754" s="0" t="inlineStr">
        <is>
          <t xml:space="preserve">MSI</t>
        </is>
      </c>
      <c r="E2754" s="0" t="inlineStr">
        <is>
          <t xml:space="preserve">technology</t>
        </is>
      </c>
      <c r="F2754" s="4">
        <v>53</v>
      </c>
    </row>
    <row r="2755">
      <c r="A2755" s="0" t="inlineStr">
        <is>
          <t xml:space="preserve">random_18_ASH</t>
        </is>
      </c>
      <c r="B2755" s="0" t="inlineStr">
        <is>
          <t xml:space="preserve">random_18</t>
        </is>
      </c>
      <c r="C2755" s="0" t="inlineStr">
        <is>
          <t xml:space="preserve">d20260923</t>
        </is>
      </c>
      <c r="D2755" s="0" t="inlineStr">
        <is>
          <t xml:space="preserve">ASH</t>
        </is>
      </c>
      <c r="E2755" s="0" t="inlineStr">
        <is>
          <t xml:space="preserve">basic_materials</t>
        </is>
      </c>
      <c r="F2755" s="4">
        <v>54</v>
      </c>
    </row>
    <row r="2756">
      <c r="A2756" s="0" t="inlineStr">
        <is>
          <t xml:space="preserve">random_18_CORT</t>
        </is>
      </c>
      <c r="B2756" s="0" t="inlineStr">
        <is>
          <t xml:space="preserve">random_18</t>
        </is>
      </c>
      <c r="C2756" s="0" t="inlineStr">
        <is>
          <t xml:space="preserve">d20260923</t>
        </is>
      </c>
      <c r="D2756" s="0" t="inlineStr">
        <is>
          <t xml:space="preserve">CORT</t>
        </is>
      </c>
      <c r="E2756" s="0" t="inlineStr">
        <is>
          <t xml:space="preserve">healthcare</t>
        </is>
      </c>
      <c r="F2756" s="4">
        <v>55</v>
      </c>
    </row>
    <row r="2757">
      <c r="A2757" s="0" t="inlineStr">
        <is>
          <t xml:space="preserve">random_18_UAL</t>
        </is>
      </c>
      <c r="B2757" s="0" t="inlineStr">
        <is>
          <t xml:space="preserve">random_18</t>
        </is>
      </c>
      <c r="C2757" s="0" t="inlineStr">
        <is>
          <t xml:space="preserve">d20260923</t>
        </is>
      </c>
      <c r="D2757" s="0" t="inlineStr">
        <is>
          <t xml:space="preserve">UAL</t>
        </is>
      </c>
      <c r="E2757" s="0" t="inlineStr">
        <is>
          <t xml:space="preserve">industrials</t>
        </is>
      </c>
      <c r="F2757" s="4">
        <v>56</v>
      </c>
    </row>
    <row r="2758">
      <c r="A2758" s="0" t="inlineStr">
        <is>
          <t xml:space="preserve">random_18_MYRG</t>
        </is>
      </c>
      <c r="B2758" s="0" t="inlineStr">
        <is>
          <t xml:space="preserve">random_18</t>
        </is>
      </c>
      <c r="C2758" s="0" t="inlineStr">
        <is>
          <t xml:space="preserve">d20260923</t>
        </is>
      </c>
      <c r="D2758" s="0" t="inlineStr">
        <is>
          <t xml:space="preserve">MYRG</t>
        </is>
      </c>
      <c r="E2758" s="0" t="inlineStr">
        <is>
          <t xml:space="preserve">industrials</t>
        </is>
      </c>
      <c r="F2758" s="4">
        <v>57</v>
      </c>
    </row>
    <row r="2759">
      <c r="A2759" s="0" t="inlineStr">
        <is>
          <t xml:space="preserve">random_18_PAA</t>
        </is>
      </c>
      <c r="B2759" s="0" t="inlineStr">
        <is>
          <t xml:space="preserve">random_18</t>
        </is>
      </c>
      <c r="C2759" s="0" t="inlineStr">
        <is>
          <t xml:space="preserve">d20260923</t>
        </is>
      </c>
      <c r="D2759" s="0" t="inlineStr">
        <is>
          <t xml:space="preserve">PAA</t>
        </is>
      </c>
      <c r="E2759" s="0" t="inlineStr">
        <is>
          <t xml:space="preserve">energy</t>
        </is>
      </c>
      <c r="F2759" s="4">
        <v>58</v>
      </c>
    </row>
    <row r="2760">
      <c r="A2760" s="0" t="inlineStr">
        <is>
          <t xml:space="preserve">random_18_DOCN</t>
        </is>
      </c>
      <c r="B2760" s="0" t="inlineStr">
        <is>
          <t xml:space="preserve">random_18</t>
        </is>
      </c>
      <c r="C2760" s="0" t="inlineStr">
        <is>
          <t xml:space="preserve">d20260923</t>
        </is>
      </c>
      <c r="D2760" s="0" t="inlineStr">
        <is>
          <t xml:space="preserve">DOCN</t>
        </is>
      </c>
      <c r="E2760" s="0" t="inlineStr">
        <is>
          <t xml:space="preserve">technology</t>
        </is>
      </c>
      <c r="F2760" s="4">
        <v>59</v>
      </c>
    </row>
    <row r="2761">
      <c r="A2761" s="0" t="inlineStr">
        <is>
          <t xml:space="preserve">random_18_PK</t>
        </is>
      </c>
      <c r="B2761" s="0" t="inlineStr">
        <is>
          <t xml:space="preserve">random_18</t>
        </is>
      </c>
      <c r="C2761" s="0" t="inlineStr">
        <is>
          <t xml:space="preserve">d20260923</t>
        </is>
      </c>
      <c r="D2761" s="0" t="inlineStr">
        <is>
          <t xml:space="preserve">PK</t>
        </is>
      </c>
      <c r="E2761" s="0" t="inlineStr">
        <is>
          <t xml:space="preserve">real_estate</t>
        </is>
      </c>
      <c r="F2761" s="4">
        <v>60</v>
      </c>
    </row>
    <row r="2762">
      <c r="A2762" s="0" t="inlineStr">
        <is>
          <t xml:space="preserve">random_18_FLG</t>
        </is>
      </c>
      <c r="B2762" s="0" t="inlineStr">
        <is>
          <t xml:space="preserve">random_18</t>
        </is>
      </c>
      <c r="C2762" s="0" t="inlineStr">
        <is>
          <t xml:space="preserve">d20260923</t>
        </is>
      </c>
      <c r="D2762" s="0" t="inlineStr">
        <is>
          <t xml:space="preserve">FLG</t>
        </is>
      </c>
      <c r="E2762" s="0" t="inlineStr">
        <is>
          <t xml:space="preserve">financial_services</t>
        </is>
      </c>
      <c r="F2762" s="4">
        <v>61</v>
      </c>
    </row>
    <row r="2763">
      <c r="A2763" s="0" t="inlineStr">
        <is>
          <t xml:space="preserve">random_18_AMAT</t>
        </is>
      </c>
      <c r="B2763" s="0" t="inlineStr">
        <is>
          <t xml:space="preserve">random_18</t>
        </is>
      </c>
      <c r="C2763" s="0" t="inlineStr">
        <is>
          <t xml:space="preserve">d20260923</t>
        </is>
      </c>
      <c r="D2763" s="0" t="inlineStr">
        <is>
          <t xml:space="preserve">AMAT</t>
        </is>
      </c>
      <c r="E2763" s="0" t="inlineStr">
        <is>
          <t xml:space="preserve">technology</t>
        </is>
      </c>
      <c r="F2763" s="4">
        <v>62</v>
      </c>
    </row>
    <row r="2764">
      <c r="A2764" s="0" t="inlineStr">
        <is>
          <t xml:space="preserve">random_18_BFAM</t>
        </is>
      </c>
      <c r="B2764" s="0" t="inlineStr">
        <is>
          <t xml:space="preserve">random_18</t>
        </is>
      </c>
      <c r="C2764" s="0" t="inlineStr">
        <is>
          <t xml:space="preserve">d20260923</t>
        </is>
      </c>
      <c r="D2764" s="0" t="inlineStr">
        <is>
          <t xml:space="preserve">BFAM</t>
        </is>
      </c>
      <c r="E2764" s="0" t="inlineStr">
        <is>
          <t xml:space="preserve">industrials</t>
        </is>
      </c>
      <c r="F2764" s="4">
        <v>63</v>
      </c>
    </row>
    <row r="2765">
      <c r="A2765" s="0" t="inlineStr">
        <is>
          <t xml:space="preserve">random_18_UDR</t>
        </is>
      </c>
      <c r="B2765" s="0" t="inlineStr">
        <is>
          <t xml:space="preserve">random_18</t>
        </is>
      </c>
      <c r="C2765" s="0" t="inlineStr">
        <is>
          <t xml:space="preserve">d20260923</t>
        </is>
      </c>
      <c r="D2765" s="0" t="inlineStr">
        <is>
          <t xml:space="preserve">UDR</t>
        </is>
      </c>
      <c r="E2765" s="0" t="inlineStr">
        <is>
          <t xml:space="preserve">real_estate</t>
        </is>
      </c>
      <c r="F2765" s="4">
        <v>64</v>
      </c>
    </row>
    <row r="2766">
      <c r="A2766" s="0" t="inlineStr">
        <is>
          <t xml:space="preserve">random_18_PATH</t>
        </is>
      </c>
      <c r="B2766" s="0" t="inlineStr">
        <is>
          <t xml:space="preserve">random_18</t>
        </is>
      </c>
      <c r="C2766" s="0" t="inlineStr">
        <is>
          <t xml:space="preserve">d20260923</t>
        </is>
      </c>
      <c r="D2766" s="0" t="inlineStr">
        <is>
          <t xml:space="preserve">PATH</t>
        </is>
      </c>
      <c r="E2766" s="0" t="inlineStr">
        <is>
          <t xml:space="preserve">technology</t>
        </is>
      </c>
      <c r="F2766" s="4">
        <v>65</v>
      </c>
    </row>
    <row r="2767">
      <c r="A2767" s="0" t="inlineStr">
        <is>
          <t xml:space="preserve">random_18_EQT</t>
        </is>
      </c>
      <c r="B2767" s="0" t="inlineStr">
        <is>
          <t xml:space="preserve">random_18</t>
        </is>
      </c>
      <c r="C2767" s="0" t="inlineStr">
        <is>
          <t xml:space="preserve">d20260923</t>
        </is>
      </c>
      <c r="D2767" s="0" t="inlineStr">
        <is>
          <t xml:space="preserve">EQT</t>
        </is>
      </c>
      <c r="E2767" s="0" t="inlineStr">
        <is>
          <t xml:space="preserve">energy</t>
        </is>
      </c>
      <c r="F2767" s="4">
        <v>66</v>
      </c>
    </row>
    <row r="2768">
      <c r="A2768" s="0" t="inlineStr">
        <is>
          <t xml:space="preserve">random_18_VSEC</t>
        </is>
      </c>
      <c r="B2768" s="0" t="inlineStr">
        <is>
          <t xml:space="preserve">random_18</t>
        </is>
      </c>
      <c r="C2768" s="0" t="inlineStr">
        <is>
          <t xml:space="preserve">d20260923</t>
        </is>
      </c>
      <c r="D2768" s="0" t="inlineStr">
        <is>
          <t xml:space="preserve">VSEC</t>
        </is>
      </c>
      <c r="E2768" s="0" t="inlineStr">
        <is>
          <t xml:space="preserve">industrials</t>
        </is>
      </c>
      <c r="F2768" s="4">
        <v>67</v>
      </c>
    </row>
    <row r="2769">
      <c r="A2769" s="0" t="inlineStr">
        <is>
          <t xml:space="preserve">random_18_RYAN</t>
        </is>
      </c>
      <c r="B2769" s="0" t="inlineStr">
        <is>
          <t xml:space="preserve">random_18</t>
        </is>
      </c>
      <c r="C2769" s="0" t="inlineStr">
        <is>
          <t xml:space="preserve">d20260923</t>
        </is>
      </c>
      <c r="D2769" s="0" t="inlineStr">
        <is>
          <t xml:space="preserve">RYAN</t>
        </is>
      </c>
      <c r="E2769" s="0" t="inlineStr">
        <is>
          <t xml:space="preserve">financial_services</t>
        </is>
      </c>
      <c r="F2769" s="4">
        <v>68</v>
      </c>
    </row>
    <row r="2770">
      <c r="A2770" s="0" t="inlineStr">
        <is>
          <t xml:space="preserve">random_18_GRDN</t>
        </is>
      </c>
      <c r="B2770" s="0" t="inlineStr">
        <is>
          <t xml:space="preserve">random_18</t>
        </is>
      </c>
      <c r="C2770" s="0" t="inlineStr">
        <is>
          <t xml:space="preserve">d20260923</t>
        </is>
      </c>
      <c r="D2770" s="0" t="inlineStr">
        <is>
          <t xml:space="preserve">GRDN</t>
        </is>
      </c>
      <c r="E2770" s="0" t="inlineStr">
        <is>
          <t xml:space="preserve">healthcare</t>
        </is>
      </c>
      <c r="F2770" s="4">
        <v>69</v>
      </c>
    </row>
    <row r="2771">
      <c r="A2771" s="0" t="inlineStr">
        <is>
          <t xml:space="preserve">random_18_SJM</t>
        </is>
      </c>
      <c r="B2771" s="0" t="inlineStr">
        <is>
          <t xml:space="preserve">random_18</t>
        </is>
      </c>
      <c r="C2771" s="0" t="inlineStr">
        <is>
          <t xml:space="preserve">d20260923</t>
        </is>
      </c>
      <c r="D2771" s="0" t="inlineStr">
        <is>
          <t xml:space="preserve">SJM</t>
        </is>
      </c>
      <c r="E2771" s="0" t="inlineStr">
        <is>
          <t xml:space="preserve">consumer_defensive</t>
        </is>
      </c>
      <c r="F2771" s="4">
        <v>70</v>
      </c>
    </row>
    <row r="2772">
      <c r="A2772" s="0" t="inlineStr">
        <is>
          <t xml:space="preserve">random_18_MTCH</t>
        </is>
      </c>
      <c r="B2772" s="0" t="inlineStr">
        <is>
          <t xml:space="preserve">random_18</t>
        </is>
      </c>
      <c r="C2772" s="0" t="inlineStr">
        <is>
          <t xml:space="preserve">d20260923</t>
        </is>
      </c>
      <c r="D2772" s="0" t="inlineStr">
        <is>
          <t xml:space="preserve">MTCH</t>
        </is>
      </c>
      <c r="E2772" s="0" t="inlineStr">
        <is>
          <t xml:space="preserve">communication_services</t>
        </is>
      </c>
      <c r="F2772" s="4">
        <v>71</v>
      </c>
    </row>
    <row r="2773">
      <c r="A2773" s="0" t="inlineStr">
        <is>
          <t xml:space="preserve">random_18_TXRH</t>
        </is>
      </c>
      <c r="B2773" s="0" t="inlineStr">
        <is>
          <t xml:space="preserve">random_18</t>
        </is>
      </c>
      <c r="C2773" s="0" t="inlineStr">
        <is>
          <t xml:space="preserve">d20260923</t>
        </is>
      </c>
      <c r="D2773" s="0" t="inlineStr">
        <is>
          <t xml:space="preserve">TXRH</t>
        </is>
      </c>
      <c r="E2773" s="0" t="inlineStr">
        <is>
          <t xml:space="preserve">consumer_cyclical</t>
        </is>
      </c>
      <c r="F2773" s="4">
        <v>72</v>
      </c>
    </row>
    <row r="2774">
      <c r="A2774" s="0" t="inlineStr">
        <is>
          <t xml:space="preserve">random_18_IOT</t>
        </is>
      </c>
      <c r="B2774" s="0" t="inlineStr">
        <is>
          <t xml:space="preserve">random_18</t>
        </is>
      </c>
      <c r="C2774" s="0" t="inlineStr">
        <is>
          <t xml:space="preserve">d20260923</t>
        </is>
      </c>
      <c r="D2774" s="0" t="inlineStr">
        <is>
          <t xml:space="preserve">IOT</t>
        </is>
      </c>
      <c r="E2774" s="0" t="inlineStr">
        <is>
          <t xml:space="preserve">technology</t>
        </is>
      </c>
      <c r="F2774" s="4">
        <v>73</v>
      </c>
    </row>
    <row r="2775">
      <c r="A2775" s="0" t="inlineStr">
        <is>
          <t xml:space="preserve">random_18_LFTO</t>
        </is>
      </c>
      <c r="B2775" s="0" t="inlineStr">
        <is>
          <t xml:space="preserve">random_18</t>
        </is>
      </c>
      <c r="C2775" s="0" t="inlineStr">
        <is>
          <t xml:space="preserve">d20260923</t>
        </is>
      </c>
      <c r="D2775" s="0" t="inlineStr">
        <is>
          <t xml:space="preserve">LFTO</t>
        </is>
      </c>
      <c r="E2775" s="0" t="inlineStr">
        <is>
          <t xml:space="preserve">communication_services</t>
        </is>
      </c>
      <c r="F2775" s="4">
        <v>74</v>
      </c>
    </row>
    <row r="2776">
      <c r="A2776" s="0" t="inlineStr">
        <is>
          <t xml:space="preserve">random_18_AJG</t>
        </is>
      </c>
      <c r="B2776" s="0" t="inlineStr">
        <is>
          <t xml:space="preserve">random_18</t>
        </is>
      </c>
      <c r="C2776" s="0" t="inlineStr">
        <is>
          <t xml:space="preserve">d20260923</t>
        </is>
      </c>
      <c r="D2776" s="0" t="inlineStr">
        <is>
          <t xml:space="preserve">AJG</t>
        </is>
      </c>
      <c r="E2776" s="0" t="inlineStr">
        <is>
          <t xml:space="preserve">financial_services</t>
        </is>
      </c>
      <c r="F2776" s="4">
        <v>75</v>
      </c>
    </row>
    <row r="2777">
      <c r="A2777" s="0" t="inlineStr">
        <is>
          <t xml:space="preserve">random_18_WST</t>
        </is>
      </c>
      <c r="B2777" s="0" t="inlineStr">
        <is>
          <t xml:space="preserve">random_18</t>
        </is>
      </c>
      <c r="C2777" s="0" t="inlineStr">
        <is>
          <t xml:space="preserve">d20260923</t>
        </is>
      </c>
      <c r="D2777" s="0" t="inlineStr">
        <is>
          <t xml:space="preserve">WST</t>
        </is>
      </c>
      <c r="E2777" s="0" t="inlineStr">
        <is>
          <t xml:space="preserve">healthcare</t>
        </is>
      </c>
      <c r="F2777" s="4">
        <v>76</v>
      </c>
    </row>
    <row r="2778">
      <c r="A2778" s="0" t="inlineStr">
        <is>
          <t xml:space="preserve">random_18_NRIX</t>
        </is>
      </c>
      <c r="B2778" s="0" t="inlineStr">
        <is>
          <t xml:space="preserve">random_18</t>
        </is>
      </c>
      <c r="C2778" s="0" t="inlineStr">
        <is>
          <t xml:space="preserve">d20260923</t>
        </is>
      </c>
      <c r="D2778" s="0" t="inlineStr">
        <is>
          <t xml:space="preserve">NRIX</t>
        </is>
      </c>
      <c r="E2778" s="0" t="inlineStr">
        <is>
          <t xml:space="preserve">healthcare</t>
        </is>
      </c>
      <c r="F2778" s="4">
        <v>77</v>
      </c>
    </row>
    <row r="2779">
      <c r="A2779" s="0" t="inlineStr">
        <is>
          <t xml:space="preserve">random_18_TRN</t>
        </is>
      </c>
      <c r="B2779" s="0" t="inlineStr">
        <is>
          <t xml:space="preserve">random_18</t>
        </is>
      </c>
      <c r="C2779" s="0" t="inlineStr">
        <is>
          <t xml:space="preserve">d20260923</t>
        </is>
      </c>
      <c r="D2779" s="0" t="inlineStr">
        <is>
          <t xml:space="preserve">TRN</t>
        </is>
      </c>
      <c r="E2779" s="0" t="inlineStr">
        <is>
          <t xml:space="preserve">industrials</t>
        </is>
      </c>
      <c r="F2779" s="4">
        <v>78</v>
      </c>
    </row>
    <row r="2780">
      <c r="A2780" s="0" t="inlineStr">
        <is>
          <t xml:space="preserve">random_18_FHN</t>
        </is>
      </c>
      <c r="B2780" s="0" t="inlineStr">
        <is>
          <t xml:space="preserve">random_18</t>
        </is>
      </c>
      <c r="C2780" s="0" t="inlineStr">
        <is>
          <t xml:space="preserve">d20260923</t>
        </is>
      </c>
      <c r="D2780" s="0" t="inlineStr">
        <is>
          <t xml:space="preserve">FHN</t>
        </is>
      </c>
      <c r="E2780" s="0" t="inlineStr">
        <is>
          <t xml:space="preserve">financial_services</t>
        </is>
      </c>
      <c r="F2780" s="4">
        <v>79</v>
      </c>
    </row>
    <row r="2781">
      <c r="A2781" s="0" t="inlineStr">
        <is>
          <t xml:space="preserve">random_18_RAL</t>
        </is>
      </c>
      <c r="B2781" s="0" t="inlineStr">
        <is>
          <t xml:space="preserve">random_18</t>
        </is>
      </c>
      <c r="C2781" s="0" t="inlineStr">
        <is>
          <t xml:space="preserve">d20260923</t>
        </is>
      </c>
      <c r="D2781" s="0" t="inlineStr">
        <is>
          <t xml:space="preserve">RAL</t>
        </is>
      </c>
      <c r="E2781" s="0" t="inlineStr">
        <is>
          <t xml:space="preserve">technology</t>
        </is>
      </c>
      <c r="F2781" s="4">
        <v>80</v>
      </c>
    </row>
    <row r="2782">
      <c r="A2782" s="0" t="inlineStr">
        <is>
          <t xml:space="preserve">random_18_RS</t>
        </is>
      </c>
      <c r="B2782" s="0" t="inlineStr">
        <is>
          <t xml:space="preserve">random_18</t>
        </is>
      </c>
      <c r="C2782" s="0" t="inlineStr">
        <is>
          <t xml:space="preserve">d20260923</t>
        </is>
      </c>
      <c r="D2782" s="0" t="inlineStr">
        <is>
          <t xml:space="preserve">RS</t>
        </is>
      </c>
      <c r="E2782" s="0" t="inlineStr">
        <is>
          <t xml:space="preserve">basic_materials</t>
        </is>
      </c>
      <c r="F2782" s="4">
        <v>81</v>
      </c>
    </row>
    <row r="2783">
      <c r="A2783" s="0" t="inlineStr">
        <is>
          <t xml:space="preserve">random_18_NOW</t>
        </is>
      </c>
      <c r="B2783" s="0" t="inlineStr">
        <is>
          <t xml:space="preserve">random_18</t>
        </is>
      </c>
      <c r="C2783" s="0" t="inlineStr">
        <is>
          <t xml:space="preserve">d20260923</t>
        </is>
      </c>
      <c r="D2783" s="0" t="inlineStr">
        <is>
          <t xml:space="preserve">NOW</t>
        </is>
      </c>
      <c r="E2783" s="0" t="inlineStr">
        <is>
          <t xml:space="preserve">technology</t>
        </is>
      </c>
      <c r="F2783" s="4">
        <v>82</v>
      </c>
    </row>
    <row r="2784">
      <c r="A2784" s="0" t="inlineStr">
        <is>
          <t xml:space="preserve">random_18_EWBC</t>
        </is>
      </c>
      <c r="B2784" s="0" t="inlineStr">
        <is>
          <t xml:space="preserve">random_18</t>
        </is>
      </c>
      <c r="C2784" s="0" t="inlineStr">
        <is>
          <t xml:space="preserve">d20260923</t>
        </is>
      </c>
      <c r="D2784" s="0" t="inlineStr">
        <is>
          <t xml:space="preserve">EWBC</t>
        </is>
      </c>
      <c r="E2784" s="0" t="inlineStr">
        <is>
          <t xml:space="preserve">financial_services</t>
        </is>
      </c>
      <c r="F2784" s="4">
        <v>83</v>
      </c>
    </row>
    <row r="2785">
      <c r="A2785" s="0" t="inlineStr">
        <is>
          <t xml:space="preserve">random_18_CATY</t>
        </is>
      </c>
      <c r="B2785" s="0" t="inlineStr">
        <is>
          <t xml:space="preserve">random_18</t>
        </is>
      </c>
      <c r="C2785" s="0" t="inlineStr">
        <is>
          <t xml:space="preserve">d20260923</t>
        </is>
      </c>
      <c r="D2785" s="0" t="inlineStr">
        <is>
          <t xml:space="preserve">CATY</t>
        </is>
      </c>
      <c r="E2785" s="0" t="inlineStr">
        <is>
          <t xml:space="preserve">financial_services</t>
        </is>
      </c>
      <c r="F2785" s="4">
        <v>84</v>
      </c>
    </row>
    <row r="2786">
      <c r="A2786" s="0" t="inlineStr">
        <is>
          <t xml:space="preserve">random_18_SM</t>
        </is>
      </c>
      <c r="B2786" s="0" t="inlineStr">
        <is>
          <t xml:space="preserve">random_18</t>
        </is>
      </c>
      <c r="C2786" s="0" t="inlineStr">
        <is>
          <t xml:space="preserve">d20260923</t>
        </is>
      </c>
      <c r="D2786" s="0" t="inlineStr">
        <is>
          <t xml:space="preserve">SM</t>
        </is>
      </c>
      <c r="E2786" s="0" t="inlineStr">
        <is>
          <t xml:space="preserve">energy</t>
        </is>
      </c>
      <c r="F2786" s="4">
        <v>85</v>
      </c>
    </row>
    <row r="2787">
      <c r="A2787" s="0" t="inlineStr">
        <is>
          <t xml:space="preserve">random_18_LAZ</t>
        </is>
      </c>
      <c r="B2787" s="0" t="inlineStr">
        <is>
          <t xml:space="preserve">random_18</t>
        </is>
      </c>
      <c r="C2787" s="0" t="inlineStr">
        <is>
          <t xml:space="preserve">d20260923</t>
        </is>
      </c>
      <c r="D2787" s="0" t="inlineStr">
        <is>
          <t xml:space="preserve">LAZ</t>
        </is>
      </c>
      <c r="E2787" s="0" t="inlineStr">
        <is>
          <t xml:space="preserve">financial_services</t>
        </is>
      </c>
      <c r="F2787" s="4">
        <v>86</v>
      </c>
    </row>
    <row r="2788">
      <c r="A2788" s="0" t="inlineStr">
        <is>
          <t xml:space="preserve">random_18_AVAV</t>
        </is>
      </c>
      <c r="B2788" s="0" t="inlineStr">
        <is>
          <t xml:space="preserve">random_18</t>
        </is>
      </c>
      <c r="C2788" s="0" t="inlineStr">
        <is>
          <t xml:space="preserve">d20260923</t>
        </is>
      </c>
      <c r="D2788" s="0" t="inlineStr">
        <is>
          <t xml:space="preserve">AVAV</t>
        </is>
      </c>
      <c r="E2788" s="0" t="inlineStr">
        <is>
          <t xml:space="preserve">industrials</t>
        </is>
      </c>
      <c r="F2788" s="4">
        <v>87</v>
      </c>
    </row>
    <row r="2789">
      <c r="A2789" s="0" t="inlineStr">
        <is>
          <t xml:space="preserve">random_18_OTIS</t>
        </is>
      </c>
      <c r="B2789" s="0" t="inlineStr">
        <is>
          <t xml:space="preserve">random_18</t>
        </is>
      </c>
      <c r="C2789" s="0" t="inlineStr">
        <is>
          <t xml:space="preserve">d20260923</t>
        </is>
      </c>
      <c r="D2789" s="0" t="inlineStr">
        <is>
          <t xml:space="preserve">OTIS</t>
        </is>
      </c>
      <c r="E2789" s="0" t="inlineStr">
        <is>
          <t xml:space="preserve">industrials</t>
        </is>
      </c>
      <c r="F2789" s="4">
        <v>88</v>
      </c>
    </row>
    <row r="2790">
      <c r="A2790" s="0" t="inlineStr">
        <is>
          <t xml:space="preserve">random_18_APLD</t>
        </is>
      </c>
      <c r="B2790" s="0" t="inlineStr">
        <is>
          <t xml:space="preserve">random_18</t>
        </is>
      </c>
      <c r="C2790" s="0" t="inlineStr">
        <is>
          <t xml:space="preserve">d20260923</t>
        </is>
      </c>
      <c r="D2790" s="0" t="inlineStr">
        <is>
          <t xml:space="preserve">APLD</t>
        </is>
      </c>
      <c r="E2790" s="0" t="inlineStr">
        <is>
          <t xml:space="preserve">technology</t>
        </is>
      </c>
      <c r="F2790" s="4">
        <v>89</v>
      </c>
    </row>
    <row r="2791">
      <c r="A2791" s="0" t="inlineStr">
        <is>
          <t xml:space="preserve">random_18_AUR</t>
        </is>
      </c>
      <c r="B2791" s="0" t="inlineStr">
        <is>
          <t xml:space="preserve">random_18</t>
        </is>
      </c>
      <c r="C2791" s="0" t="inlineStr">
        <is>
          <t xml:space="preserve">d20260923</t>
        </is>
      </c>
      <c r="D2791" s="0" t="inlineStr">
        <is>
          <t xml:space="preserve">AUR</t>
        </is>
      </c>
      <c r="E2791" s="0" t="inlineStr">
        <is>
          <t xml:space="preserve">technology</t>
        </is>
      </c>
      <c r="F2791" s="4">
        <v>90</v>
      </c>
    </row>
    <row r="2792">
      <c r="A2792" s="0" t="inlineStr">
        <is>
          <t xml:space="preserve">random_18_AROC</t>
        </is>
      </c>
      <c r="B2792" s="0" t="inlineStr">
        <is>
          <t xml:space="preserve">random_18</t>
        </is>
      </c>
      <c r="C2792" s="0" t="inlineStr">
        <is>
          <t xml:space="preserve">d20260923</t>
        </is>
      </c>
      <c r="D2792" s="0" t="inlineStr">
        <is>
          <t xml:space="preserve">AROC</t>
        </is>
      </c>
      <c r="E2792" s="0" t="inlineStr">
        <is>
          <t xml:space="preserve">energy</t>
        </is>
      </c>
      <c r="F2792" s="4">
        <v>91</v>
      </c>
    </row>
    <row r="2793">
      <c r="A2793" s="0" t="inlineStr">
        <is>
          <t xml:space="preserve">random_18_PLD</t>
        </is>
      </c>
      <c r="B2793" s="0" t="inlineStr">
        <is>
          <t xml:space="preserve">random_18</t>
        </is>
      </c>
      <c r="C2793" s="0" t="inlineStr">
        <is>
          <t xml:space="preserve">d20260923</t>
        </is>
      </c>
      <c r="D2793" s="0" t="inlineStr">
        <is>
          <t xml:space="preserve">PLD</t>
        </is>
      </c>
      <c r="E2793" s="0" t="inlineStr">
        <is>
          <t xml:space="preserve">real_estate</t>
        </is>
      </c>
      <c r="F2793" s="4">
        <v>92</v>
      </c>
    </row>
    <row r="2794">
      <c r="A2794" s="0" t="inlineStr">
        <is>
          <t xml:space="preserve">random_18_IBKR</t>
        </is>
      </c>
      <c r="B2794" s="0" t="inlineStr">
        <is>
          <t xml:space="preserve">random_18</t>
        </is>
      </c>
      <c r="C2794" s="0" t="inlineStr">
        <is>
          <t xml:space="preserve">d20260923</t>
        </is>
      </c>
      <c r="D2794" s="0" t="inlineStr">
        <is>
          <t xml:space="preserve">IBKR</t>
        </is>
      </c>
      <c r="E2794" s="0" t="inlineStr">
        <is>
          <t xml:space="preserve">financial_services</t>
        </is>
      </c>
      <c r="F2794" s="4">
        <v>93</v>
      </c>
    </row>
    <row r="2795">
      <c r="A2795" s="0" t="inlineStr">
        <is>
          <t xml:space="preserve">random_18_U</t>
        </is>
      </c>
      <c r="B2795" s="0" t="inlineStr">
        <is>
          <t xml:space="preserve">random_18</t>
        </is>
      </c>
      <c r="C2795" s="0" t="inlineStr">
        <is>
          <t xml:space="preserve">d20260923</t>
        </is>
      </c>
      <c r="D2795" s="0" t="inlineStr">
        <is>
          <t xml:space="preserve">U</t>
        </is>
      </c>
      <c r="E2795" s="0" t="inlineStr">
        <is>
          <t xml:space="preserve">technology</t>
        </is>
      </c>
      <c r="F2795" s="4">
        <v>94</v>
      </c>
    </row>
    <row r="2796">
      <c r="A2796" s="0" t="inlineStr">
        <is>
          <t xml:space="preserve">random_18_BR</t>
        </is>
      </c>
      <c r="B2796" s="0" t="inlineStr">
        <is>
          <t xml:space="preserve">random_18</t>
        </is>
      </c>
      <c r="C2796" s="0" t="inlineStr">
        <is>
          <t xml:space="preserve">d20260923</t>
        </is>
      </c>
      <c r="D2796" s="0" t="inlineStr">
        <is>
          <t xml:space="preserve">BR</t>
        </is>
      </c>
      <c r="E2796" s="0" t="inlineStr">
        <is>
          <t xml:space="preserve">technology</t>
        </is>
      </c>
      <c r="F2796" s="4">
        <v>95</v>
      </c>
    </row>
    <row r="2797">
      <c r="A2797" s="0" t="inlineStr">
        <is>
          <t xml:space="preserve">random_18_ATKR</t>
        </is>
      </c>
      <c r="B2797" s="0" t="inlineStr">
        <is>
          <t xml:space="preserve">random_18</t>
        </is>
      </c>
      <c r="C2797" s="0" t="inlineStr">
        <is>
          <t xml:space="preserve">d20260923</t>
        </is>
      </c>
      <c r="D2797" s="0" t="inlineStr">
        <is>
          <t xml:space="preserve">ATKR</t>
        </is>
      </c>
      <c r="E2797" s="0" t="inlineStr">
        <is>
          <t xml:space="preserve">industrials</t>
        </is>
      </c>
      <c r="F2797" s="4">
        <v>96</v>
      </c>
    </row>
    <row r="2798">
      <c r="A2798" s="0" t="inlineStr">
        <is>
          <t xml:space="preserve">random_18_CAR</t>
        </is>
      </c>
      <c r="B2798" s="0" t="inlineStr">
        <is>
          <t xml:space="preserve">random_18</t>
        </is>
      </c>
      <c r="C2798" s="0" t="inlineStr">
        <is>
          <t xml:space="preserve">d20260923</t>
        </is>
      </c>
      <c r="D2798" s="0" t="inlineStr">
        <is>
          <t xml:space="preserve">CAR</t>
        </is>
      </c>
      <c r="E2798" s="0" t="inlineStr">
        <is>
          <t xml:space="preserve">industrials</t>
        </is>
      </c>
      <c r="F2798" s="4">
        <v>97</v>
      </c>
    </row>
    <row r="2799">
      <c r="A2799" s="0" t="inlineStr">
        <is>
          <t xml:space="preserve">random_18_MSM</t>
        </is>
      </c>
      <c r="B2799" s="0" t="inlineStr">
        <is>
          <t xml:space="preserve">random_18</t>
        </is>
      </c>
      <c r="C2799" s="0" t="inlineStr">
        <is>
          <t xml:space="preserve">d20260923</t>
        </is>
      </c>
      <c r="D2799" s="0" t="inlineStr">
        <is>
          <t xml:space="preserve">MSM</t>
        </is>
      </c>
      <c r="E2799" s="0" t="inlineStr">
        <is>
          <t xml:space="preserve">industrials</t>
        </is>
      </c>
      <c r="F2799" s="4">
        <v>98</v>
      </c>
    </row>
    <row r="2800">
      <c r="A2800" s="0" t="inlineStr">
        <is>
          <t xml:space="preserve">random_18_BEN</t>
        </is>
      </c>
      <c r="B2800" s="0" t="inlineStr">
        <is>
          <t xml:space="preserve">random_18</t>
        </is>
      </c>
      <c r="C2800" s="0" t="inlineStr">
        <is>
          <t xml:space="preserve">d20260923</t>
        </is>
      </c>
      <c r="D2800" s="0" t="inlineStr">
        <is>
          <t xml:space="preserve">BEN</t>
        </is>
      </c>
      <c r="E2800" s="0" t="inlineStr">
        <is>
          <t xml:space="preserve">financial_services</t>
        </is>
      </c>
      <c r="F2800" s="4">
        <v>99</v>
      </c>
    </row>
    <row r="2801">
      <c r="A2801" s="0" t="inlineStr">
        <is>
          <t xml:space="preserve">random_18_Z</t>
        </is>
      </c>
      <c r="B2801" s="0" t="inlineStr">
        <is>
          <t xml:space="preserve">random_18</t>
        </is>
      </c>
      <c r="C2801" s="0" t="inlineStr">
        <is>
          <t xml:space="preserve">d20260923</t>
        </is>
      </c>
      <c r="D2801" s="0" t="inlineStr">
        <is>
          <t xml:space="preserve">Z</t>
        </is>
      </c>
      <c r="E2801" s="0" t="inlineStr">
        <is>
          <t xml:space="preserve">communication_services</t>
        </is>
      </c>
      <c r="F2801" s="4">
        <v>100</v>
      </c>
    </row>
    <row r="2802">
      <c r="A2802" s="0" t="inlineStr">
        <is>
          <t xml:space="preserve">random_19_BAC</t>
        </is>
      </c>
      <c r="B2802" s="0" t="inlineStr">
        <is>
          <t xml:space="preserve">random_19</t>
        </is>
      </c>
      <c r="C2802" s="0" t="inlineStr">
        <is>
          <t xml:space="preserve">d20260923</t>
        </is>
      </c>
      <c r="D2802" s="0" t="inlineStr">
        <is>
          <t xml:space="preserve">BAC</t>
        </is>
      </c>
      <c r="E2802" s="0" t="inlineStr">
        <is>
          <t xml:space="preserve">financial_services</t>
        </is>
      </c>
      <c r="F2802" s="4">
        <v>1</v>
      </c>
    </row>
    <row r="2803">
      <c r="A2803" s="0" t="inlineStr">
        <is>
          <t xml:space="preserve">random_19_GEN</t>
        </is>
      </c>
      <c r="B2803" s="0" t="inlineStr">
        <is>
          <t xml:space="preserve">random_19</t>
        </is>
      </c>
      <c r="C2803" s="0" t="inlineStr">
        <is>
          <t xml:space="preserve">d20260923</t>
        </is>
      </c>
      <c r="D2803" s="0" t="inlineStr">
        <is>
          <t xml:space="preserve">GEN</t>
        </is>
      </c>
      <c r="E2803" s="0" t="inlineStr">
        <is>
          <t xml:space="preserve">technology</t>
        </is>
      </c>
      <c r="F2803" s="4">
        <v>2</v>
      </c>
    </row>
    <row r="2804">
      <c r="A2804" s="0" t="inlineStr">
        <is>
          <t xml:space="preserve">random_19_MS</t>
        </is>
      </c>
      <c r="B2804" s="0" t="inlineStr">
        <is>
          <t xml:space="preserve">random_19</t>
        </is>
      </c>
      <c r="C2804" s="0" t="inlineStr">
        <is>
          <t xml:space="preserve">d20260923</t>
        </is>
      </c>
      <c r="D2804" s="0" t="inlineStr">
        <is>
          <t xml:space="preserve">MS</t>
        </is>
      </c>
      <c r="E2804" s="0" t="inlineStr">
        <is>
          <t xml:space="preserve">financial_services</t>
        </is>
      </c>
      <c r="F2804" s="4">
        <v>3</v>
      </c>
    </row>
    <row r="2805">
      <c r="A2805" s="0" t="inlineStr">
        <is>
          <t xml:space="preserve">random_19_HUM</t>
        </is>
      </c>
      <c r="B2805" s="0" t="inlineStr">
        <is>
          <t xml:space="preserve">random_19</t>
        </is>
      </c>
      <c r="C2805" s="0" t="inlineStr">
        <is>
          <t xml:space="preserve">d20260923</t>
        </is>
      </c>
      <c r="D2805" s="0" t="inlineStr">
        <is>
          <t xml:space="preserve">HUM</t>
        </is>
      </c>
      <c r="E2805" s="0" t="inlineStr">
        <is>
          <t xml:space="preserve">healthcare</t>
        </is>
      </c>
      <c r="F2805" s="4">
        <v>4</v>
      </c>
    </row>
    <row r="2806">
      <c r="A2806" s="0" t="inlineStr">
        <is>
          <t xml:space="preserve">random_19_NESR</t>
        </is>
      </c>
      <c r="B2806" s="0" t="inlineStr">
        <is>
          <t xml:space="preserve">random_19</t>
        </is>
      </c>
      <c r="C2806" s="0" t="inlineStr">
        <is>
          <t xml:space="preserve">d20260923</t>
        </is>
      </c>
      <c r="D2806" s="0" t="inlineStr">
        <is>
          <t xml:space="preserve">NESR</t>
        </is>
      </c>
      <c r="E2806" s="0" t="inlineStr">
        <is>
          <t xml:space="preserve">energy</t>
        </is>
      </c>
      <c r="F2806" s="4">
        <v>5</v>
      </c>
    </row>
    <row r="2807">
      <c r="A2807" s="0" t="inlineStr">
        <is>
          <t xml:space="preserve">random_19_MORN</t>
        </is>
      </c>
      <c r="B2807" s="0" t="inlineStr">
        <is>
          <t xml:space="preserve">random_19</t>
        </is>
      </c>
      <c r="C2807" s="0" t="inlineStr">
        <is>
          <t xml:space="preserve">d20260923</t>
        </is>
      </c>
      <c r="D2807" s="0" t="inlineStr">
        <is>
          <t xml:space="preserve">MORN</t>
        </is>
      </c>
      <c r="E2807" s="0" t="inlineStr">
        <is>
          <t xml:space="preserve">financial_services</t>
        </is>
      </c>
      <c r="F2807" s="4">
        <v>6</v>
      </c>
    </row>
    <row r="2808">
      <c r="A2808" s="0" t="inlineStr">
        <is>
          <t xml:space="preserve">random_19_DDOG</t>
        </is>
      </c>
      <c r="B2808" s="0" t="inlineStr">
        <is>
          <t xml:space="preserve">random_19</t>
        </is>
      </c>
      <c r="C2808" s="0" t="inlineStr">
        <is>
          <t xml:space="preserve">d20260923</t>
        </is>
      </c>
      <c r="D2808" s="0" t="inlineStr">
        <is>
          <t xml:space="preserve">DDOG</t>
        </is>
      </c>
      <c r="E2808" s="0" t="inlineStr">
        <is>
          <t xml:space="preserve">technology</t>
        </is>
      </c>
      <c r="F2808" s="4">
        <v>7</v>
      </c>
    </row>
    <row r="2809">
      <c r="A2809" s="0" t="inlineStr">
        <is>
          <t xml:space="preserve">random_19_ARQT</t>
        </is>
      </c>
      <c r="B2809" s="0" t="inlineStr">
        <is>
          <t xml:space="preserve">random_19</t>
        </is>
      </c>
      <c r="C2809" s="0" t="inlineStr">
        <is>
          <t xml:space="preserve">d20260923</t>
        </is>
      </c>
      <c r="D2809" s="0" t="inlineStr">
        <is>
          <t xml:space="preserve">ARQT</t>
        </is>
      </c>
      <c r="E2809" s="0" t="inlineStr">
        <is>
          <t xml:space="preserve">healthcare</t>
        </is>
      </c>
      <c r="F2809" s="4">
        <v>8</v>
      </c>
    </row>
    <row r="2810">
      <c r="A2810" s="0" t="inlineStr">
        <is>
          <t xml:space="preserve">random_19_ORLY</t>
        </is>
      </c>
      <c r="B2810" s="0" t="inlineStr">
        <is>
          <t xml:space="preserve">random_19</t>
        </is>
      </c>
      <c r="C2810" s="0" t="inlineStr">
        <is>
          <t xml:space="preserve">d20260923</t>
        </is>
      </c>
      <c r="D2810" s="0" t="inlineStr">
        <is>
          <t xml:space="preserve">ORLY</t>
        </is>
      </c>
      <c r="E2810" s="0" t="inlineStr">
        <is>
          <t xml:space="preserve">consumer_cyclical</t>
        </is>
      </c>
      <c r="F2810" s="4">
        <v>9</v>
      </c>
    </row>
    <row r="2811">
      <c r="A2811" s="0" t="inlineStr">
        <is>
          <t xml:space="preserve">random_19_HRI</t>
        </is>
      </c>
      <c r="B2811" s="0" t="inlineStr">
        <is>
          <t xml:space="preserve">random_19</t>
        </is>
      </c>
      <c r="C2811" s="0" t="inlineStr">
        <is>
          <t xml:space="preserve">d20260923</t>
        </is>
      </c>
      <c r="D2811" s="0" t="inlineStr">
        <is>
          <t xml:space="preserve">HRI</t>
        </is>
      </c>
      <c r="E2811" s="0" t="inlineStr">
        <is>
          <t xml:space="preserve">industrials</t>
        </is>
      </c>
      <c r="F2811" s="4">
        <v>10</v>
      </c>
    </row>
    <row r="2812">
      <c r="A2812" s="0" t="inlineStr">
        <is>
          <t xml:space="preserve">random_19_FOX</t>
        </is>
      </c>
      <c r="B2812" s="0" t="inlineStr">
        <is>
          <t xml:space="preserve">random_19</t>
        </is>
      </c>
      <c r="C2812" s="0" t="inlineStr">
        <is>
          <t xml:space="preserve">d20260923</t>
        </is>
      </c>
      <c r="D2812" s="0" t="inlineStr">
        <is>
          <t xml:space="preserve">FOX</t>
        </is>
      </c>
      <c r="E2812" s="0" t="inlineStr">
        <is>
          <t xml:space="preserve">communication_services</t>
        </is>
      </c>
      <c r="F2812" s="4">
        <v>11</v>
      </c>
    </row>
    <row r="2813">
      <c r="A2813" s="0" t="inlineStr">
        <is>
          <t xml:space="preserve">random_19_RPM</t>
        </is>
      </c>
      <c r="B2813" s="0" t="inlineStr">
        <is>
          <t xml:space="preserve">random_19</t>
        </is>
      </c>
      <c r="C2813" s="0" t="inlineStr">
        <is>
          <t xml:space="preserve">d20260923</t>
        </is>
      </c>
      <c r="D2813" s="0" t="inlineStr">
        <is>
          <t xml:space="preserve">RPM</t>
        </is>
      </c>
      <c r="E2813" s="0" t="inlineStr">
        <is>
          <t xml:space="preserve">basic_materials</t>
        </is>
      </c>
      <c r="F2813" s="4">
        <v>12</v>
      </c>
    </row>
    <row r="2814">
      <c r="A2814" s="0" t="inlineStr">
        <is>
          <t xml:space="preserve">random_19_RTX</t>
        </is>
      </c>
      <c r="B2814" s="0" t="inlineStr">
        <is>
          <t xml:space="preserve">random_19</t>
        </is>
      </c>
      <c r="C2814" s="0" t="inlineStr">
        <is>
          <t xml:space="preserve">d20260923</t>
        </is>
      </c>
      <c r="D2814" s="0" t="inlineStr">
        <is>
          <t xml:space="preserve">RTX</t>
        </is>
      </c>
      <c r="E2814" s="0" t="inlineStr">
        <is>
          <t xml:space="preserve">industrials</t>
        </is>
      </c>
      <c r="F2814" s="4">
        <v>13</v>
      </c>
    </row>
    <row r="2815">
      <c r="A2815" s="0" t="inlineStr">
        <is>
          <t xml:space="preserve">random_19_TDW</t>
        </is>
      </c>
      <c r="B2815" s="0" t="inlineStr">
        <is>
          <t xml:space="preserve">random_19</t>
        </is>
      </c>
      <c r="C2815" s="0" t="inlineStr">
        <is>
          <t xml:space="preserve">d20260923</t>
        </is>
      </c>
      <c r="D2815" s="0" t="inlineStr">
        <is>
          <t xml:space="preserve">TDW</t>
        </is>
      </c>
      <c r="E2815" s="0" t="inlineStr">
        <is>
          <t xml:space="preserve">energy</t>
        </is>
      </c>
      <c r="F2815" s="4">
        <v>14</v>
      </c>
    </row>
    <row r="2816">
      <c r="A2816" s="0" t="inlineStr">
        <is>
          <t xml:space="preserve">random_19_SOLV</t>
        </is>
      </c>
      <c r="B2816" s="0" t="inlineStr">
        <is>
          <t xml:space="preserve">random_19</t>
        </is>
      </c>
      <c r="C2816" s="0" t="inlineStr">
        <is>
          <t xml:space="preserve">d20260923</t>
        </is>
      </c>
      <c r="D2816" s="0" t="inlineStr">
        <is>
          <t xml:space="preserve">SOLV</t>
        </is>
      </c>
      <c r="E2816" s="0" t="inlineStr">
        <is>
          <t xml:space="preserve">healthcare</t>
        </is>
      </c>
      <c r="F2816" s="4">
        <v>15</v>
      </c>
    </row>
    <row r="2817">
      <c r="A2817" s="0" t="inlineStr">
        <is>
          <t xml:space="preserve">random_19_KO</t>
        </is>
      </c>
      <c r="B2817" s="0" t="inlineStr">
        <is>
          <t xml:space="preserve">random_19</t>
        </is>
      </c>
      <c r="C2817" s="0" t="inlineStr">
        <is>
          <t xml:space="preserve">d20260923</t>
        </is>
      </c>
      <c r="D2817" s="0" t="inlineStr">
        <is>
          <t xml:space="preserve">KO</t>
        </is>
      </c>
      <c r="E2817" s="0" t="inlineStr">
        <is>
          <t xml:space="preserve">consumer_defensive</t>
        </is>
      </c>
      <c r="F2817" s="4">
        <v>16</v>
      </c>
    </row>
    <row r="2818">
      <c r="A2818" s="0" t="inlineStr">
        <is>
          <t xml:space="preserve">random_19_VTR</t>
        </is>
      </c>
      <c r="B2818" s="0" t="inlineStr">
        <is>
          <t xml:space="preserve">random_19</t>
        </is>
      </c>
      <c r="C2818" s="0" t="inlineStr">
        <is>
          <t xml:space="preserve">d20260923</t>
        </is>
      </c>
      <c r="D2818" s="0" t="inlineStr">
        <is>
          <t xml:space="preserve">VTR</t>
        </is>
      </c>
      <c r="E2818" s="0" t="inlineStr">
        <is>
          <t xml:space="preserve">real_estate</t>
        </is>
      </c>
      <c r="F2818" s="4">
        <v>17</v>
      </c>
    </row>
    <row r="2819">
      <c r="A2819" s="0" t="inlineStr">
        <is>
          <t xml:space="preserve">random_19_CBT</t>
        </is>
      </c>
      <c r="B2819" s="0" t="inlineStr">
        <is>
          <t xml:space="preserve">random_19</t>
        </is>
      </c>
      <c r="C2819" s="0" t="inlineStr">
        <is>
          <t xml:space="preserve">d20260923</t>
        </is>
      </c>
      <c r="D2819" s="0" t="inlineStr">
        <is>
          <t xml:space="preserve">CBT</t>
        </is>
      </c>
      <c r="E2819" s="0" t="inlineStr">
        <is>
          <t xml:space="preserve">basic_materials</t>
        </is>
      </c>
      <c r="F2819" s="4">
        <v>18</v>
      </c>
    </row>
    <row r="2820">
      <c r="A2820" s="0" t="inlineStr">
        <is>
          <t xml:space="preserve">random_19_RDDT</t>
        </is>
      </c>
      <c r="B2820" s="0" t="inlineStr">
        <is>
          <t xml:space="preserve">random_19</t>
        </is>
      </c>
      <c r="C2820" s="0" t="inlineStr">
        <is>
          <t xml:space="preserve">d20260923</t>
        </is>
      </c>
      <c r="D2820" s="0" t="inlineStr">
        <is>
          <t xml:space="preserve">RDDT</t>
        </is>
      </c>
      <c r="E2820" s="0" t="inlineStr">
        <is>
          <t xml:space="preserve">communication_services</t>
        </is>
      </c>
      <c r="F2820" s="4">
        <v>19</v>
      </c>
    </row>
    <row r="2821">
      <c r="A2821" s="0" t="inlineStr">
        <is>
          <t xml:space="preserve">random_19_AN</t>
        </is>
      </c>
      <c r="B2821" s="0" t="inlineStr">
        <is>
          <t xml:space="preserve">random_19</t>
        </is>
      </c>
      <c r="C2821" s="0" t="inlineStr">
        <is>
          <t xml:space="preserve">d20260923</t>
        </is>
      </c>
      <c r="D2821" s="0" t="inlineStr">
        <is>
          <t xml:space="preserve">AN</t>
        </is>
      </c>
      <c r="E2821" s="0" t="inlineStr">
        <is>
          <t xml:space="preserve">consumer_cyclical</t>
        </is>
      </c>
      <c r="F2821" s="4">
        <v>20</v>
      </c>
    </row>
    <row r="2822">
      <c r="A2822" s="0" t="inlineStr">
        <is>
          <t xml:space="preserve">random_19_PAGP</t>
        </is>
      </c>
      <c r="B2822" s="0" t="inlineStr">
        <is>
          <t xml:space="preserve">random_19</t>
        </is>
      </c>
      <c r="C2822" s="0" t="inlineStr">
        <is>
          <t xml:space="preserve">d20260923</t>
        </is>
      </c>
      <c r="D2822" s="0" t="inlineStr">
        <is>
          <t xml:space="preserve">PAGP</t>
        </is>
      </c>
      <c r="E2822" s="0" t="inlineStr">
        <is>
          <t xml:space="preserve">energy</t>
        </is>
      </c>
      <c r="F2822" s="4">
        <v>21</v>
      </c>
    </row>
    <row r="2823">
      <c r="A2823" s="0" t="inlineStr">
        <is>
          <t xml:space="preserve">random_19_HRL</t>
        </is>
      </c>
      <c r="B2823" s="0" t="inlineStr">
        <is>
          <t xml:space="preserve">random_19</t>
        </is>
      </c>
      <c r="C2823" s="0" t="inlineStr">
        <is>
          <t xml:space="preserve">d20260923</t>
        </is>
      </c>
      <c r="D2823" s="0" t="inlineStr">
        <is>
          <t xml:space="preserve">HRL</t>
        </is>
      </c>
      <c r="E2823" s="0" t="inlineStr">
        <is>
          <t xml:space="preserve">consumer_defensive</t>
        </is>
      </c>
      <c r="F2823" s="4">
        <v>22</v>
      </c>
    </row>
    <row r="2824">
      <c r="A2824" s="0" t="inlineStr">
        <is>
          <t xml:space="preserve">random_19_TFSL</t>
        </is>
      </c>
      <c r="B2824" s="0" t="inlineStr">
        <is>
          <t xml:space="preserve">random_19</t>
        </is>
      </c>
      <c r="C2824" s="0" t="inlineStr">
        <is>
          <t xml:space="preserve">d20260923</t>
        </is>
      </c>
      <c r="D2824" s="0" t="inlineStr">
        <is>
          <t xml:space="preserve">TFSL</t>
        </is>
      </c>
      <c r="E2824" s="0" t="inlineStr">
        <is>
          <t xml:space="preserve">financial_services</t>
        </is>
      </c>
      <c r="F2824" s="4">
        <v>23</v>
      </c>
    </row>
    <row r="2825">
      <c r="A2825" s="0" t="inlineStr">
        <is>
          <t xml:space="preserve">random_19_RYAN</t>
        </is>
      </c>
      <c r="B2825" s="0" t="inlineStr">
        <is>
          <t xml:space="preserve">random_19</t>
        </is>
      </c>
      <c r="C2825" s="0" t="inlineStr">
        <is>
          <t xml:space="preserve">d20260923</t>
        </is>
      </c>
      <c r="D2825" s="0" t="inlineStr">
        <is>
          <t xml:space="preserve">RYAN</t>
        </is>
      </c>
      <c r="E2825" s="0" t="inlineStr">
        <is>
          <t xml:space="preserve">financial_services</t>
        </is>
      </c>
      <c r="F2825" s="4">
        <v>24</v>
      </c>
    </row>
    <row r="2826">
      <c r="A2826" s="0" t="inlineStr">
        <is>
          <t xml:space="preserve">random_19_LEA</t>
        </is>
      </c>
      <c r="B2826" s="0" t="inlineStr">
        <is>
          <t xml:space="preserve">random_19</t>
        </is>
      </c>
      <c r="C2826" s="0" t="inlineStr">
        <is>
          <t xml:space="preserve">d20260923</t>
        </is>
      </c>
      <c r="D2826" s="0" t="inlineStr">
        <is>
          <t xml:space="preserve">LEA</t>
        </is>
      </c>
      <c r="E2826" s="0" t="inlineStr">
        <is>
          <t xml:space="preserve">consumer_cyclical</t>
        </is>
      </c>
      <c r="F2826" s="4">
        <v>25</v>
      </c>
    </row>
    <row r="2827">
      <c r="A2827" s="0" t="inlineStr">
        <is>
          <t xml:space="preserve">random_19_CHH</t>
        </is>
      </c>
      <c r="B2827" s="0" t="inlineStr">
        <is>
          <t xml:space="preserve">random_19</t>
        </is>
      </c>
      <c r="C2827" s="0" t="inlineStr">
        <is>
          <t xml:space="preserve">d20260923</t>
        </is>
      </c>
      <c r="D2827" s="0" t="inlineStr">
        <is>
          <t xml:space="preserve">CHH</t>
        </is>
      </c>
      <c r="E2827" s="0" t="inlineStr">
        <is>
          <t xml:space="preserve">consumer_cyclical</t>
        </is>
      </c>
      <c r="F2827" s="4">
        <v>26</v>
      </c>
    </row>
    <row r="2828">
      <c r="A2828" s="0" t="inlineStr">
        <is>
          <t xml:space="preserve">random_19_WY</t>
        </is>
      </c>
      <c r="B2828" s="0" t="inlineStr">
        <is>
          <t xml:space="preserve">random_19</t>
        </is>
      </c>
      <c r="C2828" s="0" t="inlineStr">
        <is>
          <t xml:space="preserve">d20260923</t>
        </is>
      </c>
      <c r="D2828" s="0" t="inlineStr">
        <is>
          <t xml:space="preserve">WY</t>
        </is>
      </c>
      <c r="E2828" s="0" t="inlineStr">
        <is>
          <t xml:space="preserve">real_estate</t>
        </is>
      </c>
      <c r="F2828" s="4">
        <v>27</v>
      </c>
    </row>
    <row r="2829">
      <c r="A2829" s="0" t="inlineStr">
        <is>
          <t xml:space="preserve">random_19_KGS</t>
        </is>
      </c>
      <c r="B2829" s="0" t="inlineStr">
        <is>
          <t xml:space="preserve">random_19</t>
        </is>
      </c>
      <c r="C2829" s="0" t="inlineStr">
        <is>
          <t xml:space="preserve">d20260923</t>
        </is>
      </c>
      <c r="D2829" s="0" t="inlineStr">
        <is>
          <t xml:space="preserve">KGS</t>
        </is>
      </c>
      <c r="E2829" s="0" t="inlineStr">
        <is>
          <t xml:space="preserve">energy</t>
        </is>
      </c>
      <c r="F2829" s="4">
        <v>28</v>
      </c>
    </row>
    <row r="2830">
      <c r="A2830" s="0" t="inlineStr">
        <is>
          <t xml:space="preserve">random_19_AWI</t>
        </is>
      </c>
      <c r="B2830" s="0" t="inlineStr">
        <is>
          <t xml:space="preserve">random_19</t>
        </is>
      </c>
      <c r="C2830" s="0" t="inlineStr">
        <is>
          <t xml:space="preserve">d20260923</t>
        </is>
      </c>
      <c r="D2830" s="0" t="inlineStr">
        <is>
          <t xml:space="preserve">AWI</t>
        </is>
      </c>
      <c r="E2830" s="0" t="inlineStr">
        <is>
          <t xml:space="preserve">basic_materials</t>
        </is>
      </c>
      <c r="F2830" s="4">
        <v>29</v>
      </c>
    </row>
    <row r="2831">
      <c r="A2831" s="0" t="inlineStr">
        <is>
          <t xml:space="preserve">random_19_ED</t>
        </is>
      </c>
      <c r="B2831" s="0" t="inlineStr">
        <is>
          <t xml:space="preserve">random_19</t>
        </is>
      </c>
      <c r="C2831" s="0" t="inlineStr">
        <is>
          <t xml:space="preserve">d20260923</t>
        </is>
      </c>
      <c r="D2831" s="0" t="inlineStr">
        <is>
          <t xml:space="preserve">ED</t>
        </is>
      </c>
      <c r="E2831" s="0" t="inlineStr">
        <is>
          <t xml:space="preserve">utilities</t>
        </is>
      </c>
      <c r="F2831" s="4">
        <v>30</v>
      </c>
    </row>
    <row r="2832">
      <c r="A2832" s="0" t="inlineStr">
        <is>
          <t xml:space="preserve">random_19_PII</t>
        </is>
      </c>
      <c r="B2832" s="0" t="inlineStr">
        <is>
          <t xml:space="preserve">random_19</t>
        </is>
      </c>
      <c r="C2832" s="0" t="inlineStr">
        <is>
          <t xml:space="preserve">d20260923</t>
        </is>
      </c>
      <c r="D2832" s="0" t="inlineStr">
        <is>
          <t xml:space="preserve">PII</t>
        </is>
      </c>
      <c r="E2832" s="0" t="inlineStr">
        <is>
          <t xml:space="preserve">consumer_cyclical</t>
        </is>
      </c>
      <c r="F2832" s="4">
        <v>31</v>
      </c>
    </row>
    <row r="2833">
      <c r="A2833" s="0" t="inlineStr">
        <is>
          <t xml:space="preserve">random_19_LW</t>
        </is>
      </c>
      <c r="B2833" s="0" t="inlineStr">
        <is>
          <t xml:space="preserve">random_19</t>
        </is>
      </c>
      <c r="C2833" s="0" t="inlineStr">
        <is>
          <t xml:space="preserve">d20260923</t>
        </is>
      </c>
      <c r="D2833" s="0" t="inlineStr">
        <is>
          <t xml:space="preserve">LW</t>
        </is>
      </c>
      <c r="E2833" s="0" t="inlineStr">
        <is>
          <t xml:space="preserve">consumer_defensive</t>
        </is>
      </c>
      <c r="F2833" s="4">
        <v>32</v>
      </c>
    </row>
    <row r="2834">
      <c r="A2834" s="0" t="inlineStr">
        <is>
          <t xml:space="preserve">random_19_EXPO</t>
        </is>
      </c>
      <c r="B2834" s="0" t="inlineStr">
        <is>
          <t xml:space="preserve">random_19</t>
        </is>
      </c>
      <c r="C2834" s="0" t="inlineStr">
        <is>
          <t xml:space="preserve">d20260923</t>
        </is>
      </c>
      <c r="D2834" s="0" t="inlineStr">
        <is>
          <t xml:space="preserve">EXPO</t>
        </is>
      </c>
      <c r="E2834" s="0" t="inlineStr">
        <is>
          <t xml:space="preserve">industrials</t>
        </is>
      </c>
      <c r="F2834" s="4">
        <v>33</v>
      </c>
    </row>
    <row r="2835">
      <c r="A2835" s="0" t="inlineStr">
        <is>
          <t xml:space="preserve">random_19_EIX</t>
        </is>
      </c>
      <c r="B2835" s="0" t="inlineStr">
        <is>
          <t xml:space="preserve">random_19</t>
        </is>
      </c>
      <c r="C2835" s="0" t="inlineStr">
        <is>
          <t xml:space="preserve">d20260923</t>
        </is>
      </c>
      <c r="D2835" s="0" t="inlineStr">
        <is>
          <t xml:space="preserve">EIX</t>
        </is>
      </c>
      <c r="E2835" s="0" t="inlineStr">
        <is>
          <t xml:space="preserve">utilities</t>
        </is>
      </c>
      <c r="F2835" s="4">
        <v>34</v>
      </c>
    </row>
    <row r="2836">
      <c r="A2836" s="0" t="inlineStr">
        <is>
          <t xml:space="preserve">random_19_COF</t>
        </is>
      </c>
      <c r="B2836" s="0" t="inlineStr">
        <is>
          <t xml:space="preserve">random_19</t>
        </is>
      </c>
      <c r="C2836" s="0" t="inlineStr">
        <is>
          <t xml:space="preserve">d20260923</t>
        </is>
      </c>
      <c r="D2836" s="0" t="inlineStr">
        <is>
          <t xml:space="preserve">COF</t>
        </is>
      </c>
      <c r="E2836" s="0" t="inlineStr">
        <is>
          <t xml:space="preserve">financial_services</t>
        </is>
      </c>
      <c r="F2836" s="4">
        <v>35</v>
      </c>
    </row>
    <row r="2837">
      <c r="A2837" s="0" t="inlineStr">
        <is>
          <t xml:space="preserve">random_19_WAB</t>
        </is>
      </c>
      <c r="B2837" s="0" t="inlineStr">
        <is>
          <t xml:space="preserve">random_19</t>
        </is>
      </c>
      <c r="C2837" s="0" t="inlineStr">
        <is>
          <t xml:space="preserve">d20260923</t>
        </is>
      </c>
      <c r="D2837" s="0" t="inlineStr">
        <is>
          <t xml:space="preserve">WAB</t>
        </is>
      </c>
      <c r="E2837" s="0" t="inlineStr">
        <is>
          <t xml:space="preserve">industrials</t>
        </is>
      </c>
      <c r="F2837" s="4">
        <v>36</v>
      </c>
    </row>
    <row r="2838">
      <c r="A2838" s="0" t="inlineStr">
        <is>
          <t xml:space="preserve">random_19_PNW</t>
        </is>
      </c>
      <c r="B2838" s="0" t="inlineStr">
        <is>
          <t xml:space="preserve">random_19</t>
        </is>
      </c>
      <c r="C2838" s="0" t="inlineStr">
        <is>
          <t xml:space="preserve">d20260923</t>
        </is>
      </c>
      <c r="D2838" s="0" t="inlineStr">
        <is>
          <t xml:space="preserve">PNW</t>
        </is>
      </c>
      <c r="E2838" s="0" t="inlineStr">
        <is>
          <t xml:space="preserve">utilities</t>
        </is>
      </c>
      <c r="F2838" s="4">
        <v>37</v>
      </c>
    </row>
    <row r="2839">
      <c r="A2839" s="0" t="inlineStr">
        <is>
          <t xml:space="preserve">random_19_VRSN</t>
        </is>
      </c>
      <c r="B2839" s="0" t="inlineStr">
        <is>
          <t xml:space="preserve">random_19</t>
        </is>
      </c>
      <c r="C2839" s="0" t="inlineStr">
        <is>
          <t xml:space="preserve">d20260923</t>
        </is>
      </c>
      <c r="D2839" s="0" t="inlineStr">
        <is>
          <t xml:space="preserve">VRSN</t>
        </is>
      </c>
      <c r="E2839" s="0" t="inlineStr">
        <is>
          <t xml:space="preserve">technology</t>
        </is>
      </c>
      <c r="F2839" s="4">
        <v>38</v>
      </c>
    </row>
    <row r="2840">
      <c r="A2840" s="0" t="inlineStr">
        <is>
          <t xml:space="preserve">random_19_TTC</t>
        </is>
      </c>
      <c r="B2840" s="0" t="inlineStr">
        <is>
          <t xml:space="preserve">random_19</t>
        </is>
      </c>
      <c r="C2840" s="0" t="inlineStr">
        <is>
          <t xml:space="preserve">d20260923</t>
        </is>
      </c>
      <c r="D2840" s="0" t="inlineStr">
        <is>
          <t xml:space="preserve">TTC</t>
        </is>
      </c>
      <c r="E2840" s="0" t="inlineStr">
        <is>
          <t xml:space="preserve">industrials</t>
        </is>
      </c>
      <c r="F2840" s="4">
        <v>39</v>
      </c>
    </row>
    <row r="2841">
      <c r="A2841" s="0" t="inlineStr">
        <is>
          <t xml:space="preserve">random_19_NEM</t>
        </is>
      </c>
      <c r="B2841" s="0" t="inlineStr">
        <is>
          <t xml:space="preserve">random_19</t>
        </is>
      </c>
      <c r="C2841" s="0" t="inlineStr">
        <is>
          <t xml:space="preserve">d20260923</t>
        </is>
      </c>
      <c r="D2841" s="0" t="inlineStr">
        <is>
          <t xml:space="preserve">NEM</t>
        </is>
      </c>
      <c r="E2841" s="0" t="inlineStr">
        <is>
          <t xml:space="preserve">basic_materials</t>
        </is>
      </c>
      <c r="F2841" s="4">
        <v>40</v>
      </c>
    </row>
    <row r="2842">
      <c r="A2842" s="0" t="inlineStr">
        <is>
          <t xml:space="preserve">random_19_FNF</t>
        </is>
      </c>
      <c r="B2842" s="0" t="inlineStr">
        <is>
          <t xml:space="preserve">random_19</t>
        </is>
      </c>
      <c r="C2842" s="0" t="inlineStr">
        <is>
          <t xml:space="preserve">d20260923</t>
        </is>
      </c>
      <c r="D2842" s="0" t="inlineStr">
        <is>
          <t xml:space="preserve">FNF</t>
        </is>
      </c>
      <c r="E2842" s="0" t="inlineStr">
        <is>
          <t xml:space="preserve">financial_services</t>
        </is>
      </c>
      <c r="F2842" s="4">
        <v>41</v>
      </c>
    </row>
    <row r="2843">
      <c r="A2843" s="0" t="inlineStr">
        <is>
          <t xml:space="preserve">random_19_XOM</t>
        </is>
      </c>
      <c r="B2843" s="0" t="inlineStr">
        <is>
          <t xml:space="preserve">random_19</t>
        </is>
      </c>
      <c r="C2843" s="0" t="inlineStr">
        <is>
          <t xml:space="preserve">d20260923</t>
        </is>
      </c>
      <c r="D2843" s="0" t="inlineStr">
        <is>
          <t xml:space="preserve">XOM</t>
        </is>
      </c>
      <c r="E2843" s="0" t="inlineStr">
        <is>
          <t xml:space="preserve">energy</t>
        </is>
      </c>
      <c r="F2843" s="4">
        <v>42</v>
      </c>
    </row>
    <row r="2844">
      <c r="A2844" s="0" t="inlineStr">
        <is>
          <t xml:space="preserve">random_19_IR</t>
        </is>
      </c>
      <c r="B2844" s="0" t="inlineStr">
        <is>
          <t xml:space="preserve">random_19</t>
        </is>
      </c>
      <c r="C2844" s="0" t="inlineStr">
        <is>
          <t xml:space="preserve">d20260923</t>
        </is>
      </c>
      <c r="D2844" s="0" t="inlineStr">
        <is>
          <t xml:space="preserve">IR</t>
        </is>
      </c>
      <c r="E2844" s="0" t="inlineStr">
        <is>
          <t xml:space="preserve">industrials</t>
        </is>
      </c>
      <c r="F2844" s="4">
        <v>43</v>
      </c>
    </row>
    <row r="2845">
      <c r="A2845" s="0" t="inlineStr">
        <is>
          <t xml:space="preserve">random_19_TPG</t>
        </is>
      </c>
      <c r="B2845" s="0" t="inlineStr">
        <is>
          <t xml:space="preserve">random_19</t>
        </is>
      </c>
      <c r="C2845" s="0" t="inlineStr">
        <is>
          <t xml:space="preserve">d20260923</t>
        </is>
      </c>
      <c r="D2845" s="0" t="inlineStr">
        <is>
          <t xml:space="preserve">TPG</t>
        </is>
      </c>
      <c r="E2845" s="0" t="inlineStr">
        <is>
          <t xml:space="preserve">financial_services</t>
        </is>
      </c>
      <c r="F2845" s="4">
        <v>44</v>
      </c>
    </row>
    <row r="2846">
      <c r="A2846" s="0" t="inlineStr">
        <is>
          <t xml:space="preserve">random_19_BUSE</t>
        </is>
      </c>
      <c r="B2846" s="0" t="inlineStr">
        <is>
          <t xml:space="preserve">random_19</t>
        </is>
      </c>
      <c r="C2846" s="0" t="inlineStr">
        <is>
          <t xml:space="preserve">d20260923</t>
        </is>
      </c>
      <c r="D2846" s="0" t="inlineStr">
        <is>
          <t xml:space="preserve">BUSE</t>
        </is>
      </c>
      <c r="E2846" s="0" t="inlineStr">
        <is>
          <t xml:space="preserve">financial_services</t>
        </is>
      </c>
      <c r="F2846" s="4">
        <v>45</v>
      </c>
    </row>
    <row r="2847">
      <c r="A2847" s="0" t="inlineStr">
        <is>
          <t xml:space="preserve">random_19_KNTK</t>
        </is>
      </c>
      <c r="B2847" s="0" t="inlineStr">
        <is>
          <t xml:space="preserve">random_19</t>
        </is>
      </c>
      <c r="C2847" s="0" t="inlineStr">
        <is>
          <t xml:space="preserve">d20260923</t>
        </is>
      </c>
      <c r="D2847" s="0" t="inlineStr">
        <is>
          <t xml:space="preserve">KNTK</t>
        </is>
      </c>
      <c r="E2847" s="0" t="inlineStr">
        <is>
          <t xml:space="preserve">energy</t>
        </is>
      </c>
      <c r="F2847" s="4">
        <v>46</v>
      </c>
    </row>
    <row r="2848">
      <c r="A2848" s="0" t="inlineStr">
        <is>
          <t xml:space="preserve">random_19_PM</t>
        </is>
      </c>
      <c r="B2848" s="0" t="inlineStr">
        <is>
          <t xml:space="preserve">random_19</t>
        </is>
      </c>
      <c r="C2848" s="0" t="inlineStr">
        <is>
          <t xml:space="preserve">d20260923</t>
        </is>
      </c>
      <c r="D2848" s="0" t="inlineStr">
        <is>
          <t xml:space="preserve">PM</t>
        </is>
      </c>
      <c r="E2848" s="0" t="inlineStr">
        <is>
          <t xml:space="preserve">consumer_defensive</t>
        </is>
      </c>
      <c r="F2848" s="4">
        <v>47</v>
      </c>
    </row>
    <row r="2849">
      <c r="A2849" s="0" t="inlineStr">
        <is>
          <t xml:space="preserve">random_19_VNO</t>
        </is>
      </c>
      <c r="B2849" s="0" t="inlineStr">
        <is>
          <t xml:space="preserve">random_19</t>
        </is>
      </c>
      <c r="C2849" s="0" t="inlineStr">
        <is>
          <t xml:space="preserve">d20260923</t>
        </is>
      </c>
      <c r="D2849" s="0" t="inlineStr">
        <is>
          <t xml:space="preserve">VNO</t>
        </is>
      </c>
      <c r="E2849" s="0" t="inlineStr">
        <is>
          <t xml:space="preserve">real_estate</t>
        </is>
      </c>
      <c r="F2849" s="4">
        <v>48</v>
      </c>
    </row>
    <row r="2850">
      <c r="A2850" s="0" t="inlineStr">
        <is>
          <t xml:space="preserve">random_19_THG</t>
        </is>
      </c>
      <c r="B2850" s="0" t="inlineStr">
        <is>
          <t xml:space="preserve">random_19</t>
        </is>
      </c>
      <c r="C2850" s="0" t="inlineStr">
        <is>
          <t xml:space="preserve">d20260923</t>
        </is>
      </c>
      <c r="D2850" s="0" t="inlineStr">
        <is>
          <t xml:space="preserve">THG</t>
        </is>
      </c>
      <c r="E2850" s="0" t="inlineStr">
        <is>
          <t xml:space="preserve">financial_services</t>
        </is>
      </c>
      <c r="F2850" s="4">
        <v>49</v>
      </c>
    </row>
    <row r="2851">
      <c r="A2851" s="0" t="inlineStr">
        <is>
          <t xml:space="preserve">random_19_TDC</t>
        </is>
      </c>
      <c r="B2851" s="0" t="inlineStr">
        <is>
          <t xml:space="preserve">random_19</t>
        </is>
      </c>
      <c r="C2851" s="0" t="inlineStr">
        <is>
          <t xml:space="preserve">d20260923</t>
        </is>
      </c>
      <c r="D2851" s="0" t="inlineStr">
        <is>
          <t xml:space="preserve">TDC</t>
        </is>
      </c>
      <c r="E2851" s="0" t="inlineStr">
        <is>
          <t xml:space="preserve">technology</t>
        </is>
      </c>
      <c r="F2851" s="4">
        <v>50</v>
      </c>
    </row>
    <row r="2852">
      <c r="A2852" s="0" t="inlineStr">
        <is>
          <t xml:space="preserve">random_19_EQPT</t>
        </is>
      </c>
      <c r="B2852" s="0" t="inlineStr">
        <is>
          <t xml:space="preserve">random_19</t>
        </is>
      </c>
      <c r="C2852" s="0" t="inlineStr">
        <is>
          <t xml:space="preserve">d20260923</t>
        </is>
      </c>
      <c r="D2852" s="0" t="inlineStr">
        <is>
          <t xml:space="preserve">EQPT</t>
        </is>
      </c>
      <c r="E2852" s="0" t="inlineStr">
        <is>
          <t xml:space="preserve">industrials</t>
        </is>
      </c>
      <c r="F2852" s="4">
        <v>51</v>
      </c>
    </row>
    <row r="2853">
      <c r="A2853" s="0" t="inlineStr">
        <is>
          <t xml:space="preserve">random_19_SUN</t>
        </is>
      </c>
      <c r="B2853" s="0" t="inlineStr">
        <is>
          <t xml:space="preserve">random_19</t>
        </is>
      </c>
      <c r="C2853" s="0" t="inlineStr">
        <is>
          <t xml:space="preserve">d20260923</t>
        </is>
      </c>
      <c r="D2853" s="0" t="inlineStr">
        <is>
          <t xml:space="preserve">SUN</t>
        </is>
      </c>
      <c r="E2853" s="0" t="inlineStr">
        <is>
          <t xml:space="preserve">energy</t>
        </is>
      </c>
      <c r="F2853" s="4">
        <v>52</v>
      </c>
    </row>
    <row r="2854">
      <c r="A2854" s="0" t="inlineStr">
        <is>
          <t xml:space="preserve">random_19_CRK</t>
        </is>
      </c>
      <c r="B2854" s="0" t="inlineStr">
        <is>
          <t xml:space="preserve">random_19</t>
        </is>
      </c>
      <c r="C2854" s="0" t="inlineStr">
        <is>
          <t xml:space="preserve">d20260923</t>
        </is>
      </c>
      <c r="D2854" s="0" t="inlineStr">
        <is>
          <t xml:space="preserve">CRK</t>
        </is>
      </c>
      <c r="E2854" s="0" t="inlineStr">
        <is>
          <t xml:space="preserve">energy</t>
        </is>
      </c>
      <c r="F2854" s="4">
        <v>53</v>
      </c>
    </row>
    <row r="2855">
      <c r="A2855" s="0" t="inlineStr">
        <is>
          <t xml:space="preserve">random_19_ZTS</t>
        </is>
      </c>
      <c r="B2855" s="0" t="inlineStr">
        <is>
          <t xml:space="preserve">random_19</t>
        </is>
      </c>
      <c r="C2855" s="0" t="inlineStr">
        <is>
          <t xml:space="preserve">d20260923</t>
        </is>
      </c>
      <c r="D2855" s="0" t="inlineStr">
        <is>
          <t xml:space="preserve">ZTS</t>
        </is>
      </c>
      <c r="E2855" s="0" t="inlineStr">
        <is>
          <t xml:space="preserve">healthcare</t>
        </is>
      </c>
      <c r="F2855" s="4">
        <v>54</v>
      </c>
    </row>
    <row r="2856">
      <c r="A2856" s="0" t="inlineStr">
        <is>
          <t xml:space="preserve">random_19_MGY</t>
        </is>
      </c>
      <c r="B2856" s="0" t="inlineStr">
        <is>
          <t xml:space="preserve">random_19</t>
        </is>
      </c>
      <c r="C2856" s="0" t="inlineStr">
        <is>
          <t xml:space="preserve">d20260923</t>
        </is>
      </c>
      <c r="D2856" s="0" t="inlineStr">
        <is>
          <t xml:space="preserve">MGY</t>
        </is>
      </c>
      <c r="E2856" s="0" t="inlineStr">
        <is>
          <t xml:space="preserve">energy</t>
        </is>
      </c>
      <c r="F2856" s="4">
        <v>55</v>
      </c>
    </row>
    <row r="2857">
      <c r="A2857" s="0" t="inlineStr">
        <is>
          <t xml:space="preserve">random_19_BYD</t>
        </is>
      </c>
      <c r="B2857" s="0" t="inlineStr">
        <is>
          <t xml:space="preserve">random_19</t>
        </is>
      </c>
      <c r="C2857" s="0" t="inlineStr">
        <is>
          <t xml:space="preserve">d20260923</t>
        </is>
      </c>
      <c r="D2857" s="0" t="inlineStr">
        <is>
          <t xml:space="preserve">BYD</t>
        </is>
      </c>
      <c r="E2857" s="0" t="inlineStr">
        <is>
          <t xml:space="preserve">consumer_cyclical</t>
        </is>
      </c>
      <c r="F2857" s="4">
        <v>56</v>
      </c>
    </row>
    <row r="2858">
      <c r="A2858" s="0" t="inlineStr">
        <is>
          <t xml:space="preserve">random_19_BKH</t>
        </is>
      </c>
      <c r="B2858" s="0" t="inlineStr">
        <is>
          <t xml:space="preserve">random_19</t>
        </is>
      </c>
      <c r="C2858" s="0" t="inlineStr">
        <is>
          <t xml:space="preserve">d20260923</t>
        </is>
      </c>
      <c r="D2858" s="0" t="inlineStr">
        <is>
          <t xml:space="preserve">BKH</t>
        </is>
      </c>
      <c r="E2858" s="0" t="inlineStr">
        <is>
          <t xml:space="preserve">utilities</t>
        </is>
      </c>
      <c r="F2858" s="4">
        <v>57</v>
      </c>
    </row>
    <row r="2859">
      <c r="A2859" s="0" t="inlineStr">
        <is>
          <t xml:space="preserve">random_19_RHP</t>
        </is>
      </c>
      <c r="B2859" s="0" t="inlineStr">
        <is>
          <t xml:space="preserve">random_19</t>
        </is>
      </c>
      <c r="C2859" s="0" t="inlineStr">
        <is>
          <t xml:space="preserve">d20260923</t>
        </is>
      </c>
      <c r="D2859" s="0" t="inlineStr">
        <is>
          <t xml:space="preserve">RHP</t>
        </is>
      </c>
      <c r="E2859" s="0" t="inlineStr">
        <is>
          <t xml:space="preserve">real_estate</t>
        </is>
      </c>
      <c r="F2859" s="4">
        <v>58</v>
      </c>
    </row>
    <row r="2860">
      <c r="A2860" s="0" t="inlineStr">
        <is>
          <t xml:space="preserve">random_19_KTOS</t>
        </is>
      </c>
      <c r="B2860" s="0" t="inlineStr">
        <is>
          <t xml:space="preserve">random_19</t>
        </is>
      </c>
      <c r="C2860" s="0" t="inlineStr">
        <is>
          <t xml:space="preserve">d20260923</t>
        </is>
      </c>
      <c r="D2860" s="0" t="inlineStr">
        <is>
          <t xml:space="preserve">KTOS</t>
        </is>
      </c>
      <c r="E2860" s="0" t="inlineStr">
        <is>
          <t xml:space="preserve">industrials</t>
        </is>
      </c>
      <c r="F2860" s="4">
        <v>59</v>
      </c>
    </row>
    <row r="2861">
      <c r="A2861" s="0" t="inlineStr">
        <is>
          <t xml:space="preserve">random_19_CVNA</t>
        </is>
      </c>
      <c r="B2861" s="0" t="inlineStr">
        <is>
          <t xml:space="preserve">random_19</t>
        </is>
      </c>
      <c r="C2861" s="0" t="inlineStr">
        <is>
          <t xml:space="preserve">d20260923</t>
        </is>
      </c>
      <c r="D2861" s="0" t="inlineStr">
        <is>
          <t xml:space="preserve">CVNA</t>
        </is>
      </c>
      <c r="E2861" s="0" t="inlineStr">
        <is>
          <t xml:space="preserve">consumer_cyclical</t>
        </is>
      </c>
      <c r="F2861" s="4">
        <v>60</v>
      </c>
    </row>
    <row r="2862">
      <c r="A2862" s="0" t="inlineStr">
        <is>
          <t xml:space="preserve">random_19_SYM</t>
        </is>
      </c>
      <c r="B2862" s="0" t="inlineStr">
        <is>
          <t xml:space="preserve">random_19</t>
        </is>
      </c>
      <c r="C2862" s="0" t="inlineStr">
        <is>
          <t xml:space="preserve">d20260923</t>
        </is>
      </c>
      <c r="D2862" s="0" t="inlineStr">
        <is>
          <t xml:space="preserve">SYM</t>
        </is>
      </c>
      <c r="E2862" s="0" t="inlineStr">
        <is>
          <t xml:space="preserve">industrials</t>
        </is>
      </c>
      <c r="F2862" s="4">
        <v>61</v>
      </c>
    </row>
    <row r="2863">
      <c r="A2863" s="0" t="inlineStr">
        <is>
          <t xml:space="preserve">random_19_CPAY</t>
        </is>
      </c>
      <c r="B2863" s="0" t="inlineStr">
        <is>
          <t xml:space="preserve">random_19</t>
        </is>
      </c>
      <c r="C2863" s="0" t="inlineStr">
        <is>
          <t xml:space="preserve">d20260923</t>
        </is>
      </c>
      <c r="D2863" s="0" t="inlineStr">
        <is>
          <t xml:space="preserve">CPAY</t>
        </is>
      </c>
      <c r="E2863" s="0" t="inlineStr">
        <is>
          <t xml:space="preserve">technology</t>
        </is>
      </c>
      <c r="F2863" s="4">
        <v>62</v>
      </c>
    </row>
    <row r="2864">
      <c r="A2864" s="0" t="inlineStr">
        <is>
          <t xml:space="preserve">random_19_SARO</t>
        </is>
      </c>
      <c r="B2864" s="0" t="inlineStr">
        <is>
          <t xml:space="preserve">random_19</t>
        </is>
      </c>
      <c r="C2864" s="0" t="inlineStr">
        <is>
          <t xml:space="preserve">d20260923</t>
        </is>
      </c>
      <c r="D2864" s="0" t="inlineStr">
        <is>
          <t xml:space="preserve">SARO</t>
        </is>
      </c>
      <c r="E2864" s="0" t="inlineStr">
        <is>
          <t xml:space="preserve">industrials</t>
        </is>
      </c>
      <c r="F2864" s="4">
        <v>63</v>
      </c>
    </row>
    <row r="2865">
      <c r="A2865" s="0" t="inlineStr">
        <is>
          <t xml:space="preserve">random_19_STEP</t>
        </is>
      </c>
      <c r="B2865" s="0" t="inlineStr">
        <is>
          <t xml:space="preserve">random_19</t>
        </is>
      </c>
      <c r="C2865" s="0" t="inlineStr">
        <is>
          <t xml:space="preserve">d20260923</t>
        </is>
      </c>
      <c r="D2865" s="0" t="inlineStr">
        <is>
          <t xml:space="preserve">STEP</t>
        </is>
      </c>
      <c r="E2865" s="0" t="inlineStr">
        <is>
          <t xml:space="preserve">financial_services</t>
        </is>
      </c>
      <c r="F2865" s="4">
        <v>64</v>
      </c>
    </row>
    <row r="2866">
      <c r="A2866" s="0" t="inlineStr">
        <is>
          <t xml:space="preserve">random_19_JNJ</t>
        </is>
      </c>
      <c r="B2866" s="0" t="inlineStr">
        <is>
          <t xml:space="preserve">random_19</t>
        </is>
      </c>
      <c r="C2866" s="0" t="inlineStr">
        <is>
          <t xml:space="preserve">d20260923</t>
        </is>
      </c>
      <c r="D2866" s="0" t="inlineStr">
        <is>
          <t xml:space="preserve">JNJ</t>
        </is>
      </c>
      <c r="E2866" s="0" t="inlineStr">
        <is>
          <t xml:space="preserve">healthcare</t>
        </is>
      </c>
      <c r="F2866" s="4">
        <v>65</v>
      </c>
    </row>
    <row r="2867">
      <c r="A2867" s="0" t="inlineStr">
        <is>
          <t xml:space="preserve">random_19_BLK</t>
        </is>
      </c>
      <c r="B2867" s="0" t="inlineStr">
        <is>
          <t xml:space="preserve">random_19</t>
        </is>
      </c>
      <c r="C2867" s="0" t="inlineStr">
        <is>
          <t xml:space="preserve">d20260923</t>
        </is>
      </c>
      <c r="D2867" s="0" t="inlineStr">
        <is>
          <t xml:space="preserve">BLK</t>
        </is>
      </c>
      <c r="E2867" s="0" t="inlineStr">
        <is>
          <t xml:space="preserve">financial_services</t>
        </is>
      </c>
      <c r="F2867" s="4">
        <v>66</v>
      </c>
    </row>
    <row r="2868">
      <c r="A2868" s="0" t="inlineStr">
        <is>
          <t xml:space="preserve">random_19_JLL</t>
        </is>
      </c>
      <c r="B2868" s="0" t="inlineStr">
        <is>
          <t xml:space="preserve">random_19</t>
        </is>
      </c>
      <c r="C2868" s="0" t="inlineStr">
        <is>
          <t xml:space="preserve">d20260923</t>
        </is>
      </c>
      <c r="D2868" s="0" t="inlineStr">
        <is>
          <t xml:space="preserve">JLL</t>
        </is>
      </c>
      <c r="E2868" s="0" t="inlineStr">
        <is>
          <t xml:space="preserve">real_estate</t>
        </is>
      </c>
      <c r="F2868" s="4">
        <v>67</v>
      </c>
    </row>
    <row r="2869">
      <c r="A2869" s="0" t="inlineStr">
        <is>
          <t xml:space="preserve">random_19_SFD</t>
        </is>
      </c>
      <c r="B2869" s="0" t="inlineStr">
        <is>
          <t xml:space="preserve">random_19</t>
        </is>
      </c>
      <c r="C2869" s="0" t="inlineStr">
        <is>
          <t xml:space="preserve">d20260923</t>
        </is>
      </c>
      <c r="D2869" s="0" t="inlineStr">
        <is>
          <t xml:space="preserve">SFD</t>
        </is>
      </c>
      <c r="E2869" s="0" t="inlineStr">
        <is>
          <t xml:space="preserve">consumer_defensive</t>
        </is>
      </c>
      <c r="F2869" s="4">
        <v>68</v>
      </c>
    </row>
    <row r="2870">
      <c r="A2870" s="0" t="inlineStr">
        <is>
          <t xml:space="preserve">random_19_MTB</t>
        </is>
      </c>
      <c r="B2870" s="0" t="inlineStr">
        <is>
          <t xml:space="preserve">random_19</t>
        </is>
      </c>
      <c r="C2870" s="0" t="inlineStr">
        <is>
          <t xml:space="preserve">d20260923</t>
        </is>
      </c>
      <c r="D2870" s="0" t="inlineStr">
        <is>
          <t xml:space="preserve">MTB</t>
        </is>
      </c>
      <c r="E2870" s="0" t="inlineStr">
        <is>
          <t xml:space="preserve">financial_services</t>
        </is>
      </c>
      <c r="F2870" s="4">
        <v>69</v>
      </c>
    </row>
    <row r="2871">
      <c r="A2871" s="0" t="inlineStr">
        <is>
          <t xml:space="preserve">random_19_POR</t>
        </is>
      </c>
      <c r="B2871" s="0" t="inlineStr">
        <is>
          <t xml:space="preserve">random_19</t>
        </is>
      </c>
      <c r="C2871" s="0" t="inlineStr">
        <is>
          <t xml:space="preserve">d20260923</t>
        </is>
      </c>
      <c r="D2871" s="0" t="inlineStr">
        <is>
          <t xml:space="preserve">POR</t>
        </is>
      </c>
      <c r="E2871" s="0" t="inlineStr">
        <is>
          <t xml:space="preserve">utilities</t>
        </is>
      </c>
      <c r="F2871" s="4">
        <v>70</v>
      </c>
    </row>
    <row r="2872">
      <c r="A2872" s="0" t="inlineStr">
        <is>
          <t xml:space="preserve">random_19_HESM</t>
        </is>
      </c>
      <c r="B2872" s="0" t="inlineStr">
        <is>
          <t xml:space="preserve">random_19</t>
        </is>
      </c>
      <c r="C2872" s="0" t="inlineStr">
        <is>
          <t xml:space="preserve">d20260923</t>
        </is>
      </c>
      <c r="D2872" s="0" t="inlineStr">
        <is>
          <t xml:space="preserve">HESM</t>
        </is>
      </c>
      <c r="E2872" s="0" t="inlineStr">
        <is>
          <t xml:space="preserve">energy</t>
        </is>
      </c>
      <c r="F2872" s="4">
        <v>71</v>
      </c>
    </row>
    <row r="2873">
      <c r="A2873" s="0" t="inlineStr">
        <is>
          <t xml:space="preserve">random_19_AME</t>
        </is>
      </c>
      <c r="B2873" s="0" t="inlineStr">
        <is>
          <t xml:space="preserve">random_19</t>
        </is>
      </c>
      <c r="C2873" s="0" t="inlineStr">
        <is>
          <t xml:space="preserve">d20260923</t>
        </is>
      </c>
      <c r="D2873" s="0" t="inlineStr">
        <is>
          <t xml:space="preserve">AME</t>
        </is>
      </c>
      <c r="E2873" s="0" t="inlineStr">
        <is>
          <t xml:space="preserve">industrials</t>
        </is>
      </c>
      <c r="F2873" s="4">
        <v>72</v>
      </c>
    </row>
    <row r="2874">
      <c r="A2874" s="0" t="inlineStr">
        <is>
          <t xml:space="preserve">random_19_CHDN</t>
        </is>
      </c>
      <c r="B2874" s="0" t="inlineStr">
        <is>
          <t xml:space="preserve">random_19</t>
        </is>
      </c>
      <c r="C2874" s="0" t="inlineStr">
        <is>
          <t xml:space="preserve">d20260923</t>
        </is>
      </c>
      <c r="D2874" s="0" t="inlineStr">
        <is>
          <t xml:space="preserve">CHDN</t>
        </is>
      </c>
      <c r="E2874" s="0" t="inlineStr">
        <is>
          <t xml:space="preserve">consumer_cyclical</t>
        </is>
      </c>
      <c r="F2874" s="4">
        <v>73</v>
      </c>
    </row>
    <row r="2875">
      <c r="A2875" s="0" t="inlineStr">
        <is>
          <t xml:space="preserve">random_19_IONQ</t>
        </is>
      </c>
      <c r="B2875" s="0" t="inlineStr">
        <is>
          <t xml:space="preserve">random_19</t>
        </is>
      </c>
      <c r="C2875" s="0" t="inlineStr">
        <is>
          <t xml:space="preserve">d20260923</t>
        </is>
      </c>
      <c r="D2875" s="0" t="inlineStr">
        <is>
          <t xml:space="preserve">IONQ</t>
        </is>
      </c>
      <c r="E2875" s="0" t="inlineStr">
        <is>
          <t xml:space="preserve">technology</t>
        </is>
      </c>
      <c r="F2875" s="4">
        <v>74</v>
      </c>
    </row>
    <row r="2876">
      <c r="A2876" s="0" t="inlineStr">
        <is>
          <t xml:space="preserve">random_19_ARXS</t>
        </is>
      </c>
      <c r="B2876" s="0" t="inlineStr">
        <is>
          <t xml:space="preserve">random_19</t>
        </is>
      </c>
      <c r="C2876" s="0" t="inlineStr">
        <is>
          <t xml:space="preserve">d20260923</t>
        </is>
      </c>
      <c r="D2876" s="0" t="inlineStr">
        <is>
          <t xml:space="preserve">ARXS</t>
        </is>
      </c>
      <c r="E2876" s="0" t="inlineStr">
        <is>
          <t xml:space="preserve">industrials</t>
        </is>
      </c>
      <c r="F2876" s="4">
        <v>75</v>
      </c>
    </row>
    <row r="2877">
      <c r="A2877" s="0" t="inlineStr">
        <is>
          <t xml:space="preserve">random_19_QBTS</t>
        </is>
      </c>
      <c r="B2877" s="0" t="inlineStr">
        <is>
          <t xml:space="preserve">random_19</t>
        </is>
      </c>
      <c r="C2877" s="0" t="inlineStr">
        <is>
          <t xml:space="preserve">d20260923</t>
        </is>
      </c>
      <c r="D2877" s="0" t="inlineStr">
        <is>
          <t xml:space="preserve">QBTS</t>
        </is>
      </c>
      <c r="E2877" s="0" t="inlineStr">
        <is>
          <t xml:space="preserve">technology</t>
        </is>
      </c>
      <c r="F2877" s="4">
        <v>76</v>
      </c>
    </row>
    <row r="2878">
      <c r="A2878" s="0" t="inlineStr">
        <is>
          <t xml:space="preserve">random_19_ATRC</t>
        </is>
      </c>
      <c r="B2878" s="0" t="inlineStr">
        <is>
          <t xml:space="preserve">random_19</t>
        </is>
      </c>
      <c r="C2878" s="0" t="inlineStr">
        <is>
          <t xml:space="preserve">d20260923</t>
        </is>
      </c>
      <c r="D2878" s="0" t="inlineStr">
        <is>
          <t xml:space="preserve">ATRC</t>
        </is>
      </c>
      <c r="E2878" s="0" t="inlineStr">
        <is>
          <t xml:space="preserve">healthcare</t>
        </is>
      </c>
      <c r="F2878" s="4">
        <v>77</v>
      </c>
    </row>
    <row r="2879">
      <c r="A2879" s="0" t="inlineStr">
        <is>
          <t xml:space="preserve">random_19_NXST</t>
        </is>
      </c>
      <c r="B2879" s="0" t="inlineStr">
        <is>
          <t xml:space="preserve">random_19</t>
        </is>
      </c>
      <c r="C2879" s="0" t="inlineStr">
        <is>
          <t xml:space="preserve">d20260923</t>
        </is>
      </c>
      <c r="D2879" s="0" t="inlineStr">
        <is>
          <t xml:space="preserve">NXST</t>
        </is>
      </c>
      <c r="E2879" s="0" t="inlineStr">
        <is>
          <t xml:space="preserve">communication_services</t>
        </is>
      </c>
      <c r="F2879" s="4">
        <v>78</v>
      </c>
    </row>
    <row r="2880">
      <c r="A2880" s="0" t="inlineStr">
        <is>
          <t xml:space="preserve">random_19_VRSK</t>
        </is>
      </c>
      <c r="B2880" s="0" t="inlineStr">
        <is>
          <t xml:space="preserve">random_19</t>
        </is>
      </c>
      <c r="C2880" s="0" t="inlineStr">
        <is>
          <t xml:space="preserve">d20260923</t>
        </is>
      </c>
      <c r="D2880" s="0" t="inlineStr">
        <is>
          <t xml:space="preserve">VRSK</t>
        </is>
      </c>
      <c r="E2880" s="0" t="inlineStr">
        <is>
          <t xml:space="preserve">technology</t>
        </is>
      </c>
      <c r="F2880" s="4">
        <v>79</v>
      </c>
    </row>
    <row r="2881">
      <c r="A2881" s="0" t="inlineStr">
        <is>
          <t xml:space="preserve">random_19_WEC</t>
        </is>
      </c>
      <c r="B2881" s="0" t="inlineStr">
        <is>
          <t xml:space="preserve">random_19</t>
        </is>
      </c>
      <c r="C2881" s="0" t="inlineStr">
        <is>
          <t xml:space="preserve">d20260923</t>
        </is>
      </c>
      <c r="D2881" s="0" t="inlineStr">
        <is>
          <t xml:space="preserve">WEC</t>
        </is>
      </c>
      <c r="E2881" s="0" t="inlineStr">
        <is>
          <t xml:space="preserve">utilities</t>
        </is>
      </c>
      <c r="F2881" s="4">
        <v>80</v>
      </c>
    </row>
    <row r="2882">
      <c r="A2882" s="0" t="inlineStr">
        <is>
          <t xml:space="preserve">random_19_GOLF</t>
        </is>
      </c>
      <c r="B2882" s="0" t="inlineStr">
        <is>
          <t xml:space="preserve">random_19</t>
        </is>
      </c>
      <c r="C2882" s="0" t="inlineStr">
        <is>
          <t xml:space="preserve">d20260923</t>
        </is>
      </c>
      <c r="D2882" s="0" t="inlineStr">
        <is>
          <t xml:space="preserve">GOLF</t>
        </is>
      </c>
      <c r="E2882" s="0" t="inlineStr">
        <is>
          <t xml:space="preserve">consumer_cyclical</t>
        </is>
      </c>
      <c r="F2882" s="4">
        <v>81</v>
      </c>
    </row>
    <row r="2883">
      <c r="A2883" s="0" t="inlineStr">
        <is>
          <t xml:space="preserve">random_19_ETR</t>
        </is>
      </c>
      <c r="B2883" s="0" t="inlineStr">
        <is>
          <t xml:space="preserve">random_19</t>
        </is>
      </c>
      <c r="C2883" s="0" t="inlineStr">
        <is>
          <t xml:space="preserve">d20260923</t>
        </is>
      </c>
      <c r="D2883" s="0" t="inlineStr">
        <is>
          <t xml:space="preserve">ETR</t>
        </is>
      </c>
      <c r="E2883" s="0" t="inlineStr">
        <is>
          <t xml:space="preserve">utilities</t>
        </is>
      </c>
      <c r="F2883" s="4">
        <v>82</v>
      </c>
    </row>
    <row r="2884">
      <c r="A2884" s="0" t="inlineStr">
        <is>
          <t xml:space="preserve">random_19_FBP</t>
        </is>
      </c>
      <c r="B2884" s="0" t="inlineStr">
        <is>
          <t xml:space="preserve">random_19</t>
        </is>
      </c>
      <c r="C2884" s="0" t="inlineStr">
        <is>
          <t xml:space="preserve">d20260923</t>
        </is>
      </c>
      <c r="D2884" s="0" t="inlineStr">
        <is>
          <t xml:space="preserve">FBP</t>
        </is>
      </c>
      <c r="E2884" s="0" t="inlineStr">
        <is>
          <t xml:space="preserve">financial_services</t>
        </is>
      </c>
      <c r="F2884" s="4">
        <v>83</v>
      </c>
    </row>
    <row r="2885">
      <c r="A2885" s="0" t="inlineStr">
        <is>
          <t xml:space="preserve">random_19_MBGL</t>
        </is>
      </c>
      <c r="B2885" s="0" t="inlineStr">
        <is>
          <t xml:space="preserve">random_19</t>
        </is>
      </c>
      <c r="C2885" s="0" t="inlineStr">
        <is>
          <t xml:space="preserve">d20260923</t>
        </is>
      </c>
      <c r="D2885" s="0" t="inlineStr">
        <is>
          <t xml:space="preserve">MBGL</t>
        </is>
      </c>
      <c r="E2885" s="0" t="inlineStr">
        <is>
          <t xml:space="preserve">technology</t>
        </is>
      </c>
      <c r="F2885" s="4">
        <v>84</v>
      </c>
    </row>
    <row r="2886">
      <c r="A2886" s="0" t="inlineStr">
        <is>
          <t xml:space="preserve">random_19_AKR</t>
        </is>
      </c>
      <c r="B2886" s="0" t="inlineStr">
        <is>
          <t xml:space="preserve">random_19</t>
        </is>
      </c>
      <c r="C2886" s="0" t="inlineStr">
        <is>
          <t xml:space="preserve">d20260923</t>
        </is>
      </c>
      <c r="D2886" s="0" t="inlineStr">
        <is>
          <t xml:space="preserve">AKR</t>
        </is>
      </c>
      <c r="E2886" s="0" t="inlineStr">
        <is>
          <t xml:space="preserve">real_estate</t>
        </is>
      </c>
      <c r="F2886" s="4">
        <v>85</v>
      </c>
    </row>
    <row r="2887">
      <c r="A2887" s="0" t="inlineStr">
        <is>
          <t xml:space="preserve">random_19_CATY</t>
        </is>
      </c>
      <c r="B2887" s="0" t="inlineStr">
        <is>
          <t xml:space="preserve">random_19</t>
        </is>
      </c>
      <c r="C2887" s="0" t="inlineStr">
        <is>
          <t xml:space="preserve">d20260923</t>
        </is>
      </c>
      <c r="D2887" s="0" t="inlineStr">
        <is>
          <t xml:space="preserve">CATY</t>
        </is>
      </c>
      <c r="E2887" s="0" t="inlineStr">
        <is>
          <t xml:space="preserve">financial_services</t>
        </is>
      </c>
      <c r="F2887" s="4">
        <v>86</v>
      </c>
    </row>
    <row r="2888">
      <c r="A2888" s="0" t="inlineStr">
        <is>
          <t xml:space="preserve">random_19_DIS</t>
        </is>
      </c>
      <c r="B2888" s="0" t="inlineStr">
        <is>
          <t xml:space="preserve">random_19</t>
        </is>
      </c>
      <c r="C2888" s="0" t="inlineStr">
        <is>
          <t xml:space="preserve">d20260923</t>
        </is>
      </c>
      <c r="D2888" s="0" t="inlineStr">
        <is>
          <t xml:space="preserve">DIS</t>
        </is>
      </c>
      <c r="E2888" s="0" t="inlineStr">
        <is>
          <t xml:space="preserve">communication_services</t>
        </is>
      </c>
      <c r="F2888" s="4">
        <v>87</v>
      </c>
    </row>
    <row r="2889">
      <c r="A2889" s="0" t="inlineStr">
        <is>
          <t xml:space="preserve">random_19_FUL</t>
        </is>
      </c>
      <c r="B2889" s="0" t="inlineStr">
        <is>
          <t xml:space="preserve">random_19</t>
        </is>
      </c>
      <c r="C2889" s="0" t="inlineStr">
        <is>
          <t xml:space="preserve">d20260923</t>
        </is>
      </c>
      <c r="D2889" s="0" t="inlineStr">
        <is>
          <t xml:space="preserve">FUL</t>
        </is>
      </c>
      <c r="E2889" s="0" t="inlineStr">
        <is>
          <t xml:space="preserve">basic_materials</t>
        </is>
      </c>
      <c r="F2889" s="4">
        <v>88</v>
      </c>
    </row>
    <row r="2890">
      <c r="A2890" s="0" t="inlineStr">
        <is>
          <t xml:space="preserve">random_19_CYTK</t>
        </is>
      </c>
      <c r="B2890" s="0" t="inlineStr">
        <is>
          <t xml:space="preserve">random_19</t>
        </is>
      </c>
      <c r="C2890" s="0" t="inlineStr">
        <is>
          <t xml:space="preserve">d20260923</t>
        </is>
      </c>
      <c r="D2890" s="0" t="inlineStr">
        <is>
          <t xml:space="preserve">CYTK</t>
        </is>
      </c>
      <c r="E2890" s="0" t="inlineStr">
        <is>
          <t xml:space="preserve">healthcare</t>
        </is>
      </c>
      <c r="F2890" s="4">
        <v>89</v>
      </c>
    </row>
    <row r="2891">
      <c r="A2891" s="0" t="inlineStr">
        <is>
          <t xml:space="preserve">random_19_AGNC</t>
        </is>
      </c>
      <c r="B2891" s="0" t="inlineStr">
        <is>
          <t xml:space="preserve">random_19</t>
        </is>
      </c>
      <c r="C2891" s="0" t="inlineStr">
        <is>
          <t xml:space="preserve">d20260923</t>
        </is>
      </c>
      <c r="D2891" s="0" t="inlineStr">
        <is>
          <t xml:space="preserve">AGNC</t>
        </is>
      </c>
      <c r="E2891" s="0" t="inlineStr">
        <is>
          <t xml:space="preserve">real_estate</t>
        </is>
      </c>
      <c r="F2891" s="4">
        <v>90</v>
      </c>
    </row>
    <row r="2892">
      <c r="A2892" s="0" t="inlineStr">
        <is>
          <t xml:space="preserve">random_19_LEU</t>
        </is>
      </c>
      <c r="B2892" s="0" t="inlineStr">
        <is>
          <t xml:space="preserve">random_19</t>
        </is>
      </c>
      <c r="C2892" s="0" t="inlineStr">
        <is>
          <t xml:space="preserve">d20260923</t>
        </is>
      </c>
      <c r="D2892" s="0" t="inlineStr">
        <is>
          <t xml:space="preserve">LEU</t>
        </is>
      </c>
      <c r="E2892" s="0" t="inlineStr">
        <is>
          <t xml:space="preserve">energy</t>
        </is>
      </c>
      <c r="F2892" s="4">
        <v>91</v>
      </c>
    </row>
    <row r="2893">
      <c r="A2893" s="0" t="inlineStr">
        <is>
          <t xml:space="preserve">random_19_AMLX</t>
        </is>
      </c>
      <c r="B2893" s="0" t="inlineStr">
        <is>
          <t xml:space="preserve">random_19</t>
        </is>
      </c>
      <c r="C2893" s="0" t="inlineStr">
        <is>
          <t xml:space="preserve">d20260923</t>
        </is>
      </c>
      <c r="D2893" s="0" t="inlineStr">
        <is>
          <t xml:space="preserve">AMLX</t>
        </is>
      </c>
      <c r="E2893" s="0" t="inlineStr">
        <is>
          <t xml:space="preserve">healthcare</t>
        </is>
      </c>
      <c r="F2893" s="4">
        <v>92</v>
      </c>
    </row>
    <row r="2894">
      <c r="A2894" s="0" t="inlineStr">
        <is>
          <t xml:space="preserve">random_19_HII</t>
        </is>
      </c>
      <c r="B2894" s="0" t="inlineStr">
        <is>
          <t xml:space="preserve">random_19</t>
        </is>
      </c>
      <c r="C2894" s="0" t="inlineStr">
        <is>
          <t xml:space="preserve">d20260923</t>
        </is>
      </c>
      <c r="D2894" s="0" t="inlineStr">
        <is>
          <t xml:space="preserve">HII</t>
        </is>
      </c>
      <c r="E2894" s="0" t="inlineStr">
        <is>
          <t xml:space="preserve">industrials</t>
        </is>
      </c>
      <c r="F2894" s="4">
        <v>93</v>
      </c>
    </row>
    <row r="2895">
      <c r="A2895" s="0" t="inlineStr">
        <is>
          <t xml:space="preserve">random_19_CON</t>
        </is>
      </c>
      <c r="B2895" s="0" t="inlineStr">
        <is>
          <t xml:space="preserve">random_19</t>
        </is>
      </c>
      <c r="C2895" s="0" t="inlineStr">
        <is>
          <t xml:space="preserve">d20260923</t>
        </is>
      </c>
      <c r="D2895" s="0" t="inlineStr">
        <is>
          <t xml:space="preserve">CON</t>
        </is>
      </c>
      <c r="E2895" s="0" t="inlineStr">
        <is>
          <t xml:space="preserve">healthcare</t>
        </is>
      </c>
      <c r="F2895" s="4">
        <v>94</v>
      </c>
    </row>
    <row r="2896">
      <c r="A2896" s="0" t="inlineStr">
        <is>
          <t xml:space="preserve">random_19_WLY</t>
        </is>
      </c>
      <c r="B2896" s="0" t="inlineStr">
        <is>
          <t xml:space="preserve">random_19</t>
        </is>
      </c>
      <c r="C2896" s="0" t="inlineStr">
        <is>
          <t xml:space="preserve">d20260923</t>
        </is>
      </c>
      <c r="D2896" s="0" t="inlineStr">
        <is>
          <t xml:space="preserve">WLY</t>
        </is>
      </c>
      <c r="E2896" s="0" t="inlineStr">
        <is>
          <t xml:space="preserve">communication_services</t>
        </is>
      </c>
      <c r="F2896" s="4">
        <v>95</v>
      </c>
    </row>
    <row r="2897">
      <c r="A2897" s="0" t="inlineStr">
        <is>
          <t xml:space="preserve">random_19_CRUS</t>
        </is>
      </c>
      <c r="B2897" s="0" t="inlineStr">
        <is>
          <t xml:space="preserve">random_19</t>
        </is>
      </c>
      <c r="C2897" s="0" t="inlineStr">
        <is>
          <t xml:space="preserve">d20260923</t>
        </is>
      </c>
      <c r="D2897" s="0" t="inlineStr">
        <is>
          <t xml:space="preserve">CRUS</t>
        </is>
      </c>
      <c r="E2897" s="0" t="inlineStr">
        <is>
          <t xml:space="preserve">technology</t>
        </is>
      </c>
      <c r="F2897" s="4">
        <v>96</v>
      </c>
    </row>
    <row r="2898">
      <c r="A2898" s="0" t="inlineStr">
        <is>
          <t xml:space="preserve">random_19_NTNX</t>
        </is>
      </c>
      <c r="B2898" s="0" t="inlineStr">
        <is>
          <t xml:space="preserve">random_19</t>
        </is>
      </c>
      <c r="C2898" s="0" t="inlineStr">
        <is>
          <t xml:space="preserve">d20260923</t>
        </is>
      </c>
      <c r="D2898" s="0" t="inlineStr">
        <is>
          <t xml:space="preserve">NTNX</t>
        </is>
      </c>
      <c r="E2898" s="0" t="inlineStr">
        <is>
          <t xml:space="preserve">technology</t>
        </is>
      </c>
      <c r="F2898" s="4">
        <v>97</v>
      </c>
    </row>
    <row r="2899">
      <c r="A2899" s="0" t="inlineStr">
        <is>
          <t xml:space="preserve">random_19_GILD</t>
        </is>
      </c>
      <c r="B2899" s="0" t="inlineStr">
        <is>
          <t xml:space="preserve">random_19</t>
        </is>
      </c>
      <c r="C2899" s="0" t="inlineStr">
        <is>
          <t xml:space="preserve">d20260923</t>
        </is>
      </c>
      <c r="D2899" s="0" t="inlineStr">
        <is>
          <t xml:space="preserve">GILD</t>
        </is>
      </c>
      <c r="E2899" s="0" t="inlineStr">
        <is>
          <t xml:space="preserve">healthcare</t>
        </is>
      </c>
      <c r="F2899" s="4">
        <v>98</v>
      </c>
    </row>
    <row r="2900">
      <c r="A2900" s="0" t="inlineStr">
        <is>
          <t xml:space="preserve">random_19_SNOW</t>
        </is>
      </c>
      <c r="B2900" s="0" t="inlineStr">
        <is>
          <t xml:space="preserve">random_19</t>
        </is>
      </c>
      <c r="C2900" s="0" t="inlineStr">
        <is>
          <t xml:space="preserve">d20260923</t>
        </is>
      </c>
      <c r="D2900" s="0" t="inlineStr">
        <is>
          <t xml:space="preserve">SNOW</t>
        </is>
      </c>
      <c r="E2900" s="0" t="inlineStr">
        <is>
          <t xml:space="preserve">technology</t>
        </is>
      </c>
      <c r="F2900" s="4">
        <v>99</v>
      </c>
    </row>
    <row r="2901">
      <c r="A2901" s="0" t="inlineStr">
        <is>
          <t xml:space="preserve">random_19_PFSI</t>
        </is>
      </c>
      <c r="B2901" s="0" t="inlineStr">
        <is>
          <t xml:space="preserve">random_19</t>
        </is>
      </c>
      <c r="C2901" s="0" t="inlineStr">
        <is>
          <t xml:space="preserve">d20260923</t>
        </is>
      </c>
      <c r="D2901" s="0" t="inlineStr">
        <is>
          <t xml:space="preserve">PFSI</t>
        </is>
      </c>
      <c r="E2901" s="0" t="inlineStr">
        <is>
          <t xml:space="preserve">financial_services</t>
        </is>
      </c>
      <c r="F2901" s="4">
        <v>100</v>
      </c>
    </row>
    <row r="2902">
      <c r="A2902" s="0" t="inlineStr">
        <is>
          <t xml:space="preserve">random_20_ORI</t>
        </is>
      </c>
      <c r="B2902" s="0" t="inlineStr">
        <is>
          <t xml:space="preserve">random_20</t>
        </is>
      </c>
      <c r="C2902" s="0" t="inlineStr">
        <is>
          <t xml:space="preserve">d20260923</t>
        </is>
      </c>
      <c r="D2902" s="0" t="inlineStr">
        <is>
          <t xml:space="preserve">ORI</t>
        </is>
      </c>
      <c r="E2902" s="0" t="inlineStr">
        <is>
          <t xml:space="preserve">financial_services</t>
        </is>
      </c>
      <c r="F2902" s="4">
        <v>1</v>
      </c>
    </row>
    <row r="2903">
      <c r="A2903" s="0" t="inlineStr">
        <is>
          <t xml:space="preserve">random_20_AM</t>
        </is>
      </c>
      <c r="B2903" s="0" t="inlineStr">
        <is>
          <t xml:space="preserve">random_20</t>
        </is>
      </c>
      <c r="C2903" s="0" t="inlineStr">
        <is>
          <t xml:space="preserve">d20260923</t>
        </is>
      </c>
      <c r="D2903" s="0" t="inlineStr">
        <is>
          <t xml:space="preserve">AM</t>
        </is>
      </c>
      <c r="E2903" s="0" t="inlineStr">
        <is>
          <t xml:space="preserve">energy</t>
        </is>
      </c>
      <c r="F2903" s="4">
        <v>2</v>
      </c>
    </row>
    <row r="2904">
      <c r="A2904" s="0" t="inlineStr">
        <is>
          <t xml:space="preserve">random_20_LPLA</t>
        </is>
      </c>
      <c r="B2904" s="0" t="inlineStr">
        <is>
          <t xml:space="preserve">random_20</t>
        </is>
      </c>
      <c r="C2904" s="0" t="inlineStr">
        <is>
          <t xml:space="preserve">d20260923</t>
        </is>
      </c>
      <c r="D2904" s="0" t="inlineStr">
        <is>
          <t xml:space="preserve">LPLA</t>
        </is>
      </c>
      <c r="E2904" s="0" t="inlineStr">
        <is>
          <t xml:space="preserve">financial_services</t>
        </is>
      </c>
      <c r="F2904" s="4">
        <v>3</v>
      </c>
    </row>
    <row r="2905">
      <c r="A2905" s="0" t="inlineStr">
        <is>
          <t xml:space="preserve">random_20_ASTS</t>
        </is>
      </c>
      <c r="B2905" s="0" t="inlineStr">
        <is>
          <t xml:space="preserve">random_20</t>
        </is>
      </c>
      <c r="C2905" s="0" t="inlineStr">
        <is>
          <t xml:space="preserve">d20260923</t>
        </is>
      </c>
      <c r="D2905" s="0" t="inlineStr">
        <is>
          <t xml:space="preserve">ASTS</t>
        </is>
      </c>
      <c r="E2905" s="0" t="inlineStr">
        <is>
          <t xml:space="preserve">communication_services</t>
        </is>
      </c>
      <c r="F2905" s="4">
        <v>4</v>
      </c>
    </row>
    <row r="2906">
      <c r="A2906" s="0" t="inlineStr">
        <is>
          <t xml:space="preserve">random_20_MOS</t>
        </is>
      </c>
      <c r="B2906" s="0" t="inlineStr">
        <is>
          <t xml:space="preserve">random_20</t>
        </is>
      </c>
      <c r="C2906" s="0" t="inlineStr">
        <is>
          <t xml:space="preserve">d20260923</t>
        </is>
      </c>
      <c r="D2906" s="0" t="inlineStr">
        <is>
          <t xml:space="preserve">MOS</t>
        </is>
      </c>
      <c r="E2906" s="0" t="inlineStr">
        <is>
          <t xml:space="preserve">basic_materials</t>
        </is>
      </c>
      <c r="F2906" s="4">
        <v>5</v>
      </c>
    </row>
    <row r="2907">
      <c r="A2907" s="0" t="inlineStr">
        <is>
          <t xml:space="preserve">random_20_EROC</t>
        </is>
      </c>
      <c r="B2907" s="0" t="inlineStr">
        <is>
          <t xml:space="preserve">random_20</t>
        </is>
      </c>
      <c r="C2907" s="0" t="inlineStr">
        <is>
          <t xml:space="preserve">d20260923</t>
        </is>
      </c>
      <c r="D2907" s="0" t="inlineStr">
        <is>
          <t xml:space="preserve">EROC</t>
        </is>
      </c>
      <c r="E2907" s="0" t="inlineStr">
        <is>
          <t xml:space="preserve">industrials</t>
        </is>
      </c>
      <c r="F2907" s="4">
        <v>6</v>
      </c>
    </row>
    <row r="2908">
      <c r="A2908" s="0" t="inlineStr">
        <is>
          <t xml:space="preserve">random_20_MTH</t>
        </is>
      </c>
      <c r="B2908" s="0" t="inlineStr">
        <is>
          <t xml:space="preserve">random_20</t>
        </is>
      </c>
      <c r="C2908" s="0" t="inlineStr">
        <is>
          <t xml:space="preserve">d20260923</t>
        </is>
      </c>
      <c r="D2908" s="0" t="inlineStr">
        <is>
          <t xml:space="preserve">MTH</t>
        </is>
      </c>
      <c r="E2908" s="0" t="inlineStr">
        <is>
          <t xml:space="preserve">consumer_cyclical</t>
        </is>
      </c>
      <c r="F2908" s="4">
        <v>7</v>
      </c>
    </row>
    <row r="2909">
      <c r="A2909" s="0" t="inlineStr">
        <is>
          <t xml:space="preserve">random_20_URI</t>
        </is>
      </c>
      <c r="B2909" s="0" t="inlineStr">
        <is>
          <t xml:space="preserve">random_20</t>
        </is>
      </c>
      <c r="C2909" s="0" t="inlineStr">
        <is>
          <t xml:space="preserve">d20260923</t>
        </is>
      </c>
      <c r="D2909" s="0" t="inlineStr">
        <is>
          <t xml:space="preserve">URI</t>
        </is>
      </c>
      <c r="E2909" s="0" t="inlineStr">
        <is>
          <t xml:space="preserve">industrials</t>
        </is>
      </c>
      <c r="F2909" s="4">
        <v>8</v>
      </c>
    </row>
    <row r="2910">
      <c r="A2910" s="0" t="inlineStr">
        <is>
          <t xml:space="preserve">random_20_COO</t>
        </is>
      </c>
      <c r="B2910" s="0" t="inlineStr">
        <is>
          <t xml:space="preserve">random_20</t>
        </is>
      </c>
      <c r="C2910" s="0" t="inlineStr">
        <is>
          <t xml:space="preserve">d20260923</t>
        </is>
      </c>
      <c r="D2910" s="0" t="inlineStr">
        <is>
          <t xml:space="preserve">COO</t>
        </is>
      </c>
      <c r="E2910" s="0" t="inlineStr">
        <is>
          <t xml:space="preserve">healthcare</t>
        </is>
      </c>
      <c r="F2910" s="4">
        <v>9</v>
      </c>
    </row>
    <row r="2911">
      <c r="A2911" s="0" t="inlineStr">
        <is>
          <t xml:space="preserve">random_20_MAR</t>
        </is>
      </c>
      <c r="B2911" s="0" t="inlineStr">
        <is>
          <t xml:space="preserve">random_20</t>
        </is>
      </c>
      <c r="C2911" s="0" t="inlineStr">
        <is>
          <t xml:space="preserve">d20260923</t>
        </is>
      </c>
      <c r="D2911" s="0" t="inlineStr">
        <is>
          <t xml:space="preserve">MAR</t>
        </is>
      </c>
      <c r="E2911" s="0" t="inlineStr">
        <is>
          <t xml:space="preserve">consumer_cyclical</t>
        </is>
      </c>
      <c r="F2911" s="4">
        <v>10</v>
      </c>
    </row>
    <row r="2912">
      <c r="A2912" s="0" t="inlineStr">
        <is>
          <t xml:space="preserve">random_20_AUB</t>
        </is>
      </c>
      <c r="B2912" s="0" t="inlineStr">
        <is>
          <t xml:space="preserve">random_20</t>
        </is>
      </c>
      <c r="C2912" s="0" t="inlineStr">
        <is>
          <t xml:space="preserve">d20260923</t>
        </is>
      </c>
      <c r="D2912" s="0" t="inlineStr">
        <is>
          <t xml:space="preserve">AUB</t>
        </is>
      </c>
      <c r="E2912" s="0" t="inlineStr">
        <is>
          <t xml:space="preserve">financial_services</t>
        </is>
      </c>
      <c r="F2912" s="4">
        <v>11</v>
      </c>
    </row>
    <row r="2913">
      <c r="A2913" s="0" t="inlineStr">
        <is>
          <t xml:space="preserve">random_20_RRC</t>
        </is>
      </c>
      <c r="B2913" s="0" t="inlineStr">
        <is>
          <t xml:space="preserve">random_20</t>
        </is>
      </c>
      <c r="C2913" s="0" t="inlineStr">
        <is>
          <t xml:space="preserve">d20260923</t>
        </is>
      </c>
      <c r="D2913" s="0" t="inlineStr">
        <is>
          <t xml:space="preserve">RRC</t>
        </is>
      </c>
      <c r="E2913" s="0" t="inlineStr">
        <is>
          <t xml:space="preserve">energy</t>
        </is>
      </c>
      <c r="F2913" s="4">
        <v>12</v>
      </c>
    </row>
    <row r="2914">
      <c r="A2914" s="0" t="inlineStr">
        <is>
          <t xml:space="preserve">random_20_SHW</t>
        </is>
      </c>
      <c r="B2914" s="0" t="inlineStr">
        <is>
          <t xml:space="preserve">random_20</t>
        </is>
      </c>
      <c r="C2914" s="0" t="inlineStr">
        <is>
          <t xml:space="preserve">d20260923</t>
        </is>
      </c>
      <c r="D2914" s="0" t="inlineStr">
        <is>
          <t xml:space="preserve">SHW</t>
        </is>
      </c>
      <c r="E2914" s="0" t="inlineStr">
        <is>
          <t xml:space="preserve">basic_materials</t>
        </is>
      </c>
      <c r="F2914" s="4">
        <v>13</v>
      </c>
    </row>
    <row r="2915">
      <c r="A2915" s="0" t="inlineStr">
        <is>
          <t xml:space="preserve">random_20_TDG</t>
        </is>
      </c>
      <c r="B2915" s="0" t="inlineStr">
        <is>
          <t xml:space="preserve">random_20</t>
        </is>
      </c>
      <c r="C2915" s="0" t="inlineStr">
        <is>
          <t xml:space="preserve">d20260923</t>
        </is>
      </c>
      <c r="D2915" s="0" t="inlineStr">
        <is>
          <t xml:space="preserve">TDG</t>
        </is>
      </c>
      <c r="E2915" s="0" t="inlineStr">
        <is>
          <t xml:space="preserve">industrials</t>
        </is>
      </c>
      <c r="F2915" s="4">
        <v>14</v>
      </c>
    </row>
    <row r="2916">
      <c r="A2916" s="0" t="inlineStr">
        <is>
          <t xml:space="preserve">random_20_EXTR</t>
        </is>
      </c>
      <c r="B2916" s="0" t="inlineStr">
        <is>
          <t xml:space="preserve">random_20</t>
        </is>
      </c>
      <c r="C2916" s="0" t="inlineStr">
        <is>
          <t xml:space="preserve">d20260923</t>
        </is>
      </c>
      <c r="D2916" s="0" t="inlineStr">
        <is>
          <t xml:space="preserve">EXTR</t>
        </is>
      </c>
      <c r="E2916" s="0" t="inlineStr">
        <is>
          <t xml:space="preserve">technology</t>
        </is>
      </c>
      <c r="F2916" s="4">
        <v>15</v>
      </c>
    </row>
    <row r="2917">
      <c r="A2917" s="0" t="inlineStr">
        <is>
          <t xml:space="preserve">random_20_EPR</t>
        </is>
      </c>
      <c r="B2917" s="0" t="inlineStr">
        <is>
          <t xml:space="preserve">random_20</t>
        </is>
      </c>
      <c r="C2917" s="0" t="inlineStr">
        <is>
          <t xml:space="preserve">d20260923</t>
        </is>
      </c>
      <c r="D2917" s="0" t="inlineStr">
        <is>
          <t xml:space="preserve">EPR</t>
        </is>
      </c>
      <c r="E2917" s="0" t="inlineStr">
        <is>
          <t xml:space="preserve">real_estate</t>
        </is>
      </c>
      <c r="F2917" s="4">
        <v>16</v>
      </c>
    </row>
    <row r="2918">
      <c r="A2918" s="0" t="inlineStr">
        <is>
          <t xml:space="preserve">random_20_TPL</t>
        </is>
      </c>
      <c r="B2918" s="0" t="inlineStr">
        <is>
          <t xml:space="preserve">random_20</t>
        </is>
      </c>
      <c r="C2918" s="0" t="inlineStr">
        <is>
          <t xml:space="preserve">d20260923</t>
        </is>
      </c>
      <c r="D2918" s="0" t="inlineStr">
        <is>
          <t xml:space="preserve">TPL</t>
        </is>
      </c>
      <c r="E2918" s="0" t="inlineStr">
        <is>
          <t xml:space="preserve">energy</t>
        </is>
      </c>
      <c r="F2918" s="4">
        <v>17</v>
      </c>
    </row>
    <row r="2919">
      <c r="A2919" s="0" t="inlineStr">
        <is>
          <t xml:space="preserve">random_20_AXP</t>
        </is>
      </c>
      <c r="B2919" s="0" t="inlineStr">
        <is>
          <t xml:space="preserve">random_20</t>
        </is>
      </c>
      <c r="C2919" s="0" t="inlineStr">
        <is>
          <t xml:space="preserve">d20260923</t>
        </is>
      </c>
      <c r="D2919" s="0" t="inlineStr">
        <is>
          <t xml:space="preserve">AXP</t>
        </is>
      </c>
      <c r="E2919" s="0" t="inlineStr">
        <is>
          <t xml:space="preserve">financial_services</t>
        </is>
      </c>
      <c r="F2919" s="4">
        <v>18</v>
      </c>
    </row>
    <row r="2920">
      <c r="A2920" s="0" t="inlineStr">
        <is>
          <t xml:space="preserve">random_20_ATO</t>
        </is>
      </c>
      <c r="B2920" s="0" t="inlineStr">
        <is>
          <t xml:space="preserve">random_20</t>
        </is>
      </c>
      <c r="C2920" s="0" t="inlineStr">
        <is>
          <t xml:space="preserve">d20260923</t>
        </is>
      </c>
      <c r="D2920" s="0" t="inlineStr">
        <is>
          <t xml:space="preserve">ATO</t>
        </is>
      </c>
      <c r="E2920" s="0" t="inlineStr">
        <is>
          <t xml:space="preserve">utilities</t>
        </is>
      </c>
      <c r="F2920" s="4">
        <v>19</v>
      </c>
    </row>
    <row r="2921">
      <c r="A2921" s="0" t="inlineStr">
        <is>
          <t xml:space="preserve">random_20_DRS</t>
        </is>
      </c>
      <c r="B2921" s="0" t="inlineStr">
        <is>
          <t xml:space="preserve">random_20</t>
        </is>
      </c>
      <c r="C2921" s="0" t="inlineStr">
        <is>
          <t xml:space="preserve">d20260923</t>
        </is>
      </c>
      <c r="D2921" s="0" t="inlineStr">
        <is>
          <t xml:space="preserve">DRS</t>
        </is>
      </c>
      <c r="E2921" s="0" t="inlineStr">
        <is>
          <t xml:space="preserve">industrials</t>
        </is>
      </c>
      <c r="F2921" s="4">
        <v>20</v>
      </c>
    </row>
    <row r="2922">
      <c r="A2922" s="0" t="inlineStr">
        <is>
          <t xml:space="preserve">random_20_PYPL</t>
        </is>
      </c>
      <c r="B2922" s="0" t="inlineStr">
        <is>
          <t xml:space="preserve">random_20</t>
        </is>
      </c>
      <c r="C2922" s="0" t="inlineStr">
        <is>
          <t xml:space="preserve">d20260923</t>
        </is>
      </c>
      <c r="D2922" s="0" t="inlineStr">
        <is>
          <t xml:space="preserve">PYPL</t>
        </is>
      </c>
      <c r="E2922" s="0" t="inlineStr">
        <is>
          <t xml:space="preserve">financial_services</t>
        </is>
      </c>
      <c r="F2922" s="4">
        <v>21</v>
      </c>
    </row>
    <row r="2923">
      <c r="A2923" s="0" t="inlineStr">
        <is>
          <t xml:space="preserve">random_20_MP</t>
        </is>
      </c>
      <c r="B2923" s="0" t="inlineStr">
        <is>
          <t xml:space="preserve">random_20</t>
        </is>
      </c>
      <c r="C2923" s="0" t="inlineStr">
        <is>
          <t xml:space="preserve">d20260923</t>
        </is>
      </c>
      <c r="D2923" s="0" t="inlineStr">
        <is>
          <t xml:space="preserve">MP</t>
        </is>
      </c>
      <c r="E2923" s="0" t="inlineStr">
        <is>
          <t xml:space="preserve">basic_materials</t>
        </is>
      </c>
      <c r="F2923" s="4">
        <v>22</v>
      </c>
    </row>
    <row r="2924">
      <c r="A2924" s="0" t="inlineStr">
        <is>
          <t xml:space="preserve">random_20_JKHY</t>
        </is>
      </c>
      <c r="B2924" s="0" t="inlineStr">
        <is>
          <t xml:space="preserve">random_20</t>
        </is>
      </c>
      <c r="C2924" s="0" t="inlineStr">
        <is>
          <t xml:space="preserve">d20260923</t>
        </is>
      </c>
      <c r="D2924" s="0" t="inlineStr">
        <is>
          <t xml:space="preserve">JKHY</t>
        </is>
      </c>
      <c r="E2924" s="0" t="inlineStr">
        <is>
          <t xml:space="preserve">technology</t>
        </is>
      </c>
      <c r="F2924" s="4">
        <v>23</v>
      </c>
    </row>
    <row r="2925">
      <c r="A2925" s="0" t="inlineStr">
        <is>
          <t xml:space="preserve">random_20_GILD</t>
        </is>
      </c>
      <c r="B2925" s="0" t="inlineStr">
        <is>
          <t xml:space="preserve">random_20</t>
        </is>
      </c>
      <c r="C2925" s="0" t="inlineStr">
        <is>
          <t xml:space="preserve">d20260923</t>
        </is>
      </c>
      <c r="D2925" s="0" t="inlineStr">
        <is>
          <t xml:space="preserve">GILD</t>
        </is>
      </c>
      <c r="E2925" s="0" t="inlineStr">
        <is>
          <t xml:space="preserve">healthcare</t>
        </is>
      </c>
      <c r="F2925" s="4">
        <v>24</v>
      </c>
    </row>
    <row r="2926">
      <c r="A2926" s="0" t="inlineStr">
        <is>
          <t xml:space="preserve">random_20_AWK</t>
        </is>
      </c>
      <c r="B2926" s="0" t="inlineStr">
        <is>
          <t xml:space="preserve">random_20</t>
        </is>
      </c>
      <c r="C2926" s="0" t="inlineStr">
        <is>
          <t xml:space="preserve">d20260923</t>
        </is>
      </c>
      <c r="D2926" s="0" t="inlineStr">
        <is>
          <t xml:space="preserve">AWK</t>
        </is>
      </c>
      <c r="E2926" s="0" t="inlineStr">
        <is>
          <t xml:space="preserve">utilities</t>
        </is>
      </c>
      <c r="F2926" s="4">
        <v>25</v>
      </c>
    </row>
    <row r="2927">
      <c r="A2927" s="0" t="inlineStr">
        <is>
          <t xml:space="preserve">random_20_ALLY</t>
        </is>
      </c>
      <c r="B2927" s="0" t="inlineStr">
        <is>
          <t xml:space="preserve">random_20</t>
        </is>
      </c>
      <c r="C2927" s="0" t="inlineStr">
        <is>
          <t xml:space="preserve">d20260923</t>
        </is>
      </c>
      <c r="D2927" s="0" t="inlineStr">
        <is>
          <t xml:space="preserve">ALLY</t>
        </is>
      </c>
      <c r="E2927" s="0" t="inlineStr">
        <is>
          <t xml:space="preserve">financial_services</t>
        </is>
      </c>
      <c r="F2927" s="4">
        <v>26</v>
      </c>
    </row>
    <row r="2928">
      <c r="A2928" s="0" t="inlineStr">
        <is>
          <t xml:space="preserve">random_20_CYTK</t>
        </is>
      </c>
      <c r="B2928" s="0" t="inlineStr">
        <is>
          <t xml:space="preserve">random_20</t>
        </is>
      </c>
      <c r="C2928" s="0" t="inlineStr">
        <is>
          <t xml:space="preserve">d20260923</t>
        </is>
      </c>
      <c r="D2928" s="0" t="inlineStr">
        <is>
          <t xml:space="preserve">CYTK</t>
        </is>
      </c>
      <c r="E2928" s="0" t="inlineStr">
        <is>
          <t xml:space="preserve">healthcare</t>
        </is>
      </c>
      <c r="F2928" s="4">
        <v>27</v>
      </c>
    </row>
    <row r="2929">
      <c r="A2929" s="0" t="inlineStr">
        <is>
          <t xml:space="preserve">random_20_LION</t>
        </is>
      </c>
      <c r="B2929" s="0" t="inlineStr">
        <is>
          <t xml:space="preserve">random_20</t>
        </is>
      </c>
      <c r="C2929" s="0" t="inlineStr">
        <is>
          <t xml:space="preserve">d20260923</t>
        </is>
      </c>
      <c r="D2929" s="0" t="inlineStr">
        <is>
          <t xml:space="preserve">LION</t>
        </is>
      </c>
      <c r="E2929" s="0" t="inlineStr">
        <is>
          <t xml:space="preserve">technology</t>
        </is>
      </c>
      <c r="F2929" s="4">
        <v>28</v>
      </c>
    </row>
    <row r="2930">
      <c r="A2930" s="0" t="inlineStr">
        <is>
          <t xml:space="preserve">random_20_ILMN</t>
        </is>
      </c>
      <c r="B2930" s="0" t="inlineStr">
        <is>
          <t xml:space="preserve">random_20</t>
        </is>
      </c>
      <c r="C2930" s="0" t="inlineStr">
        <is>
          <t xml:space="preserve">d20260923</t>
        </is>
      </c>
      <c r="D2930" s="0" t="inlineStr">
        <is>
          <t xml:space="preserve">ILMN</t>
        </is>
      </c>
      <c r="E2930" s="0" t="inlineStr">
        <is>
          <t xml:space="preserve">healthcare</t>
        </is>
      </c>
      <c r="F2930" s="4">
        <v>29</v>
      </c>
    </row>
    <row r="2931">
      <c r="A2931" s="0" t="inlineStr">
        <is>
          <t xml:space="preserve">random_20_NN</t>
        </is>
      </c>
      <c r="B2931" s="0" t="inlineStr">
        <is>
          <t xml:space="preserve">random_20</t>
        </is>
      </c>
      <c r="C2931" s="0" t="inlineStr">
        <is>
          <t xml:space="preserve">d20260923</t>
        </is>
      </c>
      <c r="D2931" s="0" t="inlineStr">
        <is>
          <t xml:space="preserve">NN</t>
        </is>
      </c>
      <c r="E2931" s="0" t="inlineStr">
        <is>
          <t xml:space="preserve">technology</t>
        </is>
      </c>
      <c r="F2931" s="4">
        <v>30</v>
      </c>
    </row>
    <row r="2932">
      <c r="A2932" s="0" t="inlineStr">
        <is>
          <t xml:space="preserve">random_20_RSI</t>
        </is>
      </c>
      <c r="B2932" s="0" t="inlineStr">
        <is>
          <t xml:space="preserve">random_20</t>
        </is>
      </c>
      <c r="C2932" s="0" t="inlineStr">
        <is>
          <t xml:space="preserve">d20260923</t>
        </is>
      </c>
      <c r="D2932" s="0" t="inlineStr">
        <is>
          <t xml:space="preserve">RSI</t>
        </is>
      </c>
      <c r="E2932" s="0" t="inlineStr">
        <is>
          <t xml:space="preserve">consumer_cyclical</t>
        </is>
      </c>
      <c r="F2932" s="4">
        <v>31</v>
      </c>
    </row>
    <row r="2933">
      <c r="A2933" s="0" t="inlineStr">
        <is>
          <t xml:space="preserve">random_20_IPGP</t>
        </is>
      </c>
      <c r="B2933" s="0" t="inlineStr">
        <is>
          <t xml:space="preserve">random_20</t>
        </is>
      </c>
      <c r="C2933" s="0" t="inlineStr">
        <is>
          <t xml:space="preserve">d20260923</t>
        </is>
      </c>
      <c r="D2933" s="0" t="inlineStr">
        <is>
          <t xml:space="preserve">IPGP</t>
        </is>
      </c>
      <c r="E2933" s="0" t="inlineStr">
        <is>
          <t xml:space="preserve">technology</t>
        </is>
      </c>
      <c r="F2933" s="4">
        <v>32</v>
      </c>
    </row>
    <row r="2934">
      <c r="A2934" s="0" t="inlineStr">
        <is>
          <t xml:space="preserve">random_20_CFR</t>
        </is>
      </c>
      <c r="B2934" s="0" t="inlineStr">
        <is>
          <t xml:space="preserve">random_20</t>
        </is>
      </c>
      <c r="C2934" s="0" t="inlineStr">
        <is>
          <t xml:space="preserve">d20260923</t>
        </is>
      </c>
      <c r="D2934" s="0" t="inlineStr">
        <is>
          <t xml:space="preserve">CFR</t>
        </is>
      </c>
      <c r="E2934" s="0" t="inlineStr">
        <is>
          <t xml:space="preserve">financial_services</t>
        </is>
      </c>
      <c r="F2934" s="4">
        <v>33</v>
      </c>
    </row>
    <row r="2935">
      <c r="A2935" s="0" t="inlineStr">
        <is>
          <t xml:space="preserve">random_20_CCL</t>
        </is>
      </c>
      <c r="B2935" s="0" t="inlineStr">
        <is>
          <t xml:space="preserve">random_20</t>
        </is>
      </c>
      <c r="C2935" s="0" t="inlineStr">
        <is>
          <t xml:space="preserve">d20260923</t>
        </is>
      </c>
      <c r="D2935" s="0" t="inlineStr">
        <is>
          <t xml:space="preserve">CCL</t>
        </is>
      </c>
      <c r="E2935" s="0" t="inlineStr">
        <is>
          <t xml:space="preserve">consumer_cyclical</t>
        </is>
      </c>
      <c r="F2935" s="4">
        <v>34</v>
      </c>
    </row>
    <row r="2936">
      <c r="A2936" s="0" t="inlineStr">
        <is>
          <t xml:space="preserve">random_20_MDU</t>
        </is>
      </c>
      <c r="B2936" s="0" t="inlineStr">
        <is>
          <t xml:space="preserve">random_20</t>
        </is>
      </c>
      <c r="C2936" s="0" t="inlineStr">
        <is>
          <t xml:space="preserve">d20260923</t>
        </is>
      </c>
      <c r="D2936" s="0" t="inlineStr">
        <is>
          <t xml:space="preserve">MDU</t>
        </is>
      </c>
      <c r="E2936" s="0" t="inlineStr">
        <is>
          <t xml:space="preserve">utilities</t>
        </is>
      </c>
      <c r="F2936" s="4">
        <v>35</v>
      </c>
    </row>
    <row r="2937">
      <c r="A2937" s="0" t="inlineStr">
        <is>
          <t xml:space="preserve">random_20_AAOI</t>
        </is>
      </c>
      <c r="B2937" s="0" t="inlineStr">
        <is>
          <t xml:space="preserve">random_20</t>
        </is>
      </c>
      <c r="C2937" s="0" t="inlineStr">
        <is>
          <t xml:space="preserve">d20260923</t>
        </is>
      </c>
      <c r="D2937" s="0" t="inlineStr">
        <is>
          <t xml:space="preserve">AAOI</t>
        </is>
      </c>
      <c r="E2937" s="0" t="inlineStr">
        <is>
          <t xml:space="preserve">technology</t>
        </is>
      </c>
      <c r="F2937" s="4">
        <v>36</v>
      </c>
    </row>
    <row r="2938">
      <c r="A2938" s="0" t="inlineStr">
        <is>
          <t xml:space="preserve">random_20_ASB</t>
        </is>
      </c>
      <c r="B2938" s="0" t="inlineStr">
        <is>
          <t xml:space="preserve">random_20</t>
        </is>
      </c>
      <c r="C2938" s="0" t="inlineStr">
        <is>
          <t xml:space="preserve">d20260923</t>
        </is>
      </c>
      <c r="D2938" s="0" t="inlineStr">
        <is>
          <t xml:space="preserve">ASB</t>
        </is>
      </c>
      <c r="E2938" s="0" t="inlineStr">
        <is>
          <t xml:space="preserve">financial_services</t>
        </is>
      </c>
      <c r="F2938" s="4">
        <v>37</v>
      </c>
    </row>
    <row r="2939">
      <c r="A2939" s="0" t="inlineStr">
        <is>
          <t xml:space="preserve">random_20_HII</t>
        </is>
      </c>
      <c r="B2939" s="0" t="inlineStr">
        <is>
          <t xml:space="preserve">random_20</t>
        </is>
      </c>
      <c r="C2939" s="0" t="inlineStr">
        <is>
          <t xml:space="preserve">d20260923</t>
        </is>
      </c>
      <c r="D2939" s="0" t="inlineStr">
        <is>
          <t xml:space="preserve">HII</t>
        </is>
      </c>
      <c r="E2939" s="0" t="inlineStr">
        <is>
          <t xml:space="preserve">industrials</t>
        </is>
      </c>
      <c r="F2939" s="4">
        <v>38</v>
      </c>
    </row>
    <row r="2940">
      <c r="A2940" s="0" t="inlineStr">
        <is>
          <t xml:space="preserve">random_20_BTU</t>
        </is>
      </c>
      <c r="B2940" s="0" t="inlineStr">
        <is>
          <t xml:space="preserve">random_20</t>
        </is>
      </c>
      <c r="C2940" s="0" t="inlineStr">
        <is>
          <t xml:space="preserve">d20260923</t>
        </is>
      </c>
      <c r="D2940" s="0" t="inlineStr">
        <is>
          <t xml:space="preserve">BTU</t>
        </is>
      </c>
      <c r="E2940" s="0" t="inlineStr">
        <is>
          <t xml:space="preserve">energy</t>
        </is>
      </c>
      <c r="F2940" s="4">
        <v>39</v>
      </c>
    </row>
    <row r="2941">
      <c r="A2941" s="0" t="inlineStr">
        <is>
          <t xml:space="preserve">random_20_ZION</t>
        </is>
      </c>
      <c r="B2941" s="0" t="inlineStr">
        <is>
          <t xml:space="preserve">random_20</t>
        </is>
      </c>
      <c r="C2941" s="0" t="inlineStr">
        <is>
          <t xml:space="preserve">d20260923</t>
        </is>
      </c>
      <c r="D2941" s="0" t="inlineStr">
        <is>
          <t xml:space="preserve">ZION</t>
        </is>
      </c>
      <c r="E2941" s="0" t="inlineStr">
        <is>
          <t xml:space="preserve">financial_services</t>
        </is>
      </c>
      <c r="F2941" s="4">
        <v>40</v>
      </c>
    </row>
    <row r="2942">
      <c r="A2942" s="0" t="inlineStr">
        <is>
          <t xml:space="preserve">random_20_UBER</t>
        </is>
      </c>
      <c r="B2942" s="0" t="inlineStr">
        <is>
          <t xml:space="preserve">random_20</t>
        </is>
      </c>
      <c r="C2942" s="0" t="inlineStr">
        <is>
          <t xml:space="preserve">d20260923</t>
        </is>
      </c>
      <c r="D2942" s="0" t="inlineStr">
        <is>
          <t xml:space="preserve">UBER</t>
        </is>
      </c>
      <c r="E2942" s="0" t="inlineStr">
        <is>
          <t xml:space="preserve">technology</t>
        </is>
      </c>
      <c r="F2942" s="4">
        <v>41</v>
      </c>
    </row>
    <row r="2943">
      <c r="A2943" s="0" t="inlineStr">
        <is>
          <t xml:space="preserve">random_20_VSNT</t>
        </is>
      </c>
      <c r="B2943" s="0" t="inlineStr">
        <is>
          <t xml:space="preserve">random_20</t>
        </is>
      </c>
      <c r="C2943" s="0" t="inlineStr">
        <is>
          <t xml:space="preserve">d20260923</t>
        </is>
      </c>
      <c r="D2943" s="0" t="inlineStr">
        <is>
          <t xml:space="preserve">VSNT</t>
        </is>
      </c>
      <c r="E2943" s="0" t="inlineStr">
        <is>
          <t xml:space="preserve">communication_services</t>
        </is>
      </c>
      <c r="F2943" s="4">
        <v>42</v>
      </c>
    </row>
    <row r="2944">
      <c r="A2944" s="0" t="inlineStr">
        <is>
          <t xml:space="preserve">random_20_PAA</t>
        </is>
      </c>
      <c r="B2944" s="0" t="inlineStr">
        <is>
          <t xml:space="preserve">random_20</t>
        </is>
      </c>
      <c r="C2944" s="0" t="inlineStr">
        <is>
          <t xml:space="preserve">d20260923</t>
        </is>
      </c>
      <c r="D2944" s="0" t="inlineStr">
        <is>
          <t xml:space="preserve">PAA</t>
        </is>
      </c>
      <c r="E2944" s="0" t="inlineStr">
        <is>
          <t xml:space="preserve">energy</t>
        </is>
      </c>
      <c r="F2944" s="4">
        <v>43</v>
      </c>
    </row>
    <row r="2945">
      <c r="A2945" s="0" t="inlineStr">
        <is>
          <t xml:space="preserve">random_20_SMCI</t>
        </is>
      </c>
      <c r="B2945" s="0" t="inlineStr">
        <is>
          <t xml:space="preserve">random_20</t>
        </is>
      </c>
      <c r="C2945" s="0" t="inlineStr">
        <is>
          <t xml:space="preserve">d20260923</t>
        </is>
      </c>
      <c r="D2945" s="0" t="inlineStr">
        <is>
          <t xml:space="preserve">SMCI</t>
        </is>
      </c>
      <c r="E2945" s="0" t="inlineStr">
        <is>
          <t xml:space="preserve">technology</t>
        </is>
      </c>
      <c r="F2945" s="4">
        <v>44</v>
      </c>
    </row>
    <row r="2946">
      <c r="A2946" s="0" t="inlineStr">
        <is>
          <t xml:space="preserve">random_20_TRGP</t>
        </is>
      </c>
      <c r="B2946" s="0" t="inlineStr">
        <is>
          <t xml:space="preserve">random_20</t>
        </is>
      </c>
      <c r="C2946" s="0" t="inlineStr">
        <is>
          <t xml:space="preserve">d20260923</t>
        </is>
      </c>
      <c r="D2946" s="0" t="inlineStr">
        <is>
          <t xml:space="preserve">TRGP</t>
        </is>
      </c>
      <c r="E2946" s="0" t="inlineStr">
        <is>
          <t xml:space="preserve">energy</t>
        </is>
      </c>
      <c r="F2946" s="4">
        <v>45</v>
      </c>
    </row>
    <row r="2947">
      <c r="A2947" s="0" t="inlineStr">
        <is>
          <t xml:space="preserve">random_20_EW</t>
        </is>
      </c>
      <c r="B2947" s="0" t="inlineStr">
        <is>
          <t xml:space="preserve">random_20</t>
        </is>
      </c>
      <c r="C2947" s="0" t="inlineStr">
        <is>
          <t xml:space="preserve">d20260923</t>
        </is>
      </c>
      <c r="D2947" s="0" t="inlineStr">
        <is>
          <t xml:space="preserve">EW</t>
        </is>
      </c>
      <c r="E2947" s="0" t="inlineStr">
        <is>
          <t xml:space="preserve">healthcare</t>
        </is>
      </c>
      <c r="F2947" s="4">
        <v>46</v>
      </c>
    </row>
    <row r="2948">
      <c r="A2948" s="0" t="inlineStr">
        <is>
          <t xml:space="preserve">random_20_CPNG</t>
        </is>
      </c>
      <c r="B2948" s="0" t="inlineStr">
        <is>
          <t xml:space="preserve">random_20</t>
        </is>
      </c>
      <c r="C2948" s="0" t="inlineStr">
        <is>
          <t xml:space="preserve">d20260923</t>
        </is>
      </c>
      <c r="D2948" s="0" t="inlineStr">
        <is>
          <t xml:space="preserve">CPNG</t>
        </is>
      </c>
      <c r="E2948" s="0" t="inlineStr">
        <is>
          <t xml:space="preserve">consumer_cyclical</t>
        </is>
      </c>
      <c r="F2948" s="4">
        <v>47</v>
      </c>
    </row>
    <row r="2949">
      <c r="A2949" s="0" t="inlineStr">
        <is>
          <t xml:space="preserve">random_20_OGN</t>
        </is>
      </c>
      <c r="B2949" s="0" t="inlineStr">
        <is>
          <t xml:space="preserve">random_20</t>
        </is>
      </c>
      <c r="C2949" s="0" t="inlineStr">
        <is>
          <t xml:space="preserve">d20260923</t>
        </is>
      </c>
      <c r="D2949" s="0" t="inlineStr">
        <is>
          <t xml:space="preserve">OGN</t>
        </is>
      </c>
      <c r="E2949" s="0" t="inlineStr">
        <is>
          <t xml:space="preserve">healthcare</t>
        </is>
      </c>
      <c r="F2949" s="4">
        <v>48</v>
      </c>
    </row>
    <row r="2950">
      <c r="A2950" s="0" t="inlineStr">
        <is>
          <t xml:space="preserve">random_20_CPAY</t>
        </is>
      </c>
      <c r="B2950" s="0" t="inlineStr">
        <is>
          <t xml:space="preserve">random_20</t>
        </is>
      </c>
      <c r="C2950" s="0" t="inlineStr">
        <is>
          <t xml:space="preserve">d20260923</t>
        </is>
      </c>
      <c r="D2950" s="0" t="inlineStr">
        <is>
          <t xml:space="preserve">CPAY</t>
        </is>
      </c>
      <c r="E2950" s="0" t="inlineStr">
        <is>
          <t xml:space="preserve">technology</t>
        </is>
      </c>
      <c r="F2950" s="4">
        <v>49</v>
      </c>
    </row>
    <row r="2951">
      <c r="A2951" s="0" t="inlineStr">
        <is>
          <t xml:space="preserve">random_20_LTC</t>
        </is>
      </c>
      <c r="B2951" s="0" t="inlineStr">
        <is>
          <t xml:space="preserve">random_20</t>
        </is>
      </c>
      <c r="C2951" s="0" t="inlineStr">
        <is>
          <t xml:space="preserve">d20260923</t>
        </is>
      </c>
      <c r="D2951" s="0" t="inlineStr">
        <is>
          <t xml:space="preserve">LTC</t>
        </is>
      </c>
      <c r="E2951" s="0" t="inlineStr">
        <is>
          <t xml:space="preserve">real_estate</t>
        </is>
      </c>
      <c r="F2951" s="4">
        <v>50</v>
      </c>
    </row>
    <row r="2952">
      <c r="A2952" s="0" t="inlineStr">
        <is>
          <t xml:space="preserve">random_20_IQV</t>
        </is>
      </c>
      <c r="B2952" s="0" t="inlineStr">
        <is>
          <t xml:space="preserve">random_20</t>
        </is>
      </c>
      <c r="C2952" s="0" t="inlineStr">
        <is>
          <t xml:space="preserve">d20260923</t>
        </is>
      </c>
      <c r="D2952" s="0" t="inlineStr">
        <is>
          <t xml:space="preserve">IQV</t>
        </is>
      </c>
      <c r="E2952" s="0" t="inlineStr">
        <is>
          <t xml:space="preserve">healthcare</t>
        </is>
      </c>
      <c r="F2952" s="4">
        <v>51</v>
      </c>
    </row>
    <row r="2953">
      <c r="A2953" s="0" t="inlineStr">
        <is>
          <t xml:space="preserve">random_20_FND</t>
        </is>
      </c>
      <c r="B2953" s="0" t="inlineStr">
        <is>
          <t xml:space="preserve">random_20</t>
        </is>
      </c>
      <c r="C2953" s="0" t="inlineStr">
        <is>
          <t xml:space="preserve">d20260923</t>
        </is>
      </c>
      <c r="D2953" s="0" t="inlineStr">
        <is>
          <t xml:space="preserve">FND</t>
        </is>
      </c>
      <c r="E2953" s="0" t="inlineStr">
        <is>
          <t xml:space="preserve">consumer_cyclical</t>
        </is>
      </c>
      <c r="F2953" s="4">
        <v>52</v>
      </c>
    </row>
    <row r="2954">
      <c r="A2954" s="0" t="inlineStr">
        <is>
          <t xml:space="preserve">random_20_HTGC</t>
        </is>
      </c>
      <c r="B2954" s="0" t="inlineStr">
        <is>
          <t xml:space="preserve">random_20</t>
        </is>
      </c>
      <c r="C2954" s="0" t="inlineStr">
        <is>
          <t xml:space="preserve">d20260923</t>
        </is>
      </c>
      <c r="D2954" s="0" t="inlineStr">
        <is>
          <t xml:space="preserve">HTGC</t>
        </is>
      </c>
      <c r="E2954" s="0" t="inlineStr">
        <is>
          <t xml:space="preserve">financial_services</t>
        </is>
      </c>
      <c r="F2954" s="4">
        <v>53</v>
      </c>
    </row>
    <row r="2955">
      <c r="A2955" s="0" t="inlineStr">
        <is>
          <t xml:space="preserve">random_20_GM</t>
        </is>
      </c>
      <c r="B2955" s="0" t="inlineStr">
        <is>
          <t xml:space="preserve">random_20</t>
        </is>
      </c>
      <c r="C2955" s="0" t="inlineStr">
        <is>
          <t xml:space="preserve">d20260923</t>
        </is>
      </c>
      <c r="D2955" s="0" t="inlineStr">
        <is>
          <t xml:space="preserve">GM</t>
        </is>
      </c>
      <c r="E2955" s="0" t="inlineStr">
        <is>
          <t xml:space="preserve">consumer_cyclical</t>
        </is>
      </c>
      <c r="F2955" s="4">
        <v>54</v>
      </c>
    </row>
    <row r="2956">
      <c r="A2956" s="0" t="inlineStr">
        <is>
          <t xml:space="preserve">random_20_VICI</t>
        </is>
      </c>
      <c r="B2956" s="0" t="inlineStr">
        <is>
          <t xml:space="preserve">random_20</t>
        </is>
      </c>
      <c r="C2956" s="0" t="inlineStr">
        <is>
          <t xml:space="preserve">d20260923</t>
        </is>
      </c>
      <c r="D2956" s="0" t="inlineStr">
        <is>
          <t xml:space="preserve">VICI</t>
        </is>
      </c>
      <c r="E2956" s="0" t="inlineStr">
        <is>
          <t xml:space="preserve">real_estate</t>
        </is>
      </c>
      <c r="F2956" s="4">
        <v>55</v>
      </c>
    </row>
    <row r="2957">
      <c r="A2957" s="0" t="inlineStr">
        <is>
          <t xml:space="preserve">random_20_ITGR</t>
        </is>
      </c>
      <c r="B2957" s="0" t="inlineStr">
        <is>
          <t xml:space="preserve">random_20</t>
        </is>
      </c>
      <c r="C2957" s="0" t="inlineStr">
        <is>
          <t xml:space="preserve">d20260923</t>
        </is>
      </c>
      <c r="D2957" s="0" t="inlineStr">
        <is>
          <t xml:space="preserve">ITGR</t>
        </is>
      </c>
      <c r="E2957" s="0" t="inlineStr">
        <is>
          <t xml:space="preserve">healthcare</t>
        </is>
      </c>
      <c r="F2957" s="4">
        <v>56</v>
      </c>
    </row>
    <row r="2958">
      <c r="A2958" s="0" t="inlineStr">
        <is>
          <t xml:space="preserve">random_20_GEHC</t>
        </is>
      </c>
      <c r="B2958" s="0" t="inlineStr">
        <is>
          <t xml:space="preserve">random_20</t>
        </is>
      </c>
      <c r="C2958" s="0" t="inlineStr">
        <is>
          <t xml:space="preserve">d20260923</t>
        </is>
      </c>
      <c r="D2958" s="0" t="inlineStr">
        <is>
          <t xml:space="preserve">GEHC</t>
        </is>
      </c>
      <c r="E2958" s="0" t="inlineStr">
        <is>
          <t xml:space="preserve">healthcare</t>
        </is>
      </c>
      <c r="F2958" s="4">
        <v>57</v>
      </c>
    </row>
    <row r="2959">
      <c r="A2959" s="0" t="inlineStr">
        <is>
          <t xml:space="preserve">random_20_GOLF</t>
        </is>
      </c>
      <c r="B2959" s="0" t="inlineStr">
        <is>
          <t xml:space="preserve">random_20</t>
        </is>
      </c>
      <c r="C2959" s="0" t="inlineStr">
        <is>
          <t xml:space="preserve">d20260923</t>
        </is>
      </c>
      <c r="D2959" s="0" t="inlineStr">
        <is>
          <t xml:space="preserve">GOLF</t>
        </is>
      </c>
      <c r="E2959" s="0" t="inlineStr">
        <is>
          <t xml:space="preserve">consumer_cyclical</t>
        </is>
      </c>
      <c r="F2959" s="4">
        <v>58</v>
      </c>
    </row>
    <row r="2960">
      <c r="A2960" s="0" t="inlineStr">
        <is>
          <t xml:space="preserve">random_20_CW</t>
        </is>
      </c>
      <c r="B2960" s="0" t="inlineStr">
        <is>
          <t xml:space="preserve">random_20</t>
        </is>
      </c>
      <c r="C2960" s="0" t="inlineStr">
        <is>
          <t xml:space="preserve">d20260923</t>
        </is>
      </c>
      <c r="D2960" s="0" t="inlineStr">
        <is>
          <t xml:space="preserve">CW</t>
        </is>
      </c>
      <c r="E2960" s="0" t="inlineStr">
        <is>
          <t xml:space="preserve">industrials</t>
        </is>
      </c>
      <c r="F2960" s="4">
        <v>59</v>
      </c>
    </row>
    <row r="2961">
      <c r="A2961" s="0" t="inlineStr">
        <is>
          <t xml:space="preserve">random_20_ED</t>
        </is>
      </c>
      <c r="B2961" s="0" t="inlineStr">
        <is>
          <t xml:space="preserve">random_20</t>
        </is>
      </c>
      <c r="C2961" s="0" t="inlineStr">
        <is>
          <t xml:space="preserve">d20260923</t>
        </is>
      </c>
      <c r="D2961" s="0" t="inlineStr">
        <is>
          <t xml:space="preserve">ED</t>
        </is>
      </c>
      <c r="E2961" s="0" t="inlineStr">
        <is>
          <t xml:space="preserve">utilities</t>
        </is>
      </c>
      <c r="F2961" s="4">
        <v>60</v>
      </c>
    </row>
    <row r="2962">
      <c r="A2962" s="0" t="inlineStr">
        <is>
          <t xml:space="preserve">random_20_BFAM</t>
        </is>
      </c>
      <c r="B2962" s="0" t="inlineStr">
        <is>
          <t xml:space="preserve">random_20</t>
        </is>
      </c>
      <c r="C2962" s="0" t="inlineStr">
        <is>
          <t xml:space="preserve">d20260923</t>
        </is>
      </c>
      <c r="D2962" s="0" t="inlineStr">
        <is>
          <t xml:space="preserve">BFAM</t>
        </is>
      </c>
      <c r="E2962" s="0" t="inlineStr">
        <is>
          <t xml:space="preserve">industrials</t>
        </is>
      </c>
      <c r="F2962" s="4">
        <v>61</v>
      </c>
    </row>
    <row r="2963">
      <c r="A2963" s="0" t="inlineStr">
        <is>
          <t xml:space="preserve">random_20_PCG</t>
        </is>
      </c>
      <c r="B2963" s="0" t="inlineStr">
        <is>
          <t xml:space="preserve">random_20</t>
        </is>
      </c>
      <c r="C2963" s="0" t="inlineStr">
        <is>
          <t xml:space="preserve">d20260923</t>
        </is>
      </c>
      <c r="D2963" s="0" t="inlineStr">
        <is>
          <t xml:space="preserve">PCG</t>
        </is>
      </c>
      <c r="E2963" s="0" t="inlineStr">
        <is>
          <t xml:space="preserve">utilities</t>
        </is>
      </c>
      <c r="F2963" s="4">
        <v>62</v>
      </c>
    </row>
    <row r="2964">
      <c r="A2964" s="0" t="inlineStr">
        <is>
          <t xml:space="preserve">random_20_CRWD</t>
        </is>
      </c>
      <c r="B2964" s="0" t="inlineStr">
        <is>
          <t xml:space="preserve">random_20</t>
        </is>
      </c>
      <c r="C2964" s="0" t="inlineStr">
        <is>
          <t xml:space="preserve">d20260923</t>
        </is>
      </c>
      <c r="D2964" s="0" t="inlineStr">
        <is>
          <t xml:space="preserve">CRWD</t>
        </is>
      </c>
      <c r="E2964" s="0" t="inlineStr">
        <is>
          <t xml:space="preserve">technology</t>
        </is>
      </c>
      <c r="F2964" s="4">
        <v>63</v>
      </c>
    </row>
    <row r="2965">
      <c r="A2965" s="0" t="inlineStr">
        <is>
          <t xml:space="preserve">random_20_KOD</t>
        </is>
      </c>
      <c r="B2965" s="0" t="inlineStr">
        <is>
          <t xml:space="preserve">random_20</t>
        </is>
      </c>
      <c r="C2965" s="0" t="inlineStr">
        <is>
          <t xml:space="preserve">d20260923</t>
        </is>
      </c>
      <c r="D2965" s="0" t="inlineStr">
        <is>
          <t xml:space="preserve">KOD</t>
        </is>
      </c>
      <c r="E2965" s="0" t="inlineStr">
        <is>
          <t xml:space="preserve">healthcare</t>
        </is>
      </c>
      <c r="F2965" s="4">
        <v>64</v>
      </c>
    </row>
    <row r="2966">
      <c r="A2966" s="0" t="inlineStr">
        <is>
          <t xml:space="preserve">random_20_ANET</t>
        </is>
      </c>
      <c r="B2966" s="0" t="inlineStr">
        <is>
          <t xml:space="preserve">random_20</t>
        </is>
      </c>
      <c r="C2966" s="0" t="inlineStr">
        <is>
          <t xml:space="preserve">d20260923</t>
        </is>
      </c>
      <c r="D2966" s="0" t="inlineStr">
        <is>
          <t xml:space="preserve">ANET</t>
        </is>
      </c>
      <c r="E2966" s="0" t="inlineStr">
        <is>
          <t xml:space="preserve">technology</t>
        </is>
      </c>
      <c r="F2966" s="4">
        <v>65</v>
      </c>
    </row>
    <row r="2967">
      <c r="A2967" s="0" t="inlineStr">
        <is>
          <t xml:space="preserve">random_20_CATY</t>
        </is>
      </c>
      <c r="B2967" s="0" t="inlineStr">
        <is>
          <t xml:space="preserve">random_20</t>
        </is>
      </c>
      <c r="C2967" s="0" t="inlineStr">
        <is>
          <t xml:space="preserve">d20260923</t>
        </is>
      </c>
      <c r="D2967" s="0" t="inlineStr">
        <is>
          <t xml:space="preserve">CATY</t>
        </is>
      </c>
      <c r="E2967" s="0" t="inlineStr">
        <is>
          <t xml:space="preserve">financial_services</t>
        </is>
      </c>
      <c r="F2967" s="4">
        <v>66</v>
      </c>
    </row>
    <row r="2968">
      <c r="A2968" s="0" t="inlineStr">
        <is>
          <t xml:space="preserve">random_20_UEC</t>
        </is>
      </c>
      <c r="B2968" s="0" t="inlineStr">
        <is>
          <t xml:space="preserve">random_20</t>
        </is>
      </c>
      <c r="C2968" s="0" t="inlineStr">
        <is>
          <t xml:space="preserve">d20260923</t>
        </is>
      </c>
      <c r="D2968" s="0" t="inlineStr">
        <is>
          <t xml:space="preserve">UEC</t>
        </is>
      </c>
      <c r="E2968" s="0" t="inlineStr">
        <is>
          <t xml:space="preserve">energy</t>
        </is>
      </c>
      <c r="F2968" s="4">
        <v>67</v>
      </c>
    </row>
    <row r="2969">
      <c r="A2969" s="0" t="inlineStr">
        <is>
          <t xml:space="preserve">random_20_BRZE</t>
        </is>
      </c>
      <c r="B2969" s="0" t="inlineStr">
        <is>
          <t xml:space="preserve">random_20</t>
        </is>
      </c>
      <c r="C2969" s="0" t="inlineStr">
        <is>
          <t xml:space="preserve">d20260923</t>
        </is>
      </c>
      <c r="D2969" s="0" t="inlineStr">
        <is>
          <t xml:space="preserve">BRZE</t>
        </is>
      </c>
      <c r="E2969" s="0" t="inlineStr">
        <is>
          <t xml:space="preserve">technology</t>
        </is>
      </c>
      <c r="F2969" s="4">
        <v>68</v>
      </c>
    </row>
    <row r="2970">
      <c r="A2970" s="0" t="inlineStr">
        <is>
          <t xml:space="preserve">random_20_CDE</t>
        </is>
      </c>
      <c r="B2970" s="0" t="inlineStr">
        <is>
          <t xml:space="preserve">random_20</t>
        </is>
      </c>
      <c r="C2970" s="0" t="inlineStr">
        <is>
          <t xml:space="preserve">d20260923</t>
        </is>
      </c>
      <c r="D2970" s="0" t="inlineStr">
        <is>
          <t xml:space="preserve">CDE</t>
        </is>
      </c>
      <c r="E2970" s="0" t="inlineStr">
        <is>
          <t xml:space="preserve">basic_materials</t>
        </is>
      </c>
      <c r="F2970" s="4">
        <v>69</v>
      </c>
    </row>
    <row r="2971">
      <c r="A2971" s="0" t="inlineStr">
        <is>
          <t xml:space="preserve">random_20_FOXA</t>
        </is>
      </c>
      <c r="B2971" s="0" t="inlineStr">
        <is>
          <t xml:space="preserve">random_20</t>
        </is>
      </c>
      <c r="C2971" s="0" t="inlineStr">
        <is>
          <t xml:space="preserve">d20260923</t>
        </is>
      </c>
      <c r="D2971" s="0" t="inlineStr">
        <is>
          <t xml:space="preserve">FOXA</t>
        </is>
      </c>
      <c r="E2971" s="0" t="inlineStr">
        <is>
          <t xml:space="preserve">communication_services</t>
        </is>
      </c>
      <c r="F2971" s="4">
        <v>70</v>
      </c>
    </row>
    <row r="2972">
      <c r="A2972" s="0" t="inlineStr">
        <is>
          <t xml:space="preserve">random_20_SMG</t>
        </is>
      </c>
      <c r="B2972" s="0" t="inlineStr">
        <is>
          <t xml:space="preserve">random_20</t>
        </is>
      </c>
      <c r="C2972" s="0" t="inlineStr">
        <is>
          <t xml:space="preserve">d20260923</t>
        </is>
      </c>
      <c r="D2972" s="0" t="inlineStr">
        <is>
          <t xml:space="preserve">SMG</t>
        </is>
      </c>
      <c r="E2972" s="0" t="inlineStr">
        <is>
          <t xml:space="preserve">basic_materials</t>
        </is>
      </c>
      <c r="F2972" s="4">
        <v>71</v>
      </c>
    </row>
    <row r="2973">
      <c r="A2973" s="0" t="inlineStr">
        <is>
          <t xml:space="preserve">random_20_PANW</t>
        </is>
      </c>
      <c r="B2973" s="0" t="inlineStr">
        <is>
          <t xml:space="preserve">random_20</t>
        </is>
      </c>
      <c r="C2973" s="0" t="inlineStr">
        <is>
          <t xml:space="preserve">d20260923</t>
        </is>
      </c>
      <c r="D2973" s="0" t="inlineStr">
        <is>
          <t xml:space="preserve">PANW</t>
        </is>
      </c>
      <c r="E2973" s="0" t="inlineStr">
        <is>
          <t xml:space="preserve">technology</t>
        </is>
      </c>
      <c r="F2973" s="4">
        <v>72</v>
      </c>
    </row>
    <row r="2974">
      <c r="A2974" s="0" t="inlineStr">
        <is>
          <t xml:space="preserve">random_20_CDNS</t>
        </is>
      </c>
      <c r="B2974" s="0" t="inlineStr">
        <is>
          <t xml:space="preserve">random_20</t>
        </is>
      </c>
      <c r="C2974" s="0" t="inlineStr">
        <is>
          <t xml:space="preserve">d20260923</t>
        </is>
      </c>
      <c r="D2974" s="0" t="inlineStr">
        <is>
          <t xml:space="preserve">CDNS</t>
        </is>
      </c>
      <c r="E2974" s="0" t="inlineStr">
        <is>
          <t xml:space="preserve">technology</t>
        </is>
      </c>
      <c r="F2974" s="4">
        <v>73</v>
      </c>
    </row>
    <row r="2975">
      <c r="A2975" s="0" t="inlineStr">
        <is>
          <t xml:space="preserve">random_20_BMI</t>
        </is>
      </c>
      <c r="B2975" s="0" t="inlineStr">
        <is>
          <t xml:space="preserve">random_20</t>
        </is>
      </c>
      <c r="C2975" s="0" t="inlineStr">
        <is>
          <t xml:space="preserve">d20260923</t>
        </is>
      </c>
      <c r="D2975" s="0" t="inlineStr">
        <is>
          <t xml:space="preserve">BMI</t>
        </is>
      </c>
      <c r="E2975" s="0" t="inlineStr">
        <is>
          <t xml:space="preserve">industrials</t>
        </is>
      </c>
      <c r="F2975" s="4">
        <v>74</v>
      </c>
    </row>
    <row r="2976">
      <c r="A2976" s="0" t="inlineStr">
        <is>
          <t xml:space="preserve">random_20_ALGM</t>
        </is>
      </c>
      <c r="B2976" s="0" t="inlineStr">
        <is>
          <t xml:space="preserve">random_20</t>
        </is>
      </c>
      <c r="C2976" s="0" t="inlineStr">
        <is>
          <t xml:space="preserve">d20260923</t>
        </is>
      </c>
      <c r="D2976" s="0" t="inlineStr">
        <is>
          <t xml:space="preserve">ALGM</t>
        </is>
      </c>
      <c r="E2976" s="0" t="inlineStr">
        <is>
          <t xml:space="preserve">technology</t>
        </is>
      </c>
      <c r="F2976" s="4">
        <v>75</v>
      </c>
    </row>
    <row r="2977">
      <c r="A2977" s="0" t="inlineStr">
        <is>
          <t xml:space="preserve">random_20_BHVN</t>
        </is>
      </c>
      <c r="B2977" s="0" t="inlineStr">
        <is>
          <t xml:space="preserve">random_20</t>
        </is>
      </c>
      <c r="C2977" s="0" t="inlineStr">
        <is>
          <t xml:space="preserve">d20260923</t>
        </is>
      </c>
      <c r="D2977" s="0" t="inlineStr">
        <is>
          <t xml:space="preserve">BHVN</t>
        </is>
      </c>
      <c r="E2977" s="0" t="inlineStr">
        <is>
          <t xml:space="preserve">healthcare</t>
        </is>
      </c>
      <c r="F2977" s="4">
        <v>76</v>
      </c>
    </row>
    <row r="2978">
      <c r="A2978" s="0" t="inlineStr">
        <is>
          <t xml:space="preserve">random_20_TTWO</t>
        </is>
      </c>
      <c r="B2978" s="0" t="inlineStr">
        <is>
          <t xml:space="preserve">random_20</t>
        </is>
      </c>
      <c r="C2978" s="0" t="inlineStr">
        <is>
          <t xml:space="preserve">d20260923</t>
        </is>
      </c>
      <c r="D2978" s="0" t="inlineStr">
        <is>
          <t xml:space="preserve">TTWO</t>
        </is>
      </c>
      <c r="E2978" s="0" t="inlineStr">
        <is>
          <t xml:space="preserve">technology</t>
        </is>
      </c>
      <c r="F2978" s="4">
        <v>77</v>
      </c>
    </row>
    <row r="2979">
      <c r="A2979" s="0" t="inlineStr">
        <is>
          <t xml:space="preserve">random_20_NET</t>
        </is>
      </c>
      <c r="B2979" s="0" t="inlineStr">
        <is>
          <t xml:space="preserve">random_20</t>
        </is>
      </c>
      <c r="C2979" s="0" t="inlineStr">
        <is>
          <t xml:space="preserve">d20260923</t>
        </is>
      </c>
      <c r="D2979" s="0" t="inlineStr">
        <is>
          <t xml:space="preserve">NET</t>
        </is>
      </c>
      <c r="E2979" s="0" t="inlineStr">
        <is>
          <t xml:space="preserve">technology</t>
        </is>
      </c>
      <c r="F2979" s="4">
        <v>78</v>
      </c>
    </row>
    <row r="2980">
      <c r="A2980" s="0" t="inlineStr">
        <is>
          <t xml:space="preserve">random_20_SHAZ</t>
        </is>
      </c>
      <c r="B2980" s="0" t="inlineStr">
        <is>
          <t xml:space="preserve">random_20</t>
        </is>
      </c>
      <c r="C2980" s="0" t="inlineStr">
        <is>
          <t xml:space="preserve">d20260923</t>
        </is>
      </c>
      <c r="D2980" s="0" t="inlineStr">
        <is>
          <t xml:space="preserve">SHAZ</t>
        </is>
      </c>
      <c r="E2980" s="0" t="inlineStr">
        <is>
          <t xml:space="preserve">technology</t>
        </is>
      </c>
      <c r="F2980" s="4">
        <v>79</v>
      </c>
    </row>
    <row r="2981">
      <c r="A2981" s="0" t="inlineStr">
        <is>
          <t xml:space="preserve">random_20_FSS</t>
        </is>
      </c>
      <c r="B2981" s="0" t="inlineStr">
        <is>
          <t xml:space="preserve">random_20</t>
        </is>
      </c>
      <c r="C2981" s="0" t="inlineStr">
        <is>
          <t xml:space="preserve">d20260923</t>
        </is>
      </c>
      <c r="D2981" s="0" t="inlineStr">
        <is>
          <t xml:space="preserve">FSS</t>
        </is>
      </c>
      <c r="E2981" s="0" t="inlineStr">
        <is>
          <t xml:space="preserve">industrials</t>
        </is>
      </c>
      <c r="F2981" s="4">
        <v>80</v>
      </c>
    </row>
    <row r="2982">
      <c r="A2982" s="0" t="inlineStr">
        <is>
          <t xml:space="preserve">random_20_BR</t>
        </is>
      </c>
      <c r="B2982" s="0" t="inlineStr">
        <is>
          <t xml:space="preserve">random_20</t>
        </is>
      </c>
      <c r="C2982" s="0" t="inlineStr">
        <is>
          <t xml:space="preserve">d20260923</t>
        </is>
      </c>
      <c r="D2982" s="0" t="inlineStr">
        <is>
          <t xml:space="preserve">BR</t>
        </is>
      </c>
      <c r="E2982" s="0" t="inlineStr">
        <is>
          <t xml:space="preserve">technology</t>
        </is>
      </c>
      <c r="F2982" s="4">
        <v>81</v>
      </c>
    </row>
    <row r="2983">
      <c r="A2983" s="0" t="inlineStr">
        <is>
          <t xml:space="preserve">random_20_EIX</t>
        </is>
      </c>
      <c r="B2983" s="0" t="inlineStr">
        <is>
          <t xml:space="preserve">random_20</t>
        </is>
      </c>
      <c r="C2983" s="0" t="inlineStr">
        <is>
          <t xml:space="preserve">d20260923</t>
        </is>
      </c>
      <c r="D2983" s="0" t="inlineStr">
        <is>
          <t xml:space="preserve">EIX</t>
        </is>
      </c>
      <c r="E2983" s="0" t="inlineStr">
        <is>
          <t xml:space="preserve">utilities</t>
        </is>
      </c>
      <c r="F2983" s="4">
        <v>82</v>
      </c>
    </row>
    <row r="2984">
      <c r="A2984" s="0" t="inlineStr">
        <is>
          <t xml:space="preserve">random_20_PPC</t>
        </is>
      </c>
      <c r="B2984" s="0" t="inlineStr">
        <is>
          <t xml:space="preserve">random_20</t>
        </is>
      </c>
      <c r="C2984" s="0" t="inlineStr">
        <is>
          <t xml:space="preserve">d20260923</t>
        </is>
      </c>
      <c r="D2984" s="0" t="inlineStr">
        <is>
          <t xml:space="preserve">PPC</t>
        </is>
      </c>
      <c r="E2984" s="0" t="inlineStr">
        <is>
          <t xml:space="preserve">consumer_defensive</t>
        </is>
      </c>
      <c r="F2984" s="4">
        <v>83</v>
      </c>
    </row>
    <row r="2985">
      <c r="A2985" s="0" t="inlineStr">
        <is>
          <t xml:space="preserve">random_20_SNPS</t>
        </is>
      </c>
      <c r="B2985" s="0" t="inlineStr">
        <is>
          <t xml:space="preserve">random_20</t>
        </is>
      </c>
      <c r="C2985" s="0" t="inlineStr">
        <is>
          <t xml:space="preserve">d20260923</t>
        </is>
      </c>
      <c r="D2985" s="0" t="inlineStr">
        <is>
          <t xml:space="preserve">SNPS</t>
        </is>
      </c>
      <c r="E2985" s="0" t="inlineStr">
        <is>
          <t xml:space="preserve">technology</t>
        </is>
      </c>
      <c r="F2985" s="4">
        <v>84</v>
      </c>
    </row>
    <row r="2986">
      <c r="A2986" s="0" t="inlineStr">
        <is>
          <t xml:space="preserve">random_20_RIOT</t>
        </is>
      </c>
      <c r="B2986" s="0" t="inlineStr">
        <is>
          <t xml:space="preserve">random_20</t>
        </is>
      </c>
      <c r="C2986" s="0" t="inlineStr">
        <is>
          <t xml:space="preserve">d20260923</t>
        </is>
      </c>
      <c r="D2986" s="0" t="inlineStr">
        <is>
          <t xml:space="preserve">RIOT</t>
        </is>
      </c>
      <c r="E2986" s="0" t="inlineStr">
        <is>
          <t xml:space="preserve">financial_services</t>
        </is>
      </c>
      <c r="F2986" s="4">
        <v>85</v>
      </c>
    </row>
    <row r="2987">
      <c r="A2987" s="0" t="inlineStr">
        <is>
          <t xml:space="preserve">random_20_KTOS</t>
        </is>
      </c>
      <c r="B2987" s="0" t="inlineStr">
        <is>
          <t xml:space="preserve">random_20</t>
        </is>
      </c>
      <c r="C2987" s="0" t="inlineStr">
        <is>
          <t xml:space="preserve">d20260923</t>
        </is>
      </c>
      <c r="D2987" s="0" t="inlineStr">
        <is>
          <t xml:space="preserve">KTOS</t>
        </is>
      </c>
      <c r="E2987" s="0" t="inlineStr">
        <is>
          <t xml:space="preserve">industrials</t>
        </is>
      </c>
      <c r="F2987" s="4">
        <v>86</v>
      </c>
    </row>
    <row r="2988">
      <c r="A2988" s="0" t="inlineStr">
        <is>
          <t xml:space="preserve">random_20_CECO</t>
        </is>
      </c>
      <c r="B2988" s="0" t="inlineStr">
        <is>
          <t xml:space="preserve">random_20</t>
        </is>
      </c>
      <c r="C2988" s="0" t="inlineStr">
        <is>
          <t xml:space="preserve">d20260923</t>
        </is>
      </c>
      <c r="D2988" s="0" t="inlineStr">
        <is>
          <t xml:space="preserve">CECO</t>
        </is>
      </c>
      <c r="E2988" s="0" t="inlineStr">
        <is>
          <t xml:space="preserve">industrials</t>
        </is>
      </c>
      <c r="F2988" s="4">
        <v>87</v>
      </c>
    </row>
    <row r="2989">
      <c r="A2989" s="0" t="inlineStr">
        <is>
          <t xml:space="preserve">random_20_IONQ</t>
        </is>
      </c>
      <c r="B2989" s="0" t="inlineStr">
        <is>
          <t xml:space="preserve">random_20</t>
        </is>
      </c>
      <c r="C2989" s="0" t="inlineStr">
        <is>
          <t xml:space="preserve">d20260923</t>
        </is>
      </c>
      <c r="D2989" s="0" t="inlineStr">
        <is>
          <t xml:space="preserve">IONQ</t>
        </is>
      </c>
      <c r="E2989" s="0" t="inlineStr">
        <is>
          <t xml:space="preserve">technology</t>
        </is>
      </c>
      <c r="F2989" s="4">
        <v>88</v>
      </c>
    </row>
    <row r="2990">
      <c r="A2990" s="0" t="inlineStr">
        <is>
          <t xml:space="preserve">random_20_PLD</t>
        </is>
      </c>
      <c r="B2990" s="0" t="inlineStr">
        <is>
          <t xml:space="preserve">random_20</t>
        </is>
      </c>
      <c r="C2990" s="0" t="inlineStr">
        <is>
          <t xml:space="preserve">d20260923</t>
        </is>
      </c>
      <c r="D2990" s="0" t="inlineStr">
        <is>
          <t xml:space="preserve">PLD</t>
        </is>
      </c>
      <c r="E2990" s="0" t="inlineStr">
        <is>
          <t xml:space="preserve">real_estate</t>
        </is>
      </c>
      <c r="F2990" s="4">
        <v>89</v>
      </c>
    </row>
    <row r="2991">
      <c r="A2991" s="0" t="inlineStr">
        <is>
          <t xml:space="preserve">random_20_CHEF</t>
        </is>
      </c>
      <c r="B2991" s="0" t="inlineStr">
        <is>
          <t xml:space="preserve">random_20</t>
        </is>
      </c>
      <c r="C2991" s="0" t="inlineStr">
        <is>
          <t xml:space="preserve">d20260923</t>
        </is>
      </c>
      <c r="D2991" s="0" t="inlineStr">
        <is>
          <t xml:space="preserve">CHEF</t>
        </is>
      </c>
      <c r="E2991" s="0" t="inlineStr">
        <is>
          <t xml:space="preserve">consumer_defensive</t>
        </is>
      </c>
      <c r="F2991" s="4">
        <v>90</v>
      </c>
    </row>
    <row r="2992">
      <c r="A2992" s="0" t="inlineStr">
        <is>
          <t xml:space="preserve">random_20_DPZ</t>
        </is>
      </c>
      <c r="B2992" s="0" t="inlineStr">
        <is>
          <t xml:space="preserve">random_20</t>
        </is>
      </c>
      <c r="C2992" s="0" t="inlineStr">
        <is>
          <t xml:space="preserve">d20260923</t>
        </is>
      </c>
      <c r="D2992" s="0" t="inlineStr">
        <is>
          <t xml:space="preserve">DPZ</t>
        </is>
      </c>
      <c r="E2992" s="0" t="inlineStr">
        <is>
          <t xml:space="preserve">consumer_cyclical</t>
        </is>
      </c>
      <c r="F2992" s="4">
        <v>91</v>
      </c>
    </row>
    <row r="2993">
      <c r="A2993" s="0" t="inlineStr">
        <is>
          <t xml:space="preserve">random_20_STZ</t>
        </is>
      </c>
      <c r="B2993" s="0" t="inlineStr">
        <is>
          <t xml:space="preserve">random_20</t>
        </is>
      </c>
      <c r="C2993" s="0" t="inlineStr">
        <is>
          <t xml:space="preserve">d20260923</t>
        </is>
      </c>
      <c r="D2993" s="0" t="inlineStr">
        <is>
          <t xml:space="preserve">STZ</t>
        </is>
      </c>
      <c r="E2993" s="0" t="inlineStr">
        <is>
          <t xml:space="preserve">consumer_defensive</t>
        </is>
      </c>
      <c r="F2993" s="4">
        <v>92</v>
      </c>
    </row>
    <row r="2994">
      <c r="A2994" s="0" t="inlineStr">
        <is>
          <t xml:space="preserve">random_20_MRSH</t>
        </is>
      </c>
      <c r="B2994" s="0" t="inlineStr">
        <is>
          <t xml:space="preserve">random_20</t>
        </is>
      </c>
      <c r="C2994" s="0" t="inlineStr">
        <is>
          <t xml:space="preserve">d20260923</t>
        </is>
      </c>
      <c r="D2994" s="0" t="inlineStr">
        <is>
          <t xml:space="preserve">MRSH</t>
        </is>
      </c>
      <c r="E2994" s="0" t="inlineStr">
        <is>
          <t xml:space="preserve">financial_services</t>
        </is>
      </c>
      <c r="F2994" s="4">
        <v>93</v>
      </c>
    </row>
    <row r="2995">
      <c r="A2995" s="0" t="inlineStr">
        <is>
          <t xml:space="preserve">random_20_CLSK</t>
        </is>
      </c>
      <c r="B2995" s="0" t="inlineStr">
        <is>
          <t xml:space="preserve">random_20</t>
        </is>
      </c>
      <c r="C2995" s="0" t="inlineStr">
        <is>
          <t xml:space="preserve">d20260923</t>
        </is>
      </c>
      <c r="D2995" s="0" t="inlineStr">
        <is>
          <t xml:space="preserve">CLSK</t>
        </is>
      </c>
      <c r="E2995" s="0" t="inlineStr">
        <is>
          <t xml:space="preserve">financial_services</t>
        </is>
      </c>
      <c r="F2995" s="4">
        <v>94</v>
      </c>
    </row>
    <row r="2996">
      <c r="A2996" s="0" t="inlineStr">
        <is>
          <t xml:space="preserve">random_20_RLAY</t>
        </is>
      </c>
      <c r="B2996" s="0" t="inlineStr">
        <is>
          <t xml:space="preserve">random_20</t>
        </is>
      </c>
      <c r="C2996" s="0" t="inlineStr">
        <is>
          <t xml:space="preserve">d20260923</t>
        </is>
      </c>
      <c r="D2996" s="0" t="inlineStr">
        <is>
          <t xml:space="preserve">RLAY</t>
        </is>
      </c>
      <c r="E2996" s="0" t="inlineStr">
        <is>
          <t xml:space="preserve">healthcare</t>
        </is>
      </c>
      <c r="F2996" s="4">
        <v>95</v>
      </c>
    </row>
    <row r="2997">
      <c r="A2997" s="0" t="inlineStr">
        <is>
          <t xml:space="preserve">random_20_TXRH</t>
        </is>
      </c>
      <c r="B2997" s="0" t="inlineStr">
        <is>
          <t xml:space="preserve">random_20</t>
        </is>
      </c>
      <c r="C2997" s="0" t="inlineStr">
        <is>
          <t xml:space="preserve">d20260923</t>
        </is>
      </c>
      <c r="D2997" s="0" t="inlineStr">
        <is>
          <t xml:space="preserve">TXRH</t>
        </is>
      </c>
      <c r="E2997" s="0" t="inlineStr">
        <is>
          <t xml:space="preserve">consumer_cyclical</t>
        </is>
      </c>
      <c r="F2997" s="4">
        <v>96</v>
      </c>
    </row>
    <row r="2998">
      <c r="A2998" s="0" t="inlineStr">
        <is>
          <t xml:space="preserve">random_20_TIC</t>
        </is>
      </c>
      <c r="B2998" s="0" t="inlineStr">
        <is>
          <t xml:space="preserve">random_20</t>
        </is>
      </c>
      <c r="C2998" s="0" t="inlineStr">
        <is>
          <t xml:space="preserve">d20260923</t>
        </is>
      </c>
      <c r="D2998" s="0" t="inlineStr">
        <is>
          <t xml:space="preserve">TIC</t>
        </is>
      </c>
      <c r="E2998" s="0" t="inlineStr">
        <is>
          <t xml:space="preserve">industrials</t>
        </is>
      </c>
      <c r="F2998" s="4">
        <v>97</v>
      </c>
    </row>
    <row r="2999">
      <c r="A2999" s="0" t="inlineStr">
        <is>
          <t xml:space="preserve">random_20_BSM</t>
        </is>
      </c>
      <c r="B2999" s="0" t="inlineStr">
        <is>
          <t xml:space="preserve">random_20</t>
        </is>
      </c>
      <c r="C2999" s="0" t="inlineStr">
        <is>
          <t xml:space="preserve">d20260923</t>
        </is>
      </c>
      <c r="D2999" s="0" t="inlineStr">
        <is>
          <t xml:space="preserve">BSM</t>
        </is>
      </c>
      <c r="E2999" s="0" t="inlineStr">
        <is>
          <t xml:space="preserve">energy</t>
        </is>
      </c>
      <c r="F2999" s="4">
        <v>98</v>
      </c>
    </row>
    <row r="3000">
      <c r="A3000" s="0" t="inlineStr">
        <is>
          <t xml:space="preserve">random_20_GL</t>
        </is>
      </c>
      <c r="B3000" s="0" t="inlineStr">
        <is>
          <t xml:space="preserve">random_20</t>
        </is>
      </c>
      <c r="C3000" s="0" t="inlineStr">
        <is>
          <t xml:space="preserve">d20260923</t>
        </is>
      </c>
      <c r="D3000" s="0" t="inlineStr">
        <is>
          <t xml:space="preserve">GL</t>
        </is>
      </c>
      <c r="E3000" s="0" t="inlineStr">
        <is>
          <t xml:space="preserve">financial_services</t>
        </is>
      </c>
      <c r="F3000" s="4">
        <v>99</v>
      </c>
    </row>
    <row r="3001">
      <c r="A3001" s="0" t="inlineStr">
        <is>
          <t xml:space="preserve">random_20_LNC</t>
        </is>
      </c>
      <c r="B3001" s="0" t="inlineStr">
        <is>
          <t xml:space="preserve">random_20</t>
        </is>
      </c>
      <c r="C3001" s="0" t="inlineStr">
        <is>
          <t xml:space="preserve">d20260923</t>
        </is>
      </c>
      <c r="D3001" s="0" t="inlineStr">
        <is>
          <t xml:space="preserve">LNC</t>
        </is>
      </c>
      <c r="E3001" s="0" t="inlineStr">
        <is>
          <t xml:space="preserve">financial_services</t>
        </is>
      </c>
      <c r="F3001" s="4">
        <v>100</v>
      </c>
    </row>
    <row r="3002">
      <c r="A3002" s="0" t="inlineStr">
        <is>
          <t xml:space="preserve">naive_mcap_NVDA</t>
        </is>
      </c>
      <c r="B3002" s="0" t="inlineStr">
        <is>
          <t xml:space="preserve">naive_mcap</t>
        </is>
      </c>
      <c r="C3002" s="0" t="inlineStr">
        <is>
          <t xml:space="preserve">d20260923</t>
        </is>
      </c>
      <c r="D3002" s="0" t="inlineStr">
        <is>
          <t xml:space="preserve">NVDA</t>
        </is>
      </c>
      <c r="E3002" s="0" t="inlineStr">
        <is>
          <t xml:space="preserve">technology</t>
        </is>
      </c>
      <c r="F3002" s="4">
        <v>1</v>
      </c>
    </row>
    <row r="3003">
      <c r="A3003" s="0" t="inlineStr">
        <is>
          <t xml:space="preserve">naive_mcap_AAPL</t>
        </is>
      </c>
      <c r="B3003" s="0" t="inlineStr">
        <is>
          <t xml:space="preserve">naive_mcap</t>
        </is>
      </c>
      <c r="C3003" s="0" t="inlineStr">
        <is>
          <t xml:space="preserve">d20260923</t>
        </is>
      </c>
      <c r="D3003" s="0" t="inlineStr">
        <is>
          <t xml:space="preserve">AAPL</t>
        </is>
      </c>
      <c r="E3003" s="0" t="inlineStr">
        <is>
          <t xml:space="preserve">technology</t>
        </is>
      </c>
      <c r="F3003" s="4">
        <v>2</v>
      </c>
    </row>
    <row r="3004">
      <c r="A3004" s="0" t="inlineStr">
        <is>
          <t xml:space="preserve">naive_mcap_GOOG</t>
        </is>
      </c>
      <c r="B3004" s="0" t="inlineStr">
        <is>
          <t xml:space="preserve">naive_mcap</t>
        </is>
      </c>
      <c r="C3004" s="0" t="inlineStr">
        <is>
          <t xml:space="preserve">d20260923</t>
        </is>
      </c>
      <c r="D3004" s="0" t="inlineStr">
        <is>
          <t xml:space="preserve">GOOG</t>
        </is>
      </c>
      <c r="E3004" s="0" t="inlineStr">
        <is>
          <t xml:space="preserve">communication_services</t>
        </is>
      </c>
      <c r="F3004" s="4">
        <v>3</v>
      </c>
    </row>
    <row r="3005">
      <c r="A3005" s="0" t="inlineStr">
        <is>
          <t xml:space="preserve">naive_mcap_MSFT</t>
        </is>
      </c>
      <c r="B3005" s="0" t="inlineStr">
        <is>
          <t xml:space="preserve">naive_mcap</t>
        </is>
      </c>
      <c r="C3005" s="0" t="inlineStr">
        <is>
          <t xml:space="preserve">d20260923</t>
        </is>
      </c>
      <c r="D3005" s="0" t="inlineStr">
        <is>
          <t xml:space="preserve">MSFT</t>
        </is>
      </c>
      <c r="E3005" s="0" t="inlineStr">
        <is>
          <t xml:space="preserve">technology</t>
        </is>
      </c>
      <c r="F3005" s="4">
        <v>4</v>
      </c>
    </row>
    <row r="3006">
      <c r="A3006" s="0" t="inlineStr">
        <is>
          <t xml:space="preserve">naive_mcap_AMZN</t>
        </is>
      </c>
      <c r="B3006" s="0" t="inlineStr">
        <is>
          <t xml:space="preserve">naive_mcap</t>
        </is>
      </c>
      <c r="C3006" s="0" t="inlineStr">
        <is>
          <t xml:space="preserve">d20260923</t>
        </is>
      </c>
      <c r="D3006" s="0" t="inlineStr">
        <is>
          <t xml:space="preserve">AMZN</t>
        </is>
      </c>
      <c r="E3006" s="0" t="inlineStr">
        <is>
          <t xml:space="preserve">consumer_cyclical</t>
        </is>
      </c>
      <c r="F3006" s="4">
        <v>5</v>
      </c>
    </row>
    <row r="3007">
      <c r="A3007" s="0" t="inlineStr">
        <is>
          <t xml:space="preserve">naive_mcap_SPCX</t>
        </is>
      </c>
      <c r="B3007" s="0" t="inlineStr">
        <is>
          <t xml:space="preserve">naive_mcap</t>
        </is>
      </c>
      <c r="C3007" s="0" t="inlineStr">
        <is>
          <t xml:space="preserve">d20260923</t>
        </is>
      </c>
      <c r="D3007" s="0" t="inlineStr">
        <is>
          <t xml:space="preserve">SPCX</t>
        </is>
      </c>
      <c r="E3007" s="0" t="inlineStr">
        <is>
          <t xml:space="preserve">industrials</t>
        </is>
      </c>
      <c r="F3007" s="4">
        <v>6</v>
      </c>
    </row>
    <row r="3008">
      <c r="A3008" s="0" t="inlineStr">
        <is>
          <t xml:space="preserve">naive_mcap_META</t>
        </is>
      </c>
      <c r="B3008" s="0" t="inlineStr">
        <is>
          <t xml:space="preserve">naive_mcap</t>
        </is>
      </c>
      <c r="C3008" s="0" t="inlineStr">
        <is>
          <t xml:space="preserve">d20260923</t>
        </is>
      </c>
      <c r="D3008" s="0" t="inlineStr">
        <is>
          <t xml:space="preserve">META</t>
        </is>
      </c>
      <c r="E3008" s="0" t="inlineStr">
        <is>
          <t xml:space="preserve">communication_services</t>
        </is>
      </c>
      <c r="F3008" s="4">
        <v>7</v>
      </c>
    </row>
    <row r="3009">
      <c r="A3009" s="0" t="inlineStr">
        <is>
          <t xml:space="preserve">naive_mcap_AVGO</t>
        </is>
      </c>
      <c r="B3009" s="0" t="inlineStr">
        <is>
          <t xml:space="preserve">naive_mcap</t>
        </is>
      </c>
      <c r="C3009" s="0" t="inlineStr">
        <is>
          <t xml:space="preserve">d20260923</t>
        </is>
      </c>
      <c r="D3009" s="0" t="inlineStr">
        <is>
          <t xml:space="preserve">AVGO</t>
        </is>
      </c>
      <c r="E3009" s="0" t="inlineStr">
        <is>
          <t xml:space="preserve">technology</t>
        </is>
      </c>
      <c r="F3009" s="4">
        <v>8</v>
      </c>
    </row>
    <row r="3010">
      <c r="A3010" s="0" t="inlineStr">
        <is>
          <t xml:space="preserve">naive_mcap_TSLA</t>
        </is>
      </c>
      <c r="B3010" s="0" t="inlineStr">
        <is>
          <t xml:space="preserve">naive_mcap</t>
        </is>
      </c>
      <c r="C3010" s="0" t="inlineStr">
        <is>
          <t xml:space="preserve">d20260923</t>
        </is>
      </c>
      <c r="D3010" s="0" t="inlineStr">
        <is>
          <t xml:space="preserve">TSLA</t>
        </is>
      </c>
      <c r="E3010" s="0" t="inlineStr">
        <is>
          <t xml:space="preserve">consumer_cyclical</t>
        </is>
      </c>
      <c r="F3010" s="4">
        <v>9</v>
      </c>
    </row>
    <row r="3011">
      <c r="A3011" s="0" t="inlineStr">
        <is>
          <t xml:space="preserve">naive_mcap_MU</t>
        </is>
      </c>
      <c r="B3011" s="0" t="inlineStr">
        <is>
          <t xml:space="preserve">naive_mcap</t>
        </is>
      </c>
      <c r="C3011" s="0" t="inlineStr">
        <is>
          <t xml:space="preserve">d20260923</t>
        </is>
      </c>
      <c r="D3011" s="0" t="inlineStr">
        <is>
          <t xml:space="preserve">MU</t>
        </is>
      </c>
      <c r="E3011" s="0" t="inlineStr">
        <is>
          <t xml:space="preserve">technology</t>
        </is>
      </c>
      <c r="F3011" s="4">
        <v>10</v>
      </c>
    </row>
    <row r="3012">
      <c r="A3012" s="0" t="inlineStr">
        <is>
          <t xml:space="preserve">naive_mcap_LLY</t>
        </is>
      </c>
      <c r="B3012" s="0" t="inlineStr">
        <is>
          <t xml:space="preserve">naive_mcap</t>
        </is>
      </c>
      <c r="C3012" s="0" t="inlineStr">
        <is>
          <t xml:space="preserve">d20260923</t>
        </is>
      </c>
      <c r="D3012" s="0" t="inlineStr">
        <is>
          <t xml:space="preserve">LLY</t>
        </is>
      </c>
      <c r="E3012" s="0" t="inlineStr">
        <is>
          <t xml:space="preserve">healthcare</t>
        </is>
      </c>
      <c r="F3012" s="4">
        <v>11</v>
      </c>
    </row>
    <row r="3013">
      <c r="A3013" s="0" t="inlineStr">
        <is>
          <t xml:space="preserve">naive_mcap_AMD</t>
        </is>
      </c>
      <c r="B3013" s="0" t="inlineStr">
        <is>
          <t xml:space="preserve">naive_mcap</t>
        </is>
      </c>
      <c r="C3013" s="0" t="inlineStr">
        <is>
          <t xml:space="preserve">d20260923</t>
        </is>
      </c>
      <c r="D3013" s="0" t="inlineStr">
        <is>
          <t xml:space="preserve">AMD</t>
        </is>
      </c>
      <c r="E3013" s="0" t="inlineStr">
        <is>
          <t xml:space="preserve">technology</t>
        </is>
      </c>
      <c r="F3013" s="4">
        <v>12</v>
      </c>
    </row>
    <row r="3014">
      <c r="A3014" s="0" t="inlineStr">
        <is>
          <t xml:space="preserve">naive_mcap_JPM</t>
        </is>
      </c>
      <c r="B3014" s="0" t="inlineStr">
        <is>
          <t xml:space="preserve">naive_mcap</t>
        </is>
      </c>
      <c r="C3014" s="0" t="inlineStr">
        <is>
          <t xml:space="preserve">d20260923</t>
        </is>
      </c>
      <c r="D3014" s="0" t="inlineStr">
        <is>
          <t xml:space="preserve">JPM</t>
        </is>
      </c>
      <c r="E3014" s="0" t="inlineStr">
        <is>
          <t xml:space="preserve">financial_services</t>
        </is>
      </c>
      <c r="F3014" s="4">
        <v>13</v>
      </c>
    </row>
    <row r="3015">
      <c r="A3015" s="0" t="inlineStr">
        <is>
          <t xml:space="preserve">naive_mcap_WMT</t>
        </is>
      </c>
      <c r="B3015" s="0" t="inlineStr">
        <is>
          <t xml:space="preserve">naive_mcap</t>
        </is>
      </c>
      <c r="C3015" s="0" t="inlineStr">
        <is>
          <t xml:space="preserve">d20260923</t>
        </is>
      </c>
      <c r="D3015" s="0" t="inlineStr">
        <is>
          <t xml:space="preserve">WMT</t>
        </is>
      </c>
      <c r="E3015" s="0" t="inlineStr">
        <is>
          <t xml:space="preserve">consumer_defensive</t>
        </is>
      </c>
      <c r="F3015" s="4">
        <v>14</v>
      </c>
    </row>
    <row r="3016">
      <c r="A3016" s="0" t="inlineStr">
        <is>
          <t xml:space="preserve">naive_mcap_V</t>
        </is>
      </c>
      <c r="B3016" s="0" t="inlineStr">
        <is>
          <t xml:space="preserve">naive_mcap</t>
        </is>
      </c>
      <c r="C3016" s="0" t="inlineStr">
        <is>
          <t xml:space="preserve">d20260923</t>
        </is>
      </c>
      <c r="D3016" s="0" t="inlineStr">
        <is>
          <t xml:space="preserve">V</t>
        </is>
      </c>
      <c r="E3016" s="0" t="inlineStr">
        <is>
          <t xml:space="preserve">financial_services</t>
        </is>
      </c>
      <c r="F3016" s="4">
        <v>15</v>
      </c>
    </row>
    <row r="3017">
      <c r="A3017" s="0" t="inlineStr">
        <is>
          <t xml:space="preserve">naive_mcap_XOM</t>
        </is>
      </c>
      <c r="B3017" s="0" t="inlineStr">
        <is>
          <t xml:space="preserve">naive_mcap</t>
        </is>
      </c>
      <c r="C3017" s="0" t="inlineStr">
        <is>
          <t xml:space="preserve">d20260923</t>
        </is>
      </c>
      <c r="D3017" s="0" t="inlineStr">
        <is>
          <t xml:space="preserve">XOM</t>
        </is>
      </c>
      <c r="E3017" s="0" t="inlineStr">
        <is>
          <t xml:space="preserve">energy</t>
        </is>
      </c>
      <c r="F3017" s="4">
        <v>16</v>
      </c>
    </row>
    <row r="3018">
      <c r="A3018" s="0" t="inlineStr">
        <is>
          <t xml:space="preserve">naive_mcap_JNJ</t>
        </is>
      </c>
      <c r="B3018" s="0" t="inlineStr">
        <is>
          <t xml:space="preserve">naive_mcap</t>
        </is>
      </c>
      <c r="C3018" s="0" t="inlineStr">
        <is>
          <t xml:space="preserve">d20260923</t>
        </is>
      </c>
      <c r="D3018" s="0" t="inlineStr">
        <is>
          <t xml:space="preserve">JNJ</t>
        </is>
      </c>
      <c r="E3018" s="0" t="inlineStr">
        <is>
          <t xml:space="preserve">healthcare</t>
        </is>
      </c>
      <c r="F3018" s="4">
        <v>17</v>
      </c>
    </row>
    <row r="3019">
      <c r="A3019" s="0" t="inlineStr">
        <is>
          <t xml:space="preserve">naive_mcap_INTC</t>
        </is>
      </c>
      <c r="B3019" s="0" t="inlineStr">
        <is>
          <t xml:space="preserve">naive_mcap</t>
        </is>
      </c>
      <c r="C3019" s="0" t="inlineStr">
        <is>
          <t xml:space="preserve">d20260923</t>
        </is>
      </c>
      <c r="D3019" s="0" t="inlineStr">
        <is>
          <t xml:space="preserve">INTC</t>
        </is>
      </c>
      <c r="E3019" s="0" t="inlineStr">
        <is>
          <t xml:space="preserve">technology</t>
        </is>
      </c>
      <c r="F3019" s="4">
        <v>18</v>
      </c>
    </row>
    <row r="3020">
      <c r="A3020" s="0" t="inlineStr">
        <is>
          <t xml:space="preserve">naive_mcap_MA</t>
        </is>
      </c>
      <c r="B3020" s="0" t="inlineStr">
        <is>
          <t xml:space="preserve">naive_mcap</t>
        </is>
      </c>
      <c r="C3020" s="0" t="inlineStr">
        <is>
          <t xml:space="preserve">d20260923</t>
        </is>
      </c>
      <c r="D3020" s="0" t="inlineStr">
        <is>
          <t xml:space="preserve">MA</t>
        </is>
      </c>
      <c r="E3020" s="0" t="inlineStr">
        <is>
          <t xml:space="preserve">financial_services</t>
        </is>
      </c>
      <c r="F3020" s="4">
        <v>19</v>
      </c>
    </row>
    <row r="3021">
      <c r="A3021" s="0" t="inlineStr">
        <is>
          <t xml:space="preserve">naive_mcap_ABBV</t>
        </is>
      </c>
      <c r="B3021" s="0" t="inlineStr">
        <is>
          <t xml:space="preserve">naive_mcap</t>
        </is>
      </c>
      <c r="C3021" s="0" t="inlineStr">
        <is>
          <t xml:space="preserve">d20260923</t>
        </is>
      </c>
      <c r="D3021" s="0" t="inlineStr">
        <is>
          <t xml:space="preserve">ABBV</t>
        </is>
      </c>
      <c r="E3021" s="0" t="inlineStr">
        <is>
          <t xml:space="preserve">healthcare</t>
        </is>
      </c>
      <c r="F3021" s="4">
        <v>20</v>
      </c>
    </row>
    <row r="3022">
      <c r="A3022" s="0" t="inlineStr">
        <is>
          <t xml:space="preserve">naive_mcap_CSCO</t>
        </is>
      </c>
      <c r="B3022" s="0" t="inlineStr">
        <is>
          <t xml:space="preserve">naive_mcap</t>
        </is>
      </c>
      <c r="C3022" s="0" t="inlineStr">
        <is>
          <t xml:space="preserve">d20260923</t>
        </is>
      </c>
      <c r="D3022" s="0" t="inlineStr">
        <is>
          <t xml:space="preserve">CSCO</t>
        </is>
      </c>
      <c r="E3022" s="0" t="inlineStr">
        <is>
          <t xml:space="preserve">technology</t>
        </is>
      </c>
      <c r="F3022" s="4">
        <v>21</v>
      </c>
    </row>
    <row r="3023">
      <c r="A3023" s="0" t="inlineStr">
        <is>
          <t xml:space="preserve">naive_mcap_ORCL</t>
        </is>
      </c>
      <c r="B3023" s="0" t="inlineStr">
        <is>
          <t xml:space="preserve">naive_mcap</t>
        </is>
      </c>
      <c r="C3023" s="0" t="inlineStr">
        <is>
          <t xml:space="preserve">d20260923</t>
        </is>
      </c>
      <c r="D3023" s="0" t="inlineStr">
        <is>
          <t xml:space="preserve">ORCL</t>
        </is>
      </c>
      <c r="E3023" s="0" t="inlineStr">
        <is>
          <t xml:space="preserve">technology</t>
        </is>
      </c>
      <c r="F3023" s="4">
        <v>22</v>
      </c>
    </row>
    <row r="3024">
      <c r="A3024" s="0" t="inlineStr">
        <is>
          <t xml:space="preserve">naive_mcap_PLTR</t>
        </is>
      </c>
      <c r="B3024" s="0" t="inlineStr">
        <is>
          <t xml:space="preserve">naive_mcap</t>
        </is>
      </c>
      <c r="C3024" s="0" t="inlineStr">
        <is>
          <t xml:space="preserve">d20260923</t>
        </is>
      </c>
      <c r="D3024" s="0" t="inlineStr">
        <is>
          <t xml:space="preserve">PLTR</t>
        </is>
      </c>
      <c r="E3024" s="0" t="inlineStr">
        <is>
          <t xml:space="preserve">technology</t>
        </is>
      </c>
      <c r="F3024" s="4">
        <v>23</v>
      </c>
    </row>
    <row r="3025">
      <c r="A3025" s="0" t="inlineStr">
        <is>
          <t xml:space="preserve">naive_mcap_BAC</t>
        </is>
      </c>
      <c r="B3025" s="0" t="inlineStr">
        <is>
          <t xml:space="preserve">naive_mcap</t>
        </is>
      </c>
      <c r="C3025" s="0" t="inlineStr">
        <is>
          <t xml:space="preserve">d20260923</t>
        </is>
      </c>
      <c r="D3025" s="0" t="inlineStr">
        <is>
          <t xml:space="preserve">BAC</t>
        </is>
      </c>
      <c r="E3025" s="0" t="inlineStr">
        <is>
          <t xml:space="preserve">financial_services</t>
        </is>
      </c>
      <c r="F3025" s="4">
        <v>24</v>
      </c>
    </row>
    <row r="3026">
      <c r="A3026" s="0" t="inlineStr">
        <is>
          <t xml:space="preserve">naive_mcap_CVX</t>
        </is>
      </c>
      <c r="B3026" s="0" t="inlineStr">
        <is>
          <t xml:space="preserve">naive_mcap</t>
        </is>
      </c>
      <c r="C3026" s="0" t="inlineStr">
        <is>
          <t xml:space="preserve">d20260923</t>
        </is>
      </c>
      <c r="D3026" s="0" t="inlineStr">
        <is>
          <t xml:space="preserve">CVX</t>
        </is>
      </c>
      <c r="E3026" s="0" t="inlineStr">
        <is>
          <t xml:space="preserve">energy</t>
        </is>
      </c>
      <c r="F3026" s="4">
        <v>25</v>
      </c>
    </row>
    <row r="3027">
      <c r="A3027" s="0" t="inlineStr">
        <is>
          <t xml:space="preserve">naive_mcap_COST</t>
        </is>
      </c>
      <c r="B3027" s="0" t="inlineStr">
        <is>
          <t xml:space="preserve">naive_mcap</t>
        </is>
      </c>
      <c r="C3027" s="0" t="inlineStr">
        <is>
          <t xml:space="preserve">d20260923</t>
        </is>
      </c>
      <c r="D3027" s="0" t="inlineStr">
        <is>
          <t xml:space="preserve">COST</t>
        </is>
      </c>
      <c r="E3027" s="0" t="inlineStr">
        <is>
          <t xml:space="preserve">consumer_defensive</t>
        </is>
      </c>
      <c r="F3027" s="4">
        <v>26</v>
      </c>
    </row>
    <row r="3028">
      <c r="A3028" s="0" t="inlineStr">
        <is>
          <t xml:space="preserve">naive_mcap_DELL</t>
        </is>
      </c>
      <c r="B3028" s="0" t="inlineStr">
        <is>
          <t xml:space="preserve">naive_mcap</t>
        </is>
      </c>
      <c r="C3028" s="0" t="inlineStr">
        <is>
          <t xml:space="preserve">d20260923</t>
        </is>
      </c>
      <c r="D3028" s="0" t="inlineStr">
        <is>
          <t xml:space="preserve">DELL</t>
        </is>
      </c>
      <c r="E3028" s="0" t="inlineStr">
        <is>
          <t xml:space="preserve">technology</t>
        </is>
      </c>
      <c r="F3028" s="4">
        <v>27</v>
      </c>
    </row>
    <row r="3029">
      <c r="A3029" s="0" t="inlineStr">
        <is>
          <t xml:space="preserve">naive_mcap_LRCX</t>
        </is>
      </c>
      <c r="B3029" s="0" t="inlineStr">
        <is>
          <t xml:space="preserve">naive_mcap</t>
        </is>
      </c>
      <c r="C3029" s="0" t="inlineStr">
        <is>
          <t xml:space="preserve">d20260923</t>
        </is>
      </c>
      <c r="D3029" s="0" t="inlineStr">
        <is>
          <t xml:space="preserve">LRCX</t>
        </is>
      </c>
      <c r="E3029" s="0" t="inlineStr">
        <is>
          <t xml:space="preserve">technology</t>
        </is>
      </c>
      <c r="F3029" s="4">
        <v>28</v>
      </c>
    </row>
    <row r="3030">
      <c r="A3030" s="0" t="inlineStr">
        <is>
          <t xml:space="preserve">naive_mcap_CAT</t>
        </is>
      </c>
      <c r="B3030" s="0" t="inlineStr">
        <is>
          <t xml:space="preserve">naive_mcap</t>
        </is>
      </c>
      <c r="C3030" s="0" t="inlineStr">
        <is>
          <t xml:space="preserve">d20260923</t>
        </is>
      </c>
      <c r="D3030" s="0" t="inlineStr">
        <is>
          <t xml:space="preserve">CAT</t>
        </is>
      </c>
      <c r="E3030" s="0" t="inlineStr">
        <is>
          <t xml:space="preserve">industrials</t>
        </is>
      </c>
      <c r="F3030" s="4">
        <v>29</v>
      </c>
    </row>
    <row r="3031">
      <c r="A3031" s="0" t="inlineStr">
        <is>
          <t xml:space="preserve">naive_mcap_KO</t>
        </is>
      </c>
      <c r="B3031" s="0" t="inlineStr">
        <is>
          <t xml:space="preserve">naive_mcap</t>
        </is>
      </c>
      <c r="C3031" s="0" t="inlineStr">
        <is>
          <t xml:space="preserve">d20260923</t>
        </is>
      </c>
      <c r="D3031" s="0" t="inlineStr">
        <is>
          <t xml:space="preserve">KO</t>
        </is>
      </c>
      <c r="E3031" s="0" t="inlineStr">
        <is>
          <t xml:space="preserve">consumer_defensive</t>
        </is>
      </c>
      <c r="F3031" s="4">
        <v>30</v>
      </c>
    </row>
    <row r="3032">
      <c r="A3032" s="0" t="inlineStr">
        <is>
          <t xml:space="preserve">naive_mcap_MRK</t>
        </is>
      </c>
      <c r="B3032" s="0" t="inlineStr">
        <is>
          <t xml:space="preserve">naive_mcap</t>
        </is>
      </c>
      <c r="C3032" s="0" t="inlineStr">
        <is>
          <t xml:space="preserve">d20260923</t>
        </is>
      </c>
      <c r="D3032" s="0" t="inlineStr">
        <is>
          <t xml:space="preserve">MRK</t>
        </is>
      </c>
      <c r="E3032" s="0" t="inlineStr">
        <is>
          <t xml:space="preserve">healthcare</t>
        </is>
      </c>
      <c r="F3032" s="4">
        <v>31</v>
      </c>
    </row>
    <row r="3033">
      <c r="A3033" s="0" t="inlineStr">
        <is>
          <t xml:space="preserve">naive_mcap_AMAT</t>
        </is>
      </c>
      <c r="B3033" s="0" t="inlineStr">
        <is>
          <t xml:space="preserve">naive_mcap</t>
        </is>
      </c>
      <c r="C3033" s="0" t="inlineStr">
        <is>
          <t xml:space="preserve">d20260923</t>
        </is>
      </c>
      <c r="D3033" s="0" t="inlineStr">
        <is>
          <t xml:space="preserve">AMAT</t>
        </is>
      </c>
      <c r="E3033" s="0" t="inlineStr">
        <is>
          <t xml:space="preserve">technology</t>
        </is>
      </c>
      <c r="F3033" s="4">
        <v>32</v>
      </c>
    </row>
    <row r="3034">
      <c r="A3034" s="0" t="inlineStr">
        <is>
          <t xml:space="preserve">naive_mcap_PG</t>
        </is>
      </c>
      <c r="B3034" s="0" t="inlineStr">
        <is>
          <t xml:space="preserve">naive_mcap</t>
        </is>
      </c>
      <c r="C3034" s="0" t="inlineStr">
        <is>
          <t xml:space="preserve">d20260923</t>
        </is>
      </c>
      <c r="D3034" s="0" t="inlineStr">
        <is>
          <t xml:space="preserve">PG</t>
        </is>
      </c>
      <c r="E3034" s="0" t="inlineStr">
        <is>
          <t xml:space="preserve">consumer_defensive</t>
        </is>
      </c>
      <c r="F3034" s="4">
        <v>33</v>
      </c>
    </row>
    <row r="3035">
      <c r="A3035" s="0" t="inlineStr">
        <is>
          <t xml:space="preserve">naive_mcap_UNH</t>
        </is>
      </c>
      <c r="B3035" s="0" t="inlineStr">
        <is>
          <t xml:space="preserve">naive_mcap</t>
        </is>
      </c>
      <c r="C3035" s="0" t="inlineStr">
        <is>
          <t xml:space="preserve">d20260923</t>
        </is>
      </c>
      <c r="D3035" s="0" t="inlineStr">
        <is>
          <t xml:space="preserve">UNH</t>
        </is>
      </c>
      <c r="E3035" s="0" t="inlineStr">
        <is>
          <t xml:space="preserve">healthcare</t>
        </is>
      </c>
      <c r="F3035" s="4">
        <v>34</v>
      </c>
    </row>
    <row r="3036">
      <c r="A3036" s="0" t="inlineStr">
        <is>
          <t xml:space="preserve">naive_mcap_GE</t>
        </is>
      </c>
      <c r="B3036" s="0" t="inlineStr">
        <is>
          <t xml:space="preserve">naive_mcap</t>
        </is>
      </c>
      <c r="C3036" s="0" t="inlineStr">
        <is>
          <t xml:space="preserve">d20260923</t>
        </is>
      </c>
      <c r="D3036" s="0" t="inlineStr">
        <is>
          <t xml:space="preserve">GE</t>
        </is>
      </c>
      <c r="E3036" s="0" t="inlineStr">
        <is>
          <t xml:space="preserve">industrials</t>
        </is>
      </c>
      <c r="F3036" s="4">
        <v>35</v>
      </c>
    </row>
    <row r="3037">
      <c r="A3037" s="0" t="inlineStr">
        <is>
          <t xml:space="preserve">naive_mcap_MS</t>
        </is>
      </c>
      <c r="B3037" s="0" t="inlineStr">
        <is>
          <t xml:space="preserve">naive_mcap</t>
        </is>
      </c>
      <c r="C3037" s="0" t="inlineStr">
        <is>
          <t xml:space="preserve">d20260923</t>
        </is>
      </c>
      <c r="D3037" s="0" t="inlineStr">
        <is>
          <t xml:space="preserve">MS</t>
        </is>
      </c>
      <c r="E3037" s="0" t="inlineStr">
        <is>
          <t xml:space="preserve">financial_services</t>
        </is>
      </c>
      <c r="F3037" s="4">
        <v>36</v>
      </c>
    </row>
    <row r="3038">
      <c r="A3038" s="0" t="inlineStr">
        <is>
          <t xml:space="preserve">naive_mcap_NFLX</t>
        </is>
      </c>
      <c r="B3038" s="0" t="inlineStr">
        <is>
          <t xml:space="preserve">naive_mcap</t>
        </is>
      </c>
      <c r="C3038" s="0" t="inlineStr">
        <is>
          <t xml:space="preserve">d20260923</t>
        </is>
      </c>
      <c r="D3038" s="0" t="inlineStr">
        <is>
          <t xml:space="preserve">NFLX</t>
        </is>
      </c>
      <c r="E3038" s="0" t="inlineStr">
        <is>
          <t xml:space="preserve">communication_services</t>
        </is>
      </c>
      <c r="F3038" s="4">
        <v>37</v>
      </c>
    </row>
    <row r="3039">
      <c r="A3039" s="0" t="inlineStr">
        <is>
          <t xml:space="preserve">naive_mcap_PANW</t>
        </is>
      </c>
      <c r="B3039" s="0" t="inlineStr">
        <is>
          <t xml:space="preserve">naive_mcap</t>
        </is>
      </c>
      <c r="C3039" s="0" t="inlineStr">
        <is>
          <t xml:space="preserve">d20260923</t>
        </is>
      </c>
      <c r="D3039" s="0" t="inlineStr">
        <is>
          <t xml:space="preserve">PANW</t>
        </is>
      </c>
      <c r="E3039" s="0" t="inlineStr">
        <is>
          <t xml:space="preserve">technology</t>
        </is>
      </c>
      <c r="F3039" s="4">
        <v>38</v>
      </c>
    </row>
    <row r="3040">
      <c r="A3040" s="0" t="inlineStr">
        <is>
          <t xml:space="preserve">naive_mcap_HD</t>
        </is>
      </c>
      <c r="B3040" s="0" t="inlineStr">
        <is>
          <t xml:space="preserve">naive_mcap</t>
        </is>
      </c>
      <c r="C3040" s="0" t="inlineStr">
        <is>
          <t xml:space="preserve">d20260923</t>
        </is>
      </c>
      <c r="D3040" s="0" t="inlineStr">
        <is>
          <t xml:space="preserve">HD</t>
        </is>
      </c>
      <c r="E3040" s="0" t="inlineStr">
        <is>
          <t xml:space="preserve">consumer_cyclical</t>
        </is>
      </c>
      <c r="F3040" s="4">
        <v>39</v>
      </c>
    </row>
    <row r="3041">
      <c r="A3041" s="0" t="inlineStr">
        <is>
          <t xml:space="preserve">naive_mcap_PM</t>
        </is>
      </c>
      <c r="B3041" s="0" t="inlineStr">
        <is>
          <t xml:space="preserve">naive_mcap</t>
        </is>
      </c>
      <c r="C3041" s="0" t="inlineStr">
        <is>
          <t xml:space="preserve">d20260923</t>
        </is>
      </c>
      <c r="D3041" s="0" t="inlineStr">
        <is>
          <t xml:space="preserve">PM</t>
        </is>
      </c>
      <c r="E3041" s="0" t="inlineStr">
        <is>
          <t xml:space="preserve">consumer_defensive</t>
        </is>
      </c>
      <c r="F3041" s="4">
        <v>40</v>
      </c>
    </row>
    <row r="3042">
      <c r="A3042" s="0" t="inlineStr">
        <is>
          <t xml:space="preserve">naive_mcap_GS</t>
        </is>
      </c>
      <c r="B3042" s="0" t="inlineStr">
        <is>
          <t xml:space="preserve">naive_mcap</t>
        </is>
      </c>
      <c r="C3042" s="0" t="inlineStr">
        <is>
          <t xml:space="preserve">d20260923</t>
        </is>
      </c>
      <c r="D3042" s="0" t="inlineStr">
        <is>
          <t xml:space="preserve">GS</t>
        </is>
      </c>
      <c r="E3042" s="0" t="inlineStr">
        <is>
          <t xml:space="preserve">financial_services</t>
        </is>
      </c>
      <c r="F3042" s="4">
        <v>41</v>
      </c>
    </row>
    <row r="3043">
      <c r="A3043" s="0" t="inlineStr">
        <is>
          <t xml:space="preserve">naive_mcap_RTX</t>
        </is>
      </c>
      <c r="B3043" s="0" t="inlineStr">
        <is>
          <t xml:space="preserve">naive_mcap</t>
        </is>
      </c>
      <c r="C3043" s="0" t="inlineStr">
        <is>
          <t xml:space="preserve">d20260923</t>
        </is>
      </c>
      <c r="D3043" s="0" t="inlineStr">
        <is>
          <t xml:space="preserve">RTX</t>
        </is>
      </c>
      <c r="E3043" s="0" t="inlineStr">
        <is>
          <t xml:space="preserve">industrials</t>
        </is>
      </c>
      <c r="F3043" s="4">
        <v>42</v>
      </c>
    </row>
    <row r="3044">
      <c r="A3044" s="0" t="inlineStr">
        <is>
          <t xml:space="preserve">naive_mcap_WFC</t>
        </is>
      </c>
      <c r="B3044" s="0" t="inlineStr">
        <is>
          <t xml:space="preserve">naive_mcap</t>
        </is>
      </c>
      <c r="C3044" s="0" t="inlineStr">
        <is>
          <t xml:space="preserve">d20260923</t>
        </is>
      </c>
      <c r="D3044" s="0" t="inlineStr">
        <is>
          <t xml:space="preserve">WFC</t>
        </is>
      </c>
      <c r="E3044" s="0" t="inlineStr">
        <is>
          <t xml:space="preserve">financial_services</t>
        </is>
      </c>
      <c r="F3044" s="4">
        <v>43</v>
      </c>
    </row>
    <row r="3045">
      <c r="A3045" s="0" t="inlineStr">
        <is>
          <t xml:space="preserve">naive_mcap_SNDK</t>
        </is>
      </c>
      <c r="B3045" s="0" t="inlineStr">
        <is>
          <t xml:space="preserve">naive_mcap</t>
        </is>
      </c>
      <c r="C3045" s="0" t="inlineStr">
        <is>
          <t xml:space="preserve">d20260923</t>
        </is>
      </c>
      <c r="D3045" s="0" t="inlineStr">
        <is>
          <t xml:space="preserve">SNDK</t>
        </is>
      </c>
      <c r="E3045" s="0" t="inlineStr">
        <is>
          <t xml:space="preserve">technology</t>
        </is>
      </c>
      <c r="F3045" s="4">
        <v>44</v>
      </c>
    </row>
    <row r="3046">
      <c r="A3046" s="0" t="inlineStr">
        <is>
          <t xml:space="preserve">naive_mcap_ANET</t>
        </is>
      </c>
      <c r="B3046" s="0" t="inlineStr">
        <is>
          <t xml:space="preserve">naive_mcap</t>
        </is>
      </c>
      <c r="C3046" s="0" t="inlineStr">
        <is>
          <t xml:space="preserve">d20260923</t>
        </is>
      </c>
      <c r="D3046" s="0" t="inlineStr">
        <is>
          <t xml:space="preserve">ANET</t>
        </is>
      </c>
      <c r="E3046" s="0" t="inlineStr">
        <is>
          <t xml:space="preserve">technology</t>
        </is>
      </c>
      <c r="F3046" s="4">
        <v>45</v>
      </c>
    </row>
    <row r="3047">
      <c r="A3047" s="0" t="inlineStr">
        <is>
          <t xml:space="preserve">naive_mcap_CRWD</t>
        </is>
      </c>
      <c r="B3047" s="0" t="inlineStr">
        <is>
          <t xml:space="preserve">naive_mcap</t>
        </is>
      </c>
      <c r="C3047" s="0" t="inlineStr">
        <is>
          <t xml:space="preserve">d20260923</t>
        </is>
      </c>
      <c r="D3047" s="0" t="inlineStr">
        <is>
          <t xml:space="preserve">CRWD</t>
        </is>
      </c>
      <c r="E3047" s="0" t="inlineStr">
        <is>
          <t xml:space="preserve">technology</t>
        </is>
      </c>
      <c r="F3047" s="4">
        <v>46</v>
      </c>
    </row>
    <row r="3048">
      <c r="A3048" s="0" t="inlineStr">
        <is>
          <t xml:space="preserve">naive_mcap_GEV</t>
        </is>
      </c>
      <c r="B3048" s="0" t="inlineStr">
        <is>
          <t xml:space="preserve">naive_mcap</t>
        </is>
      </c>
      <c r="C3048" s="0" t="inlineStr">
        <is>
          <t xml:space="preserve">d20260923</t>
        </is>
      </c>
      <c r="D3048" s="0" t="inlineStr">
        <is>
          <t xml:space="preserve">GEV</t>
        </is>
      </c>
      <c r="E3048" s="0" t="inlineStr">
        <is>
          <t xml:space="preserve">industrials</t>
        </is>
      </c>
      <c r="F3048" s="4">
        <v>47</v>
      </c>
    </row>
    <row r="3049">
      <c r="A3049" s="0" t="inlineStr">
        <is>
          <t xml:space="preserve">naive_mcap_TXN</t>
        </is>
      </c>
      <c r="B3049" s="0" t="inlineStr">
        <is>
          <t xml:space="preserve">naive_mcap</t>
        </is>
      </c>
      <c r="C3049" s="0" t="inlineStr">
        <is>
          <t xml:space="preserve">d20260923</t>
        </is>
      </c>
      <c r="D3049" s="0" t="inlineStr">
        <is>
          <t xml:space="preserve">TXN</t>
        </is>
      </c>
      <c r="E3049" s="0" t="inlineStr">
        <is>
          <t xml:space="preserve">technology</t>
        </is>
      </c>
      <c r="F3049" s="4">
        <v>48</v>
      </c>
    </row>
    <row r="3050">
      <c r="A3050" s="0" t="inlineStr">
        <is>
          <t xml:space="preserve">naive_mcap_TMO</t>
        </is>
      </c>
      <c r="B3050" s="0" t="inlineStr">
        <is>
          <t xml:space="preserve">naive_mcap</t>
        </is>
      </c>
      <c r="C3050" s="0" t="inlineStr">
        <is>
          <t xml:space="preserve">d20260923</t>
        </is>
      </c>
      <c r="D3050" s="0" t="inlineStr">
        <is>
          <t xml:space="preserve">TMO</t>
        </is>
      </c>
      <c r="E3050" s="0" t="inlineStr">
        <is>
          <t xml:space="preserve">healthcare</t>
        </is>
      </c>
      <c r="F3050" s="4">
        <v>49</v>
      </c>
    </row>
    <row r="3051">
      <c r="A3051" s="0" t="inlineStr">
        <is>
          <t xml:space="preserve">naive_mcap_KLAC</t>
        </is>
      </c>
      <c r="B3051" s="0" t="inlineStr">
        <is>
          <t xml:space="preserve">naive_mcap</t>
        </is>
      </c>
      <c r="C3051" s="0" t="inlineStr">
        <is>
          <t xml:space="preserve">d20260923</t>
        </is>
      </c>
      <c r="D3051" s="0" t="inlineStr">
        <is>
          <t xml:space="preserve">KLAC</t>
        </is>
      </c>
      <c r="E3051" s="0" t="inlineStr">
        <is>
          <t xml:space="preserve">technology</t>
        </is>
      </c>
      <c r="F3051" s="4">
        <v>50</v>
      </c>
    </row>
    <row r="3052">
      <c r="A3052" s="0" t="inlineStr">
        <is>
          <t xml:space="preserve">naive_mcap_C</t>
        </is>
      </c>
      <c r="B3052" s="0" t="inlineStr">
        <is>
          <t xml:space="preserve">naive_mcap</t>
        </is>
      </c>
      <c r="C3052" s="0" t="inlineStr">
        <is>
          <t xml:space="preserve">d20260923</t>
        </is>
      </c>
      <c r="D3052" s="0" t="inlineStr">
        <is>
          <t xml:space="preserve">C</t>
        </is>
      </c>
      <c r="E3052" s="0" t="inlineStr">
        <is>
          <t xml:space="preserve">financial_services</t>
        </is>
      </c>
      <c r="F3052" s="4">
        <v>51</v>
      </c>
    </row>
    <row r="3053">
      <c r="A3053" s="0" t="inlineStr">
        <is>
          <t xml:space="preserve">naive_mcap_MRVL</t>
        </is>
      </c>
      <c r="B3053" s="0" t="inlineStr">
        <is>
          <t xml:space="preserve">naive_mcap</t>
        </is>
      </c>
      <c r="C3053" s="0" t="inlineStr">
        <is>
          <t xml:space="preserve">d20260923</t>
        </is>
      </c>
      <c r="D3053" s="0" t="inlineStr">
        <is>
          <t xml:space="preserve">MRVL</t>
        </is>
      </c>
      <c r="E3053" s="0" t="inlineStr">
        <is>
          <t xml:space="preserve">technology</t>
        </is>
      </c>
      <c r="F3053" s="4">
        <v>52</v>
      </c>
    </row>
    <row r="3054">
      <c r="A3054" s="0" t="inlineStr">
        <is>
          <t xml:space="preserve">naive_mcap_IBM</t>
        </is>
      </c>
      <c r="B3054" s="0" t="inlineStr">
        <is>
          <t xml:space="preserve">naive_mcap</t>
        </is>
      </c>
      <c r="C3054" s="0" t="inlineStr">
        <is>
          <t xml:space="preserve">d20260923</t>
        </is>
      </c>
      <c r="D3054" s="0" t="inlineStr">
        <is>
          <t xml:space="preserve">IBM</t>
        </is>
      </c>
      <c r="E3054" s="0" t="inlineStr">
        <is>
          <t xml:space="preserve">technology</t>
        </is>
      </c>
      <c r="F3054" s="4">
        <v>53</v>
      </c>
    </row>
    <row r="3055">
      <c r="A3055" s="0" t="inlineStr">
        <is>
          <t xml:space="preserve">naive_mcap_AMGN</t>
        </is>
      </c>
      <c r="B3055" s="0" t="inlineStr">
        <is>
          <t xml:space="preserve">naive_mcap</t>
        </is>
      </c>
      <c r="C3055" s="0" t="inlineStr">
        <is>
          <t xml:space="preserve">d20260923</t>
        </is>
      </c>
      <c r="D3055" s="0" t="inlineStr">
        <is>
          <t xml:space="preserve">AMGN</t>
        </is>
      </c>
      <c r="E3055" s="0" t="inlineStr">
        <is>
          <t xml:space="preserve">healthcare</t>
        </is>
      </c>
      <c r="F3055" s="4">
        <v>54</v>
      </c>
    </row>
    <row r="3056">
      <c r="A3056" s="0" t="inlineStr">
        <is>
          <t xml:space="preserve">naive_mcap_AXP</t>
        </is>
      </c>
      <c r="B3056" s="0" t="inlineStr">
        <is>
          <t xml:space="preserve">naive_mcap</t>
        </is>
      </c>
      <c r="C3056" s="0" t="inlineStr">
        <is>
          <t xml:space="preserve">d20260923</t>
        </is>
      </c>
      <c r="D3056" s="0" t="inlineStr">
        <is>
          <t xml:space="preserve">AXP</t>
        </is>
      </c>
      <c r="E3056" s="0" t="inlineStr">
        <is>
          <t xml:space="preserve">financial_services</t>
        </is>
      </c>
      <c r="F3056" s="4">
        <v>55</v>
      </c>
    </row>
    <row r="3057">
      <c r="A3057" s="0" t="inlineStr">
        <is>
          <t xml:space="preserve">naive_mcap_QCOM</t>
        </is>
      </c>
      <c r="B3057" s="0" t="inlineStr">
        <is>
          <t xml:space="preserve">naive_mcap</t>
        </is>
      </c>
      <c r="C3057" s="0" t="inlineStr">
        <is>
          <t xml:space="preserve">d20260923</t>
        </is>
      </c>
      <c r="D3057" s="0" t="inlineStr">
        <is>
          <t xml:space="preserve">QCOM</t>
        </is>
      </c>
      <c r="E3057" s="0" t="inlineStr">
        <is>
          <t xml:space="preserve">technology</t>
        </is>
      </c>
      <c r="F3057" s="4">
        <v>56</v>
      </c>
    </row>
    <row r="3058">
      <c r="A3058" s="0" t="inlineStr">
        <is>
          <t xml:space="preserve">naive_mcap_VZ</t>
        </is>
      </c>
      <c r="B3058" s="0" t="inlineStr">
        <is>
          <t xml:space="preserve">naive_mcap</t>
        </is>
      </c>
      <c r="C3058" s="0" t="inlineStr">
        <is>
          <t xml:space="preserve">d20260923</t>
        </is>
      </c>
      <c r="D3058" s="0" t="inlineStr">
        <is>
          <t xml:space="preserve">VZ</t>
        </is>
      </c>
      <c r="E3058" s="0" t="inlineStr">
        <is>
          <t xml:space="preserve">communication_services</t>
        </is>
      </c>
      <c r="F3058" s="4">
        <v>57</v>
      </c>
    </row>
    <row r="3059">
      <c r="A3059" s="0" t="inlineStr">
        <is>
          <t xml:space="preserve">naive_mcap_APH</t>
        </is>
      </c>
      <c r="B3059" s="0" t="inlineStr">
        <is>
          <t xml:space="preserve">naive_mcap</t>
        </is>
      </c>
      <c r="C3059" s="0" t="inlineStr">
        <is>
          <t xml:space="preserve">d20260923</t>
        </is>
      </c>
      <c r="D3059" s="0" t="inlineStr">
        <is>
          <t xml:space="preserve">APH</t>
        </is>
      </c>
      <c r="E3059" s="0" t="inlineStr">
        <is>
          <t xml:space="preserve">technology</t>
        </is>
      </c>
      <c r="F3059" s="4">
        <v>58</v>
      </c>
    </row>
    <row r="3060">
      <c r="A3060" s="0" t="inlineStr">
        <is>
          <t xml:space="preserve">naive_mcap_CRM</t>
        </is>
      </c>
      <c r="B3060" s="0" t="inlineStr">
        <is>
          <t xml:space="preserve">naive_mcap</t>
        </is>
      </c>
      <c r="C3060" s="0" t="inlineStr">
        <is>
          <t xml:space="preserve">d20260923</t>
        </is>
      </c>
      <c r="D3060" s="0" t="inlineStr">
        <is>
          <t xml:space="preserve">CRM</t>
        </is>
      </c>
      <c r="E3060" s="0" t="inlineStr">
        <is>
          <t xml:space="preserve">technology</t>
        </is>
      </c>
      <c r="F3060" s="4">
        <v>59</v>
      </c>
    </row>
    <row r="3061">
      <c r="A3061" s="0" t="inlineStr">
        <is>
          <t xml:space="preserve">naive_mcap_GILD</t>
        </is>
      </c>
      <c r="B3061" s="0" t="inlineStr">
        <is>
          <t xml:space="preserve">naive_mcap</t>
        </is>
      </c>
      <c r="C3061" s="0" t="inlineStr">
        <is>
          <t xml:space="preserve">d20260923</t>
        </is>
      </c>
      <c r="D3061" s="0" t="inlineStr">
        <is>
          <t xml:space="preserve">GILD</t>
        </is>
      </c>
      <c r="E3061" s="0" t="inlineStr">
        <is>
          <t xml:space="preserve">healthcare</t>
        </is>
      </c>
      <c r="F3061" s="4">
        <v>60</v>
      </c>
    </row>
    <row r="3062">
      <c r="A3062" s="0" t="inlineStr">
        <is>
          <t xml:space="preserve">naive_mcap_ADI</t>
        </is>
      </c>
      <c r="B3062" s="0" t="inlineStr">
        <is>
          <t xml:space="preserve">naive_mcap</t>
        </is>
      </c>
      <c r="C3062" s="0" t="inlineStr">
        <is>
          <t xml:space="preserve">d20260923</t>
        </is>
      </c>
      <c r="D3062" s="0" t="inlineStr">
        <is>
          <t xml:space="preserve">ADI</t>
        </is>
      </c>
      <c r="E3062" s="0" t="inlineStr">
        <is>
          <t xml:space="preserve">technology</t>
        </is>
      </c>
      <c r="F3062" s="4">
        <v>61</v>
      </c>
    </row>
    <row r="3063">
      <c r="A3063" s="0" t="inlineStr">
        <is>
          <t xml:space="preserve">naive_mcap_SCHW</t>
        </is>
      </c>
      <c r="B3063" s="0" t="inlineStr">
        <is>
          <t xml:space="preserve">naive_mcap</t>
        </is>
      </c>
      <c r="C3063" s="0" t="inlineStr">
        <is>
          <t xml:space="preserve">d20260923</t>
        </is>
      </c>
      <c r="D3063" s="0" t="inlineStr">
        <is>
          <t xml:space="preserve">SCHW</t>
        </is>
      </c>
      <c r="E3063" s="0" t="inlineStr">
        <is>
          <t xml:space="preserve">financial_services</t>
        </is>
      </c>
      <c r="F3063" s="4">
        <v>62</v>
      </c>
    </row>
    <row r="3064">
      <c r="A3064" s="0" t="inlineStr">
        <is>
          <t xml:space="preserve">naive_mcap_DE</t>
        </is>
      </c>
      <c r="B3064" s="0" t="inlineStr">
        <is>
          <t xml:space="preserve">naive_mcap</t>
        </is>
      </c>
      <c r="C3064" s="0" t="inlineStr">
        <is>
          <t xml:space="preserve">d20260923</t>
        </is>
      </c>
      <c r="D3064" s="0" t="inlineStr">
        <is>
          <t xml:space="preserve">DE</t>
        </is>
      </c>
      <c r="E3064" s="0" t="inlineStr">
        <is>
          <t xml:space="preserve">industrials</t>
        </is>
      </c>
      <c r="F3064" s="4">
        <v>63</v>
      </c>
    </row>
    <row r="3065">
      <c r="A3065" s="0" t="inlineStr">
        <is>
          <t xml:space="preserve">naive_mcap_DIS</t>
        </is>
      </c>
      <c r="B3065" s="0" t="inlineStr">
        <is>
          <t xml:space="preserve">naive_mcap</t>
        </is>
      </c>
      <c r="C3065" s="0" t="inlineStr">
        <is>
          <t xml:space="preserve">d20260923</t>
        </is>
      </c>
      <c r="D3065" s="0" t="inlineStr">
        <is>
          <t xml:space="preserve">DIS</t>
        </is>
      </c>
      <c r="E3065" s="0" t="inlineStr">
        <is>
          <t xml:space="preserve">communication_services</t>
        </is>
      </c>
      <c r="F3065" s="4">
        <v>64</v>
      </c>
    </row>
    <row r="3066">
      <c r="A3066" s="0" t="inlineStr">
        <is>
          <t xml:space="preserve">naive_mcap_ABT</t>
        </is>
      </c>
      <c r="B3066" s="0" t="inlineStr">
        <is>
          <t xml:space="preserve">naive_mcap</t>
        </is>
      </c>
      <c r="C3066" s="0" t="inlineStr">
        <is>
          <t xml:space="preserve">d20260923</t>
        </is>
      </c>
      <c r="D3066" s="0" t="inlineStr">
        <is>
          <t xml:space="preserve">ABT</t>
        </is>
      </c>
      <c r="E3066" s="0" t="inlineStr">
        <is>
          <t xml:space="preserve">healthcare</t>
        </is>
      </c>
      <c r="F3066" s="4">
        <v>65</v>
      </c>
    </row>
    <row r="3067">
      <c r="A3067" s="0" t="inlineStr">
        <is>
          <t xml:space="preserve">naive_mcap_TMUS</t>
        </is>
      </c>
      <c r="B3067" s="0" t="inlineStr">
        <is>
          <t xml:space="preserve">naive_mcap</t>
        </is>
      </c>
      <c r="C3067" s="0" t="inlineStr">
        <is>
          <t xml:space="preserve">d20260923</t>
        </is>
      </c>
      <c r="D3067" s="0" t="inlineStr">
        <is>
          <t xml:space="preserve">TMUS</t>
        </is>
      </c>
      <c r="E3067" s="0" t="inlineStr">
        <is>
          <t xml:space="preserve">communication_services</t>
        </is>
      </c>
      <c r="F3067" s="4">
        <v>66</v>
      </c>
    </row>
    <row r="3068">
      <c r="A3068" s="0" t="inlineStr">
        <is>
          <t xml:space="preserve">naive_mcap_PEP</t>
        </is>
      </c>
      <c r="B3068" s="0" t="inlineStr">
        <is>
          <t xml:space="preserve">naive_mcap</t>
        </is>
      </c>
      <c r="C3068" s="0" t="inlineStr">
        <is>
          <t xml:space="preserve">d20260923</t>
        </is>
      </c>
      <c r="D3068" s="0" t="inlineStr">
        <is>
          <t xml:space="preserve">PEP</t>
        </is>
      </c>
      <c r="E3068" s="0" t="inlineStr">
        <is>
          <t xml:space="preserve">consumer_defensive</t>
        </is>
      </c>
      <c r="F3068" s="4">
        <v>67</v>
      </c>
    </row>
    <row r="3069">
      <c r="A3069" s="0" t="inlineStr">
        <is>
          <t xml:space="preserve">naive_mcap_MCD</t>
        </is>
      </c>
      <c r="B3069" s="0" t="inlineStr">
        <is>
          <t xml:space="preserve">naive_mcap</t>
        </is>
      </c>
      <c r="C3069" s="0" t="inlineStr">
        <is>
          <t xml:space="preserve">d20260923</t>
        </is>
      </c>
      <c r="D3069" s="0" t="inlineStr">
        <is>
          <t xml:space="preserve">MCD</t>
        </is>
      </c>
      <c r="E3069" s="0" t="inlineStr">
        <is>
          <t xml:space="preserve">consumer_cyclical</t>
        </is>
      </c>
      <c r="F3069" s="4">
        <v>68</v>
      </c>
    </row>
    <row r="3070">
      <c r="A3070" s="0" t="inlineStr">
        <is>
          <t xml:space="preserve">naive_mcap_T</t>
        </is>
      </c>
      <c r="B3070" s="0" t="inlineStr">
        <is>
          <t xml:space="preserve">naive_mcap</t>
        </is>
      </c>
      <c r="C3070" s="0" t="inlineStr">
        <is>
          <t xml:space="preserve">d20260923</t>
        </is>
      </c>
      <c r="D3070" s="0" t="inlineStr">
        <is>
          <t xml:space="preserve">T</t>
        </is>
      </c>
      <c r="E3070" s="0" t="inlineStr">
        <is>
          <t xml:space="preserve">communication_services</t>
        </is>
      </c>
      <c r="F3070" s="4">
        <v>69</v>
      </c>
    </row>
    <row r="3071">
      <c r="A3071" s="0" t="inlineStr">
        <is>
          <t xml:space="preserve">naive_mcap_BLK</t>
        </is>
      </c>
      <c r="B3071" s="0" t="inlineStr">
        <is>
          <t xml:space="preserve">naive_mcap</t>
        </is>
      </c>
      <c r="C3071" s="0" t="inlineStr">
        <is>
          <t xml:space="preserve">d20260923</t>
        </is>
      </c>
      <c r="D3071" s="0" t="inlineStr">
        <is>
          <t xml:space="preserve">BLK</t>
        </is>
      </c>
      <c r="E3071" s="0" t="inlineStr">
        <is>
          <t xml:space="preserve">financial_services</t>
        </is>
      </c>
      <c r="F3071" s="4">
        <v>70</v>
      </c>
    </row>
    <row r="3072">
      <c r="A3072" s="0" t="inlineStr">
        <is>
          <t xml:space="preserve">naive_mcap_WELL</t>
        </is>
      </c>
      <c r="B3072" s="0" t="inlineStr">
        <is>
          <t xml:space="preserve">naive_mcap</t>
        </is>
      </c>
      <c r="C3072" s="0" t="inlineStr">
        <is>
          <t xml:space="preserve">d20260923</t>
        </is>
      </c>
      <c r="D3072" s="0" t="inlineStr">
        <is>
          <t xml:space="preserve">WELL</t>
        </is>
      </c>
      <c r="E3072" s="0" t="inlineStr">
        <is>
          <t xml:space="preserve">real_estate</t>
        </is>
      </c>
      <c r="F3072" s="4">
        <v>71</v>
      </c>
    </row>
    <row r="3073">
      <c r="A3073" s="0" t="inlineStr">
        <is>
          <t xml:space="preserve">naive_mcap_NEE</t>
        </is>
      </c>
      <c r="B3073" s="0" t="inlineStr">
        <is>
          <t xml:space="preserve">naive_mcap</t>
        </is>
      </c>
      <c r="C3073" s="0" t="inlineStr">
        <is>
          <t xml:space="preserve">d20260923</t>
        </is>
      </c>
      <c r="D3073" s="0" t="inlineStr">
        <is>
          <t xml:space="preserve">NEE</t>
        </is>
      </c>
      <c r="E3073" s="0" t="inlineStr">
        <is>
          <t xml:space="preserve">utilities</t>
        </is>
      </c>
      <c r="F3073" s="4">
        <v>72</v>
      </c>
    </row>
    <row r="3074">
      <c r="A3074" s="0" t="inlineStr">
        <is>
          <t xml:space="preserve">naive_mcap_SCCO</t>
        </is>
      </c>
      <c r="B3074" s="0" t="inlineStr">
        <is>
          <t xml:space="preserve">naive_mcap</t>
        </is>
      </c>
      <c r="C3074" s="0" t="inlineStr">
        <is>
          <t xml:space="preserve">d20260923</t>
        </is>
      </c>
      <c r="D3074" s="0" t="inlineStr">
        <is>
          <t xml:space="preserve">SCCO</t>
        </is>
      </c>
      <c r="E3074" s="0" t="inlineStr">
        <is>
          <t xml:space="preserve">basic_materials</t>
        </is>
      </c>
      <c r="F3074" s="4">
        <v>73</v>
      </c>
    </row>
    <row r="3075">
      <c r="A3075" s="0" t="inlineStr">
        <is>
          <t xml:space="preserve">naive_mcap_IBKR</t>
        </is>
      </c>
      <c r="B3075" s="0" t="inlineStr">
        <is>
          <t xml:space="preserve">naive_mcap</t>
        </is>
      </c>
      <c r="C3075" s="0" t="inlineStr">
        <is>
          <t xml:space="preserve">d20260923</t>
        </is>
      </c>
      <c r="D3075" s="0" t="inlineStr">
        <is>
          <t xml:space="preserve">IBKR</t>
        </is>
      </c>
      <c r="E3075" s="0" t="inlineStr">
        <is>
          <t xml:space="preserve">financial_services</t>
        </is>
      </c>
      <c r="F3075" s="4">
        <v>74</v>
      </c>
    </row>
    <row r="3076">
      <c r="A3076" s="0" t="inlineStr">
        <is>
          <t xml:space="preserve">naive_mcap_UNP</t>
        </is>
      </c>
      <c r="B3076" s="0" t="inlineStr">
        <is>
          <t xml:space="preserve">naive_mcap</t>
        </is>
      </c>
      <c r="C3076" s="0" t="inlineStr">
        <is>
          <t xml:space="preserve">d20260923</t>
        </is>
      </c>
      <c r="D3076" s="0" t="inlineStr">
        <is>
          <t xml:space="preserve">UNP</t>
        </is>
      </c>
      <c r="E3076" s="0" t="inlineStr">
        <is>
          <t xml:space="preserve">industrials</t>
        </is>
      </c>
      <c r="F3076" s="4">
        <v>75</v>
      </c>
    </row>
    <row r="3077">
      <c r="A3077" s="0" t="inlineStr">
        <is>
          <t xml:space="preserve">naive_mcap_BA</t>
        </is>
      </c>
      <c r="B3077" s="0" t="inlineStr">
        <is>
          <t xml:space="preserve">naive_mcap</t>
        </is>
      </c>
      <c r="C3077" s="0" t="inlineStr">
        <is>
          <t xml:space="preserve">d20260923</t>
        </is>
      </c>
      <c r="D3077" s="0" t="inlineStr">
        <is>
          <t xml:space="preserve">BA</t>
        </is>
      </c>
      <c r="E3077" s="0" t="inlineStr">
        <is>
          <t xml:space="preserve">industrials</t>
        </is>
      </c>
      <c r="F3077" s="4">
        <v>76</v>
      </c>
    </row>
    <row r="3078">
      <c r="A3078" s="0" t="inlineStr">
        <is>
          <t xml:space="preserve">naive_mcap_PFE</t>
        </is>
      </c>
      <c r="B3078" s="0" t="inlineStr">
        <is>
          <t xml:space="preserve">naive_mcap</t>
        </is>
      </c>
      <c r="C3078" s="0" t="inlineStr">
        <is>
          <t xml:space="preserve">d20260923</t>
        </is>
      </c>
      <c r="D3078" s="0" t="inlineStr">
        <is>
          <t xml:space="preserve">PFE</t>
        </is>
      </c>
      <c r="E3078" s="0" t="inlineStr">
        <is>
          <t xml:space="preserve">healthcare</t>
        </is>
      </c>
      <c r="F3078" s="4">
        <v>77</v>
      </c>
    </row>
    <row r="3079">
      <c r="A3079" s="0" t="inlineStr">
        <is>
          <t xml:space="preserve">naive_mcap_COP</t>
        </is>
      </c>
      <c r="B3079" s="0" t="inlineStr">
        <is>
          <t xml:space="preserve">naive_mcap</t>
        </is>
      </c>
      <c r="C3079" s="0" t="inlineStr">
        <is>
          <t xml:space="preserve">d20260923</t>
        </is>
      </c>
      <c r="D3079" s="0" t="inlineStr">
        <is>
          <t xml:space="preserve">COP</t>
        </is>
      </c>
      <c r="E3079" s="0" t="inlineStr">
        <is>
          <t xml:space="preserve">energy</t>
        </is>
      </c>
      <c r="F3079" s="4">
        <v>78</v>
      </c>
    </row>
    <row r="3080">
      <c r="A3080" s="0" t="inlineStr">
        <is>
          <t xml:space="preserve">naive_mcap_WDC</t>
        </is>
      </c>
      <c r="B3080" s="0" t="inlineStr">
        <is>
          <t xml:space="preserve">naive_mcap</t>
        </is>
      </c>
      <c r="C3080" s="0" t="inlineStr">
        <is>
          <t xml:space="preserve">d20260923</t>
        </is>
      </c>
      <c r="D3080" s="0" t="inlineStr">
        <is>
          <t xml:space="preserve">WDC</t>
        </is>
      </c>
      <c r="E3080" s="0" t="inlineStr">
        <is>
          <t xml:space="preserve">technology</t>
        </is>
      </c>
      <c r="F3080" s="4">
        <v>79</v>
      </c>
    </row>
    <row r="3081">
      <c r="A3081" s="0" t="inlineStr">
        <is>
          <t xml:space="preserve">naive_mcap_BX</t>
        </is>
      </c>
      <c r="B3081" s="0" t="inlineStr">
        <is>
          <t xml:space="preserve">naive_mcap</t>
        </is>
      </c>
      <c r="C3081" s="0" t="inlineStr">
        <is>
          <t xml:space="preserve">d20260923</t>
        </is>
      </c>
      <c r="D3081" s="0" t="inlineStr">
        <is>
          <t xml:space="preserve">BX</t>
        </is>
      </c>
      <c r="E3081" s="0" t="inlineStr">
        <is>
          <t xml:space="preserve">financial_services</t>
        </is>
      </c>
      <c r="F3081" s="4">
        <v>80</v>
      </c>
    </row>
    <row r="3082">
      <c r="A3082" s="0" t="inlineStr">
        <is>
          <t xml:space="preserve">naive_mcap_DHR</t>
        </is>
      </c>
      <c r="B3082" s="0" t="inlineStr">
        <is>
          <t xml:space="preserve">naive_mcap</t>
        </is>
      </c>
      <c r="C3082" s="0" t="inlineStr">
        <is>
          <t xml:space="preserve">d20260923</t>
        </is>
      </c>
      <c r="D3082" s="0" t="inlineStr">
        <is>
          <t xml:space="preserve">DHR</t>
        </is>
      </c>
      <c r="E3082" s="0" t="inlineStr">
        <is>
          <t xml:space="preserve">healthcare</t>
        </is>
      </c>
      <c r="F3082" s="4">
        <v>81</v>
      </c>
    </row>
    <row r="3083">
      <c r="A3083" s="0" t="inlineStr">
        <is>
          <t xml:space="preserve">naive_mcap_TJX</t>
        </is>
      </c>
      <c r="B3083" s="0" t="inlineStr">
        <is>
          <t xml:space="preserve">naive_mcap</t>
        </is>
      </c>
      <c r="C3083" s="0" t="inlineStr">
        <is>
          <t xml:space="preserve">d20260923</t>
        </is>
      </c>
      <c r="D3083" s="0" t="inlineStr">
        <is>
          <t xml:space="preserve">TJX</t>
        </is>
      </c>
      <c r="E3083" s="0" t="inlineStr">
        <is>
          <t xml:space="preserve">consumer_cyclical</t>
        </is>
      </c>
      <c r="F3083" s="4">
        <v>82</v>
      </c>
    </row>
    <row r="3084">
      <c r="A3084" s="0" t="inlineStr">
        <is>
          <t xml:space="preserve">naive_mcap_UBER</t>
        </is>
      </c>
      <c r="B3084" s="0" t="inlineStr">
        <is>
          <t xml:space="preserve">naive_mcap</t>
        </is>
      </c>
      <c r="C3084" s="0" t="inlineStr">
        <is>
          <t xml:space="preserve">d20260923</t>
        </is>
      </c>
      <c r="D3084" s="0" t="inlineStr">
        <is>
          <t xml:space="preserve">UBER</t>
        </is>
      </c>
      <c r="E3084" s="0" t="inlineStr">
        <is>
          <t xml:space="preserve">technology</t>
        </is>
      </c>
      <c r="F3084" s="4">
        <v>83</v>
      </c>
    </row>
    <row r="3085">
      <c r="A3085" s="0" t="inlineStr">
        <is>
          <t xml:space="preserve">naive_mcap_NOW</t>
        </is>
      </c>
      <c r="B3085" s="0" t="inlineStr">
        <is>
          <t xml:space="preserve">naive_mcap</t>
        </is>
      </c>
      <c r="C3085" s="0" t="inlineStr">
        <is>
          <t xml:space="preserve">d20260923</t>
        </is>
      </c>
      <c r="D3085" s="0" t="inlineStr">
        <is>
          <t xml:space="preserve">NOW</t>
        </is>
      </c>
      <c r="E3085" s="0" t="inlineStr">
        <is>
          <t xml:space="preserve">technology</t>
        </is>
      </c>
      <c r="F3085" s="4">
        <v>84</v>
      </c>
    </row>
    <row r="3086">
      <c r="A3086" s="0" t="inlineStr">
        <is>
          <t xml:space="preserve">naive_mcap_ISRG</t>
        </is>
      </c>
      <c r="B3086" s="0" t="inlineStr">
        <is>
          <t xml:space="preserve">naive_mcap</t>
        </is>
      </c>
      <c r="C3086" s="0" t="inlineStr">
        <is>
          <t xml:space="preserve">d20260923</t>
        </is>
      </c>
      <c r="D3086" s="0" t="inlineStr">
        <is>
          <t xml:space="preserve">ISRG</t>
        </is>
      </c>
      <c r="E3086" s="0" t="inlineStr">
        <is>
          <t xml:space="preserve">healthcare</t>
        </is>
      </c>
      <c r="F3086" s="4">
        <v>85</v>
      </c>
    </row>
    <row r="3087">
      <c r="A3087" s="0" t="inlineStr">
        <is>
          <t xml:space="preserve">naive_mcap_GLW</t>
        </is>
      </c>
      <c r="B3087" s="0" t="inlineStr">
        <is>
          <t xml:space="preserve">naive_mcap</t>
        </is>
      </c>
      <c r="C3087" s="0" t="inlineStr">
        <is>
          <t xml:space="preserve">d20260923</t>
        </is>
      </c>
      <c r="D3087" s="0" t="inlineStr">
        <is>
          <t xml:space="preserve">GLW</t>
        </is>
      </c>
      <c r="E3087" s="0" t="inlineStr">
        <is>
          <t xml:space="preserve">technology</t>
        </is>
      </c>
      <c r="F3087" s="4">
        <v>86</v>
      </c>
    </row>
    <row r="3088">
      <c r="A3088" s="0" t="inlineStr">
        <is>
          <t xml:space="preserve">naive_mcap_BKNG</t>
        </is>
      </c>
      <c r="B3088" s="0" t="inlineStr">
        <is>
          <t xml:space="preserve">naive_mcap</t>
        </is>
      </c>
      <c r="C3088" s="0" t="inlineStr">
        <is>
          <t xml:space="preserve">d20260923</t>
        </is>
      </c>
      <c r="D3088" s="0" t="inlineStr">
        <is>
          <t xml:space="preserve">BKNG</t>
        </is>
      </c>
      <c r="E3088" s="0" t="inlineStr">
        <is>
          <t xml:space="preserve">consumer_cyclical</t>
        </is>
      </c>
      <c r="F3088" s="4">
        <v>87</v>
      </c>
    </row>
    <row r="3089">
      <c r="A3089" s="0" t="inlineStr">
        <is>
          <t xml:space="preserve">naive_mcap_NEM</t>
        </is>
      </c>
      <c r="B3089" s="0" t="inlineStr">
        <is>
          <t xml:space="preserve">naive_mcap</t>
        </is>
      </c>
      <c r="C3089" s="0" t="inlineStr">
        <is>
          <t xml:space="preserve">d20260923</t>
        </is>
      </c>
      <c r="D3089" s="0" t="inlineStr">
        <is>
          <t xml:space="preserve">NEM</t>
        </is>
      </c>
      <c r="E3089" s="0" t="inlineStr">
        <is>
          <t xml:space="preserve">basic_materials</t>
        </is>
      </c>
      <c r="F3089" s="4">
        <v>88</v>
      </c>
    </row>
    <row r="3090">
      <c r="A3090" s="0" t="inlineStr">
        <is>
          <t xml:space="preserve">naive_mcap_VRTX</t>
        </is>
      </c>
      <c r="B3090" s="0" t="inlineStr">
        <is>
          <t xml:space="preserve">naive_mcap</t>
        </is>
      </c>
      <c r="C3090" s="0" t="inlineStr">
        <is>
          <t xml:space="preserve">d20260923</t>
        </is>
      </c>
      <c r="D3090" s="0" t="inlineStr">
        <is>
          <t xml:space="preserve">VRTX</t>
        </is>
      </c>
      <c r="E3090" s="0" t="inlineStr">
        <is>
          <t xml:space="preserve">healthcare</t>
        </is>
      </c>
      <c r="F3090" s="4">
        <v>89</v>
      </c>
    </row>
    <row r="3091">
      <c r="A3091" s="0" t="inlineStr">
        <is>
          <t xml:space="preserve">naive_mcap_FTNT</t>
        </is>
      </c>
      <c r="B3091" s="0" t="inlineStr">
        <is>
          <t xml:space="preserve">naive_mcap</t>
        </is>
      </c>
      <c r="C3091" s="0" t="inlineStr">
        <is>
          <t xml:space="preserve">d20260923</t>
        </is>
      </c>
      <c r="D3091" s="0" t="inlineStr">
        <is>
          <t xml:space="preserve">FTNT</t>
        </is>
      </c>
      <c r="E3091" s="0" t="inlineStr">
        <is>
          <t xml:space="preserve">technology</t>
        </is>
      </c>
      <c r="F3091" s="4">
        <v>90</v>
      </c>
    </row>
    <row r="3092">
      <c r="A3092" s="0" t="inlineStr">
        <is>
          <t xml:space="preserve">naive_mcap_BMY</t>
        </is>
      </c>
      <c r="B3092" s="0" t="inlineStr">
        <is>
          <t xml:space="preserve">naive_mcap</t>
        </is>
      </c>
      <c r="C3092" s="0" t="inlineStr">
        <is>
          <t xml:space="preserve">d20260923</t>
        </is>
      </c>
      <c r="D3092" s="0" t="inlineStr">
        <is>
          <t xml:space="preserve">BMY</t>
        </is>
      </c>
      <c r="E3092" s="0" t="inlineStr">
        <is>
          <t xml:space="preserve">healthcare</t>
        </is>
      </c>
      <c r="F3092" s="4">
        <v>91</v>
      </c>
    </row>
    <row r="3093">
      <c r="A3093" s="0" t="inlineStr">
        <is>
          <t xml:space="preserve">naive_mcap_PLD</t>
        </is>
      </c>
      <c r="B3093" s="0" t="inlineStr">
        <is>
          <t xml:space="preserve">naive_mcap</t>
        </is>
      </c>
      <c r="C3093" s="0" t="inlineStr">
        <is>
          <t xml:space="preserve">d20260923</t>
        </is>
      </c>
      <c r="D3093" s="0" t="inlineStr">
        <is>
          <t xml:space="preserve">PLD</t>
        </is>
      </c>
      <c r="E3093" s="0" t="inlineStr">
        <is>
          <t xml:space="preserve">real_estate</t>
        </is>
      </c>
      <c r="F3093" s="4">
        <v>92</v>
      </c>
    </row>
    <row r="3094">
      <c r="A3094" s="0" t="inlineStr">
        <is>
          <t xml:space="preserve">naive_mcap_COF</t>
        </is>
      </c>
      <c r="B3094" s="0" t="inlineStr">
        <is>
          <t xml:space="preserve">naive_mcap</t>
        </is>
      </c>
      <c r="C3094" s="0" t="inlineStr">
        <is>
          <t xml:space="preserve">d20260923</t>
        </is>
      </c>
      <c r="D3094" s="0" t="inlineStr">
        <is>
          <t xml:space="preserve">COF</t>
        </is>
      </c>
      <c r="E3094" s="0" t="inlineStr">
        <is>
          <t xml:space="preserve">financial_services</t>
        </is>
      </c>
      <c r="F3094" s="4">
        <v>93</v>
      </c>
    </row>
    <row r="3095">
      <c r="A3095" s="0" t="inlineStr">
        <is>
          <t xml:space="preserve">naive_mcap_NET</t>
        </is>
      </c>
      <c r="B3095" s="0" t="inlineStr">
        <is>
          <t xml:space="preserve">naive_mcap</t>
        </is>
      </c>
      <c r="C3095" s="0" t="inlineStr">
        <is>
          <t xml:space="preserve">d20260923</t>
        </is>
      </c>
      <c r="D3095" s="0" t="inlineStr">
        <is>
          <t xml:space="preserve">NET</t>
        </is>
      </c>
      <c r="E3095" s="0" t="inlineStr">
        <is>
          <t xml:space="preserve">technology</t>
        </is>
      </c>
      <c r="F3095" s="4">
        <v>94</v>
      </c>
    </row>
    <row r="3096">
      <c r="A3096" s="0" t="inlineStr">
        <is>
          <t xml:space="preserve">naive_mcap_LMT</t>
        </is>
      </c>
      <c r="B3096" s="0" t="inlineStr">
        <is>
          <t xml:space="preserve">naive_mcap</t>
        </is>
      </c>
      <c r="C3096" s="0" t="inlineStr">
        <is>
          <t xml:space="preserve">d20260923</t>
        </is>
      </c>
      <c r="D3096" s="0" t="inlineStr">
        <is>
          <t xml:space="preserve">LMT</t>
        </is>
      </c>
      <c r="E3096" s="0" t="inlineStr">
        <is>
          <t xml:space="preserve">industrials</t>
        </is>
      </c>
      <c r="F3096" s="4">
        <v>95</v>
      </c>
    </row>
    <row r="3097">
      <c r="A3097" s="0" t="inlineStr">
        <is>
          <t xml:space="preserve">naive_mcap_PGR</t>
        </is>
      </c>
      <c r="B3097" s="0" t="inlineStr">
        <is>
          <t xml:space="preserve">naive_mcap</t>
        </is>
      </c>
      <c r="C3097" s="0" t="inlineStr">
        <is>
          <t xml:space="preserve">d20260923</t>
        </is>
      </c>
      <c r="D3097" s="0" t="inlineStr">
        <is>
          <t xml:space="preserve">PGR</t>
        </is>
      </c>
      <c r="E3097" s="0" t="inlineStr">
        <is>
          <t xml:space="preserve">financial_services</t>
        </is>
      </c>
      <c r="F3097" s="4">
        <v>96</v>
      </c>
    </row>
    <row r="3098">
      <c r="A3098" s="0" t="inlineStr">
        <is>
          <t xml:space="preserve">naive_mcap_PH</t>
        </is>
      </c>
      <c r="B3098" s="0" t="inlineStr">
        <is>
          <t xml:space="preserve">naive_mcap</t>
        </is>
      </c>
      <c r="C3098" s="0" t="inlineStr">
        <is>
          <t xml:space="preserve">d20260923</t>
        </is>
      </c>
      <c r="D3098" s="0" t="inlineStr">
        <is>
          <t xml:space="preserve">PH</t>
        </is>
      </c>
      <c r="E3098" s="0" t="inlineStr">
        <is>
          <t xml:space="preserve">industrials</t>
        </is>
      </c>
      <c r="F3098" s="4">
        <v>97</v>
      </c>
    </row>
    <row r="3099">
      <c r="A3099" s="0" t="inlineStr">
        <is>
          <t xml:space="preserve">naive_mcap_SPGI</t>
        </is>
      </c>
      <c r="B3099" s="0" t="inlineStr">
        <is>
          <t xml:space="preserve">naive_mcap</t>
        </is>
      </c>
      <c r="C3099" s="0" t="inlineStr">
        <is>
          <t xml:space="preserve">d20260923</t>
        </is>
      </c>
      <c r="D3099" s="0" t="inlineStr">
        <is>
          <t xml:space="preserve">SPGI</t>
        </is>
      </c>
      <c r="E3099" s="0" t="inlineStr">
        <is>
          <t xml:space="preserve">financial_services</t>
        </is>
      </c>
      <c r="F3099" s="4">
        <v>98</v>
      </c>
    </row>
    <row r="3100">
      <c r="A3100" s="0" t="inlineStr">
        <is>
          <t xml:space="preserve">naive_mcap_SNOW</t>
        </is>
      </c>
      <c r="B3100" s="0" t="inlineStr">
        <is>
          <t xml:space="preserve">naive_mcap</t>
        </is>
      </c>
      <c r="C3100" s="0" t="inlineStr">
        <is>
          <t xml:space="preserve">d20260923</t>
        </is>
      </c>
      <c r="D3100" s="0" t="inlineStr">
        <is>
          <t xml:space="preserve">SNOW</t>
        </is>
      </c>
      <c r="E3100" s="0" t="inlineStr">
        <is>
          <t xml:space="preserve">technology</t>
        </is>
      </c>
      <c r="F3100" s="4">
        <v>99</v>
      </c>
    </row>
    <row r="3101">
      <c r="A3101" s="0" t="inlineStr">
        <is>
          <t xml:space="preserve">naive_mcap_MPC</t>
        </is>
      </c>
      <c r="B3101" s="0" t="inlineStr">
        <is>
          <t xml:space="preserve">naive_mcap</t>
        </is>
      </c>
      <c r="C3101" s="0" t="inlineStr">
        <is>
          <t xml:space="preserve">d20260923</t>
        </is>
      </c>
      <c r="D3101" s="0" t="inlineStr">
        <is>
          <t xml:space="preserve">MPC</t>
        </is>
      </c>
      <c r="E3101" s="0" t="inlineStr">
        <is>
          <t xml:space="preserve">energy</t>
        </is>
      </c>
      <c r="F3101" s="4">
        <v>100</v>
      </c>
    </row>
    <row r="3102">
      <c r="A3102" s="0" t="inlineStr">
        <is>
          <t xml:space="preserve">naive_mom_SNDK</t>
        </is>
      </c>
      <c r="B3102" s="0" t="inlineStr">
        <is>
          <t xml:space="preserve">naive_mom</t>
        </is>
      </c>
      <c r="C3102" s="0" t="inlineStr">
        <is>
          <t xml:space="preserve">d20260923</t>
        </is>
      </c>
      <c r="D3102" s="0" t="inlineStr">
        <is>
          <t xml:space="preserve">SNDK</t>
        </is>
      </c>
      <c r="E3102" s="0" t="inlineStr">
        <is>
          <t xml:space="preserve">technology</t>
        </is>
      </c>
      <c r="F3102" s="4">
        <v>1</v>
      </c>
    </row>
    <row r="3103">
      <c r="A3103" s="0" t="inlineStr">
        <is>
          <t xml:space="preserve">naive_mom_AXTI</t>
        </is>
      </c>
      <c r="B3103" s="0" t="inlineStr">
        <is>
          <t xml:space="preserve">naive_mom</t>
        </is>
      </c>
      <c r="C3103" s="0" t="inlineStr">
        <is>
          <t xml:space="preserve">d20260923</t>
        </is>
      </c>
      <c r="D3103" s="0" t="inlineStr">
        <is>
          <t xml:space="preserve">AXTI</t>
        </is>
      </c>
      <c r="E3103" s="0" t="inlineStr">
        <is>
          <t xml:space="preserve">technology</t>
        </is>
      </c>
      <c r="F3103" s="4">
        <v>2</v>
      </c>
    </row>
    <row r="3104">
      <c r="A3104" s="0" t="inlineStr">
        <is>
          <t xml:space="preserve">naive_mom_ERAS</t>
        </is>
      </c>
      <c r="B3104" s="0" t="inlineStr">
        <is>
          <t xml:space="preserve">naive_mom</t>
        </is>
      </c>
      <c r="C3104" s="0" t="inlineStr">
        <is>
          <t xml:space="preserve">d20260923</t>
        </is>
      </c>
      <c r="D3104" s="0" t="inlineStr">
        <is>
          <t xml:space="preserve">ERAS</t>
        </is>
      </c>
      <c r="E3104" s="0" t="inlineStr">
        <is>
          <t xml:space="preserve">healthcare</t>
        </is>
      </c>
      <c r="F3104" s="4">
        <v>3</v>
      </c>
    </row>
    <row r="3105">
      <c r="A3105" s="0" t="inlineStr">
        <is>
          <t xml:space="preserve">naive_mom_SLS</t>
        </is>
      </c>
      <c r="B3105" s="0" t="inlineStr">
        <is>
          <t xml:space="preserve">naive_mom</t>
        </is>
      </c>
      <c r="C3105" s="0" t="inlineStr">
        <is>
          <t xml:space="preserve">d20260923</t>
        </is>
      </c>
      <c r="D3105" s="0" t="inlineStr">
        <is>
          <t xml:space="preserve">SLS</t>
        </is>
      </c>
      <c r="E3105" s="0" t="inlineStr">
        <is>
          <t xml:space="preserve">healthcare</t>
        </is>
      </c>
      <c r="F3105" s="4">
        <v>4</v>
      </c>
    </row>
    <row r="3106">
      <c r="A3106" s="0" t="inlineStr">
        <is>
          <t xml:space="preserve">naive_mom_PRAX</t>
        </is>
      </c>
      <c r="B3106" s="0" t="inlineStr">
        <is>
          <t xml:space="preserve">naive_mom</t>
        </is>
      </c>
      <c r="C3106" s="0" t="inlineStr">
        <is>
          <t xml:space="preserve">d20260923</t>
        </is>
      </c>
      <c r="D3106" s="0" t="inlineStr">
        <is>
          <t xml:space="preserve">PRAX</t>
        </is>
      </c>
      <c r="E3106" s="0" t="inlineStr">
        <is>
          <t xml:space="preserve">healthcare</t>
        </is>
      </c>
      <c r="F3106" s="4">
        <v>5</v>
      </c>
    </row>
    <row r="3107">
      <c r="A3107" s="0" t="inlineStr">
        <is>
          <t xml:space="preserve">naive_mom_SYRE</t>
        </is>
      </c>
      <c r="B3107" s="0" t="inlineStr">
        <is>
          <t xml:space="preserve">naive_mom</t>
        </is>
      </c>
      <c r="C3107" s="0" t="inlineStr">
        <is>
          <t xml:space="preserve">d20260923</t>
        </is>
      </c>
      <c r="D3107" s="0" t="inlineStr">
        <is>
          <t xml:space="preserve">SYRE</t>
        </is>
      </c>
      <c r="E3107" s="0" t="inlineStr">
        <is>
          <t xml:space="preserve">healthcare</t>
        </is>
      </c>
      <c r="F3107" s="4">
        <v>6</v>
      </c>
    </row>
    <row r="3108">
      <c r="A3108" s="0" t="inlineStr">
        <is>
          <t xml:space="preserve">naive_mom_ORKA</t>
        </is>
      </c>
      <c r="B3108" s="0" t="inlineStr">
        <is>
          <t xml:space="preserve">naive_mom</t>
        </is>
      </c>
      <c r="C3108" s="0" t="inlineStr">
        <is>
          <t xml:space="preserve">d20260923</t>
        </is>
      </c>
      <c r="D3108" s="0" t="inlineStr">
        <is>
          <t xml:space="preserve">ORKA</t>
        </is>
      </c>
      <c r="E3108" s="0" t="inlineStr">
        <is>
          <t xml:space="preserve">healthcare</t>
        </is>
      </c>
      <c r="F3108" s="4">
        <v>7</v>
      </c>
    </row>
    <row r="3109">
      <c r="A3109" s="0" t="inlineStr">
        <is>
          <t xml:space="preserve">naive_mom_MU</t>
        </is>
      </c>
      <c r="B3109" s="0" t="inlineStr">
        <is>
          <t xml:space="preserve">naive_mom</t>
        </is>
      </c>
      <c r="C3109" s="0" t="inlineStr">
        <is>
          <t xml:space="preserve">d20260923</t>
        </is>
      </c>
      <c r="D3109" s="0" t="inlineStr">
        <is>
          <t xml:space="preserve">MU</t>
        </is>
      </c>
      <c r="E3109" s="0" t="inlineStr">
        <is>
          <t xml:space="preserve">technology</t>
        </is>
      </c>
      <c r="F3109" s="4">
        <v>8</v>
      </c>
    </row>
    <row r="3110">
      <c r="A3110" s="0" t="inlineStr">
        <is>
          <t xml:space="preserve">naive_mom_MRNA</t>
        </is>
      </c>
      <c r="B3110" s="0" t="inlineStr">
        <is>
          <t xml:space="preserve">naive_mom</t>
        </is>
      </c>
      <c r="C3110" s="0" t="inlineStr">
        <is>
          <t xml:space="preserve">d20260923</t>
        </is>
      </c>
      <c r="D3110" s="0" t="inlineStr">
        <is>
          <t xml:space="preserve">MRNA</t>
        </is>
      </c>
      <c r="E3110" s="0" t="inlineStr">
        <is>
          <t xml:space="preserve">healthcare</t>
        </is>
      </c>
      <c r="F3110" s="4">
        <v>9</v>
      </c>
    </row>
    <row r="3111">
      <c r="A3111" s="0" t="inlineStr">
        <is>
          <t xml:space="preserve">naive_mom_LITE</t>
        </is>
      </c>
      <c r="B3111" s="0" t="inlineStr">
        <is>
          <t xml:space="preserve">naive_mom</t>
        </is>
      </c>
      <c r="C3111" s="0" t="inlineStr">
        <is>
          <t xml:space="preserve">d20260923</t>
        </is>
      </c>
      <c r="D3111" s="0" t="inlineStr">
        <is>
          <t xml:space="preserve">LITE</t>
        </is>
      </c>
      <c r="E3111" s="0" t="inlineStr">
        <is>
          <t xml:space="preserve">technology</t>
        </is>
      </c>
      <c r="F3111" s="4">
        <v>10</v>
      </c>
    </row>
    <row r="3112">
      <c r="A3112" s="0" t="inlineStr">
        <is>
          <t xml:space="preserve">naive_mom_TWST</t>
        </is>
      </c>
      <c r="B3112" s="0" t="inlineStr">
        <is>
          <t xml:space="preserve">naive_mom</t>
        </is>
      </c>
      <c r="C3112" s="0" t="inlineStr">
        <is>
          <t xml:space="preserve">d20260923</t>
        </is>
      </c>
      <c r="D3112" s="0" t="inlineStr">
        <is>
          <t xml:space="preserve">TWST</t>
        </is>
      </c>
      <c r="E3112" s="0" t="inlineStr">
        <is>
          <t xml:space="preserve">healthcare</t>
        </is>
      </c>
      <c r="F3112" s="4">
        <v>11</v>
      </c>
    </row>
    <row r="3113">
      <c r="A3113" s="0" t="inlineStr">
        <is>
          <t xml:space="preserve">naive_mom_TXG</t>
        </is>
      </c>
      <c r="B3113" s="0" t="inlineStr">
        <is>
          <t xml:space="preserve">naive_mom</t>
        </is>
      </c>
      <c r="C3113" s="0" t="inlineStr">
        <is>
          <t xml:space="preserve">d20260923</t>
        </is>
      </c>
      <c r="D3113" s="0" t="inlineStr">
        <is>
          <t xml:space="preserve">TXG</t>
        </is>
      </c>
      <c r="E3113" s="0" t="inlineStr">
        <is>
          <t xml:space="preserve">healthcare</t>
        </is>
      </c>
      <c r="F3113" s="4">
        <v>12</v>
      </c>
    </row>
    <row r="3114">
      <c r="A3114" s="0" t="inlineStr">
        <is>
          <t xml:space="preserve">naive_mom_RVMD</t>
        </is>
      </c>
      <c r="B3114" s="0" t="inlineStr">
        <is>
          <t xml:space="preserve">naive_mom</t>
        </is>
      </c>
      <c r="C3114" s="0" t="inlineStr">
        <is>
          <t xml:space="preserve">d20260923</t>
        </is>
      </c>
      <c r="D3114" s="0" t="inlineStr">
        <is>
          <t xml:space="preserve">RVMD</t>
        </is>
      </c>
      <c r="E3114" s="0" t="inlineStr">
        <is>
          <t xml:space="preserve">healthcare</t>
        </is>
      </c>
      <c r="F3114" s="4">
        <v>13</v>
      </c>
    </row>
    <row r="3115">
      <c r="A3115" s="0" t="inlineStr">
        <is>
          <t xml:space="preserve">naive_mom_DFTX</t>
        </is>
      </c>
      <c r="B3115" s="0" t="inlineStr">
        <is>
          <t xml:space="preserve">naive_mom</t>
        </is>
      </c>
      <c r="C3115" s="0" t="inlineStr">
        <is>
          <t xml:space="preserve">d20260923</t>
        </is>
      </c>
      <c r="D3115" s="0" t="inlineStr">
        <is>
          <t xml:space="preserve">DFTX</t>
        </is>
      </c>
      <c r="E3115" s="0" t="inlineStr">
        <is>
          <t xml:space="preserve">healthcare</t>
        </is>
      </c>
      <c r="F3115" s="4">
        <v>14</v>
      </c>
    </row>
    <row r="3116">
      <c r="A3116" s="0" t="inlineStr">
        <is>
          <t xml:space="preserve">naive_mom_BFLY</t>
        </is>
      </c>
      <c r="B3116" s="0" t="inlineStr">
        <is>
          <t xml:space="preserve">naive_mom</t>
        </is>
      </c>
      <c r="C3116" s="0" t="inlineStr">
        <is>
          <t xml:space="preserve">d20260923</t>
        </is>
      </c>
      <c r="D3116" s="0" t="inlineStr">
        <is>
          <t xml:space="preserve">BFLY</t>
        </is>
      </c>
      <c r="E3116" s="0" t="inlineStr">
        <is>
          <t xml:space="preserve">healthcare</t>
        </is>
      </c>
      <c r="F3116" s="4">
        <v>15</v>
      </c>
    </row>
    <row r="3117">
      <c r="A3117" s="0" t="inlineStr">
        <is>
          <t xml:space="preserve">naive_mom_RLAY</t>
        </is>
      </c>
      <c r="B3117" s="0" t="inlineStr">
        <is>
          <t xml:space="preserve">naive_mom</t>
        </is>
      </c>
      <c r="C3117" s="0" t="inlineStr">
        <is>
          <t xml:space="preserve">d20260923</t>
        </is>
      </c>
      <c r="D3117" s="0" t="inlineStr">
        <is>
          <t xml:space="preserve">RLAY</t>
        </is>
      </c>
      <c r="E3117" s="0" t="inlineStr">
        <is>
          <t xml:space="preserve">healthcare</t>
        </is>
      </c>
      <c r="F3117" s="4">
        <v>16</v>
      </c>
    </row>
    <row r="3118">
      <c r="A3118" s="0" t="inlineStr">
        <is>
          <t xml:space="preserve">naive_mom_WDC</t>
        </is>
      </c>
      <c r="B3118" s="0" t="inlineStr">
        <is>
          <t xml:space="preserve">naive_mom</t>
        </is>
      </c>
      <c r="C3118" s="0" t="inlineStr">
        <is>
          <t xml:space="preserve">d20260923</t>
        </is>
      </c>
      <c r="D3118" s="0" t="inlineStr">
        <is>
          <t xml:space="preserve">WDC</t>
        </is>
      </c>
      <c r="E3118" s="0" t="inlineStr">
        <is>
          <t xml:space="preserve">technology</t>
        </is>
      </c>
      <c r="F3118" s="4">
        <v>17</v>
      </c>
    </row>
    <row r="3119">
      <c r="A3119" s="0" t="inlineStr">
        <is>
          <t xml:space="preserve">naive_mom_AAOI</t>
        </is>
      </c>
      <c r="B3119" s="0" t="inlineStr">
        <is>
          <t xml:space="preserve">naive_mom</t>
        </is>
      </c>
      <c r="C3119" s="0" t="inlineStr">
        <is>
          <t xml:space="preserve">d20260923</t>
        </is>
      </c>
      <c r="D3119" s="0" t="inlineStr">
        <is>
          <t xml:space="preserve">AAOI</t>
        </is>
      </c>
      <c r="E3119" s="0" t="inlineStr">
        <is>
          <t xml:space="preserve">technology</t>
        </is>
      </c>
      <c r="F3119" s="4">
        <v>18</v>
      </c>
    </row>
    <row r="3120">
      <c r="A3120" s="0" t="inlineStr">
        <is>
          <t xml:space="preserve">naive_mom_IOVA</t>
        </is>
      </c>
      <c r="B3120" s="0" t="inlineStr">
        <is>
          <t xml:space="preserve">naive_mom</t>
        </is>
      </c>
      <c r="C3120" s="0" t="inlineStr">
        <is>
          <t xml:space="preserve">d20260923</t>
        </is>
      </c>
      <c r="D3120" s="0" t="inlineStr">
        <is>
          <t xml:space="preserve">IOVA</t>
        </is>
      </c>
      <c r="E3120" s="0" t="inlineStr">
        <is>
          <t xml:space="preserve">healthcare</t>
        </is>
      </c>
      <c r="F3120" s="4">
        <v>19</v>
      </c>
    </row>
    <row r="3121">
      <c r="A3121" s="0" t="inlineStr">
        <is>
          <t xml:space="preserve">naive_mom_MXL</t>
        </is>
      </c>
      <c r="B3121" s="0" t="inlineStr">
        <is>
          <t xml:space="preserve">naive_mom</t>
        </is>
      </c>
      <c r="C3121" s="0" t="inlineStr">
        <is>
          <t xml:space="preserve">d20260923</t>
        </is>
      </c>
      <c r="D3121" s="0" t="inlineStr">
        <is>
          <t xml:space="preserve">MXL</t>
        </is>
      </c>
      <c r="E3121" s="0" t="inlineStr">
        <is>
          <t xml:space="preserve">technology</t>
        </is>
      </c>
      <c r="F3121" s="4">
        <v>20</v>
      </c>
    </row>
    <row r="3122">
      <c r="A3122" s="0" t="inlineStr">
        <is>
          <t xml:space="preserve">naive_mom_VICR</t>
        </is>
      </c>
      <c r="B3122" s="0" t="inlineStr">
        <is>
          <t xml:space="preserve">naive_mom</t>
        </is>
      </c>
      <c r="C3122" s="0" t="inlineStr">
        <is>
          <t xml:space="preserve">d20260923</t>
        </is>
      </c>
      <c r="D3122" s="0" t="inlineStr">
        <is>
          <t xml:space="preserve">VICR</t>
        </is>
      </c>
      <c r="E3122" s="0" t="inlineStr">
        <is>
          <t xml:space="preserve">technology</t>
        </is>
      </c>
      <c r="F3122" s="4">
        <v>21</v>
      </c>
    </row>
    <row r="3123">
      <c r="A3123" s="0" t="inlineStr">
        <is>
          <t xml:space="preserve">naive_mom_ALM</t>
        </is>
      </c>
      <c r="B3123" s="0" t="inlineStr">
        <is>
          <t xml:space="preserve">naive_mom</t>
        </is>
      </c>
      <c r="C3123" s="0" t="inlineStr">
        <is>
          <t xml:space="preserve">d20260923</t>
        </is>
      </c>
      <c r="D3123" s="0" t="inlineStr">
        <is>
          <t xml:space="preserve">ALM</t>
        </is>
      </c>
      <c r="E3123" s="0" t="inlineStr">
        <is>
          <t xml:space="preserve">basic_materials</t>
        </is>
      </c>
      <c r="F3123" s="4">
        <v>22</v>
      </c>
    </row>
    <row r="3124">
      <c r="A3124" s="0" t="inlineStr">
        <is>
          <t xml:space="preserve">naive_mom_VSXY</t>
        </is>
      </c>
      <c r="B3124" s="0" t="inlineStr">
        <is>
          <t xml:space="preserve">naive_mom</t>
        </is>
      </c>
      <c r="C3124" s="0" t="inlineStr">
        <is>
          <t xml:space="preserve">d20260923</t>
        </is>
      </c>
      <c r="D3124" s="0" t="inlineStr">
        <is>
          <t xml:space="preserve">VSXY</t>
        </is>
      </c>
      <c r="E3124" s="0" t="inlineStr">
        <is>
          <t xml:space="preserve">consumer_cyclical</t>
        </is>
      </c>
      <c r="F3124" s="4">
        <v>23</v>
      </c>
    </row>
    <row r="3125">
      <c r="A3125" s="0" t="inlineStr">
        <is>
          <t xml:space="preserve">naive_mom_MBX</t>
        </is>
      </c>
      <c r="B3125" s="0" t="inlineStr">
        <is>
          <t xml:space="preserve">naive_mom</t>
        </is>
      </c>
      <c r="C3125" s="0" t="inlineStr">
        <is>
          <t xml:space="preserve">d20260923</t>
        </is>
      </c>
      <c r="D3125" s="0" t="inlineStr">
        <is>
          <t xml:space="preserve">MBX</t>
        </is>
      </c>
      <c r="E3125" s="0" t="inlineStr">
        <is>
          <t xml:space="preserve">healthcare</t>
        </is>
      </c>
      <c r="F3125" s="4">
        <v>24</v>
      </c>
    </row>
    <row r="3126">
      <c r="A3126" s="0" t="inlineStr">
        <is>
          <t xml:space="preserve">naive_mom_PACS</t>
        </is>
      </c>
      <c r="B3126" s="0" t="inlineStr">
        <is>
          <t xml:space="preserve">naive_mom</t>
        </is>
      </c>
      <c r="C3126" s="0" t="inlineStr">
        <is>
          <t xml:space="preserve">d20260923</t>
        </is>
      </c>
      <c r="D3126" s="0" t="inlineStr">
        <is>
          <t xml:space="preserve">PACS</t>
        </is>
      </c>
      <c r="E3126" s="0" t="inlineStr">
        <is>
          <t xml:space="preserve">healthcare</t>
        </is>
      </c>
      <c r="F3126" s="4">
        <v>25</v>
      </c>
    </row>
    <row r="3127">
      <c r="A3127" s="0" t="inlineStr">
        <is>
          <t xml:space="preserve">naive_mom_DELL</t>
        </is>
      </c>
      <c r="B3127" s="0" t="inlineStr">
        <is>
          <t xml:space="preserve">naive_mom</t>
        </is>
      </c>
      <c r="C3127" s="0" t="inlineStr">
        <is>
          <t xml:space="preserve">d20260923</t>
        </is>
      </c>
      <c r="D3127" s="0" t="inlineStr">
        <is>
          <t xml:space="preserve">DELL</t>
        </is>
      </c>
      <c r="E3127" s="0" t="inlineStr">
        <is>
          <t xml:space="preserve">technology</t>
        </is>
      </c>
      <c r="F3127" s="4">
        <v>26</v>
      </c>
    </row>
    <row r="3128">
      <c r="A3128" s="0" t="inlineStr">
        <is>
          <t xml:space="preserve">naive_mom_CDNA</t>
        </is>
      </c>
      <c r="B3128" s="0" t="inlineStr">
        <is>
          <t xml:space="preserve">naive_mom</t>
        </is>
      </c>
      <c r="C3128" s="0" t="inlineStr">
        <is>
          <t xml:space="preserve">d20260923</t>
        </is>
      </c>
      <c r="D3128" s="0" t="inlineStr">
        <is>
          <t xml:space="preserve">CDNA</t>
        </is>
      </c>
      <c r="E3128" s="0" t="inlineStr">
        <is>
          <t xml:space="preserve">healthcare</t>
        </is>
      </c>
      <c r="F3128" s="4">
        <v>27</v>
      </c>
    </row>
    <row r="3129">
      <c r="A3129" s="0" t="inlineStr">
        <is>
          <t xml:space="preserve">naive_mom_NESR</t>
        </is>
      </c>
      <c r="B3129" s="0" t="inlineStr">
        <is>
          <t xml:space="preserve">naive_mom</t>
        </is>
      </c>
      <c r="C3129" s="0" t="inlineStr">
        <is>
          <t xml:space="preserve">d20260923</t>
        </is>
      </c>
      <c r="D3129" s="0" t="inlineStr">
        <is>
          <t xml:space="preserve">NESR</t>
        </is>
      </c>
      <c r="E3129" s="0" t="inlineStr">
        <is>
          <t xml:space="preserve">energy</t>
        </is>
      </c>
      <c r="F3129" s="4">
        <v>28</v>
      </c>
    </row>
    <row r="3130">
      <c r="A3130" s="0" t="inlineStr">
        <is>
          <t xml:space="preserve">naive_mom_TNGX</t>
        </is>
      </c>
      <c r="B3130" s="0" t="inlineStr">
        <is>
          <t xml:space="preserve">naive_mom</t>
        </is>
      </c>
      <c r="C3130" s="0" t="inlineStr">
        <is>
          <t xml:space="preserve">d20260923</t>
        </is>
      </c>
      <c r="D3130" s="0" t="inlineStr">
        <is>
          <t xml:space="preserve">TNGX</t>
        </is>
      </c>
      <c r="E3130" s="0" t="inlineStr">
        <is>
          <t xml:space="preserve">healthcare</t>
        </is>
      </c>
      <c r="F3130" s="4">
        <v>29</v>
      </c>
    </row>
    <row r="3131">
      <c r="A3131" s="0" t="inlineStr">
        <is>
          <t xml:space="preserve">naive_mom_NRIX</t>
        </is>
      </c>
      <c r="B3131" s="0" t="inlineStr">
        <is>
          <t xml:space="preserve">naive_mom</t>
        </is>
      </c>
      <c r="C3131" s="0" t="inlineStr">
        <is>
          <t xml:space="preserve">d20260923</t>
        </is>
      </c>
      <c r="D3131" s="0" t="inlineStr">
        <is>
          <t xml:space="preserve">NRIX</t>
        </is>
      </c>
      <c r="E3131" s="0" t="inlineStr">
        <is>
          <t xml:space="preserve">healthcare</t>
        </is>
      </c>
      <c r="F3131" s="4">
        <v>30</v>
      </c>
    </row>
    <row r="3132">
      <c r="A3132" s="0" t="inlineStr">
        <is>
          <t xml:space="preserve">naive_mom_VIAV</t>
        </is>
      </c>
      <c r="B3132" s="0" t="inlineStr">
        <is>
          <t xml:space="preserve">naive_mom</t>
        </is>
      </c>
      <c r="C3132" s="0" t="inlineStr">
        <is>
          <t xml:space="preserve">d20260923</t>
        </is>
      </c>
      <c r="D3132" s="0" t="inlineStr">
        <is>
          <t xml:space="preserve">VIAV</t>
        </is>
      </c>
      <c r="E3132" s="0" t="inlineStr">
        <is>
          <t xml:space="preserve">technology</t>
        </is>
      </c>
      <c r="F3132" s="4">
        <v>31</v>
      </c>
    </row>
    <row r="3133">
      <c r="A3133" s="0" t="inlineStr">
        <is>
          <t xml:space="preserve">naive_mom_MRVL</t>
        </is>
      </c>
      <c r="B3133" s="0" t="inlineStr">
        <is>
          <t xml:space="preserve">naive_mom</t>
        </is>
      </c>
      <c r="C3133" s="0" t="inlineStr">
        <is>
          <t xml:space="preserve">d20260923</t>
        </is>
      </c>
      <c r="D3133" s="0" t="inlineStr">
        <is>
          <t xml:space="preserve">MRVL</t>
        </is>
      </c>
      <c r="E3133" s="0" t="inlineStr">
        <is>
          <t xml:space="preserve">technology</t>
        </is>
      </c>
      <c r="F3133" s="4">
        <v>32</v>
      </c>
    </row>
    <row r="3134">
      <c r="A3134" s="0" t="inlineStr">
        <is>
          <t xml:space="preserve">naive_mom_INTC</t>
        </is>
      </c>
      <c r="B3134" s="0" t="inlineStr">
        <is>
          <t xml:space="preserve">naive_mom</t>
        </is>
      </c>
      <c r="C3134" s="0" t="inlineStr">
        <is>
          <t xml:space="preserve">d20260923</t>
        </is>
      </c>
      <c r="D3134" s="0" t="inlineStr">
        <is>
          <t xml:space="preserve">INTC</t>
        </is>
      </c>
      <c r="E3134" s="0" t="inlineStr">
        <is>
          <t xml:space="preserve">technology</t>
        </is>
      </c>
      <c r="F3134" s="4">
        <v>33</v>
      </c>
    </row>
    <row r="3135">
      <c r="A3135" s="0" t="inlineStr">
        <is>
          <t xml:space="preserve">naive_mom_AEHR</t>
        </is>
      </c>
      <c r="B3135" s="0" t="inlineStr">
        <is>
          <t xml:space="preserve">naive_mom</t>
        </is>
      </c>
      <c r="C3135" s="0" t="inlineStr">
        <is>
          <t xml:space="preserve">d20260923</t>
        </is>
      </c>
      <c r="D3135" s="0" t="inlineStr">
        <is>
          <t xml:space="preserve">AEHR</t>
        </is>
      </c>
      <c r="E3135" s="0" t="inlineStr">
        <is>
          <t xml:space="preserve">technology</t>
        </is>
      </c>
      <c r="F3135" s="4">
        <v>34</v>
      </c>
    </row>
    <row r="3136">
      <c r="A3136" s="0" t="inlineStr">
        <is>
          <t xml:space="preserve">naive_mom_DOCN</t>
        </is>
      </c>
      <c r="B3136" s="0" t="inlineStr">
        <is>
          <t xml:space="preserve">naive_mom</t>
        </is>
      </c>
      <c r="C3136" s="0" t="inlineStr">
        <is>
          <t xml:space="preserve">d20260923</t>
        </is>
      </c>
      <c r="D3136" s="0" t="inlineStr">
        <is>
          <t xml:space="preserve">DOCN</t>
        </is>
      </c>
      <c r="E3136" s="0" t="inlineStr">
        <is>
          <t xml:space="preserve">technology</t>
        </is>
      </c>
      <c r="F3136" s="4">
        <v>35</v>
      </c>
    </row>
    <row r="3137">
      <c r="A3137" s="0" t="inlineStr">
        <is>
          <t xml:space="preserve">naive_mom_FORM</t>
        </is>
      </c>
      <c r="B3137" s="0" t="inlineStr">
        <is>
          <t xml:space="preserve">naive_mom</t>
        </is>
      </c>
      <c r="C3137" s="0" t="inlineStr">
        <is>
          <t xml:space="preserve">d20260923</t>
        </is>
      </c>
      <c r="D3137" s="0" t="inlineStr">
        <is>
          <t xml:space="preserve">FORM</t>
        </is>
      </c>
      <c r="E3137" s="0" t="inlineStr">
        <is>
          <t xml:space="preserve">technology</t>
        </is>
      </c>
      <c r="F3137" s="4">
        <v>36</v>
      </c>
    </row>
    <row r="3138">
      <c r="A3138" s="0" t="inlineStr">
        <is>
          <t xml:space="preserve">naive_mom_ELVN</t>
        </is>
      </c>
      <c r="B3138" s="0" t="inlineStr">
        <is>
          <t xml:space="preserve">naive_mom</t>
        </is>
      </c>
      <c r="C3138" s="0" t="inlineStr">
        <is>
          <t xml:space="preserve">d20260923</t>
        </is>
      </c>
      <c r="D3138" s="0" t="inlineStr">
        <is>
          <t xml:space="preserve">ELVN</t>
        </is>
      </c>
      <c r="E3138" s="0" t="inlineStr">
        <is>
          <t xml:space="preserve">healthcare</t>
        </is>
      </c>
      <c r="F3138" s="4">
        <v>37</v>
      </c>
    </row>
    <row r="3139">
      <c r="A3139" s="0" t="inlineStr">
        <is>
          <t xml:space="preserve">naive_mom_LQDA</t>
        </is>
      </c>
      <c r="B3139" s="0" t="inlineStr">
        <is>
          <t xml:space="preserve">naive_mom</t>
        </is>
      </c>
      <c r="C3139" s="0" t="inlineStr">
        <is>
          <t xml:space="preserve">d20260923</t>
        </is>
      </c>
      <c r="D3139" s="0" t="inlineStr">
        <is>
          <t xml:space="preserve">LQDA</t>
        </is>
      </c>
      <c r="E3139" s="0" t="inlineStr">
        <is>
          <t xml:space="preserve">healthcare</t>
        </is>
      </c>
      <c r="F3139" s="4">
        <v>38</v>
      </c>
    </row>
    <row r="3140">
      <c r="A3140" s="0" t="inlineStr">
        <is>
          <t xml:space="preserve">naive_mom_AMD</t>
        </is>
      </c>
      <c r="B3140" s="0" t="inlineStr">
        <is>
          <t xml:space="preserve">naive_mom</t>
        </is>
      </c>
      <c r="C3140" s="0" t="inlineStr">
        <is>
          <t xml:space="preserve">d20260923</t>
        </is>
      </c>
      <c r="D3140" s="0" t="inlineStr">
        <is>
          <t xml:space="preserve">AMD</t>
        </is>
      </c>
      <c r="E3140" s="0" t="inlineStr">
        <is>
          <t xml:space="preserve">technology</t>
        </is>
      </c>
      <c r="F3140" s="4">
        <v>39</v>
      </c>
    </row>
    <row r="3141">
      <c r="A3141" s="0" t="inlineStr">
        <is>
          <t xml:space="preserve">naive_mom_DNTH</t>
        </is>
      </c>
      <c r="B3141" s="0" t="inlineStr">
        <is>
          <t xml:space="preserve">naive_mom</t>
        </is>
      </c>
      <c r="C3141" s="0" t="inlineStr">
        <is>
          <t xml:space="preserve">d20260923</t>
        </is>
      </c>
      <c r="D3141" s="0" t="inlineStr">
        <is>
          <t xml:space="preserve">DNTH</t>
        </is>
      </c>
      <c r="E3141" s="0" t="inlineStr">
        <is>
          <t xml:space="preserve">healthcare</t>
        </is>
      </c>
      <c r="F3141" s="4">
        <v>40</v>
      </c>
    </row>
    <row r="3142">
      <c r="A3142" s="0" t="inlineStr">
        <is>
          <t xml:space="preserve">naive_mom_COGT</t>
        </is>
      </c>
      <c r="B3142" s="0" t="inlineStr">
        <is>
          <t xml:space="preserve">naive_mom</t>
        </is>
      </c>
      <c r="C3142" s="0" t="inlineStr">
        <is>
          <t xml:space="preserve">d20260923</t>
        </is>
      </c>
      <c r="D3142" s="0" t="inlineStr">
        <is>
          <t xml:space="preserve">COGT</t>
        </is>
      </c>
      <c r="E3142" s="0" t="inlineStr">
        <is>
          <t xml:space="preserve">healthcare</t>
        </is>
      </c>
      <c r="F3142" s="4">
        <v>41</v>
      </c>
    </row>
    <row r="3143">
      <c r="A3143" s="0" t="inlineStr">
        <is>
          <t xml:space="preserve">naive_mom_EWTX</t>
        </is>
      </c>
      <c r="B3143" s="0" t="inlineStr">
        <is>
          <t xml:space="preserve">naive_mom</t>
        </is>
      </c>
      <c r="C3143" s="0" t="inlineStr">
        <is>
          <t xml:space="preserve">d20260923</t>
        </is>
      </c>
      <c r="D3143" s="0" t="inlineStr">
        <is>
          <t xml:space="preserve">EWTX</t>
        </is>
      </c>
      <c r="E3143" s="0" t="inlineStr">
        <is>
          <t xml:space="preserve">healthcare</t>
        </is>
      </c>
      <c r="F3143" s="4">
        <v>42</v>
      </c>
    </row>
    <row r="3144">
      <c r="A3144" s="0" t="inlineStr">
        <is>
          <t xml:space="preserve">naive_mom_IMNM</t>
        </is>
      </c>
      <c r="B3144" s="0" t="inlineStr">
        <is>
          <t xml:space="preserve">naive_mom</t>
        </is>
      </c>
      <c r="C3144" s="0" t="inlineStr">
        <is>
          <t xml:space="preserve">d20260923</t>
        </is>
      </c>
      <c r="D3144" s="0" t="inlineStr">
        <is>
          <t xml:space="preserve">IMNM</t>
        </is>
      </c>
      <c r="E3144" s="0" t="inlineStr">
        <is>
          <t xml:space="preserve">healthcare</t>
        </is>
      </c>
      <c r="F3144" s="4">
        <v>43</v>
      </c>
    </row>
    <row r="3145">
      <c r="A3145" s="0" t="inlineStr">
        <is>
          <t xml:space="preserve">naive_mom_IBRX</t>
        </is>
      </c>
      <c r="B3145" s="0" t="inlineStr">
        <is>
          <t xml:space="preserve">naive_mom</t>
        </is>
      </c>
      <c r="C3145" s="0" t="inlineStr">
        <is>
          <t xml:space="preserve">d20260923</t>
        </is>
      </c>
      <c r="D3145" s="0" t="inlineStr">
        <is>
          <t xml:space="preserve">IBRX</t>
        </is>
      </c>
      <c r="E3145" s="0" t="inlineStr">
        <is>
          <t xml:space="preserve">healthcare</t>
        </is>
      </c>
      <c r="F3145" s="4">
        <v>44</v>
      </c>
    </row>
    <row r="3146">
      <c r="A3146" s="0" t="inlineStr">
        <is>
          <t xml:space="preserve">naive_mom_AMLX</t>
        </is>
      </c>
      <c r="B3146" s="0" t="inlineStr">
        <is>
          <t xml:space="preserve">naive_mom</t>
        </is>
      </c>
      <c r="C3146" s="0" t="inlineStr">
        <is>
          <t xml:space="preserve">d20260923</t>
        </is>
      </c>
      <c r="D3146" s="0" t="inlineStr">
        <is>
          <t xml:space="preserve">AMLX</t>
        </is>
      </c>
      <c r="E3146" s="0" t="inlineStr">
        <is>
          <t xml:space="preserve">healthcare</t>
        </is>
      </c>
      <c r="F3146" s="4">
        <v>45</v>
      </c>
    </row>
    <row r="3147">
      <c r="A3147" s="0" t="inlineStr">
        <is>
          <t xml:space="preserve">naive_mom_PLSE</t>
        </is>
      </c>
      <c r="B3147" s="0" t="inlineStr">
        <is>
          <t xml:space="preserve">naive_mom</t>
        </is>
      </c>
      <c r="C3147" s="0" t="inlineStr">
        <is>
          <t xml:space="preserve">d20260923</t>
        </is>
      </c>
      <c r="D3147" s="0" t="inlineStr">
        <is>
          <t xml:space="preserve">PLSE</t>
        </is>
      </c>
      <c r="E3147" s="0" t="inlineStr">
        <is>
          <t xml:space="preserve">healthcare</t>
        </is>
      </c>
      <c r="F3147" s="4">
        <v>46</v>
      </c>
    </row>
    <row r="3148">
      <c r="A3148" s="0" t="inlineStr">
        <is>
          <t xml:space="preserve">naive_mom_AXGN</t>
        </is>
      </c>
      <c r="B3148" s="0" t="inlineStr">
        <is>
          <t xml:space="preserve">naive_mom</t>
        </is>
      </c>
      <c r="C3148" s="0" t="inlineStr">
        <is>
          <t xml:space="preserve">d20260923</t>
        </is>
      </c>
      <c r="D3148" s="0" t="inlineStr">
        <is>
          <t xml:space="preserve">AXGN</t>
        </is>
      </c>
      <c r="E3148" s="0" t="inlineStr">
        <is>
          <t xml:space="preserve">healthcare</t>
        </is>
      </c>
      <c r="F3148" s="4">
        <v>47</v>
      </c>
    </row>
    <row r="3149">
      <c r="A3149" s="0" t="inlineStr">
        <is>
          <t xml:space="preserve">naive_mom_GH</t>
        </is>
      </c>
      <c r="B3149" s="0" t="inlineStr">
        <is>
          <t xml:space="preserve">naive_mom</t>
        </is>
      </c>
      <c r="C3149" s="0" t="inlineStr">
        <is>
          <t xml:space="preserve">d20260923</t>
        </is>
      </c>
      <c r="D3149" s="0" t="inlineStr">
        <is>
          <t xml:space="preserve">GH</t>
        </is>
      </c>
      <c r="E3149" s="0" t="inlineStr">
        <is>
          <t xml:space="preserve">healthcare</t>
        </is>
      </c>
      <c r="F3149" s="4">
        <v>48</v>
      </c>
    </row>
    <row r="3150">
      <c r="A3150" s="0" t="inlineStr">
        <is>
          <t xml:space="preserve">naive_mom_FSLY</t>
        </is>
      </c>
      <c r="B3150" s="0" t="inlineStr">
        <is>
          <t xml:space="preserve">naive_mom</t>
        </is>
      </c>
      <c r="C3150" s="0" t="inlineStr">
        <is>
          <t xml:space="preserve">d20260923</t>
        </is>
      </c>
      <c r="D3150" s="0" t="inlineStr">
        <is>
          <t xml:space="preserve">FSLY</t>
        </is>
      </c>
      <c r="E3150" s="0" t="inlineStr">
        <is>
          <t xml:space="preserve">technology</t>
        </is>
      </c>
      <c r="F3150" s="4">
        <v>49</v>
      </c>
    </row>
    <row r="3151">
      <c r="A3151" s="0" t="inlineStr">
        <is>
          <t xml:space="preserve">naive_mom_IMVT</t>
        </is>
      </c>
      <c r="B3151" s="0" t="inlineStr">
        <is>
          <t xml:space="preserve">naive_mom</t>
        </is>
      </c>
      <c r="C3151" s="0" t="inlineStr">
        <is>
          <t xml:space="preserve">d20260923</t>
        </is>
      </c>
      <c r="D3151" s="0" t="inlineStr">
        <is>
          <t xml:space="preserve">IMVT</t>
        </is>
      </c>
      <c r="E3151" s="0" t="inlineStr">
        <is>
          <t xml:space="preserve">healthcare</t>
        </is>
      </c>
      <c r="F3151" s="4">
        <v>50</v>
      </c>
    </row>
    <row r="3152">
      <c r="A3152" s="0" t="inlineStr">
        <is>
          <t xml:space="preserve">naive_mom_CIEN</t>
        </is>
      </c>
      <c r="B3152" s="0" t="inlineStr">
        <is>
          <t xml:space="preserve">naive_mom</t>
        </is>
      </c>
      <c r="C3152" s="0" t="inlineStr">
        <is>
          <t xml:space="preserve">d20260923</t>
        </is>
      </c>
      <c r="D3152" s="0" t="inlineStr">
        <is>
          <t xml:space="preserve">CIEN</t>
        </is>
      </c>
      <c r="E3152" s="0" t="inlineStr">
        <is>
          <t xml:space="preserve">technology</t>
        </is>
      </c>
      <c r="F3152" s="4">
        <v>51</v>
      </c>
    </row>
    <row r="3153">
      <c r="A3153" s="0" t="inlineStr">
        <is>
          <t xml:space="preserve">naive_mom_TER</t>
        </is>
      </c>
      <c r="B3153" s="0" t="inlineStr">
        <is>
          <t xml:space="preserve">naive_mom</t>
        </is>
      </c>
      <c r="C3153" s="0" t="inlineStr">
        <is>
          <t xml:space="preserve">d20260923</t>
        </is>
      </c>
      <c r="D3153" s="0" t="inlineStr">
        <is>
          <t xml:space="preserve">TER</t>
        </is>
      </c>
      <c r="E3153" s="0" t="inlineStr">
        <is>
          <t xml:space="preserve">technology</t>
        </is>
      </c>
      <c r="F3153" s="4">
        <v>52</v>
      </c>
    </row>
    <row r="3154">
      <c r="A3154" s="0" t="inlineStr">
        <is>
          <t xml:space="preserve">naive_mom_SPHR</t>
        </is>
      </c>
      <c r="B3154" s="0" t="inlineStr">
        <is>
          <t xml:space="preserve">naive_mom</t>
        </is>
      </c>
      <c r="C3154" s="0" t="inlineStr">
        <is>
          <t xml:space="preserve">d20260923</t>
        </is>
      </c>
      <c r="D3154" s="0" t="inlineStr">
        <is>
          <t xml:space="preserve">SPHR</t>
        </is>
      </c>
      <c r="E3154" s="0" t="inlineStr">
        <is>
          <t xml:space="preserve">communication_services</t>
        </is>
      </c>
      <c r="F3154" s="4">
        <v>53</v>
      </c>
    </row>
    <row r="3155">
      <c r="A3155" s="0" t="inlineStr">
        <is>
          <t xml:space="preserve">naive_mom_ARWR</t>
        </is>
      </c>
      <c r="B3155" s="0" t="inlineStr">
        <is>
          <t xml:space="preserve">naive_mom</t>
        </is>
      </c>
      <c r="C3155" s="0" t="inlineStr">
        <is>
          <t xml:space="preserve">d20260923</t>
        </is>
      </c>
      <c r="D3155" s="0" t="inlineStr">
        <is>
          <t xml:space="preserve">ARWR</t>
        </is>
      </c>
      <c r="E3155" s="0" t="inlineStr">
        <is>
          <t xml:space="preserve">healthcare</t>
        </is>
      </c>
      <c r="F3155" s="4">
        <v>54</v>
      </c>
    </row>
    <row r="3156">
      <c r="A3156" s="0" t="inlineStr">
        <is>
          <t xml:space="preserve">naive_mom_IRDM</t>
        </is>
      </c>
      <c r="B3156" s="0" t="inlineStr">
        <is>
          <t xml:space="preserve">naive_mom</t>
        </is>
      </c>
      <c r="C3156" s="0" t="inlineStr">
        <is>
          <t xml:space="preserve">d20260923</t>
        </is>
      </c>
      <c r="D3156" s="0" t="inlineStr">
        <is>
          <t xml:space="preserve">IRDM</t>
        </is>
      </c>
      <c r="E3156" s="0" t="inlineStr">
        <is>
          <t xml:space="preserve">communication_services</t>
        </is>
      </c>
      <c r="F3156" s="4">
        <v>55</v>
      </c>
    </row>
    <row r="3157">
      <c r="A3157" s="0" t="inlineStr">
        <is>
          <t xml:space="preserve">naive_mom_CLMT</t>
        </is>
      </c>
      <c r="B3157" s="0" t="inlineStr">
        <is>
          <t xml:space="preserve">naive_mom</t>
        </is>
      </c>
      <c r="C3157" s="0" t="inlineStr">
        <is>
          <t xml:space="preserve">d20260923</t>
        </is>
      </c>
      <c r="D3157" s="0" t="inlineStr">
        <is>
          <t xml:space="preserve">CLMT</t>
        </is>
      </c>
      <c r="E3157" s="0" t="inlineStr">
        <is>
          <t xml:space="preserve">basic_materials</t>
        </is>
      </c>
      <c r="F3157" s="4">
        <v>56</v>
      </c>
    </row>
    <row r="3158">
      <c r="A3158" s="0" t="inlineStr">
        <is>
          <t xml:space="preserve">naive_mom_URGN</t>
        </is>
      </c>
      <c r="B3158" s="0" t="inlineStr">
        <is>
          <t xml:space="preserve">naive_mom</t>
        </is>
      </c>
      <c r="C3158" s="0" t="inlineStr">
        <is>
          <t xml:space="preserve">d20260923</t>
        </is>
      </c>
      <c r="D3158" s="0" t="inlineStr">
        <is>
          <t xml:space="preserve">URGN</t>
        </is>
      </c>
      <c r="E3158" s="0" t="inlineStr">
        <is>
          <t xml:space="preserve">healthcare</t>
        </is>
      </c>
      <c r="F3158" s="4">
        <v>57</v>
      </c>
    </row>
    <row r="3159">
      <c r="A3159" s="0" t="inlineStr">
        <is>
          <t xml:space="preserve">naive_mom_UCTT</t>
        </is>
      </c>
      <c r="B3159" s="0" t="inlineStr">
        <is>
          <t xml:space="preserve">naive_mom</t>
        </is>
      </c>
      <c r="C3159" s="0" t="inlineStr">
        <is>
          <t xml:space="preserve">d20260923</t>
        </is>
      </c>
      <c r="D3159" s="0" t="inlineStr">
        <is>
          <t xml:space="preserve">UCTT</t>
        </is>
      </c>
      <c r="E3159" s="0" t="inlineStr">
        <is>
          <t xml:space="preserve">technology</t>
        </is>
      </c>
      <c r="F3159" s="4">
        <v>58</v>
      </c>
    </row>
    <row r="3160">
      <c r="A3160" s="0" t="inlineStr">
        <is>
          <t xml:space="preserve">naive_mom_ATI</t>
        </is>
      </c>
      <c r="B3160" s="0" t="inlineStr">
        <is>
          <t xml:space="preserve">naive_mom</t>
        </is>
      </c>
      <c r="C3160" s="0" t="inlineStr">
        <is>
          <t xml:space="preserve">d20260923</t>
        </is>
      </c>
      <c r="D3160" s="0" t="inlineStr">
        <is>
          <t xml:space="preserve">ATI</t>
        </is>
      </c>
      <c r="E3160" s="0" t="inlineStr">
        <is>
          <t xml:space="preserve">industrials</t>
        </is>
      </c>
      <c r="F3160" s="4">
        <v>59</v>
      </c>
    </row>
    <row r="3161">
      <c r="A3161" s="0" t="inlineStr">
        <is>
          <t xml:space="preserve">naive_mom_TVTX</t>
        </is>
      </c>
      <c r="B3161" s="0" t="inlineStr">
        <is>
          <t xml:space="preserve">naive_mom</t>
        </is>
      </c>
      <c r="C3161" s="0" t="inlineStr">
        <is>
          <t xml:space="preserve">d20260923</t>
        </is>
      </c>
      <c r="D3161" s="0" t="inlineStr">
        <is>
          <t xml:space="preserve">TVTX</t>
        </is>
      </c>
      <c r="E3161" s="0" t="inlineStr">
        <is>
          <t xml:space="preserve">healthcare</t>
        </is>
      </c>
      <c r="F3161" s="4">
        <v>60</v>
      </c>
    </row>
    <row r="3162">
      <c r="A3162" s="0" t="inlineStr">
        <is>
          <t xml:space="preserve">naive_mom_KOD</t>
        </is>
      </c>
      <c r="B3162" s="0" t="inlineStr">
        <is>
          <t xml:space="preserve">naive_mom</t>
        </is>
      </c>
      <c r="C3162" s="0" t="inlineStr">
        <is>
          <t xml:space="preserve">d20260923</t>
        </is>
      </c>
      <c r="D3162" s="0" t="inlineStr">
        <is>
          <t xml:space="preserve">KOD</t>
        </is>
      </c>
      <c r="E3162" s="0" t="inlineStr">
        <is>
          <t xml:space="preserve">healthcare</t>
        </is>
      </c>
      <c r="F3162" s="4">
        <v>61</v>
      </c>
    </row>
    <row r="3163">
      <c r="A3163" s="0" t="inlineStr">
        <is>
          <t xml:space="preserve">naive_mom_AUGO</t>
        </is>
      </c>
      <c r="B3163" s="0" t="inlineStr">
        <is>
          <t xml:space="preserve">naive_mom</t>
        </is>
      </c>
      <c r="C3163" s="0" t="inlineStr">
        <is>
          <t xml:space="preserve">d20260923</t>
        </is>
      </c>
      <c r="D3163" s="0" t="inlineStr">
        <is>
          <t xml:space="preserve">AUGO</t>
        </is>
      </c>
      <c r="E3163" s="0" t="inlineStr">
        <is>
          <t xml:space="preserve">basic_materials</t>
        </is>
      </c>
      <c r="F3163" s="4">
        <v>62</v>
      </c>
    </row>
    <row r="3164">
      <c r="A3164" s="0" t="inlineStr">
        <is>
          <t xml:space="preserve">naive_mom_COHR</t>
        </is>
      </c>
      <c r="B3164" s="0" t="inlineStr">
        <is>
          <t xml:space="preserve">naive_mom</t>
        </is>
      </c>
      <c r="C3164" s="0" t="inlineStr">
        <is>
          <t xml:space="preserve">d20260923</t>
        </is>
      </c>
      <c r="D3164" s="0" t="inlineStr">
        <is>
          <t xml:space="preserve">COHR</t>
        </is>
      </c>
      <c r="E3164" s="0" t="inlineStr">
        <is>
          <t xml:space="preserve">technology</t>
        </is>
      </c>
      <c r="F3164" s="4">
        <v>63</v>
      </c>
    </row>
    <row r="3165">
      <c r="A3165" s="0" t="inlineStr">
        <is>
          <t xml:space="preserve">naive_mom_VSAT</t>
        </is>
      </c>
      <c r="B3165" s="0" t="inlineStr">
        <is>
          <t xml:space="preserve">naive_mom</t>
        </is>
      </c>
      <c r="C3165" s="0" t="inlineStr">
        <is>
          <t xml:space="preserve">d20260923</t>
        </is>
      </c>
      <c r="D3165" s="0" t="inlineStr">
        <is>
          <t xml:space="preserve">VSAT</t>
        </is>
      </c>
      <c r="E3165" s="0" t="inlineStr">
        <is>
          <t xml:space="preserve">technology</t>
        </is>
      </c>
      <c r="F3165" s="4">
        <v>64</v>
      </c>
    </row>
    <row r="3166">
      <c r="A3166" s="0" t="inlineStr">
        <is>
          <t xml:space="preserve">naive_mom_AMAT</t>
        </is>
      </c>
      <c r="B3166" s="0" t="inlineStr">
        <is>
          <t xml:space="preserve">naive_mom</t>
        </is>
      </c>
      <c r="C3166" s="0" t="inlineStr">
        <is>
          <t xml:space="preserve">d20260923</t>
        </is>
      </c>
      <c r="D3166" s="0" t="inlineStr">
        <is>
          <t xml:space="preserve">AMAT</t>
        </is>
      </c>
      <c r="E3166" s="0" t="inlineStr">
        <is>
          <t xml:space="preserve">technology</t>
        </is>
      </c>
      <c r="F3166" s="4">
        <v>65</v>
      </c>
    </row>
    <row r="3167">
      <c r="A3167" s="0" t="inlineStr">
        <is>
          <t xml:space="preserve">naive_mom_RCUS</t>
        </is>
      </c>
      <c r="B3167" s="0" t="inlineStr">
        <is>
          <t xml:space="preserve">naive_mom</t>
        </is>
      </c>
      <c r="C3167" s="0" t="inlineStr">
        <is>
          <t xml:space="preserve">d20260923</t>
        </is>
      </c>
      <c r="D3167" s="0" t="inlineStr">
        <is>
          <t xml:space="preserve">RCUS</t>
        </is>
      </c>
      <c r="E3167" s="0" t="inlineStr">
        <is>
          <t xml:space="preserve">healthcare</t>
        </is>
      </c>
      <c r="F3167" s="4">
        <v>66</v>
      </c>
    </row>
    <row r="3168">
      <c r="A3168" s="0" t="inlineStr">
        <is>
          <t xml:space="preserve">naive_mom_PBF</t>
        </is>
      </c>
      <c r="B3168" s="0" t="inlineStr">
        <is>
          <t xml:space="preserve">naive_mom</t>
        </is>
      </c>
      <c r="C3168" s="0" t="inlineStr">
        <is>
          <t xml:space="preserve">d20260923</t>
        </is>
      </c>
      <c r="D3168" s="0" t="inlineStr">
        <is>
          <t xml:space="preserve">PBF</t>
        </is>
      </c>
      <c r="E3168" s="0" t="inlineStr">
        <is>
          <t xml:space="preserve">energy</t>
        </is>
      </c>
      <c r="F3168" s="4">
        <v>67</v>
      </c>
    </row>
    <row r="3169">
      <c r="A3169" s="0" t="inlineStr">
        <is>
          <t xml:space="preserve">naive_mom_PTGX</t>
        </is>
      </c>
      <c r="B3169" s="0" t="inlineStr">
        <is>
          <t xml:space="preserve">naive_mom</t>
        </is>
      </c>
      <c r="C3169" s="0" t="inlineStr">
        <is>
          <t xml:space="preserve">d20260923</t>
        </is>
      </c>
      <c r="D3169" s="0" t="inlineStr">
        <is>
          <t xml:space="preserve">PTGX</t>
        </is>
      </c>
      <c r="E3169" s="0" t="inlineStr">
        <is>
          <t xml:space="preserve">healthcare</t>
        </is>
      </c>
      <c r="F3169" s="4">
        <v>68</v>
      </c>
    </row>
    <row r="3170">
      <c r="A3170" s="0" t="inlineStr">
        <is>
          <t xml:space="preserve">naive_mom_LRCX</t>
        </is>
      </c>
      <c r="B3170" s="0" t="inlineStr">
        <is>
          <t xml:space="preserve">naive_mom</t>
        </is>
      </c>
      <c r="C3170" s="0" t="inlineStr">
        <is>
          <t xml:space="preserve">d20260923</t>
        </is>
      </c>
      <c r="D3170" s="0" t="inlineStr">
        <is>
          <t xml:space="preserve">LRCX</t>
        </is>
      </c>
      <c r="E3170" s="0" t="inlineStr">
        <is>
          <t xml:space="preserve">technology</t>
        </is>
      </c>
      <c r="F3170" s="4">
        <v>69</v>
      </c>
    </row>
    <row r="3171">
      <c r="A3171" s="0" t="inlineStr">
        <is>
          <t xml:space="preserve">naive_mom_COHU</t>
        </is>
      </c>
      <c r="B3171" s="0" t="inlineStr">
        <is>
          <t xml:space="preserve">naive_mom</t>
        </is>
      </c>
      <c r="C3171" s="0" t="inlineStr">
        <is>
          <t xml:space="preserve">d20260923</t>
        </is>
      </c>
      <c r="D3171" s="0" t="inlineStr">
        <is>
          <t xml:space="preserve">COHU</t>
        </is>
      </c>
      <c r="E3171" s="0" t="inlineStr">
        <is>
          <t xml:space="preserve">technology</t>
        </is>
      </c>
      <c r="F3171" s="4">
        <v>70</v>
      </c>
    </row>
    <row r="3172">
      <c r="A3172" s="0" t="inlineStr">
        <is>
          <t xml:space="preserve">naive_mom_KYMR</t>
        </is>
      </c>
      <c r="B3172" s="0" t="inlineStr">
        <is>
          <t xml:space="preserve">naive_mom</t>
        </is>
      </c>
      <c r="C3172" s="0" t="inlineStr">
        <is>
          <t xml:space="preserve">d20260923</t>
        </is>
      </c>
      <c r="D3172" s="0" t="inlineStr">
        <is>
          <t xml:space="preserve">KYMR</t>
        </is>
      </c>
      <c r="E3172" s="0" t="inlineStr">
        <is>
          <t xml:space="preserve">healthcare</t>
        </is>
      </c>
      <c r="F3172" s="4">
        <v>71</v>
      </c>
    </row>
    <row r="3173">
      <c r="A3173" s="0" t="inlineStr">
        <is>
          <t xml:space="preserve">naive_mom_BE</t>
        </is>
      </c>
      <c r="B3173" s="0" t="inlineStr">
        <is>
          <t xml:space="preserve">naive_mom</t>
        </is>
      </c>
      <c r="C3173" s="0" t="inlineStr">
        <is>
          <t xml:space="preserve">d20260923</t>
        </is>
      </c>
      <c r="D3173" s="0" t="inlineStr">
        <is>
          <t xml:space="preserve">BE</t>
        </is>
      </c>
      <c r="E3173" s="0" t="inlineStr">
        <is>
          <t xml:space="preserve">industrials</t>
        </is>
      </c>
      <c r="F3173" s="4">
        <v>72</v>
      </c>
    </row>
    <row r="3174">
      <c r="A3174" s="0" t="inlineStr">
        <is>
          <t xml:space="preserve">naive_mom_LFST</t>
        </is>
      </c>
      <c r="B3174" s="0" t="inlineStr">
        <is>
          <t xml:space="preserve">naive_mom</t>
        </is>
      </c>
      <c r="C3174" s="0" t="inlineStr">
        <is>
          <t xml:space="preserve">d20260923</t>
        </is>
      </c>
      <c r="D3174" s="0" t="inlineStr">
        <is>
          <t xml:space="preserve">LFST</t>
        </is>
      </c>
      <c r="E3174" s="0" t="inlineStr">
        <is>
          <t xml:space="preserve">healthcare</t>
        </is>
      </c>
      <c r="F3174" s="4">
        <v>73</v>
      </c>
    </row>
    <row r="3175">
      <c r="A3175" s="0" t="inlineStr">
        <is>
          <t xml:space="preserve">naive_mom_PTEN</t>
        </is>
      </c>
      <c r="B3175" s="0" t="inlineStr">
        <is>
          <t xml:space="preserve">naive_mom</t>
        </is>
      </c>
      <c r="C3175" s="0" t="inlineStr">
        <is>
          <t xml:space="preserve">d20260923</t>
        </is>
      </c>
      <c r="D3175" s="0" t="inlineStr">
        <is>
          <t xml:space="preserve">PTEN</t>
        </is>
      </c>
      <c r="E3175" s="0" t="inlineStr">
        <is>
          <t xml:space="preserve">energy</t>
        </is>
      </c>
      <c r="F3175" s="4">
        <v>74</v>
      </c>
    </row>
    <row r="3176">
      <c r="A3176" s="0" t="inlineStr">
        <is>
          <t xml:space="preserve">naive_mom_GSAT</t>
        </is>
      </c>
      <c r="B3176" s="0" t="inlineStr">
        <is>
          <t xml:space="preserve">naive_mom</t>
        </is>
      </c>
      <c r="C3176" s="0" t="inlineStr">
        <is>
          <t xml:space="preserve">d20260923</t>
        </is>
      </c>
      <c r="D3176" s="0" t="inlineStr">
        <is>
          <t xml:space="preserve">GSAT</t>
        </is>
      </c>
      <c r="E3176" s="0" t="inlineStr">
        <is>
          <t xml:space="preserve">communication_services</t>
        </is>
      </c>
      <c r="F3176" s="4">
        <v>75</v>
      </c>
    </row>
    <row r="3177">
      <c r="A3177" s="0" t="inlineStr">
        <is>
          <t xml:space="preserve">naive_mom_ONTO</t>
        </is>
      </c>
      <c r="B3177" s="0" t="inlineStr">
        <is>
          <t xml:space="preserve">naive_mom</t>
        </is>
      </c>
      <c r="C3177" s="0" t="inlineStr">
        <is>
          <t xml:space="preserve">d20260923</t>
        </is>
      </c>
      <c r="D3177" s="0" t="inlineStr">
        <is>
          <t xml:space="preserve">ONTO</t>
        </is>
      </c>
      <c r="E3177" s="0" t="inlineStr">
        <is>
          <t xml:space="preserve">technology</t>
        </is>
      </c>
      <c r="F3177" s="4">
        <v>76</v>
      </c>
    </row>
    <row r="3178">
      <c r="A3178" s="0" t="inlineStr">
        <is>
          <t xml:space="preserve">naive_mom_PARR</t>
        </is>
      </c>
      <c r="B3178" s="0" t="inlineStr">
        <is>
          <t xml:space="preserve">naive_mom</t>
        </is>
      </c>
      <c r="C3178" s="0" t="inlineStr">
        <is>
          <t xml:space="preserve">d20260923</t>
        </is>
      </c>
      <c r="D3178" s="0" t="inlineStr">
        <is>
          <t xml:space="preserve">PARR</t>
        </is>
      </c>
      <c r="E3178" s="0" t="inlineStr">
        <is>
          <t xml:space="preserve">energy</t>
        </is>
      </c>
      <c r="F3178" s="4">
        <v>77</v>
      </c>
    </row>
    <row r="3179">
      <c r="A3179" s="0" t="inlineStr">
        <is>
          <t xml:space="preserve">naive_mom_ECPG</t>
        </is>
      </c>
      <c r="B3179" s="0" t="inlineStr">
        <is>
          <t xml:space="preserve">naive_mom</t>
        </is>
      </c>
      <c r="C3179" s="0" t="inlineStr">
        <is>
          <t xml:space="preserve">d20260923</t>
        </is>
      </c>
      <c r="D3179" s="0" t="inlineStr">
        <is>
          <t xml:space="preserve">ECPG</t>
        </is>
      </c>
      <c r="E3179" s="0" t="inlineStr">
        <is>
          <t xml:space="preserve">financial_services</t>
        </is>
      </c>
      <c r="F3179" s="4">
        <v>78</v>
      </c>
    </row>
    <row r="3180">
      <c r="A3180" s="0" t="inlineStr">
        <is>
          <t xml:space="preserve">naive_mom_DK</t>
        </is>
      </c>
      <c r="B3180" s="0" t="inlineStr">
        <is>
          <t xml:space="preserve">naive_mom</t>
        </is>
      </c>
      <c r="C3180" s="0" t="inlineStr">
        <is>
          <t xml:space="preserve">d20260923</t>
        </is>
      </c>
      <c r="D3180" s="0" t="inlineStr">
        <is>
          <t xml:space="preserve">DK</t>
        </is>
      </c>
      <c r="E3180" s="0" t="inlineStr">
        <is>
          <t xml:space="preserve">energy</t>
        </is>
      </c>
      <c r="F3180" s="4">
        <v>79</v>
      </c>
    </row>
    <row r="3181">
      <c r="A3181" s="0" t="inlineStr">
        <is>
          <t xml:space="preserve">naive_mom_ATRO</t>
        </is>
      </c>
      <c r="B3181" s="0" t="inlineStr">
        <is>
          <t xml:space="preserve">naive_mom</t>
        </is>
      </c>
      <c r="C3181" s="0" t="inlineStr">
        <is>
          <t xml:space="preserve">d20260923</t>
        </is>
      </c>
      <c r="D3181" s="0" t="inlineStr">
        <is>
          <t xml:space="preserve">ATRO</t>
        </is>
      </c>
      <c r="E3181" s="0" t="inlineStr">
        <is>
          <t xml:space="preserve">industrials</t>
        </is>
      </c>
      <c r="F3181" s="4">
        <v>80</v>
      </c>
    </row>
    <row r="3182">
      <c r="A3182" s="0" t="inlineStr">
        <is>
          <t xml:space="preserve">naive_mom_GKOS</t>
        </is>
      </c>
      <c r="B3182" s="0" t="inlineStr">
        <is>
          <t xml:space="preserve">naive_mom</t>
        </is>
      </c>
      <c r="C3182" s="0" t="inlineStr">
        <is>
          <t xml:space="preserve">d20260923</t>
        </is>
      </c>
      <c r="D3182" s="0" t="inlineStr">
        <is>
          <t xml:space="preserve">GKOS</t>
        </is>
      </c>
      <c r="E3182" s="0" t="inlineStr">
        <is>
          <t xml:space="preserve">healthcare</t>
        </is>
      </c>
      <c r="F3182" s="4">
        <v>81</v>
      </c>
    </row>
    <row r="3183">
      <c r="A3183" s="0" t="inlineStr">
        <is>
          <t xml:space="preserve">naive_mom_MKSI</t>
        </is>
      </c>
      <c r="B3183" s="0" t="inlineStr">
        <is>
          <t xml:space="preserve">naive_mom</t>
        </is>
      </c>
      <c r="C3183" s="0" t="inlineStr">
        <is>
          <t xml:space="preserve">d20260923</t>
        </is>
      </c>
      <c r="D3183" s="0" t="inlineStr">
        <is>
          <t xml:space="preserve">MKSI</t>
        </is>
      </c>
      <c r="E3183" s="0" t="inlineStr">
        <is>
          <t xml:space="preserve">technology</t>
        </is>
      </c>
      <c r="F3183" s="4">
        <v>82</v>
      </c>
    </row>
    <row r="3184">
      <c r="A3184" s="0" t="inlineStr">
        <is>
          <t xml:space="preserve">naive_mom_OII</t>
        </is>
      </c>
      <c r="B3184" s="0" t="inlineStr">
        <is>
          <t xml:space="preserve">naive_mom</t>
        </is>
      </c>
      <c r="C3184" s="0" t="inlineStr">
        <is>
          <t xml:space="preserve">d20260923</t>
        </is>
      </c>
      <c r="D3184" s="0" t="inlineStr">
        <is>
          <t xml:space="preserve">OII</t>
        </is>
      </c>
      <c r="E3184" s="0" t="inlineStr">
        <is>
          <t xml:space="preserve">energy</t>
        </is>
      </c>
      <c r="F3184" s="4">
        <v>83</v>
      </c>
    </row>
    <row r="3185">
      <c r="A3185" s="0" t="inlineStr">
        <is>
          <t xml:space="preserve">naive_mom_ACMR</t>
        </is>
      </c>
      <c r="B3185" s="0" t="inlineStr">
        <is>
          <t xml:space="preserve">naive_mom</t>
        </is>
      </c>
      <c r="C3185" s="0" t="inlineStr">
        <is>
          <t xml:space="preserve">d20260923</t>
        </is>
      </c>
      <c r="D3185" s="0" t="inlineStr">
        <is>
          <t xml:space="preserve">ACMR</t>
        </is>
      </c>
      <c r="E3185" s="0" t="inlineStr">
        <is>
          <t xml:space="preserve">technology</t>
        </is>
      </c>
      <c r="F3185" s="4">
        <v>84</v>
      </c>
    </row>
    <row r="3186">
      <c r="A3186" s="0" t="inlineStr">
        <is>
          <t xml:space="preserve">naive_mom_ILMN</t>
        </is>
      </c>
      <c r="B3186" s="0" t="inlineStr">
        <is>
          <t xml:space="preserve">naive_mom</t>
        </is>
      </c>
      <c r="C3186" s="0" t="inlineStr">
        <is>
          <t xml:space="preserve">d20260923</t>
        </is>
      </c>
      <c r="D3186" s="0" t="inlineStr">
        <is>
          <t xml:space="preserve">ILMN</t>
        </is>
      </c>
      <c r="E3186" s="0" t="inlineStr">
        <is>
          <t xml:space="preserve">healthcare</t>
        </is>
      </c>
      <c r="F3186" s="4">
        <v>85</v>
      </c>
    </row>
    <row r="3187">
      <c r="A3187" s="0" t="inlineStr">
        <is>
          <t xml:space="preserve">naive_mom_CGON</t>
        </is>
      </c>
      <c r="B3187" s="0" t="inlineStr">
        <is>
          <t xml:space="preserve">naive_mom</t>
        </is>
      </c>
      <c r="C3187" s="0" t="inlineStr">
        <is>
          <t xml:space="preserve">d20260923</t>
        </is>
      </c>
      <c r="D3187" s="0" t="inlineStr">
        <is>
          <t xml:space="preserve">CGON</t>
        </is>
      </c>
      <c r="E3187" s="0" t="inlineStr">
        <is>
          <t xml:space="preserve">healthcare</t>
        </is>
      </c>
      <c r="F3187" s="4">
        <v>86</v>
      </c>
    </row>
    <row r="3188">
      <c r="A3188" s="0" t="inlineStr">
        <is>
          <t xml:space="preserve">naive_mom_TWLO</t>
        </is>
      </c>
      <c r="B3188" s="0" t="inlineStr">
        <is>
          <t xml:space="preserve">naive_mom</t>
        </is>
      </c>
      <c r="C3188" s="0" t="inlineStr">
        <is>
          <t xml:space="preserve">d20260923</t>
        </is>
      </c>
      <c r="D3188" s="0" t="inlineStr">
        <is>
          <t xml:space="preserve">TWLO</t>
        </is>
      </c>
      <c r="E3188" s="0" t="inlineStr">
        <is>
          <t xml:space="preserve">technology</t>
        </is>
      </c>
      <c r="F3188" s="4">
        <v>87</v>
      </c>
    </row>
    <row r="3189">
      <c r="A3189" s="0" t="inlineStr">
        <is>
          <t xml:space="preserve">naive_mom_FIGS</t>
        </is>
      </c>
      <c r="B3189" s="0" t="inlineStr">
        <is>
          <t xml:space="preserve">naive_mom</t>
        </is>
      </c>
      <c r="C3189" s="0" t="inlineStr">
        <is>
          <t xml:space="preserve">d20260923</t>
        </is>
      </c>
      <c r="D3189" s="0" t="inlineStr">
        <is>
          <t xml:space="preserve">FIGS</t>
        </is>
      </c>
      <c r="E3189" s="0" t="inlineStr">
        <is>
          <t xml:space="preserve">consumer_cyclical</t>
        </is>
      </c>
      <c r="F3189" s="4">
        <v>88</v>
      </c>
    </row>
    <row r="3190">
      <c r="A3190" s="0" t="inlineStr">
        <is>
          <t xml:space="preserve">naive_mom_HUT</t>
        </is>
      </c>
      <c r="B3190" s="0" t="inlineStr">
        <is>
          <t xml:space="preserve">naive_mom</t>
        </is>
      </c>
      <c r="C3190" s="0" t="inlineStr">
        <is>
          <t xml:space="preserve">d20260923</t>
        </is>
      </c>
      <c r="D3190" s="0" t="inlineStr">
        <is>
          <t xml:space="preserve">HUT</t>
        </is>
      </c>
      <c r="E3190" s="0" t="inlineStr">
        <is>
          <t xml:space="preserve">financial_services</t>
        </is>
      </c>
      <c r="F3190" s="4">
        <v>89</v>
      </c>
    </row>
    <row r="3191">
      <c r="A3191" s="0" t="inlineStr">
        <is>
          <t xml:space="preserve">naive_mom_BTSG</t>
        </is>
      </c>
      <c r="B3191" s="0" t="inlineStr">
        <is>
          <t xml:space="preserve">naive_mom</t>
        </is>
      </c>
      <c r="C3191" s="0" t="inlineStr">
        <is>
          <t xml:space="preserve">d20260923</t>
        </is>
      </c>
      <c r="D3191" s="0" t="inlineStr">
        <is>
          <t xml:space="preserve">BTSG</t>
        </is>
      </c>
      <c r="E3191" s="0" t="inlineStr">
        <is>
          <t xml:space="preserve">healthcare</t>
        </is>
      </c>
      <c r="F3191" s="4">
        <v>90</v>
      </c>
    </row>
    <row r="3192">
      <c r="A3192" s="0" t="inlineStr">
        <is>
          <t xml:space="preserve">naive_mom_MATX</t>
        </is>
      </c>
      <c r="B3192" s="0" t="inlineStr">
        <is>
          <t xml:space="preserve">naive_mom</t>
        </is>
      </c>
      <c r="C3192" s="0" t="inlineStr">
        <is>
          <t xml:space="preserve">d20260923</t>
        </is>
      </c>
      <c r="D3192" s="0" t="inlineStr">
        <is>
          <t xml:space="preserve">MATX</t>
        </is>
      </c>
      <c r="E3192" s="0" t="inlineStr">
        <is>
          <t xml:space="preserve">industrials</t>
        </is>
      </c>
      <c r="F3192" s="4">
        <v>91</v>
      </c>
    </row>
    <row r="3193">
      <c r="A3193" s="0" t="inlineStr">
        <is>
          <t xml:space="preserve">naive_mom_HAE</t>
        </is>
      </c>
      <c r="B3193" s="0" t="inlineStr">
        <is>
          <t xml:space="preserve">naive_mom</t>
        </is>
      </c>
      <c r="C3193" s="0" t="inlineStr">
        <is>
          <t xml:space="preserve">d20260923</t>
        </is>
      </c>
      <c r="D3193" s="0" t="inlineStr">
        <is>
          <t xml:space="preserve">HAE</t>
        </is>
      </c>
      <c r="E3193" s="0" t="inlineStr">
        <is>
          <t xml:space="preserve">healthcare</t>
        </is>
      </c>
      <c r="F3193" s="4">
        <v>92</v>
      </c>
    </row>
    <row r="3194">
      <c r="A3194" s="0" t="inlineStr">
        <is>
          <t xml:space="preserve">naive_mom_HPE</t>
        </is>
      </c>
      <c r="B3194" s="0" t="inlineStr">
        <is>
          <t xml:space="preserve">naive_mom</t>
        </is>
      </c>
      <c r="C3194" s="0" t="inlineStr">
        <is>
          <t xml:space="preserve">d20260923</t>
        </is>
      </c>
      <c r="D3194" s="0" t="inlineStr">
        <is>
          <t xml:space="preserve">HPE</t>
        </is>
      </c>
      <c r="E3194" s="0" t="inlineStr">
        <is>
          <t xml:space="preserve">technology</t>
        </is>
      </c>
      <c r="F3194" s="4">
        <v>93</v>
      </c>
    </row>
    <row r="3195">
      <c r="A3195" s="0" t="inlineStr">
        <is>
          <t xml:space="preserve">naive_mom_NUVB</t>
        </is>
      </c>
      <c r="B3195" s="0" t="inlineStr">
        <is>
          <t xml:space="preserve">naive_mom</t>
        </is>
      </c>
      <c r="C3195" s="0" t="inlineStr">
        <is>
          <t xml:space="preserve">d20260923</t>
        </is>
      </c>
      <c r="D3195" s="0" t="inlineStr">
        <is>
          <t xml:space="preserve">NUVB</t>
        </is>
      </c>
      <c r="E3195" s="0" t="inlineStr">
        <is>
          <t xml:space="preserve">healthcare</t>
        </is>
      </c>
      <c r="F3195" s="4">
        <v>94</v>
      </c>
    </row>
    <row r="3196">
      <c r="A3196" s="0" t="inlineStr">
        <is>
          <t xml:space="preserve">naive_mom_INSW</t>
        </is>
      </c>
      <c r="B3196" s="0" t="inlineStr">
        <is>
          <t xml:space="preserve">naive_mom</t>
        </is>
      </c>
      <c r="C3196" s="0" t="inlineStr">
        <is>
          <t xml:space="preserve">d20260923</t>
        </is>
      </c>
      <c r="D3196" s="0" t="inlineStr">
        <is>
          <t xml:space="preserve">INSW</t>
        </is>
      </c>
      <c r="E3196" s="0" t="inlineStr">
        <is>
          <t xml:space="preserve">industrials</t>
        </is>
      </c>
      <c r="F3196" s="4">
        <v>95</v>
      </c>
    </row>
    <row r="3197">
      <c r="A3197" s="0" t="inlineStr">
        <is>
          <t xml:space="preserve">naive_mom_JBHT</t>
        </is>
      </c>
      <c r="B3197" s="0" t="inlineStr">
        <is>
          <t xml:space="preserve">naive_mom</t>
        </is>
      </c>
      <c r="C3197" s="0" t="inlineStr">
        <is>
          <t xml:space="preserve">d20260923</t>
        </is>
      </c>
      <c r="D3197" s="0" t="inlineStr">
        <is>
          <t xml:space="preserve">JBHT</t>
        </is>
      </c>
      <c r="E3197" s="0" t="inlineStr">
        <is>
          <t xml:space="preserve">industrials</t>
        </is>
      </c>
      <c r="F3197" s="4">
        <v>96</v>
      </c>
    </row>
    <row r="3198">
      <c r="A3198" s="0" t="inlineStr">
        <is>
          <t xml:space="preserve">naive_mom_DAR</t>
        </is>
      </c>
      <c r="B3198" s="0" t="inlineStr">
        <is>
          <t xml:space="preserve">naive_mom</t>
        </is>
      </c>
      <c r="C3198" s="0" t="inlineStr">
        <is>
          <t xml:space="preserve">d20260923</t>
        </is>
      </c>
      <c r="D3198" s="0" t="inlineStr">
        <is>
          <t xml:space="preserve">DAR</t>
        </is>
      </c>
      <c r="E3198" s="0" t="inlineStr">
        <is>
          <t xml:space="preserve">consumer_defensive</t>
        </is>
      </c>
      <c r="F3198" s="4">
        <v>97</v>
      </c>
    </row>
    <row r="3199">
      <c r="A3199" s="0" t="inlineStr">
        <is>
          <t xml:space="preserve">naive_mom_CAKE</t>
        </is>
      </c>
      <c r="B3199" s="0" t="inlineStr">
        <is>
          <t xml:space="preserve">naive_mom</t>
        </is>
      </c>
      <c r="C3199" s="0" t="inlineStr">
        <is>
          <t xml:space="preserve">d20260923</t>
        </is>
      </c>
      <c r="D3199" s="0" t="inlineStr">
        <is>
          <t xml:space="preserve">CAKE</t>
        </is>
      </c>
      <c r="E3199" s="0" t="inlineStr">
        <is>
          <t xml:space="preserve">consumer_cyclical</t>
        </is>
      </c>
      <c r="F3199" s="4">
        <v>98</v>
      </c>
    </row>
    <row r="3200">
      <c r="A3200" s="0" t="inlineStr">
        <is>
          <t xml:space="preserve">naive_mom_TRVI</t>
        </is>
      </c>
      <c r="B3200" s="0" t="inlineStr">
        <is>
          <t xml:space="preserve">naive_mom</t>
        </is>
      </c>
      <c r="C3200" s="0" t="inlineStr">
        <is>
          <t xml:space="preserve">d20260923</t>
        </is>
      </c>
      <c r="D3200" s="0" t="inlineStr">
        <is>
          <t xml:space="preserve">TRVI</t>
        </is>
      </c>
      <c r="E3200" s="0" t="inlineStr">
        <is>
          <t xml:space="preserve">healthcare</t>
        </is>
      </c>
      <c r="F3200" s="4">
        <v>99</v>
      </c>
    </row>
    <row r="3201">
      <c r="A3201" s="0" t="inlineStr">
        <is>
          <t xml:space="preserve">naive_mom_VLO</t>
        </is>
      </c>
      <c r="B3201" s="0" t="inlineStr">
        <is>
          <t xml:space="preserve">naive_mom</t>
        </is>
      </c>
      <c r="C3201" s="0" t="inlineStr">
        <is>
          <t xml:space="preserve">d20260923</t>
        </is>
      </c>
      <c r="D3201" s="0" t="inlineStr">
        <is>
          <t xml:space="preserve">VLO</t>
        </is>
      </c>
      <c r="E3201" s="0" t="inlineStr">
        <is>
          <t xml:space="preserve">energy</t>
        </is>
      </c>
      <c r="F3201" s="4">
        <v>100</v>
      </c>
    </row>
    <row r="3202">
      <c r="A3202" s="0" t="inlineStr">
        <is>
          <t xml:space="preserve">naive_lowvol_GBTG</t>
        </is>
      </c>
      <c r="B3202" s="0" t="inlineStr">
        <is>
          <t xml:space="preserve">naive_lowvol</t>
        </is>
      </c>
      <c r="C3202" s="0" t="inlineStr">
        <is>
          <t xml:space="preserve">d20260923</t>
        </is>
      </c>
      <c r="D3202" s="0" t="inlineStr">
        <is>
          <t xml:space="preserve">GBTG</t>
        </is>
      </c>
      <c r="E3202" s="0" t="inlineStr">
        <is>
          <t xml:space="preserve">consumer_cyclical</t>
        </is>
      </c>
      <c r="F3202" s="4">
        <v>1</v>
      </c>
    </row>
    <row r="3203">
      <c r="A3203" s="0" t="inlineStr">
        <is>
          <t xml:space="preserve">naive_lowvol_DBRG</t>
        </is>
      </c>
      <c r="B3203" s="0" t="inlineStr">
        <is>
          <t xml:space="preserve">naive_lowvol</t>
        </is>
      </c>
      <c r="C3203" s="0" t="inlineStr">
        <is>
          <t xml:space="preserve">d20260923</t>
        </is>
      </c>
      <c r="D3203" s="0" t="inlineStr">
        <is>
          <t xml:space="preserve">DBRG</t>
        </is>
      </c>
      <c r="E3203" s="0" t="inlineStr">
        <is>
          <t xml:space="preserve">financial_services</t>
        </is>
      </c>
      <c r="F3203" s="4">
        <v>2</v>
      </c>
    </row>
    <row r="3204">
      <c r="A3204" s="0" t="inlineStr">
        <is>
          <t xml:space="preserve">naive_lowvol_OGN</t>
        </is>
      </c>
      <c r="B3204" s="0" t="inlineStr">
        <is>
          <t xml:space="preserve">naive_lowvol</t>
        </is>
      </c>
      <c r="C3204" s="0" t="inlineStr">
        <is>
          <t xml:space="preserve">d20260923</t>
        </is>
      </c>
      <c r="D3204" s="0" t="inlineStr">
        <is>
          <t xml:space="preserve">OGN</t>
        </is>
      </c>
      <c r="E3204" s="0" t="inlineStr">
        <is>
          <t xml:space="preserve">healthcare</t>
        </is>
      </c>
      <c r="F3204" s="4">
        <v>3</v>
      </c>
    </row>
    <row r="3205">
      <c r="A3205" s="0" t="inlineStr">
        <is>
          <t xml:space="preserve">naive_lowvol_ACA</t>
        </is>
      </c>
      <c r="B3205" s="0" t="inlineStr">
        <is>
          <t xml:space="preserve">naive_lowvol</t>
        </is>
      </c>
      <c r="C3205" s="0" t="inlineStr">
        <is>
          <t xml:space="preserve">d20260923</t>
        </is>
      </c>
      <c r="D3205" s="0" t="inlineStr">
        <is>
          <t xml:space="preserve">ACA</t>
        </is>
      </c>
      <c r="E3205" s="0" t="inlineStr">
        <is>
          <t xml:space="preserve">basic_materials</t>
        </is>
      </c>
      <c r="F3205" s="4">
        <v>4</v>
      </c>
    </row>
    <row r="3206">
      <c r="A3206" s="0" t="inlineStr">
        <is>
          <t xml:space="preserve">naive_lowvol_SLAB</t>
        </is>
      </c>
      <c r="B3206" s="0" t="inlineStr">
        <is>
          <t xml:space="preserve">naive_lowvol</t>
        </is>
      </c>
      <c r="C3206" s="0" t="inlineStr">
        <is>
          <t xml:space="preserve">d20260923</t>
        </is>
      </c>
      <c r="D3206" s="0" t="inlineStr">
        <is>
          <t xml:space="preserve">SLAB</t>
        </is>
      </c>
      <c r="E3206" s="0" t="inlineStr">
        <is>
          <t xml:space="preserve">technology</t>
        </is>
      </c>
      <c r="F3206" s="4">
        <v>5</v>
      </c>
    </row>
    <row r="3207">
      <c r="A3207" s="0" t="inlineStr">
        <is>
          <t xml:space="preserve">naive_lowvol_AES</t>
        </is>
      </c>
      <c r="B3207" s="0" t="inlineStr">
        <is>
          <t xml:space="preserve">naive_lowvol</t>
        </is>
      </c>
      <c r="C3207" s="0" t="inlineStr">
        <is>
          <t xml:space="preserve">d20260923</t>
        </is>
      </c>
      <c r="D3207" s="0" t="inlineStr">
        <is>
          <t xml:space="preserve">AES</t>
        </is>
      </c>
      <c r="E3207" s="0" t="inlineStr">
        <is>
          <t xml:space="preserve">utilities</t>
        </is>
      </c>
      <c r="F3207" s="4">
        <v>6</v>
      </c>
    </row>
    <row r="3208">
      <c r="A3208" s="0" t="inlineStr">
        <is>
          <t xml:space="preserve">naive_lowvol_TECH</t>
        </is>
      </c>
      <c r="B3208" s="0" t="inlineStr">
        <is>
          <t xml:space="preserve">naive_lowvol</t>
        </is>
      </c>
      <c r="C3208" s="0" t="inlineStr">
        <is>
          <t xml:space="preserve">d20260923</t>
        </is>
      </c>
      <c r="D3208" s="0" t="inlineStr">
        <is>
          <t xml:space="preserve">TECH</t>
        </is>
      </c>
      <c r="E3208" s="0" t="inlineStr">
        <is>
          <t xml:space="preserve">healthcare</t>
        </is>
      </c>
      <c r="F3208" s="4">
        <v>7</v>
      </c>
    </row>
    <row r="3209">
      <c r="A3209" s="0" t="inlineStr">
        <is>
          <t xml:space="preserve">naive_lowvol_PAYO</t>
        </is>
      </c>
      <c r="B3209" s="0" t="inlineStr">
        <is>
          <t xml:space="preserve">naive_lowvol</t>
        </is>
      </c>
      <c r="C3209" s="0" t="inlineStr">
        <is>
          <t xml:space="preserve">d20260923</t>
        </is>
      </c>
      <c r="D3209" s="0" t="inlineStr">
        <is>
          <t xml:space="preserve">PAYO</t>
        </is>
      </c>
      <c r="E3209" s="0" t="inlineStr">
        <is>
          <t xml:space="preserve">technology</t>
        </is>
      </c>
      <c r="F3209" s="4">
        <v>8</v>
      </c>
    </row>
    <row r="3210">
      <c r="A3210" s="0" t="inlineStr">
        <is>
          <t xml:space="preserve">naive_lowvol_RAMP</t>
        </is>
      </c>
      <c r="B3210" s="0" t="inlineStr">
        <is>
          <t xml:space="preserve">naive_lowvol</t>
        </is>
      </c>
      <c r="C3210" s="0" t="inlineStr">
        <is>
          <t xml:space="preserve">d20260923</t>
        </is>
      </c>
      <c r="D3210" s="0" t="inlineStr">
        <is>
          <t xml:space="preserve">RAMP</t>
        </is>
      </c>
      <c r="E3210" s="0" t="inlineStr">
        <is>
          <t xml:space="preserve">technology</t>
        </is>
      </c>
      <c r="F3210" s="4">
        <v>9</v>
      </c>
    </row>
    <row r="3211">
      <c r="A3211" s="0" t="inlineStr">
        <is>
          <t xml:space="preserve">naive_lowvol_TXNM</t>
        </is>
      </c>
      <c r="B3211" s="0" t="inlineStr">
        <is>
          <t xml:space="preserve">naive_lowvol</t>
        </is>
      </c>
      <c r="C3211" s="0" t="inlineStr">
        <is>
          <t xml:space="preserve">d20260923</t>
        </is>
      </c>
      <c r="D3211" s="0" t="inlineStr">
        <is>
          <t xml:space="preserve">TXNM</t>
        </is>
      </c>
      <c r="E3211" s="0" t="inlineStr">
        <is>
          <t xml:space="preserve">utilities</t>
        </is>
      </c>
      <c r="F3211" s="4">
        <v>10</v>
      </c>
    </row>
    <row r="3212">
      <c r="A3212" s="0" t="inlineStr">
        <is>
          <t xml:space="preserve">naive_lowvol_PEN</t>
        </is>
      </c>
      <c r="B3212" s="0" t="inlineStr">
        <is>
          <t xml:space="preserve">naive_lowvol</t>
        </is>
      </c>
      <c r="C3212" s="0" t="inlineStr">
        <is>
          <t xml:space="preserve">d20260923</t>
        </is>
      </c>
      <c r="D3212" s="0" t="inlineStr">
        <is>
          <t xml:space="preserve">PEN</t>
        </is>
      </c>
      <c r="E3212" s="0" t="inlineStr">
        <is>
          <t xml:space="preserve">healthcare</t>
        </is>
      </c>
      <c r="F3212" s="4">
        <v>11</v>
      </c>
    </row>
    <row r="3213">
      <c r="A3213" s="0" t="inlineStr">
        <is>
          <t xml:space="preserve">naive_lowvol_CZR</t>
        </is>
      </c>
      <c r="B3213" s="0" t="inlineStr">
        <is>
          <t xml:space="preserve">naive_lowvol</t>
        </is>
      </c>
      <c r="C3213" s="0" t="inlineStr">
        <is>
          <t xml:space="preserve">d20260923</t>
        </is>
      </c>
      <c r="D3213" s="0" t="inlineStr">
        <is>
          <t xml:space="preserve">CZR</t>
        </is>
      </c>
      <c r="E3213" s="0" t="inlineStr">
        <is>
          <t xml:space="preserve">consumer_cyclical</t>
        </is>
      </c>
      <c r="F3213" s="4">
        <v>12</v>
      </c>
    </row>
    <row r="3214">
      <c r="A3214" s="0" t="inlineStr">
        <is>
          <t xml:space="preserve">naive_lowvol_GSAT</t>
        </is>
      </c>
      <c r="B3214" s="0" t="inlineStr">
        <is>
          <t xml:space="preserve">naive_lowvol</t>
        </is>
      </c>
      <c r="C3214" s="0" t="inlineStr">
        <is>
          <t xml:space="preserve">d20260923</t>
        </is>
      </c>
      <c r="D3214" s="0" t="inlineStr">
        <is>
          <t xml:space="preserve">GSAT</t>
        </is>
      </c>
      <c r="E3214" s="0" t="inlineStr">
        <is>
          <t xml:space="preserve">communication_services</t>
        </is>
      </c>
      <c r="F3214" s="4">
        <v>13</v>
      </c>
    </row>
    <row r="3215">
      <c r="A3215" s="0" t="inlineStr">
        <is>
          <t xml:space="preserve">naive_lowvol_NATL</t>
        </is>
      </c>
      <c r="B3215" s="0" t="inlineStr">
        <is>
          <t xml:space="preserve">naive_lowvol</t>
        </is>
      </c>
      <c r="C3215" s="0" t="inlineStr">
        <is>
          <t xml:space="preserve">d20260923</t>
        </is>
      </c>
      <c r="D3215" s="0" t="inlineStr">
        <is>
          <t xml:space="preserve">NATL</t>
        </is>
      </c>
      <c r="E3215" s="0" t="inlineStr">
        <is>
          <t xml:space="preserve">technology</t>
        </is>
      </c>
      <c r="F3215" s="4">
        <v>14</v>
      </c>
    </row>
    <row r="3216">
      <c r="A3216" s="0" t="inlineStr">
        <is>
          <t xml:space="preserve">naive_lowvol_L</t>
        </is>
      </c>
      <c r="B3216" s="0" t="inlineStr">
        <is>
          <t xml:space="preserve">naive_lowvol</t>
        </is>
      </c>
      <c r="C3216" s="0" t="inlineStr">
        <is>
          <t xml:space="preserve">d20260923</t>
        </is>
      </c>
      <c r="D3216" s="0" t="inlineStr">
        <is>
          <t xml:space="preserve">L</t>
        </is>
      </c>
      <c r="E3216" s="0" t="inlineStr">
        <is>
          <t xml:space="preserve">financial_services</t>
        </is>
      </c>
      <c r="F3216" s="4">
        <v>15</v>
      </c>
    </row>
    <row r="3217">
      <c r="A3217" s="0" t="inlineStr">
        <is>
          <t xml:space="preserve">naive_lowvol_CBSH</t>
        </is>
      </c>
      <c r="B3217" s="0" t="inlineStr">
        <is>
          <t xml:space="preserve">naive_lowvol</t>
        </is>
      </c>
      <c r="C3217" s="0" t="inlineStr">
        <is>
          <t xml:space="preserve">d20260923</t>
        </is>
      </c>
      <c r="D3217" s="0" t="inlineStr">
        <is>
          <t xml:space="preserve">CBSH</t>
        </is>
      </c>
      <c r="E3217" s="0" t="inlineStr">
        <is>
          <t xml:space="preserve">financial_services</t>
        </is>
      </c>
      <c r="F3217" s="4">
        <v>16</v>
      </c>
    </row>
    <row r="3218">
      <c r="A3218" s="0" t="inlineStr">
        <is>
          <t xml:space="preserve">naive_lowvol_NEE</t>
        </is>
      </c>
      <c r="B3218" s="0" t="inlineStr">
        <is>
          <t xml:space="preserve">naive_lowvol</t>
        </is>
      </c>
      <c r="C3218" s="0" t="inlineStr">
        <is>
          <t xml:space="preserve">d20260923</t>
        </is>
      </c>
      <c r="D3218" s="0" t="inlineStr">
        <is>
          <t xml:space="preserve">NEE</t>
        </is>
      </c>
      <c r="E3218" s="0" t="inlineStr">
        <is>
          <t xml:space="preserve">utilities</t>
        </is>
      </c>
      <c r="F3218" s="4">
        <v>17</v>
      </c>
    </row>
    <row r="3219">
      <c r="A3219" s="0" t="inlineStr">
        <is>
          <t xml:space="preserve">naive_lowvol_FRT</t>
        </is>
      </c>
      <c r="B3219" s="0" t="inlineStr">
        <is>
          <t xml:space="preserve">naive_lowvol</t>
        </is>
      </c>
      <c r="C3219" s="0" t="inlineStr">
        <is>
          <t xml:space="preserve">d20260923</t>
        </is>
      </c>
      <c r="D3219" s="0" t="inlineStr">
        <is>
          <t xml:space="preserve">FRT</t>
        </is>
      </c>
      <c r="E3219" s="0" t="inlineStr">
        <is>
          <t xml:space="preserve">real_estate</t>
        </is>
      </c>
      <c r="F3219" s="4">
        <v>18</v>
      </c>
    </row>
    <row r="3220">
      <c r="A3220" s="0" t="inlineStr">
        <is>
          <t xml:space="preserve">naive_lowvol_ROKU</t>
        </is>
      </c>
      <c r="B3220" s="0" t="inlineStr">
        <is>
          <t xml:space="preserve">naive_lowvol</t>
        </is>
      </c>
      <c r="C3220" s="0" t="inlineStr">
        <is>
          <t xml:space="preserve">d20260923</t>
        </is>
      </c>
      <c r="D3220" s="0" t="inlineStr">
        <is>
          <t xml:space="preserve">ROKU</t>
        </is>
      </c>
      <c r="E3220" s="0" t="inlineStr">
        <is>
          <t xml:space="preserve">communication_services</t>
        </is>
      </c>
      <c r="F3220" s="4">
        <v>19</v>
      </c>
    </row>
    <row r="3221">
      <c r="A3221" s="0" t="inlineStr">
        <is>
          <t xml:space="preserve">naive_lowvol_CDP</t>
        </is>
      </c>
      <c r="B3221" s="0" t="inlineStr">
        <is>
          <t xml:space="preserve">naive_lowvol</t>
        </is>
      </c>
      <c r="C3221" s="0" t="inlineStr">
        <is>
          <t xml:space="preserve">d20260923</t>
        </is>
      </c>
      <c r="D3221" s="0" t="inlineStr">
        <is>
          <t xml:space="preserve">CDP</t>
        </is>
      </c>
      <c r="E3221" s="0" t="inlineStr">
        <is>
          <t xml:space="preserve">real_estate</t>
        </is>
      </c>
      <c r="F3221" s="4">
        <v>20</v>
      </c>
    </row>
    <row r="3222">
      <c r="A3222" s="0" t="inlineStr">
        <is>
          <t xml:space="preserve">naive_lowvol_REG</t>
        </is>
      </c>
      <c r="B3222" s="0" t="inlineStr">
        <is>
          <t xml:space="preserve">naive_lowvol</t>
        </is>
      </c>
      <c r="C3222" s="0" t="inlineStr">
        <is>
          <t xml:space="preserve">d20260923</t>
        </is>
      </c>
      <c r="D3222" s="0" t="inlineStr">
        <is>
          <t xml:space="preserve">REG</t>
        </is>
      </c>
      <c r="E3222" s="0" t="inlineStr">
        <is>
          <t xml:space="preserve">real_estate</t>
        </is>
      </c>
      <c r="F3222" s="4">
        <v>21</v>
      </c>
    </row>
    <row r="3223">
      <c r="A3223" s="0" t="inlineStr">
        <is>
          <t xml:space="preserve">naive_lowvol_LXP</t>
        </is>
      </c>
      <c r="B3223" s="0" t="inlineStr">
        <is>
          <t xml:space="preserve">naive_lowvol</t>
        </is>
      </c>
      <c r="C3223" s="0" t="inlineStr">
        <is>
          <t xml:space="preserve">d20260923</t>
        </is>
      </c>
      <c r="D3223" s="0" t="inlineStr">
        <is>
          <t xml:space="preserve">LXP</t>
        </is>
      </c>
      <c r="E3223" s="0" t="inlineStr">
        <is>
          <t xml:space="preserve">real_estate</t>
        </is>
      </c>
      <c r="F3223" s="4">
        <v>22</v>
      </c>
    </row>
    <row r="3224">
      <c r="A3224" s="0" t="inlineStr">
        <is>
          <t xml:space="preserve">naive_lowvol_BRX</t>
        </is>
      </c>
      <c r="B3224" s="0" t="inlineStr">
        <is>
          <t xml:space="preserve">naive_lowvol</t>
        </is>
      </c>
      <c r="C3224" s="0" t="inlineStr">
        <is>
          <t xml:space="preserve">d20260923</t>
        </is>
      </c>
      <c r="D3224" s="0" t="inlineStr">
        <is>
          <t xml:space="preserve">BRX</t>
        </is>
      </c>
      <c r="E3224" s="0" t="inlineStr">
        <is>
          <t xml:space="preserve">real_estate</t>
        </is>
      </c>
      <c r="F3224" s="4">
        <v>23</v>
      </c>
    </row>
    <row r="3225">
      <c r="A3225" s="0" t="inlineStr">
        <is>
          <t xml:space="preserve">naive_lowvol_PECO</t>
        </is>
      </c>
      <c r="B3225" s="0" t="inlineStr">
        <is>
          <t xml:space="preserve">naive_lowvol</t>
        </is>
      </c>
      <c r="C3225" s="0" t="inlineStr">
        <is>
          <t xml:space="preserve">d20260923</t>
        </is>
      </c>
      <c r="D3225" s="0" t="inlineStr">
        <is>
          <t xml:space="preserve">PECO</t>
        </is>
      </c>
      <c r="E3225" s="0" t="inlineStr">
        <is>
          <t xml:space="preserve">real_estate</t>
        </is>
      </c>
      <c r="F3225" s="4">
        <v>24</v>
      </c>
    </row>
    <row r="3226">
      <c r="A3226" s="0" t="inlineStr">
        <is>
          <t xml:space="preserve">naive_lowvol_IBOC</t>
        </is>
      </c>
      <c r="B3226" s="0" t="inlineStr">
        <is>
          <t xml:space="preserve">naive_lowvol</t>
        </is>
      </c>
      <c r="C3226" s="0" t="inlineStr">
        <is>
          <t xml:space="preserve">d20260923</t>
        </is>
      </c>
      <c r="D3226" s="0" t="inlineStr">
        <is>
          <t xml:space="preserve">IBOC</t>
        </is>
      </c>
      <c r="E3226" s="0" t="inlineStr">
        <is>
          <t xml:space="preserve">financial_services</t>
        </is>
      </c>
      <c r="F3226" s="4">
        <v>25</v>
      </c>
    </row>
    <row r="3227">
      <c r="A3227" s="0" t="inlineStr">
        <is>
          <t xml:space="preserve">naive_lowvol_D</t>
        </is>
      </c>
      <c r="B3227" s="0" t="inlineStr">
        <is>
          <t xml:space="preserve">naive_lowvol</t>
        </is>
      </c>
      <c r="C3227" s="0" t="inlineStr">
        <is>
          <t xml:space="preserve">d20260923</t>
        </is>
      </c>
      <c r="D3227" s="0" t="inlineStr">
        <is>
          <t xml:space="preserve">D</t>
        </is>
      </c>
      <c r="E3227" s="0" t="inlineStr">
        <is>
          <t xml:space="preserve">utilities</t>
        </is>
      </c>
      <c r="F3227" s="4">
        <v>26</v>
      </c>
    </row>
    <row r="3228">
      <c r="A3228" s="0" t="inlineStr">
        <is>
          <t xml:space="preserve">naive_lowvol_PEG</t>
        </is>
      </c>
      <c r="B3228" s="0" t="inlineStr">
        <is>
          <t xml:space="preserve">naive_lowvol</t>
        </is>
      </c>
      <c r="C3228" s="0" t="inlineStr">
        <is>
          <t xml:space="preserve">d20260923</t>
        </is>
      </c>
      <c r="D3228" s="0" t="inlineStr">
        <is>
          <t xml:space="preserve">PEG</t>
        </is>
      </c>
      <c r="E3228" s="0" t="inlineStr">
        <is>
          <t xml:space="preserve">utilities</t>
        </is>
      </c>
      <c r="F3228" s="4">
        <v>27</v>
      </c>
    </row>
    <row r="3229">
      <c r="A3229" s="0" t="inlineStr">
        <is>
          <t xml:space="preserve">naive_lowvol_EVRG</t>
        </is>
      </c>
      <c r="B3229" s="0" t="inlineStr">
        <is>
          <t xml:space="preserve">naive_lowvol</t>
        </is>
      </c>
      <c r="C3229" s="0" t="inlineStr">
        <is>
          <t xml:space="preserve">d20260923</t>
        </is>
      </c>
      <c r="D3229" s="0" t="inlineStr">
        <is>
          <t xml:space="preserve">EVRG</t>
        </is>
      </c>
      <c r="E3229" s="0" t="inlineStr">
        <is>
          <t xml:space="preserve">utilities</t>
        </is>
      </c>
      <c r="F3229" s="4">
        <v>28</v>
      </c>
    </row>
    <row r="3230">
      <c r="A3230" s="0" t="inlineStr">
        <is>
          <t xml:space="preserve">naive_lowvol_KIM</t>
        </is>
      </c>
      <c r="B3230" s="0" t="inlineStr">
        <is>
          <t xml:space="preserve">naive_lowvol</t>
        </is>
      </c>
      <c r="C3230" s="0" t="inlineStr">
        <is>
          <t xml:space="preserve">d20260923</t>
        </is>
      </c>
      <c r="D3230" s="0" t="inlineStr">
        <is>
          <t xml:space="preserve">KIM</t>
        </is>
      </c>
      <c r="E3230" s="0" t="inlineStr">
        <is>
          <t xml:space="preserve">real_estate</t>
        </is>
      </c>
      <c r="F3230" s="4">
        <v>29</v>
      </c>
    </row>
    <row r="3231">
      <c r="A3231" s="0" t="inlineStr">
        <is>
          <t xml:space="preserve">naive_lowvol_DX</t>
        </is>
      </c>
      <c r="B3231" s="0" t="inlineStr">
        <is>
          <t xml:space="preserve">naive_lowvol</t>
        </is>
      </c>
      <c r="C3231" s="0" t="inlineStr">
        <is>
          <t xml:space="preserve">d20260923</t>
        </is>
      </c>
      <c r="D3231" s="0" t="inlineStr">
        <is>
          <t xml:space="preserve">DX</t>
        </is>
      </c>
      <c r="E3231" s="0" t="inlineStr">
        <is>
          <t xml:space="preserve">real_estate</t>
        </is>
      </c>
      <c r="F3231" s="4">
        <v>30</v>
      </c>
    </row>
    <row r="3232">
      <c r="A3232" s="0" t="inlineStr">
        <is>
          <t xml:space="preserve">naive_lowvol_KRG</t>
        </is>
      </c>
      <c r="B3232" s="0" t="inlineStr">
        <is>
          <t xml:space="preserve">naive_lowvol</t>
        </is>
      </c>
      <c r="C3232" s="0" t="inlineStr">
        <is>
          <t xml:space="preserve">d20260923</t>
        </is>
      </c>
      <c r="D3232" s="0" t="inlineStr">
        <is>
          <t xml:space="preserve">KRG</t>
        </is>
      </c>
      <c r="E3232" s="0" t="inlineStr">
        <is>
          <t xml:space="preserve">real_estate</t>
        </is>
      </c>
      <c r="F3232" s="4">
        <v>31</v>
      </c>
    </row>
    <row r="3233">
      <c r="A3233" s="0" t="inlineStr">
        <is>
          <t xml:space="preserve">naive_lowvol_NWBI</t>
        </is>
      </c>
      <c r="B3233" s="0" t="inlineStr">
        <is>
          <t xml:space="preserve">naive_lowvol</t>
        </is>
      </c>
      <c r="C3233" s="0" t="inlineStr">
        <is>
          <t xml:space="preserve">d20260923</t>
        </is>
      </c>
      <c r="D3233" s="0" t="inlineStr">
        <is>
          <t xml:space="preserve">NWBI</t>
        </is>
      </c>
      <c r="E3233" s="0" t="inlineStr">
        <is>
          <t xml:space="preserve">financial_services</t>
        </is>
      </c>
      <c r="F3233" s="4">
        <v>32</v>
      </c>
    </row>
    <row r="3234">
      <c r="A3234" s="0" t="inlineStr">
        <is>
          <t xml:space="preserve">naive_lowvol_CMS</t>
        </is>
      </c>
      <c r="B3234" s="0" t="inlineStr">
        <is>
          <t xml:space="preserve">naive_lowvol</t>
        </is>
      </c>
      <c r="C3234" s="0" t="inlineStr">
        <is>
          <t xml:space="preserve">d20260923</t>
        </is>
      </c>
      <c r="D3234" s="0" t="inlineStr">
        <is>
          <t xml:space="preserve">CMS</t>
        </is>
      </c>
      <c r="E3234" s="0" t="inlineStr">
        <is>
          <t xml:space="preserve">utilities</t>
        </is>
      </c>
      <c r="F3234" s="4">
        <v>33</v>
      </c>
    </row>
    <row r="3235">
      <c r="A3235" s="0" t="inlineStr">
        <is>
          <t xml:space="preserve">naive_lowvol_SO</t>
        </is>
      </c>
      <c r="B3235" s="0" t="inlineStr">
        <is>
          <t xml:space="preserve">naive_lowvol</t>
        </is>
      </c>
      <c r="C3235" s="0" t="inlineStr">
        <is>
          <t xml:space="preserve">d20260923</t>
        </is>
      </c>
      <c r="D3235" s="0" t="inlineStr">
        <is>
          <t xml:space="preserve">SO</t>
        </is>
      </c>
      <c r="E3235" s="0" t="inlineStr">
        <is>
          <t xml:space="preserve">utilities</t>
        </is>
      </c>
      <c r="F3235" s="4">
        <v>34</v>
      </c>
    </row>
    <row r="3236">
      <c r="A3236" s="0" t="inlineStr">
        <is>
          <t xml:space="preserve">naive_lowvol_FE</t>
        </is>
      </c>
      <c r="B3236" s="0" t="inlineStr">
        <is>
          <t xml:space="preserve">naive_lowvol</t>
        </is>
      </c>
      <c r="C3236" s="0" t="inlineStr">
        <is>
          <t xml:space="preserve">d20260923</t>
        </is>
      </c>
      <c r="D3236" s="0" t="inlineStr">
        <is>
          <t xml:space="preserve">FE</t>
        </is>
      </c>
      <c r="E3236" s="0" t="inlineStr">
        <is>
          <t xml:space="preserve">utilities</t>
        </is>
      </c>
      <c r="F3236" s="4">
        <v>35</v>
      </c>
    </row>
    <row r="3237">
      <c r="A3237" s="0" t="inlineStr">
        <is>
          <t xml:space="preserve">naive_lowvol_PNW</t>
        </is>
      </c>
      <c r="B3237" s="0" t="inlineStr">
        <is>
          <t xml:space="preserve">naive_lowvol</t>
        </is>
      </c>
      <c r="C3237" s="0" t="inlineStr">
        <is>
          <t xml:space="preserve">d20260923</t>
        </is>
      </c>
      <c r="D3237" s="0" t="inlineStr">
        <is>
          <t xml:space="preserve">PNW</t>
        </is>
      </c>
      <c r="E3237" s="0" t="inlineStr">
        <is>
          <t xml:space="preserve">utilities</t>
        </is>
      </c>
      <c r="F3237" s="4">
        <v>36</v>
      </c>
    </row>
    <row r="3238">
      <c r="A3238" s="0" t="inlineStr">
        <is>
          <t xml:space="preserve">naive_lowvol_ATO</t>
        </is>
      </c>
      <c r="B3238" s="0" t="inlineStr">
        <is>
          <t xml:space="preserve">naive_lowvol</t>
        </is>
      </c>
      <c r="C3238" s="0" t="inlineStr">
        <is>
          <t xml:space="preserve">d20260923</t>
        </is>
      </c>
      <c r="D3238" s="0" t="inlineStr">
        <is>
          <t xml:space="preserve">ATO</t>
        </is>
      </c>
      <c r="E3238" s="0" t="inlineStr">
        <is>
          <t xml:space="preserve">utilities</t>
        </is>
      </c>
      <c r="F3238" s="4">
        <v>37</v>
      </c>
    </row>
    <row r="3239">
      <c r="A3239" s="0" t="inlineStr">
        <is>
          <t xml:space="preserve">naive_lowvol_ADC</t>
        </is>
      </c>
      <c r="B3239" s="0" t="inlineStr">
        <is>
          <t xml:space="preserve">naive_lowvol</t>
        </is>
      </c>
      <c r="C3239" s="0" t="inlineStr">
        <is>
          <t xml:space="preserve">d20260923</t>
        </is>
      </c>
      <c r="D3239" s="0" t="inlineStr">
        <is>
          <t xml:space="preserve">ADC</t>
        </is>
      </c>
      <c r="E3239" s="0" t="inlineStr">
        <is>
          <t xml:space="preserve">real_estate</t>
        </is>
      </c>
      <c r="F3239" s="4">
        <v>38</v>
      </c>
    </row>
    <row r="3240">
      <c r="A3240" s="0" t="inlineStr">
        <is>
          <t xml:space="preserve">naive_lowvol_UE</t>
        </is>
      </c>
      <c r="B3240" s="0" t="inlineStr">
        <is>
          <t xml:space="preserve">naive_lowvol</t>
        </is>
      </c>
      <c r="C3240" s="0" t="inlineStr">
        <is>
          <t xml:space="preserve">d20260923</t>
        </is>
      </c>
      <c r="D3240" s="0" t="inlineStr">
        <is>
          <t xml:space="preserve">UE</t>
        </is>
      </c>
      <c r="E3240" s="0" t="inlineStr">
        <is>
          <t xml:space="preserve">real_estate</t>
        </is>
      </c>
      <c r="F3240" s="4">
        <v>39</v>
      </c>
    </row>
    <row r="3241">
      <c r="A3241" s="0" t="inlineStr">
        <is>
          <t xml:space="preserve">naive_lowvol_IVT</t>
        </is>
      </c>
      <c r="B3241" s="0" t="inlineStr">
        <is>
          <t xml:space="preserve">naive_lowvol</t>
        </is>
      </c>
      <c r="C3241" s="0" t="inlineStr">
        <is>
          <t xml:space="preserve">d20260923</t>
        </is>
      </c>
      <c r="D3241" s="0" t="inlineStr">
        <is>
          <t xml:space="preserve">IVT</t>
        </is>
      </c>
      <c r="E3241" s="0" t="inlineStr">
        <is>
          <t xml:space="preserve">real_estate</t>
        </is>
      </c>
      <c r="F3241" s="4">
        <v>40</v>
      </c>
    </row>
    <row r="3242">
      <c r="A3242" s="0" t="inlineStr">
        <is>
          <t xml:space="preserve">naive_lowvol_UBSI</t>
        </is>
      </c>
      <c r="B3242" s="0" t="inlineStr">
        <is>
          <t xml:space="preserve">naive_lowvol</t>
        </is>
      </c>
      <c r="C3242" s="0" t="inlineStr">
        <is>
          <t xml:space="preserve">d20260923</t>
        </is>
      </c>
      <c r="D3242" s="0" t="inlineStr">
        <is>
          <t xml:space="preserve">UBSI</t>
        </is>
      </c>
      <c r="E3242" s="0" t="inlineStr">
        <is>
          <t xml:space="preserve">financial_services</t>
        </is>
      </c>
      <c r="F3242" s="4">
        <v>41</v>
      </c>
    </row>
    <row r="3243">
      <c r="A3243" s="0" t="inlineStr">
        <is>
          <t xml:space="preserve">naive_lowvol_TOWN</t>
        </is>
      </c>
      <c r="B3243" s="0" t="inlineStr">
        <is>
          <t xml:space="preserve">naive_lowvol</t>
        </is>
      </c>
      <c r="C3243" s="0" t="inlineStr">
        <is>
          <t xml:space="preserve">d20260923</t>
        </is>
      </c>
      <c r="D3243" s="0" t="inlineStr">
        <is>
          <t xml:space="preserve">TOWN</t>
        </is>
      </c>
      <c r="E3243" s="0" t="inlineStr">
        <is>
          <t xml:space="preserve">financial_services</t>
        </is>
      </c>
      <c r="F3243" s="4">
        <v>42</v>
      </c>
    </row>
    <row r="3244">
      <c r="A3244" s="0" t="inlineStr">
        <is>
          <t xml:space="preserve">naive_lowvol_ARCC</t>
        </is>
      </c>
      <c r="B3244" s="0" t="inlineStr">
        <is>
          <t xml:space="preserve">naive_lowvol</t>
        </is>
      </c>
      <c r="C3244" s="0" t="inlineStr">
        <is>
          <t xml:space="preserve">d20260923</t>
        </is>
      </c>
      <c r="D3244" s="0" t="inlineStr">
        <is>
          <t xml:space="preserve">ARCC</t>
        </is>
      </c>
      <c r="E3244" s="0" t="inlineStr">
        <is>
          <t xml:space="preserve">financial_services</t>
        </is>
      </c>
      <c r="F3244" s="4">
        <v>43</v>
      </c>
    </row>
    <row r="3245">
      <c r="A3245" s="0" t="inlineStr">
        <is>
          <t xml:space="preserve">naive_lowvol_PB</t>
        </is>
      </c>
      <c r="B3245" s="0" t="inlineStr">
        <is>
          <t xml:space="preserve">naive_lowvol</t>
        </is>
      </c>
      <c r="C3245" s="0" t="inlineStr">
        <is>
          <t xml:space="preserve">d20260923</t>
        </is>
      </c>
      <c r="D3245" s="0" t="inlineStr">
        <is>
          <t xml:space="preserve">PB</t>
        </is>
      </c>
      <c r="E3245" s="0" t="inlineStr">
        <is>
          <t xml:space="preserve">financial_services</t>
        </is>
      </c>
      <c r="F3245" s="4">
        <v>44</v>
      </c>
    </row>
    <row r="3246">
      <c r="A3246" s="0" t="inlineStr">
        <is>
          <t xml:space="preserve">naive_lowvol_AVA</t>
        </is>
      </c>
      <c r="B3246" s="0" t="inlineStr">
        <is>
          <t xml:space="preserve">naive_lowvol</t>
        </is>
      </c>
      <c r="C3246" s="0" t="inlineStr">
        <is>
          <t xml:space="preserve">d20260923</t>
        </is>
      </c>
      <c r="D3246" s="0" t="inlineStr">
        <is>
          <t xml:space="preserve">AVA</t>
        </is>
      </c>
      <c r="E3246" s="0" t="inlineStr">
        <is>
          <t xml:space="preserve">utilities</t>
        </is>
      </c>
      <c r="F3246" s="4">
        <v>45</v>
      </c>
    </row>
    <row r="3247">
      <c r="A3247" s="0" t="inlineStr">
        <is>
          <t xml:space="preserve">naive_lowvol_SKT</t>
        </is>
      </c>
      <c r="B3247" s="0" t="inlineStr">
        <is>
          <t xml:space="preserve">naive_lowvol</t>
        </is>
      </c>
      <c r="C3247" s="0" t="inlineStr">
        <is>
          <t xml:space="preserve">d20260923</t>
        </is>
      </c>
      <c r="D3247" s="0" t="inlineStr">
        <is>
          <t xml:space="preserve">SKT</t>
        </is>
      </c>
      <c r="E3247" s="0" t="inlineStr">
        <is>
          <t xml:space="preserve">real_estate</t>
        </is>
      </c>
      <c r="F3247" s="4">
        <v>46</v>
      </c>
    </row>
    <row r="3248">
      <c r="A3248" s="0" t="inlineStr">
        <is>
          <t xml:space="preserve">naive_lowvol_ACT</t>
        </is>
      </c>
      <c r="B3248" s="0" t="inlineStr">
        <is>
          <t xml:space="preserve">naive_lowvol</t>
        </is>
      </c>
      <c r="C3248" s="0" t="inlineStr">
        <is>
          <t xml:space="preserve">d20260923</t>
        </is>
      </c>
      <c r="D3248" s="0" t="inlineStr">
        <is>
          <t xml:space="preserve">ACT</t>
        </is>
      </c>
      <c r="E3248" s="0" t="inlineStr">
        <is>
          <t xml:space="preserve">financial_services</t>
        </is>
      </c>
      <c r="F3248" s="4">
        <v>47</v>
      </c>
    </row>
    <row r="3249">
      <c r="A3249" s="0" t="inlineStr">
        <is>
          <t xml:space="preserve">naive_lowvol_HR</t>
        </is>
      </c>
      <c r="B3249" s="0" t="inlineStr">
        <is>
          <t xml:space="preserve">naive_lowvol</t>
        </is>
      </c>
      <c r="C3249" s="0" t="inlineStr">
        <is>
          <t xml:space="preserve">d20260923</t>
        </is>
      </c>
      <c r="D3249" s="0" t="inlineStr">
        <is>
          <t xml:space="preserve">HR</t>
        </is>
      </c>
      <c r="E3249" s="0" t="inlineStr">
        <is>
          <t xml:space="preserve">real_estate</t>
        </is>
      </c>
      <c r="F3249" s="4">
        <v>48</v>
      </c>
    </row>
    <row r="3250">
      <c r="A3250" s="0" t="inlineStr">
        <is>
          <t xml:space="preserve">naive_lowvol_FCF</t>
        </is>
      </c>
      <c r="B3250" s="0" t="inlineStr">
        <is>
          <t xml:space="preserve">naive_lowvol</t>
        </is>
      </c>
      <c r="C3250" s="0" t="inlineStr">
        <is>
          <t xml:space="preserve">d20260923</t>
        </is>
      </c>
      <c r="D3250" s="0" t="inlineStr">
        <is>
          <t xml:space="preserve">FCF</t>
        </is>
      </c>
      <c r="E3250" s="0" t="inlineStr">
        <is>
          <t xml:space="preserve">financial_services</t>
        </is>
      </c>
      <c r="F3250" s="4">
        <v>49</v>
      </c>
    </row>
    <row r="3251">
      <c r="A3251" s="0" t="inlineStr">
        <is>
          <t xml:space="preserve">naive_lowvol_ABCB</t>
        </is>
      </c>
      <c r="B3251" s="0" t="inlineStr">
        <is>
          <t xml:space="preserve">naive_lowvol</t>
        </is>
      </c>
      <c r="C3251" s="0" t="inlineStr">
        <is>
          <t xml:space="preserve">d20260923</t>
        </is>
      </c>
      <c r="D3251" s="0" t="inlineStr">
        <is>
          <t xml:space="preserve">ABCB</t>
        </is>
      </c>
      <c r="E3251" s="0" t="inlineStr">
        <is>
          <t xml:space="preserve">financial_services</t>
        </is>
      </c>
      <c r="F3251" s="4">
        <v>50</v>
      </c>
    </row>
    <row r="3252">
      <c r="A3252" s="0" t="inlineStr">
        <is>
          <t xml:space="preserve">naive_lowvol_INVH</t>
        </is>
      </c>
      <c r="B3252" s="0" t="inlineStr">
        <is>
          <t xml:space="preserve">naive_lowvol</t>
        </is>
      </c>
      <c r="C3252" s="0" t="inlineStr">
        <is>
          <t xml:space="preserve">d20260923</t>
        </is>
      </c>
      <c r="D3252" s="0" t="inlineStr">
        <is>
          <t xml:space="preserve">INVH</t>
        </is>
      </c>
      <c r="E3252" s="0" t="inlineStr">
        <is>
          <t xml:space="preserve">real_estate</t>
        </is>
      </c>
      <c r="F3252" s="4">
        <v>51</v>
      </c>
    </row>
    <row r="3253">
      <c r="A3253" s="0" t="inlineStr">
        <is>
          <t xml:space="preserve">naive_lowvol_DTE</t>
        </is>
      </c>
      <c r="B3253" s="0" t="inlineStr">
        <is>
          <t xml:space="preserve">naive_lowvol</t>
        </is>
      </c>
      <c r="C3253" s="0" t="inlineStr">
        <is>
          <t xml:space="preserve">d20260923</t>
        </is>
      </c>
      <c r="D3253" s="0" t="inlineStr">
        <is>
          <t xml:space="preserve">DTE</t>
        </is>
      </c>
      <c r="E3253" s="0" t="inlineStr">
        <is>
          <t xml:space="preserve">utilities</t>
        </is>
      </c>
      <c r="F3253" s="4">
        <v>52</v>
      </c>
    </row>
    <row r="3254">
      <c r="A3254" s="0" t="inlineStr">
        <is>
          <t xml:space="preserve">naive_lowvol_O</t>
        </is>
      </c>
      <c r="B3254" s="0" t="inlineStr">
        <is>
          <t xml:space="preserve">naive_lowvol</t>
        </is>
      </c>
      <c r="C3254" s="0" t="inlineStr">
        <is>
          <t xml:space="preserve">d20260923</t>
        </is>
      </c>
      <c r="D3254" s="0" t="inlineStr">
        <is>
          <t xml:space="preserve">O</t>
        </is>
      </c>
      <c r="E3254" s="0" t="inlineStr">
        <is>
          <t xml:space="preserve">real_estate</t>
        </is>
      </c>
      <c r="F3254" s="4">
        <v>53</v>
      </c>
    </row>
    <row r="3255">
      <c r="A3255" s="0" t="inlineStr">
        <is>
          <t xml:space="preserve">naive_lowvol_CATY</t>
        </is>
      </c>
      <c r="B3255" s="0" t="inlineStr">
        <is>
          <t xml:space="preserve">naive_lowvol</t>
        </is>
      </c>
      <c r="C3255" s="0" t="inlineStr">
        <is>
          <t xml:space="preserve">d20260923</t>
        </is>
      </c>
      <c r="D3255" s="0" t="inlineStr">
        <is>
          <t xml:space="preserve">CATY</t>
        </is>
      </c>
      <c r="E3255" s="0" t="inlineStr">
        <is>
          <t xml:space="preserve">financial_services</t>
        </is>
      </c>
      <c r="F3255" s="4">
        <v>54</v>
      </c>
    </row>
    <row r="3256">
      <c r="A3256" s="0" t="inlineStr">
        <is>
          <t xml:space="preserve">naive_lowvol_AFG</t>
        </is>
      </c>
      <c r="B3256" s="0" t="inlineStr">
        <is>
          <t xml:space="preserve">naive_lowvol</t>
        </is>
      </c>
      <c r="C3256" s="0" t="inlineStr">
        <is>
          <t xml:space="preserve">d20260923</t>
        </is>
      </c>
      <c r="D3256" s="0" t="inlineStr">
        <is>
          <t xml:space="preserve">AFG</t>
        </is>
      </c>
      <c r="E3256" s="0" t="inlineStr">
        <is>
          <t xml:space="preserve">financial_services</t>
        </is>
      </c>
      <c r="F3256" s="4">
        <v>55</v>
      </c>
    </row>
    <row r="3257">
      <c r="A3257" s="0" t="inlineStr">
        <is>
          <t xml:space="preserve">naive_lowvol_CFR</t>
        </is>
      </c>
      <c r="B3257" s="0" t="inlineStr">
        <is>
          <t xml:space="preserve">naive_lowvol</t>
        </is>
      </c>
      <c r="C3257" s="0" t="inlineStr">
        <is>
          <t xml:space="preserve">d20260923</t>
        </is>
      </c>
      <c r="D3257" s="0" t="inlineStr">
        <is>
          <t xml:space="preserve">CFR</t>
        </is>
      </c>
      <c r="E3257" s="0" t="inlineStr">
        <is>
          <t xml:space="preserve">financial_services</t>
        </is>
      </c>
      <c r="F3257" s="4">
        <v>56</v>
      </c>
    </row>
    <row r="3258">
      <c r="A3258" s="0" t="inlineStr">
        <is>
          <t xml:space="preserve">naive_lowvol_WEC</t>
        </is>
      </c>
      <c r="B3258" s="0" t="inlineStr">
        <is>
          <t xml:space="preserve">naive_lowvol</t>
        </is>
      </c>
      <c r="C3258" s="0" t="inlineStr">
        <is>
          <t xml:space="preserve">d20260923</t>
        </is>
      </c>
      <c r="D3258" s="0" t="inlineStr">
        <is>
          <t xml:space="preserve">WEC</t>
        </is>
      </c>
      <c r="E3258" s="0" t="inlineStr">
        <is>
          <t xml:space="preserve">utilities</t>
        </is>
      </c>
      <c r="F3258" s="4">
        <v>57</v>
      </c>
    </row>
    <row r="3259">
      <c r="A3259" s="0" t="inlineStr">
        <is>
          <t xml:space="preserve">naive_lowvol_BUSE</t>
        </is>
      </c>
      <c r="B3259" s="0" t="inlineStr">
        <is>
          <t xml:space="preserve">naive_lowvol</t>
        </is>
      </c>
      <c r="C3259" s="0" t="inlineStr">
        <is>
          <t xml:space="preserve">d20260923</t>
        </is>
      </c>
      <c r="D3259" s="0" t="inlineStr">
        <is>
          <t xml:space="preserve">BUSE</t>
        </is>
      </c>
      <c r="E3259" s="0" t="inlineStr">
        <is>
          <t xml:space="preserve">financial_services</t>
        </is>
      </c>
      <c r="F3259" s="4">
        <v>58</v>
      </c>
    </row>
    <row r="3260">
      <c r="A3260" s="0" t="inlineStr">
        <is>
          <t xml:space="preserve">naive_lowvol_WPC</t>
        </is>
      </c>
      <c r="B3260" s="0" t="inlineStr">
        <is>
          <t xml:space="preserve">naive_lowvol</t>
        </is>
      </c>
      <c r="C3260" s="0" t="inlineStr">
        <is>
          <t xml:space="preserve">d20260923</t>
        </is>
      </c>
      <c r="D3260" s="0" t="inlineStr">
        <is>
          <t xml:space="preserve">WPC</t>
        </is>
      </c>
      <c r="E3260" s="0" t="inlineStr">
        <is>
          <t xml:space="preserve">real_estate</t>
        </is>
      </c>
      <c r="F3260" s="4">
        <v>59</v>
      </c>
    </row>
    <row r="3261">
      <c r="A3261" s="0" t="inlineStr">
        <is>
          <t xml:space="preserve">naive_lowvol_FULT</t>
        </is>
      </c>
      <c r="B3261" s="0" t="inlineStr">
        <is>
          <t xml:space="preserve">naive_lowvol</t>
        </is>
      </c>
      <c r="C3261" s="0" t="inlineStr">
        <is>
          <t xml:space="preserve">d20260923</t>
        </is>
      </c>
      <c r="D3261" s="0" t="inlineStr">
        <is>
          <t xml:space="preserve">FULT</t>
        </is>
      </c>
      <c r="E3261" s="0" t="inlineStr">
        <is>
          <t xml:space="preserve">financial_services</t>
        </is>
      </c>
      <c r="F3261" s="4">
        <v>60</v>
      </c>
    </row>
    <row r="3262">
      <c r="A3262" s="0" t="inlineStr">
        <is>
          <t xml:space="preserve">naive_lowvol_AMH</t>
        </is>
      </c>
      <c r="B3262" s="0" t="inlineStr">
        <is>
          <t xml:space="preserve">naive_lowvol</t>
        </is>
      </c>
      <c r="C3262" s="0" t="inlineStr">
        <is>
          <t xml:space="preserve">d20260923</t>
        </is>
      </c>
      <c r="D3262" s="0" t="inlineStr">
        <is>
          <t xml:space="preserve">AMH</t>
        </is>
      </c>
      <c r="E3262" s="0" t="inlineStr">
        <is>
          <t xml:space="preserve">real_estate</t>
        </is>
      </c>
      <c r="F3262" s="4">
        <v>61</v>
      </c>
    </row>
    <row r="3263">
      <c r="A3263" s="0" t="inlineStr">
        <is>
          <t xml:space="preserve">naive_lowvol_ED</t>
        </is>
      </c>
      <c r="B3263" s="0" t="inlineStr">
        <is>
          <t xml:space="preserve">naive_lowvol</t>
        </is>
      </c>
      <c r="C3263" s="0" t="inlineStr">
        <is>
          <t xml:space="preserve">d20260923</t>
        </is>
      </c>
      <c r="D3263" s="0" t="inlineStr">
        <is>
          <t xml:space="preserve">ED</t>
        </is>
      </c>
      <c r="E3263" s="0" t="inlineStr">
        <is>
          <t xml:space="preserve">utilities</t>
        </is>
      </c>
      <c r="F3263" s="4">
        <v>62</v>
      </c>
    </row>
    <row r="3264">
      <c r="A3264" s="0" t="inlineStr">
        <is>
          <t xml:space="preserve">naive_lowvol_SWX</t>
        </is>
      </c>
      <c r="B3264" s="0" t="inlineStr">
        <is>
          <t xml:space="preserve">naive_lowvol</t>
        </is>
      </c>
      <c r="C3264" s="0" t="inlineStr">
        <is>
          <t xml:space="preserve">d20260923</t>
        </is>
      </c>
      <c r="D3264" s="0" t="inlineStr">
        <is>
          <t xml:space="preserve">SWX</t>
        </is>
      </c>
      <c r="E3264" s="0" t="inlineStr">
        <is>
          <t xml:space="preserve">utilities</t>
        </is>
      </c>
      <c r="F3264" s="4">
        <v>63</v>
      </c>
    </row>
    <row r="3265">
      <c r="A3265" s="0" t="inlineStr">
        <is>
          <t xml:space="preserve">naive_lowvol_CVBF</t>
        </is>
      </c>
      <c r="B3265" s="0" t="inlineStr">
        <is>
          <t xml:space="preserve">naive_lowvol</t>
        </is>
      </c>
      <c r="C3265" s="0" t="inlineStr">
        <is>
          <t xml:space="preserve">d20260923</t>
        </is>
      </c>
      <c r="D3265" s="0" t="inlineStr">
        <is>
          <t xml:space="preserve">CVBF</t>
        </is>
      </c>
      <c r="E3265" s="0" t="inlineStr">
        <is>
          <t xml:space="preserve">financial_services</t>
        </is>
      </c>
      <c r="F3265" s="4">
        <v>64</v>
      </c>
    </row>
    <row r="3266">
      <c r="A3266" s="0" t="inlineStr">
        <is>
          <t xml:space="preserve">naive_lowvol_AEE</t>
        </is>
      </c>
      <c r="B3266" s="0" t="inlineStr">
        <is>
          <t xml:space="preserve">naive_lowvol</t>
        </is>
      </c>
      <c r="C3266" s="0" t="inlineStr">
        <is>
          <t xml:space="preserve">d20260923</t>
        </is>
      </c>
      <c r="D3266" s="0" t="inlineStr">
        <is>
          <t xml:space="preserve">AEE</t>
        </is>
      </c>
      <c r="E3266" s="0" t="inlineStr">
        <is>
          <t xml:space="preserve">utilities</t>
        </is>
      </c>
      <c r="F3266" s="4">
        <v>65</v>
      </c>
    </row>
    <row r="3267">
      <c r="A3267" s="0" t="inlineStr">
        <is>
          <t xml:space="preserve">naive_lowvol_NNN</t>
        </is>
      </c>
      <c r="B3267" s="0" t="inlineStr">
        <is>
          <t xml:space="preserve">naive_lowvol</t>
        </is>
      </c>
      <c r="C3267" s="0" t="inlineStr">
        <is>
          <t xml:space="preserve">d20260923</t>
        </is>
      </c>
      <c r="D3267" s="0" t="inlineStr">
        <is>
          <t xml:space="preserve">NNN</t>
        </is>
      </c>
      <c r="E3267" s="0" t="inlineStr">
        <is>
          <t xml:space="preserve">real_estate</t>
        </is>
      </c>
      <c r="F3267" s="4">
        <v>66</v>
      </c>
    </row>
    <row r="3268">
      <c r="A3268" s="0" t="inlineStr">
        <is>
          <t xml:space="preserve">naive_lowvol_EPD</t>
        </is>
      </c>
      <c r="B3268" s="0" t="inlineStr">
        <is>
          <t xml:space="preserve">naive_lowvol</t>
        </is>
      </c>
      <c r="C3268" s="0" t="inlineStr">
        <is>
          <t xml:space="preserve">d20260923</t>
        </is>
      </c>
      <c r="D3268" s="0" t="inlineStr">
        <is>
          <t xml:space="preserve">EPD</t>
        </is>
      </c>
      <c r="E3268" s="0" t="inlineStr">
        <is>
          <t xml:space="preserve">energy</t>
        </is>
      </c>
      <c r="F3268" s="4">
        <v>67</v>
      </c>
    </row>
    <row r="3269">
      <c r="A3269" s="0" t="inlineStr">
        <is>
          <t xml:space="preserve">naive_lowvol_SNA</t>
        </is>
      </c>
      <c r="B3269" s="0" t="inlineStr">
        <is>
          <t xml:space="preserve">naive_lowvol</t>
        </is>
      </c>
      <c r="C3269" s="0" t="inlineStr">
        <is>
          <t xml:space="preserve">d20260923</t>
        </is>
      </c>
      <c r="D3269" s="0" t="inlineStr">
        <is>
          <t xml:space="preserve">SNA</t>
        </is>
      </c>
      <c r="E3269" s="0" t="inlineStr">
        <is>
          <t xml:space="preserve">industrials</t>
        </is>
      </c>
      <c r="F3269" s="4">
        <v>68</v>
      </c>
    </row>
    <row r="3270">
      <c r="A3270" s="0" t="inlineStr">
        <is>
          <t xml:space="preserve">naive_lowvol_WSFS</t>
        </is>
      </c>
      <c r="B3270" s="0" t="inlineStr">
        <is>
          <t xml:space="preserve">naive_lowvol</t>
        </is>
      </c>
      <c r="C3270" s="0" t="inlineStr">
        <is>
          <t xml:space="preserve">d20260923</t>
        </is>
      </c>
      <c r="D3270" s="0" t="inlineStr">
        <is>
          <t xml:space="preserve">WSFS</t>
        </is>
      </c>
      <c r="E3270" s="0" t="inlineStr">
        <is>
          <t xml:space="preserve">financial_services</t>
        </is>
      </c>
      <c r="F3270" s="4">
        <v>69</v>
      </c>
    </row>
    <row r="3271">
      <c r="A3271" s="0" t="inlineStr">
        <is>
          <t xml:space="preserve">naive_lowvol_HWC</t>
        </is>
      </c>
      <c r="B3271" s="0" t="inlineStr">
        <is>
          <t xml:space="preserve">naive_lowvol</t>
        </is>
      </c>
      <c r="C3271" s="0" t="inlineStr">
        <is>
          <t xml:space="preserve">d20260923</t>
        </is>
      </c>
      <c r="D3271" s="0" t="inlineStr">
        <is>
          <t xml:space="preserve">HWC</t>
        </is>
      </c>
      <c r="E3271" s="0" t="inlineStr">
        <is>
          <t xml:space="preserve">financial_services</t>
        </is>
      </c>
      <c r="F3271" s="4">
        <v>70</v>
      </c>
    </row>
    <row r="3272">
      <c r="A3272" s="0" t="inlineStr">
        <is>
          <t xml:space="preserve">naive_lowvol_HOMB</t>
        </is>
      </c>
      <c r="B3272" s="0" t="inlineStr">
        <is>
          <t xml:space="preserve">naive_lowvol</t>
        </is>
      </c>
      <c r="C3272" s="0" t="inlineStr">
        <is>
          <t xml:space="preserve">d20260923</t>
        </is>
      </c>
      <c r="D3272" s="0" t="inlineStr">
        <is>
          <t xml:space="preserve">HOMB</t>
        </is>
      </c>
      <c r="E3272" s="0" t="inlineStr">
        <is>
          <t xml:space="preserve">financial_services</t>
        </is>
      </c>
      <c r="F3272" s="4">
        <v>71</v>
      </c>
    </row>
    <row r="3273">
      <c r="A3273" s="0" t="inlineStr">
        <is>
          <t xml:space="preserve">naive_lowvol_POR</t>
        </is>
      </c>
      <c r="B3273" s="0" t="inlineStr">
        <is>
          <t xml:space="preserve">naive_lowvol</t>
        </is>
      </c>
      <c r="C3273" s="0" t="inlineStr">
        <is>
          <t xml:space="preserve">d20260923</t>
        </is>
      </c>
      <c r="D3273" s="0" t="inlineStr">
        <is>
          <t xml:space="preserve">POR</t>
        </is>
      </c>
      <c r="E3273" s="0" t="inlineStr">
        <is>
          <t xml:space="preserve">utilities</t>
        </is>
      </c>
      <c r="F3273" s="4">
        <v>72</v>
      </c>
    </row>
    <row r="3274">
      <c r="A3274" s="0" t="inlineStr">
        <is>
          <t xml:space="preserve">naive_lowvol_OGE</t>
        </is>
      </c>
      <c r="B3274" s="0" t="inlineStr">
        <is>
          <t xml:space="preserve">naive_lowvol</t>
        </is>
      </c>
      <c r="C3274" s="0" t="inlineStr">
        <is>
          <t xml:space="preserve">d20260923</t>
        </is>
      </c>
      <c r="D3274" s="0" t="inlineStr">
        <is>
          <t xml:space="preserve">OGE</t>
        </is>
      </c>
      <c r="E3274" s="0" t="inlineStr">
        <is>
          <t xml:space="preserve">utilities</t>
        </is>
      </c>
      <c r="F3274" s="4">
        <v>73</v>
      </c>
    </row>
    <row r="3275">
      <c r="A3275" s="0" t="inlineStr">
        <is>
          <t xml:space="preserve">naive_lowvol_LNT</t>
        </is>
      </c>
      <c r="B3275" s="0" t="inlineStr">
        <is>
          <t xml:space="preserve">naive_lowvol</t>
        </is>
      </c>
      <c r="C3275" s="0" t="inlineStr">
        <is>
          <t xml:space="preserve">d20260923</t>
        </is>
      </c>
      <c r="D3275" s="0" t="inlineStr">
        <is>
          <t xml:space="preserve">LNT</t>
        </is>
      </c>
      <c r="E3275" s="0" t="inlineStr">
        <is>
          <t xml:space="preserve">utilities</t>
        </is>
      </c>
      <c r="F3275" s="4">
        <v>74</v>
      </c>
    </row>
    <row r="3276">
      <c r="A3276" s="0" t="inlineStr">
        <is>
          <t xml:space="preserve">naive_lowvol_MTG</t>
        </is>
      </c>
      <c r="B3276" s="0" t="inlineStr">
        <is>
          <t xml:space="preserve">naive_lowvol</t>
        </is>
      </c>
      <c r="C3276" s="0" t="inlineStr">
        <is>
          <t xml:space="preserve">d20260923</t>
        </is>
      </c>
      <c r="D3276" s="0" t="inlineStr">
        <is>
          <t xml:space="preserve">MTG</t>
        </is>
      </c>
      <c r="E3276" s="0" t="inlineStr">
        <is>
          <t xml:space="preserve">financial_services</t>
        </is>
      </c>
      <c r="F3276" s="4">
        <v>75</v>
      </c>
    </row>
    <row r="3277">
      <c r="A3277" s="0" t="inlineStr">
        <is>
          <t xml:space="preserve">naive_lowvol_FR</t>
        </is>
      </c>
      <c r="B3277" s="0" t="inlineStr">
        <is>
          <t xml:space="preserve">naive_lowvol</t>
        </is>
      </c>
      <c r="C3277" s="0" t="inlineStr">
        <is>
          <t xml:space="preserve">d20260923</t>
        </is>
      </c>
      <c r="D3277" s="0" t="inlineStr">
        <is>
          <t xml:space="preserve">FR</t>
        </is>
      </c>
      <c r="E3277" s="0" t="inlineStr">
        <is>
          <t xml:space="preserve">real_estate</t>
        </is>
      </c>
      <c r="F3277" s="4">
        <v>76</v>
      </c>
    </row>
    <row r="3278">
      <c r="A3278" s="0" t="inlineStr">
        <is>
          <t xml:space="preserve">naive_lowvol_CNO</t>
        </is>
      </c>
      <c r="B3278" s="0" t="inlineStr">
        <is>
          <t xml:space="preserve">naive_lowvol</t>
        </is>
      </c>
      <c r="C3278" s="0" t="inlineStr">
        <is>
          <t xml:space="preserve">d20260923</t>
        </is>
      </c>
      <c r="D3278" s="0" t="inlineStr">
        <is>
          <t xml:space="preserve">CNO</t>
        </is>
      </c>
      <c r="E3278" s="0" t="inlineStr">
        <is>
          <t xml:space="preserve">financial_services</t>
        </is>
      </c>
      <c r="F3278" s="4">
        <v>77</v>
      </c>
    </row>
    <row r="3279">
      <c r="A3279" s="0" t="inlineStr">
        <is>
          <t xml:space="preserve">naive_lowvol_ET</t>
        </is>
      </c>
      <c r="B3279" s="0" t="inlineStr">
        <is>
          <t xml:space="preserve">naive_lowvol</t>
        </is>
      </c>
      <c r="C3279" s="0" t="inlineStr">
        <is>
          <t xml:space="preserve">d20260923</t>
        </is>
      </c>
      <c r="D3279" s="0" t="inlineStr">
        <is>
          <t xml:space="preserve">ET</t>
        </is>
      </c>
      <c r="E3279" s="0" t="inlineStr">
        <is>
          <t xml:space="preserve">energy</t>
        </is>
      </c>
      <c r="F3279" s="4">
        <v>78</v>
      </c>
    </row>
    <row r="3280">
      <c r="A3280" s="0" t="inlineStr">
        <is>
          <t xml:space="preserve">naive_lowvol_IDA</t>
        </is>
      </c>
      <c r="B3280" s="0" t="inlineStr">
        <is>
          <t xml:space="preserve">naive_lowvol</t>
        </is>
      </c>
      <c r="C3280" s="0" t="inlineStr">
        <is>
          <t xml:space="preserve">d20260923</t>
        </is>
      </c>
      <c r="D3280" s="0" t="inlineStr">
        <is>
          <t xml:space="preserve">IDA</t>
        </is>
      </c>
      <c r="E3280" s="0" t="inlineStr">
        <is>
          <t xml:space="preserve">utilities</t>
        </is>
      </c>
      <c r="F3280" s="4">
        <v>79</v>
      </c>
    </row>
    <row r="3281">
      <c r="A3281" s="0" t="inlineStr">
        <is>
          <t xml:space="preserve">naive_lowvol_MPLX</t>
        </is>
      </c>
      <c r="B3281" s="0" t="inlineStr">
        <is>
          <t xml:space="preserve">naive_lowvol</t>
        </is>
      </c>
      <c r="C3281" s="0" t="inlineStr">
        <is>
          <t xml:space="preserve">d20260923</t>
        </is>
      </c>
      <c r="D3281" s="0" t="inlineStr">
        <is>
          <t xml:space="preserve">MPLX</t>
        </is>
      </c>
      <c r="E3281" s="0" t="inlineStr">
        <is>
          <t xml:space="preserve">energy</t>
        </is>
      </c>
      <c r="F3281" s="4">
        <v>80</v>
      </c>
    </row>
    <row r="3282">
      <c r="A3282" s="0" t="inlineStr">
        <is>
          <t xml:space="preserve">naive_lowvol_AEP</t>
        </is>
      </c>
      <c r="B3282" s="0" t="inlineStr">
        <is>
          <t xml:space="preserve">naive_lowvol</t>
        </is>
      </c>
      <c r="C3282" s="0" t="inlineStr">
        <is>
          <t xml:space="preserve">d20260923</t>
        </is>
      </c>
      <c r="D3282" s="0" t="inlineStr">
        <is>
          <t xml:space="preserve">AEP</t>
        </is>
      </c>
      <c r="E3282" s="0" t="inlineStr">
        <is>
          <t xml:space="preserve">utilities</t>
        </is>
      </c>
      <c r="F3282" s="4">
        <v>81</v>
      </c>
    </row>
    <row r="3283">
      <c r="A3283" s="0" t="inlineStr">
        <is>
          <t xml:space="preserve">naive_lowvol_GBDC</t>
        </is>
      </c>
      <c r="B3283" s="0" t="inlineStr">
        <is>
          <t xml:space="preserve">naive_lowvol</t>
        </is>
      </c>
      <c r="C3283" s="0" t="inlineStr">
        <is>
          <t xml:space="preserve">d20260923</t>
        </is>
      </c>
      <c r="D3283" s="0" t="inlineStr">
        <is>
          <t xml:space="preserve">GBDC</t>
        </is>
      </c>
      <c r="E3283" s="0" t="inlineStr">
        <is>
          <t xml:space="preserve">financial_services</t>
        </is>
      </c>
      <c r="F3283" s="4">
        <v>82</v>
      </c>
    </row>
    <row r="3284">
      <c r="A3284" s="0" t="inlineStr">
        <is>
          <t xml:space="preserve">naive_lowvol_NMIH</t>
        </is>
      </c>
      <c r="B3284" s="0" t="inlineStr">
        <is>
          <t xml:space="preserve">naive_lowvol</t>
        </is>
      </c>
      <c r="C3284" s="0" t="inlineStr">
        <is>
          <t xml:space="preserve">d20260923</t>
        </is>
      </c>
      <c r="D3284" s="0" t="inlineStr">
        <is>
          <t xml:space="preserve">NMIH</t>
        </is>
      </c>
      <c r="E3284" s="0" t="inlineStr">
        <is>
          <t xml:space="preserve">financial_services</t>
        </is>
      </c>
      <c r="F3284" s="4">
        <v>83</v>
      </c>
    </row>
    <row r="3285">
      <c r="A3285" s="0" t="inlineStr">
        <is>
          <t xml:space="preserve">naive_lowvol_DUK</t>
        </is>
      </c>
      <c r="B3285" s="0" t="inlineStr">
        <is>
          <t xml:space="preserve">naive_lowvol</t>
        </is>
      </c>
      <c r="C3285" s="0" t="inlineStr">
        <is>
          <t xml:space="preserve">d20260923</t>
        </is>
      </c>
      <c r="D3285" s="0" t="inlineStr">
        <is>
          <t xml:space="preserve">DUK</t>
        </is>
      </c>
      <c r="E3285" s="0" t="inlineStr">
        <is>
          <t xml:space="preserve">utilities</t>
        </is>
      </c>
      <c r="F3285" s="4">
        <v>84</v>
      </c>
    </row>
    <row r="3286">
      <c r="A3286" s="0" t="inlineStr">
        <is>
          <t xml:space="preserve">naive_lowvol_TFSL</t>
        </is>
      </c>
      <c r="B3286" s="0" t="inlineStr">
        <is>
          <t xml:space="preserve">naive_lowvol</t>
        </is>
      </c>
      <c r="C3286" s="0" t="inlineStr">
        <is>
          <t xml:space="preserve">d20260923</t>
        </is>
      </c>
      <c r="D3286" s="0" t="inlineStr">
        <is>
          <t xml:space="preserve">TFSL</t>
        </is>
      </c>
      <c r="E3286" s="0" t="inlineStr">
        <is>
          <t xml:space="preserve">financial_services</t>
        </is>
      </c>
      <c r="F3286" s="4">
        <v>85</v>
      </c>
    </row>
    <row r="3287">
      <c r="A3287" s="0" t="inlineStr">
        <is>
          <t xml:space="preserve">naive_lowvol_RNST</t>
        </is>
      </c>
      <c r="B3287" s="0" t="inlineStr">
        <is>
          <t xml:space="preserve">naive_lowvol</t>
        </is>
      </c>
      <c r="C3287" s="0" t="inlineStr">
        <is>
          <t xml:space="preserve">d20260923</t>
        </is>
      </c>
      <c r="D3287" s="0" t="inlineStr">
        <is>
          <t xml:space="preserve">RNST</t>
        </is>
      </c>
      <c r="E3287" s="0" t="inlineStr">
        <is>
          <t xml:space="preserve">financial_services</t>
        </is>
      </c>
      <c r="F3287" s="4">
        <v>86</v>
      </c>
    </row>
    <row r="3288">
      <c r="A3288" s="0" t="inlineStr">
        <is>
          <t xml:space="preserve">naive_lowvol_PG</t>
        </is>
      </c>
      <c r="B3288" s="0" t="inlineStr">
        <is>
          <t xml:space="preserve">naive_lowvol</t>
        </is>
      </c>
      <c r="C3288" s="0" t="inlineStr">
        <is>
          <t xml:space="preserve">d20260923</t>
        </is>
      </c>
      <c r="D3288" s="0" t="inlineStr">
        <is>
          <t xml:space="preserve">PG</t>
        </is>
      </c>
      <c r="E3288" s="0" t="inlineStr">
        <is>
          <t xml:space="preserve">consumer_defensive</t>
        </is>
      </c>
      <c r="F3288" s="4">
        <v>87</v>
      </c>
    </row>
    <row r="3289">
      <c r="A3289" s="0" t="inlineStr">
        <is>
          <t xml:space="preserve">naive_lowvol_NBTB</t>
        </is>
      </c>
      <c r="B3289" s="0" t="inlineStr">
        <is>
          <t xml:space="preserve">naive_lowvol</t>
        </is>
      </c>
      <c r="C3289" s="0" t="inlineStr">
        <is>
          <t xml:space="preserve">d20260923</t>
        </is>
      </c>
      <c r="D3289" s="0" t="inlineStr">
        <is>
          <t xml:space="preserve">NBTB</t>
        </is>
      </c>
      <c r="E3289" s="0" t="inlineStr">
        <is>
          <t xml:space="preserve">financial_services</t>
        </is>
      </c>
      <c r="F3289" s="4">
        <v>88</v>
      </c>
    </row>
    <row r="3290">
      <c r="A3290" s="0" t="inlineStr">
        <is>
          <t xml:space="preserve">naive_lowvol_EGP</t>
        </is>
      </c>
      <c r="B3290" s="0" t="inlineStr">
        <is>
          <t xml:space="preserve">naive_lowvol</t>
        </is>
      </c>
      <c r="C3290" s="0" t="inlineStr">
        <is>
          <t xml:space="preserve">d20260923</t>
        </is>
      </c>
      <c r="D3290" s="0" t="inlineStr">
        <is>
          <t xml:space="preserve">EGP</t>
        </is>
      </c>
      <c r="E3290" s="0" t="inlineStr">
        <is>
          <t xml:space="preserve">real_estate</t>
        </is>
      </c>
      <c r="F3290" s="4">
        <v>89</v>
      </c>
    </row>
    <row r="3291">
      <c r="A3291" s="0" t="inlineStr">
        <is>
          <t xml:space="preserve">naive_lowvol_SPG</t>
        </is>
      </c>
      <c r="B3291" s="0" t="inlineStr">
        <is>
          <t xml:space="preserve">naive_lowvol</t>
        </is>
      </c>
      <c r="C3291" s="0" t="inlineStr">
        <is>
          <t xml:space="preserve">d20260923</t>
        </is>
      </c>
      <c r="D3291" s="0" t="inlineStr">
        <is>
          <t xml:space="preserve">SPG</t>
        </is>
      </c>
      <c r="E3291" s="0" t="inlineStr">
        <is>
          <t xml:space="preserve">real_estate</t>
        </is>
      </c>
      <c r="F3291" s="4">
        <v>90</v>
      </c>
    </row>
    <row r="3292">
      <c r="A3292" s="0" t="inlineStr">
        <is>
          <t xml:space="preserve">naive_lowvol_INDB</t>
        </is>
      </c>
      <c r="B3292" s="0" t="inlineStr">
        <is>
          <t xml:space="preserve">naive_lowvol</t>
        </is>
      </c>
      <c r="C3292" s="0" t="inlineStr">
        <is>
          <t xml:space="preserve">d20260923</t>
        </is>
      </c>
      <c r="D3292" s="0" t="inlineStr">
        <is>
          <t xml:space="preserve">INDB</t>
        </is>
      </c>
      <c r="E3292" s="0" t="inlineStr">
        <is>
          <t xml:space="preserve">financial_services</t>
        </is>
      </c>
      <c r="F3292" s="4">
        <v>91</v>
      </c>
    </row>
    <row r="3293">
      <c r="A3293" s="0" t="inlineStr">
        <is>
          <t xml:space="preserve">naive_lowvol_EWBC</t>
        </is>
      </c>
      <c r="B3293" s="0" t="inlineStr">
        <is>
          <t xml:space="preserve">naive_lowvol</t>
        </is>
      </c>
      <c r="C3293" s="0" t="inlineStr">
        <is>
          <t xml:space="preserve">d20260923</t>
        </is>
      </c>
      <c r="D3293" s="0" t="inlineStr">
        <is>
          <t xml:space="preserve">EWBC</t>
        </is>
      </c>
      <c r="E3293" s="0" t="inlineStr">
        <is>
          <t xml:space="preserve">financial_services</t>
        </is>
      </c>
      <c r="F3293" s="4">
        <v>92</v>
      </c>
    </row>
    <row r="3294">
      <c r="A3294" s="0" t="inlineStr">
        <is>
          <t xml:space="preserve">naive_lowvol_HTO</t>
        </is>
      </c>
      <c r="B3294" s="0" t="inlineStr">
        <is>
          <t xml:space="preserve">naive_lowvol</t>
        </is>
      </c>
      <c r="C3294" s="0" t="inlineStr">
        <is>
          <t xml:space="preserve">d20260923</t>
        </is>
      </c>
      <c r="D3294" s="0" t="inlineStr">
        <is>
          <t xml:space="preserve">HTO</t>
        </is>
      </c>
      <c r="E3294" s="0" t="inlineStr">
        <is>
          <t xml:space="preserve">utilities</t>
        </is>
      </c>
      <c r="F3294" s="4">
        <v>93</v>
      </c>
    </row>
    <row r="3295">
      <c r="A3295" s="0" t="inlineStr">
        <is>
          <t xml:space="preserve">naive_lowvol_FIBK</t>
        </is>
      </c>
      <c r="B3295" s="0" t="inlineStr">
        <is>
          <t xml:space="preserve">naive_lowvol</t>
        </is>
      </c>
      <c r="C3295" s="0" t="inlineStr">
        <is>
          <t xml:space="preserve">d20260923</t>
        </is>
      </c>
      <c r="D3295" s="0" t="inlineStr">
        <is>
          <t xml:space="preserve">FIBK</t>
        </is>
      </c>
      <c r="E3295" s="0" t="inlineStr">
        <is>
          <t xml:space="preserve">financial_services</t>
        </is>
      </c>
      <c r="F3295" s="4">
        <v>94</v>
      </c>
    </row>
    <row r="3296">
      <c r="A3296" s="0" t="inlineStr">
        <is>
          <t xml:space="preserve">naive_lowvol_ETR</t>
        </is>
      </c>
      <c r="B3296" s="0" t="inlineStr">
        <is>
          <t xml:space="preserve">naive_lowvol</t>
        </is>
      </c>
      <c r="C3296" s="0" t="inlineStr">
        <is>
          <t xml:space="preserve">d20260923</t>
        </is>
      </c>
      <c r="D3296" s="0" t="inlineStr">
        <is>
          <t xml:space="preserve">ETR</t>
        </is>
      </c>
      <c r="E3296" s="0" t="inlineStr">
        <is>
          <t xml:space="preserve">utilities</t>
        </is>
      </c>
      <c r="F3296" s="4">
        <v>95</v>
      </c>
    </row>
    <row r="3297">
      <c r="A3297" s="0" t="inlineStr">
        <is>
          <t xml:space="preserve">naive_lowvol_XEL</t>
        </is>
      </c>
      <c r="B3297" s="0" t="inlineStr">
        <is>
          <t xml:space="preserve">naive_lowvol</t>
        </is>
      </c>
      <c r="C3297" s="0" t="inlineStr">
        <is>
          <t xml:space="preserve">d20260923</t>
        </is>
      </c>
      <c r="D3297" s="0" t="inlineStr">
        <is>
          <t xml:space="preserve">XEL</t>
        </is>
      </c>
      <c r="E3297" s="0" t="inlineStr">
        <is>
          <t xml:space="preserve">utilities</t>
        </is>
      </c>
      <c r="F3297" s="4">
        <v>96</v>
      </c>
    </row>
    <row r="3298">
      <c r="A3298" s="0" t="inlineStr">
        <is>
          <t xml:space="preserve">naive_lowvol_CURB</t>
        </is>
      </c>
      <c r="B3298" s="0" t="inlineStr">
        <is>
          <t xml:space="preserve">naive_lowvol</t>
        </is>
      </c>
      <c r="C3298" s="0" t="inlineStr">
        <is>
          <t xml:space="preserve">d20260923</t>
        </is>
      </c>
      <c r="D3298" s="0" t="inlineStr">
        <is>
          <t xml:space="preserve">CURB</t>
        </is>
      </c>
      <c r="E3298" s="0" t="inlineStr">
        <is>
          <t xml:space="preserve">real_estate</t>
        </is>
      </c>
      <c r="F3298" s="4">
        <v>97</v>
      </c>
    </row>
    <row r="3299">
      <c r="A3299" s="0" t="inlineStr">
        <is>
          <t xml:space="preserve">naive_lowvol_IEX</t>
        </is>
      </c>
      <c r="B3299" s="0" t="inlineStr">
        <is>
          <t xml:space="preserve">naive_lowvol</t>
        </is>
      </c>
      <c r="C3299" s="0" t="inlineStr">
        <is>
          <t xml:space="preserve">d20260923</t>
        </is>
      </c>
      <c r="D3299" s="0" t="inlineStr">
        <is>
          <t xml:space="preserve">IEX</t>
        </is>
      </c>
      <c r="E3299" s="0" t="inlineStr">
        <is>
          <t xml:space="preserve">industrials</t>
        </is>
      </c>
      <c r="F3299" s="4">
        <v>98</v>
      </c>
    </row>
    <row r="3300">
      <c r="A3300" s="0" t="inlineStr">
        <is>
          <t xml:space="preserve">naive_lowvol_AFL</t>
        </is>
      </c>
      <c r="B3300" s="0" t="inlineStr">
        <is>
          <t xml:space="preserve">naive_lowvol</t>
        </is>
      </c>
      <c r="C3300" s="0" t="inlineStr">
        <is>
          <t xml:space="preserve">d20260923</t>
        </is>
      </c>
      <c r="D3300" s="0" t="inlineStr">
        <is>
          <t xml:space="preserve">AFL</t>
        </is>
      </c>
      <c r="E3300" s="0" t="inlineStr">
        <is>
          <t xml:space="preserve">financial_services</t>
        </is>
      </c>
      <c r="F3300" s="4">
        <v>99</v>
      </c>
    </row>
    <row r="3301">
      <c r="A3301" s="0" t="inlineStr">
        <is>
          <t xml:space="preserve">naive_lowvol_SATA</t>
        </is>
      </c>
      <c r="B3301" s="0" t="inlineStr">
        <is>
          <t xml:space="preserve">naive_lowvol</t>
        </is>
      </c>
      <c r="C3301" s="0" t="inlineStr">
        <is>
          <t xml:space="preserve">d20260923</t>
        </is>
      </c>
      <c r="D3301" s="0" t="inlineStr">
        <is>
          <t xml:space="preserve">SATA</t>
        </is>
      </c>
      <c r="E3301" s="0" t="inlineStr">
        <is>
          <t xml:space="preserve">financial_services</t>
        </is>
      </c>
      <c r="F3301" s="4">
        <v>100</v>
      </c>
    </row>
    <row r="3302">
      <c r="A3302" s="0" t="inlineStr">
        <is>
          <t xml:space="preserve">naive_loser1d_CLDX</t>
        </is>
      </c>
      <c r="B3302" s="0" t="inlineStr">
        <is>
          <t xml:space="preserve">naive_loser1d</t>
        </is>
      </c>
      <c r="C3302" s="0" t="inlineStr">
        <is>
          <t xml:space="preserve">d20260923</t>
        </is>
      </c>
      <c r="D3302" s="0" t="inlineStr">
        <is>
          <t xml:space="preserve">CLDX</t>
        </is>
      </c>
      <c r="E3302" s="0" t="inlineStr">
        <is>
          <t xml:space="preserve">healthcare</t>
        </is>
      </c>
      <c r="F3302" s="4">
        <v>1</v>
      </c>
    </row>
    <row r="3303">
      <c r="A3303" s="0" t="inlineStr">
        <is>
          <t xml:space="preserve">naive_loser1d_PLNT</t>
        </is>
      </c>
      <c r="B3303" s="0" t="inlineStr">
        <is>
          <t xml:space="preserve">naive_loser1d</t>
        </is>
      </c>
      <c r="C3303" s="0" t="inlineStr">
        <is>
          <t xml:space="preserve">d20260923</t>
        </is>
      </c>
      <c r="D3303" s="0" t="inlineStr">
        <is>
          <t xml:space="preserve">PLNT</t>
        </is>
      </c>
      <c r="E3303" s="0" t="inlineStr">
        <is>
          <t xml:space="preserve">consumer_cyclical</t>
        </is>
      </c>
      <c r="F3303" s="4">
        <v>2</v>
      </c>
    </row>
    <row r="3304">
      <c r="A3304" s="0" t="inlineStr">
        <is>
          <t xml:space="preserve">naive_loser1d_CAR</t>
        </is>
      </c>
      <c r="B3304" s="0" t="inlineStr">
        <is>
          <t xml:space="preserve">naive_loser1d</t>
        </is>
      </c>
      <c r="C3304" s="0" t="inlineStr">
        <is>
          <t xml:space="preserve">d20260923</t>
        </is>
      </c>
      <c r="D3304" s="0" t="inlineStr">
        <is>
          <t xml:space="preserve">CAR</t>
        </is>
      </c>
      <c r="E3304" s="0" t="inlineStr">
        <is>
          <t xml:space="preserve">industrials</t>
        </is>
      </c>
      <c r="F3304" s="4">
        <v>3</v>
      </c>
    </row>
    <row r="3305">
      <c r="A3305" s="0" t="inlineStr">
        <is>
          <t xml:space="preserve">naive_loser1d_LPLA</t>
        </is>
      </c>
      <c r="B3305" s="0" t="inlineStr">
        <is>
          <t xml:space="preserve">naive_loser1d</t>
        </is>
      </c>
      <c r="C3305" s="0" t="inlineStr">
        <is>
          <t xml:space="preserve">d20260923</t>
        </is>
      </c>
      <c r="D3305" s="0" t="inlineStr">
        <is>
          <t xml:space="preserve">LPLA</t>
        </is>
      </c>
      <c r="E3305" s="0" t="inlineStr">
        <is>
          <t xml:space="preserve">financial_services</t>
        </is>
      </c>
      <c r="F3305" s="4">
        <v>4</v>
      </c>
    </row>
    <row r="3306">
      <c r="A3306" s="0" t="inlineStr">
        <is>
          <t xml:space="preserve">naive_loser1d_LFTO</t>
        </is>
      </c>
      <c r="B3306" s="0" t="inlineStr">
        <is>
          <t xml:space="preserve">naive_loser1d</t>
        </is>
      </c>
      <c r="C3306" s="0" t="inlineStr">
        <is>
          <t xml:space="preserve">d20260923</t>
        </is>
      </c>
      <c r="D3306" s="0" t="inlineStr">
        <is>
          <t xml:space="preserve">LFTO</t>
        </is>
      </c>
      <c r="E3306" s="0" t="inlineStr">
        <is>
          <t xml:space="preserve">communication_services</t>
        </is>
      </c>
      <c r="F3306" s="4">
        <v>5</v>
      </c>
    </row>
    <row r="3307">
      <c r="A3307" s="0" t="inlineStr">
        <is>
          <t xml:space="preserve">naive_loser1d_NYT</t>
        </is>
      </c>
      <c r="B3307" s="0" t="inlineStr">
        <is>
          <t xml:space="preserve">naive_loser1d</t>
        </is>
      </c>
      <c r="C3307" s="0" t="inlineStr">
        <is>
          <t xml:space="preserve">d20260923</t>
        </is>
      </c>
      <c r="D3307" s="0" t="inlineStr">
        <is>
          <t xml:space="preserve">NYT</t>
        </is>
      </c>
      <c r="E3307" s="0" t="inlineStr">
        <is>
          <t xml:space="preserve">communication_services</t>
        </is>
      </c>
      <c r="F3307" s="4">
        <v>6</v>
      </c>
    </row>
    <row r="3308">
      <c r="A3308" s="0" t="inlineStr">
        <is>
          <t xml:space="preserve">naive_loser1d_WGS</t>
        </is>
      </c>
      <c r="B3308" s="0" t="inlineStr">
        <is>
          <t xml:space="preserve">naive_loser1d</t>
        </is>
      </c>
      <c r="C3308" s="0" t="inlineStr">
        <is>
          <t xml:space="preserve">d20260923</t>
        </is>
      </c>
      <c r="D3308" s="0" t="inlineStr">
        <is>
          <t xml:space="preserve">WGS</t>
        </is>
      </c>
      <c r="E3308" s="0" t="inlineStr">
        <is>
          <t xml:space="preserve">healthcare</t>
        </is>
      </c>
      <c r="F3308" s="4">
        <v>7</v>
      </c>
    </row>
    <row r="3309">
      <c r="A3309" s="0" t="inlineStr">
        <is>
          <t xml:space="preserve">naive_loser1d_GEN</t>
        </is>
      </c>
      <c r="B3309" s="0" t="inlineStr">
        <is>
          <t xml:space="preserve">naive_loser1d</t>
        </is>
      </c>
      <c r="C3309" s="0" t="inlineStr">
        <is>
          <t xml:space="preserve">d20260923</t>
        </is>
      </c>
      <c r="D3309" s="0" t="inlineStr">
        <is>
          <t xml:space="preserve">GEN</t>
        </is>
      </c>
      <c r="E3309" s="0" t="inlineStr">
        <is>
          <t xml:space="preserve">technology</t>
        </is>
      </c>
      <c r="F3309" s="4">
        <v>8</v>
      </c>
    </row>
    <row r="3310">
      <c r="A3310" s="0" t="inlineStr">
        <is>
          <t xml:space="preserve">naive_loser1d_PAY</t>
        </is>
      </c>
      <c r="B3310" s="0" t="inlineStr">
        <is>
          <t xml:space="preserve">naive_loser1d</t>
        </is>
      </c>
      <c r="C3310" s="0" t="inlineStr">
        <is>
          <t xml:space="preserve">d20260923</t>
        </is>
      </c>
      <c r="D3310" s="0" t="inlineStr">
        <is>
          <t xml:space="preserve">PAY</t>
        </is>
      </c>
      <c r="E3310" s="0" t="inlineStr">
        <is>
          <t xml:space="preserve">technology</t>
        </is>
      </c>
      <c r="F3310" s="4">
        <v>9</v>
      </c>
    </row>
    <row r="3311">
      <c r="A3311" s="0" t="inlineStr">
        <is>
          <t xml:space="preserve">naive_loser1d_GDDY</t>
        </is>
      </c>
      <c r="B3311" s="0" t="inlineStr">
        <is>
          <t xml:space="preserve">naive_loser1d</t>
        </is>
      </c>
      <c r="C3311" s="0" t="inlineStr">
        <is>
          <t xml:space="preserve">d20260923</t>
        </is>
      </c>
      <c r="D3311" s="0" t="inlineStr">
        <is>
          <t xml:space="preserve">GDDY</t>
        </is>
      </c>
      <c r="E3311" s="0" t="inlineStr">
        <is>
          <t xml:space="preserve">technology</t>
        </is>
      </c>
      <c r="F3311" s="4">
        <v>10</v>
      </c>
    </row>
    <row r="3312">
      <c r="A3312" s="0" t="inlineStr">
        <is>
          <t xml:space="preserve">naive_loser1d_RCL</t>
        </is>
      </c>
      <c r="B3312" s="0" t="inlineStr">
        <is>
          <t xml:space="preserve">naive_loser1d</t>
        </is>
      </c>
      <c r="C3312" s="0" t="inlineStr">
        <is>
          <t xml:space="preserve">d20260923</t>
        </is>
      </c>
      <c r="D3312" s="0" t="inlineStr">
        <is>
          <t xml:space="preserve">RCL</t>
        </is>
      </c>
      <c r="E3312" s="0" t="inlineStr">
        <is>
          <t xml:space="preserve">consumer_cyclical</t>
        </is>
      </c>
      <c r="F3312" s="4">
        <v>11</v>
      </c>
    </row>
    <row r="3313">
      <c r="A3313" s="0" t="inlineStr">
        <is>
          <t xml:space="preserve">naive_loser1d_SCHW</t>
        </is>
      </c>
      <c r="B3313" s="0" t="inlineStr">
        <is>
          <t xml:space="preserve">naive_loser1d</t>
        </is>
      </c>
      <c r="C3313" s="0" t="inlineStr">
        <is>
          <t xml:space="preserve">d20260923</t>
        </is>
      </c>
      <c r="D3313" s="0" t="inlineStr">
        <is>
          <t xml:space="preserve">SCHW</t>
        </is>
      </c>
      <c r="E3313" s="0" t="inlineStr">
        <is>
          <t xml:space="preserve">financial_services</t>
        </is>
      </c>
      <c r="F3313" s="4">
        <v>12</v>
      </c>
    </row>
    <row r="3314">
      <c r="A3314" s="0" t="inlineStr">
        <is>
          <t xml:space="preserve">naive_loser1d_VIRT</t>
        </is>
      </c>
      <c r="B3314" s="0" t="inlineStr">
        <is>
          <t xml:space="preserve">naive_loser1d</t>
        </is>
      </c>
      <c r="C3314" s="0" t="inlineStr">
        <is>
          <t xml:space="preserve">d20260923</t>
        </is>
      </c>
      <c r="D3314" s="0" t="inlineStr">
        <is>
          <t xml:space="preserve">VIRT</t>
        </is>
      </c>
      <c r="E3314" s="0" t="inlineStr">
        <is>
          <t xml:space="preserve">financial_services</t>
        </is>
      </c>
      <c r="F3314" s="4">
        <v>13</v>
      </c>
    </row>
    <row r="3315">
      <c r="A3315" s="0" t="inlineStr">
        <is>
          <t xml:space="preserve">naive_loser1d_PRM</t>
        </is>
      </c>
      <c r="B3315" s="0" t="inlineStr">
        <is>
          <t xml:space="preserve">naive_loser1d</t>
        </is>
      </c>
      <c r="C3315" s="0" t="inlineStr">
        <is>
          <t xml:space="preserve">d20260923</t>
        </is>
      </c>
      <c r="D3315" s="0" t="inlineStr">
        <is>
          <t xml:space="preserve">PRM</t>
        </is>
      </c>
      <c r="E3315" s="0" t="inlineStr">
        <is>
          <t xml:space="preserve">basic_materials</t>
        </is>
      </c>
      <c r="F3315" s="4">
        <v>14</v>
      </c>
    </row>
    <row r="3316">
      <c r="A3316" s="0" t="inlineStr">
        <is>
          <t xml:space="preserve">naive_loser1d_DBX</t>
        </is>
      </c>
      <c r="B3316" s="0" t="inlineStr">
        <is>
          <t xml:space="preserve">naive_loser1d</t>
        </is>
      </c>
      <c r="C3316" s="0" t="inlineStr">
        <is>
          <t xml:space="preserve">d20260923</t>
        </is>
      </c>
      <c r="D3316" s="0" t="inlineStr">
        <is>
          <t xml:space="preserve">DBX</t>
        </is>
      </c>
      <c r="E3316" s="0" t="inlineStr">
        <is>
          <t xml:space="preserve">technology</t>
        </is>
      </c>
      <c r="F3316" s="4">
        <v>15</v>
      </c>
    </row>
    <row r="3317">
      <c r="A3317" s="0" t="inlineStr">
        <is>
          <t xml:space="preserve">naive_loser1d_INSP</t>
        </is>
      </c>
      <c r="B3317" s="0" t="inlineStr">
        <is>
          <t xml:space="preserve">naive_loser1d</t>
        </is>
      </c>
      <c r="C3317" s="0" t="inlineStr">
        <is>
          <t xml:space="preserve">d20260923</t>
        </is>
      </c>
      <c r="D3317" s="0" t="inlineStr">
        <is>
          <t xml:space="preserve">INSP</t>
        </is>
      </c>
      <c r="E3317" s="0" t="inlineStr">
        <is>
          <t xml:space="preserve">healthcare</t>
        </is>
      </c>
      <c r="F3317" s="4">
        <v>16</v>
      </c>
    </row>
    <row r="3318">
      <c r="A3318" s="0" t="inlineStr">
        <is>
          <t xml:space="preserve">naive_loser1d_SEZL</t>
        </is>
      </c>
      <c r="B3318" s="0" t="inlineStr">
        <is>
          <t xml:space="preserve">naive_loser1d</t>
        </is>
      </c>
      <c r="C3318" s="0" t="inlineStr">
        <is>
          <t xml:space="preserve">d20260923</t>
        </is>
      </c>
      <c r="D3318" s="0" t="inlineStr">
        <is>
          <t xml:space="preserve">SEZL</t>
        </is>
      </c>
      <c r="E3318" s="0" t="inlineStr">
        <is>
          <t xml:space="preserve">financial_services</t>
        </is>
      </c>
      <c r="F3318" s="4">
        <v>17</v>
      </c>
    </row>
    <row r="3319">
      <c r="A3319" s="0" t="inlineStr">
        <is>
          <t xml:space="preserve">naive_loser1d_VVX</t>
        </is>
      </c>
      <c r="B3319" s="0" t="inlineStr">
        <is>
          <t xml:space="preserve">naive_loser1d</t>
        </is>
      </c>
      <c r="C3319" s="0" t="inlineStr">
        <is>
          <t xml:space="preserve">d20260923</t>
        </is>
      </c>
      <c r="D3319" s="0" t="inlineStr">
        <is>
          <t xml:space="preserve">VVX</t>
        </is>
      </c>
      <c r="E3319" s="0" t="inlineStr">
        <is>
          <t xml:space="preserve">industrials</t>
        </is>
      </c>
      <c r="F3319" s="4">
        <v>18</v>
      </c>
    </row>
    <row r="3320">
      <c r="A3320" s="0" t="inlineStr">
        <is>
          <t xml:space="preserve">naive_loser1d_ALL</t>
        </is>
      </c>
      <c r="B3320" s="0" t="inlineStr">
        <is>
          <t xml:space="preserve">naive_loser1d</t>
        </is>
      </c>
      <c r="C3320" s="0" t="inlineStr">
        <is>
          <t xml:space="preserve">d20260923</t>
        </is>
      </c>
      <c r="D3320" s="0" t="inlineStr">
        <is>
          <t xml:space="preserve">ALL</t>
        </is>
      </c>
      <c r="E3320" s="0" t="inlineStr">
        <is>
          <t xml:space="preserve">financial_services</t>
        </is>
      </c>
      <c r="F3320" s="4">
        <v>19</v>
      </c>
    </row>
    <row r="3321">
      <c r="A3321" s="0" t="inlineStr">
        <is>
          <t xml:space="preserve">naive_loser1d_VG</t>
        </is>
      </c>
      <c r="B3321" s="0" t="inlineStr">
        <is>
          <t xml:space="preserve">naive_loser1d</t>
        </is>
      </c>
      <c r="C3321" s="0" t="inlineStr">
        <is>
          <t xml:space="preserve">d20260923</t>
        </is>
      </c>
      <c r="D3321" s="0" t="inlineStr">
        <is>
          <t xml:space="preserve">VG</t>
        </is>
      </c>
      <c r="E3321" s="0" t="inlineStr">
        <is>
          <t xml:space="preserve">energy</t>
        </is>
      </c>
      <c r="F3321" s="4">
        <v>20</v>
      </c>
    </row>
    <row r="3322">
      <c r="A3322" s="0" t="inlineStr">
        <is>
          <t xml:space="preserve">naive_loser1d_LPG</t>
        </is>
      </c>
      <c r="B3322" s="0" t="inlineStr">
        <is>
          <t xml:space="preserve">naive_loser1d</t>
        </is>
      </c>
      <c r="C3322" s="0" t="inlineStr">
        <is>
          <t xml:space="preserve">d20260923</t>
        </is>
      </c>
      <c r="D3322" s="0" t="inlineStr">
        <is>
          <t xml:space="preserve">LPG</t>
        </is>
      </c>
      <c r="E3322" s="0" t="inlineStr">
        <is>
          <t xml:space="preserve">energy</t>
        </is>
      </c>
      <c r="F3322" s="4">
        <v>21</v>
      </c>
    </row>
    <row r="3323">
      <c r="A3323" s="0" t="inlineStr">
        <is>
          <t xml:space="preserve">naive_loser1d_ALMR</t>
        </is>
      </c>
      <c r="B3323" s="0" t="inlineStr">
        <is>
          <t xml:space="preserve">naive_loser1d</t>
        </is>
      </c>
      <c r="C3323" s="0" t="inlineStr">
        <is>
          <t xml:space="preserve">d20260923</t>
        </is>
      </c>
      <c r="D3323" s="0" t="inlineStr">
        <is>
          <t xml:space="preserve">ALMR</t>
        </is>
      </c>
      <c r="E3323" s="0" t="inlineStr">
        <is>
          <t xml:space="preserve">healthcare</t>
        </is>
      </c>
      <c r="F3323" s="4">
        <v>22</v>
      </c>
    </row>
    <row r="3324">
      <c r="A3324" s="0" t="inlineStr">
        <is>
          <t xml:space="preserve">naive_loser1d_TTD</t>
        </is>
      </c>
      <c r="B3324" s="0" t="inlineStr">
        <is>
          <t xml:space="preserve">naive_loser1d</t>
        </is>
      </c>
      <c r="C3324" s="0" t="inlineStr">
        <is>
          <t xml:space="preserve">d20260923</t>
        </is>
      </c>
      <c r="D3324" s="0" t="inlineStr">
        <is>
          <t xml:space="preserve">TTD</t>
        </is>
      </c>
      <c r="E3324" s="0" t="inlineStr">
        <is>
          <t xml:space="preserve">communication_services</t>
        </is>
      </c>
      <c r="F3324" s="4">
        <v>23</v>
      </c>
    </row>
    <row r="3325">
      <c r="A3325" s="0" t="inlineStr">
        <is>
          <t xml:space="preserve">naive_loser1d_PINS</t>
        </is>
      </c>
      <c r="B3325" s="0" t="inlineStr">
        <is>
          <t xml:space="preserve">naive_loser1d</t>
        </is>
      </c>
      <c r="C3325" s="0" t="inlineStr">
        <is>
          <t xml:space="preserve">d20260923</t>
        </is>
      </c>
      <c r="D3325" s="0" t="inlineStr">
        <is>
          <t xml:space="preserve">PINS</t>
        </is>
      </c>
      <c r="E3325" s="0" t="inlineStr">
        <is>
          <t xml:space="preserve">communication_services</t>
        </is>
      </c>
      <c r="F3325" s="4">
        <v>24</v>
      </c>
    </row>
    <row r="3326">
      <c r="A3326" s="0" t="inlineStr">
        <is>
          <t xml:space="preserve">naive_loser1d_SEI</t>
        </is>
      </c>
      <c r="B3326" s="0" t="inlineStr">
        <is>
          <t xml:space="preserve">naive_loser1d</t>
        </is>
      </c>
      <c r="C3326" s="0" t="inlineStr">
        <is>
          <t xml:space="preserve">d20260923</t>
        </is>
      </c>
      <c r="D3326" s="0" t="inlineStr">
        <is>
          <t xml:space="preserve">SEI</t>
        </is>
      </c>
      <c r="E3326" s="0" t="inlineStr">
        <is>
          <t xml:space="preserve">energy</t>
        </is>
      </c>
      <c r="F3326" s="4">
        <v>25</v>
      </c>
    </row>
    <row r="3327">
      <c r="A3327" s="0" t="inlineStr">
        <is>
          <t xml:space="preserve">naive_loser1d_CHTR</t>
        </is>
      </c>
      <c r="B3327" s="0" t="inlineStr">
        <is>
          <t xml:space="preserve">naive_loser1d</t>
        </is>
      </c>
      <c r="C3327" s="0" t="inlineStr">
        <is>
          <t xml:space="preserve">d20260923</t>
        </is>
      </c>
      <c r="D3327" s="0" t="inlineStr">
        <is>
          <t xml:space="preserve">CHTR</t>
        </is>
      </c>
      <c r="E3327" s="0" t="inlineStr">
        <is>
          <t xml:space="preserve">communication_services</t>
        </is>
      </c>
      <c r="F3327" s="4">
        <v>26</v>
      </c>
    </row>
    <row r="3328">
      <c r="A3328" s="0" t="inlineStr">
        <is>
          <t xml:space="preserve">naive_loser1d_BFH</t>
        </is>
      </c>
      <c r="B3328" s="0" t="inlineStr">
        <is>
          <t xml:space="preserve">naive_loser1d</t>
        </is>
      </c>
      <c r="C3328" s="0" t="inlineStr">
        <is>
          <t xml:space="preserve">d20260923</t>
        </is>
      </c>
      <c r="D3328" s="0" t="inlineStr">
        <is>
          <t xml:space="preserve">BFH</t>
        </is>
      </c>
      <c r="E3328" s="0" t="inlineStr">
        <is>
          <t xml:space="preserve">financial_services</t>
        </is>
      </c>
      <c r="F3328" s="4">
        <v>27</v>
      </c>
    </row>
    <row r="3329">
      <c r="A3329" s="0" t="inlineStr">
        <is>
          <t xml:space="preserve">naive_loser1d_FSLY</t>
        </is>
      </c>
      <c r="B3329" s="0" t="inlineStr">
        <is>
          <t xml:space="preserve">naive_loser1d</t>
        </is>
      </c>
      <c r="C3329" s="0" t="inlineStr">
        <is>
          <t xml:space="preserve">d20260923</t>
        </is>
      </c>
      <c r="D3329" s="0" t="inlineStr">
        <is>
          <t xml:space="preserve">FSLY</t>
        </is>
      </c>
      <c r="E3329" s="0" t="inlineStr">
        <is>
          <t xml:space="preserve">technology</t>
        </is>
      </c>
      <c r="F3329" s="4">
        <v>28</v>
      </c>
    </row>
    <row r="3330">
      <c r="A3330" s="0" t="inlineStr">
        <is>
          <t xml:space="preserve">naive_loser1d_CGNX</t>
        </is>
      </c>
      <c r="B3330" s="0" t="inlineStr">
        <is>
          <t xml:space="preserve">naive_loser1d</t>
        </is>
      </c>
      <c r="C3330" s="0" t="inlineStr">
        <is>
          <t xml:space="preserve">d20260923</t>
        </is>
      </c>
      <c r="D3330" s="0" t="inlineStr">
        <is>
          <t xml:space="preserve">CGNX</t>
        </is>
      </c>
      <c r="E3330" s="0" t="inlineStr">
        <is>
          <t xml:space="preserve">technology</t>
        </is>
      </c>
      <c r="F3330" s="4">
        <v>29</v>
      </c>
    </row>
    <row r="3331">
      <c r="A3331" s="0" t="inlineStr">
        <is>
          <t xml:space="preserve">naive_loser1d_KRMN</t>
        </is>
      </c>
      <c r="B3331" s="0" t="inlineStr">
        <is>
          <t xml:space="preserve">naive_loser1d</t>
        </is>
      </c>
      <c r="C3331" s="0" t="inlineStr">
        <is>
          <t xml:space="preserve">d20260923</t>
        </is>
      </c>
      <c r="D3331" s="0" t="inlineStr">
        <is>
          <t xml:space="preserve">KRMN</t>
        </is>
      </c>
      <c r="E3331" s="0" t="inlineStr">
        <is>
          <t xml:space="preserve">industrials</t>
        </is>
      </c>
      <c r="F3331" s="4">
        <v>30</v>
      </c>
    </row>
    <row r="3332">
      <c r="A3332" s="0" t="inlineStr">
        <is>
          <t xml:space="preserve">naive_loser1d_ASAN</t>
        </is>
      </c>
      <c r="B3332" s="0" t="inlineStr">
        <is>
          <t xml:space="preserve">naive_loser1d</t>
        </is>
      </c>
      <c r="C3332" s="0" t="inlineStr">
        <is>
          <t xml:space="preserve">d20260923</t>
        </is>
      </c>
      <c r="D3332" s="0" t="inlineStr">
        <is>
          <t xml:space="preserve">ASAN</t>
        </is>
      </c>
      <c r="E3332" s="0" t="inlineStr">
        <is>
          <t xml:space="preserve">technology</t>
        </is>
      </c>
      <c r="F3332" s="4">
        <v>31</v>
      </c>
    </row>
    <row r="3333">
      <c r="A3333" s="0" t="inlineStr">
        <is>
          <t xml:space="preserve">naive_loser1d_INSW</t>
        </is>
      </c>
      <c r="B3333" s="0" t="inlineStr">
        <is>
          <t xml:space="preserve">naive_loser1d</t>
        </is>
      </c>
      <c r="C3333" s="0" t="inlineStr">
        <is>
          <t xml:space="preserve">d20260923</t>
        </is>
      </c>
      <c r="D3333" s="0" t="inlineStr">
        <is>
          <t xml:space="preserve">INSW</t>
        </is>
      </c>
      <c r="E3333" s="0" t="inlineStr">
        <is>
          <t xml:space="preserve">industrials</t>
        </is>
      </c>
      <c r="F3333" s="4">
        <v>32</v>
      </c>
    </row>
    <row r="3334">
      <c r="A3334" s="0" t="inlineStr">
        <is>
          <t xml:space="preserve">naive_loser1d_WING</t>
        </is>
      </c>
      <c r="B3334" s="0" t="inlineStr">
        <is>
          <t xml:space="preserve">naive_loser1d</t>
        </is>
      </c>
      <c r="C3334" s="0" t="inlineStr">
        <is>
          <t xml:space="preserve">d20260923</t>
        </is>
      </c>
      <c r="D3334" s="0" t="inlineStr">
        <is>
          <t xml:space="preserve">WING</t>
        </is>
      </c>
      <c r="E3334" s="0" t="inlineStr">
        <is>
          <t xml:space="preserve">consumer_cyclical</t>
        </is>
      </c>
      <c r="F3334" s="4">
        <v>33</v>
      </c>
    </row>
    <row r="3335">
      <c r="A3335" s="0" t="inlineStr">
        <is>
          <t xml:space="preserve">naive_loser1d_DELL</t>
        </is>
      </c>
      <c r="B3335" s="0" t="inlineStr">
        <is>
          <t xml:space="preserve">naive_loser1d</t>
        </is>
      </c>
      <c r="C3335" s="0" t="inlineStr">
        <is>
          <t xml:space="preserve">d20260923</t>
        </is>
      </c>
      <c r="D3335" s="0" t="inlineStr">
        <is>
          <t xml:space="preserve">DELL</t>
        </is>
      </c>
      <c r="E3335" s="0" t="inlineStr">
        <is>
          <t xml:space="preserve">technology</t>
        </is>
      </c>
      <c r="F3335" s="4">
        <v>34</v>
      </c>
    </row>
    <row r="3336">
      <c r="A3336" s="0" t="inlineStr">
        <is>
          <t xml:space="preserve">naive_loser1d_COMP</t>
        </is>
      </c>
      <c r="B3336" s="0" t="inlineStr">
        <is>
          <t xml:space="preserve">naive_loser1d</t>
        </is>
      </c>
      <c r="C3336" s="0" t="inlineStr">
        <is>
          <t xml:space="preserve">d20260923</t>
        </is>
      </c>
      <c r="D3336" s="0" t="inlineStr">
        <is>
          <t xml:space="preserve">COMP</t>
        </is>
      </c>
      <c r="E3336" s="0" t="inlineStr">
        <is>
          <t xml:space="preserve">real_estate</t>
        </is>
      </c>
      <c r="F3336" s="4">
        <v>35</v>
      </c>
    </row>
    <row r="3337">
      <c r="A3337" s="0" t="inlineStr">
        <is>
          <t xml:space="preserve">naive_loser1d_ADBE</t>
        </is>
      </c>
      <c r="B3337" s="0" t="inlineStr">
        <is>
          <t xml:space="preserve">naive_loser1d</t>
        </is>
      </c>
      <c r="C3337" s="0" t="inlineStr">
        <is>
          <t xml:space="preserve">d20260923</t>
        </is>
      </c>
      <c r="D3337" s="0" t="inlineStr">
        <is>
          <t xml:space="preserve">ADBE</t>
        </is>
      </c>
      <c r="E3337" s="0" t="inlineStr">
        <is>
          <t xml:space="preserve">technology</t>
        </is>
      </c>
      <c r="F3337" s="4">
        <v>36</v>
      </c>
    </row>
    <row r="3338">
      <c r="A3338" s="0" t="inlineStr">
        <is>
          <t xml:space="preserve">naive_loser1d_TW</t>
        </is>
      </c>
      <c r="B3338" s="0" t="inlineStr">
        <is>
          <t xml:space="preserve">naive_loser1d</t>
        </is>
      </c>
      <c r="C3338" s="0" t="inlineStr">
        <is>
          <t xml:space="preserve">d20260923</t>
        </is>
      </c>
      <c r="D3338" s="0" t="inlineStr">
        <is>
          <t xml:space="preserve">TW</t>
        </is>
      </c>
      <c r="E3338" s="0" t="inlineStr">
        <is>
          <t xml:space="preserve">financial_services</t>
        </is>
      </c>
      <c r="F3338" s="4">
        <v>37</v>
      </c>
    </row>
    <row r="3339">
      <c r="A3339" s="0" t="inlineStr">
        <is>
          <t xml:space="preserve">naive_loser1d_CSCO</t>
        </is>
      </c>
      <c r="B3339" s="0" t="inlineStr">
        <is>
          <t xml:space="preserve">naive_loser1d</t>
        </is>
      </c>
      <c r="C3339" s="0" t="inlineStr">
        <is>
          <t xml:space="preserve">d20260923</t>
        </is>
      </c>
      <c r="D3339" s="0" t="inlineStr">
        <is>
          <t xml:space="preserve">CSCO</t>
        </is>
      </c>
      <c r="E3339" s="0" t="inlineStr">
        <is>
          <t xml:space="preserve">technology</t>
        </is>
      </c>
      <c r="F3339" s="4">
        <v>38</v>
      </c>
    </row>
    <row r="3340">
      <c r="A3340" s="0" t="inlineStr">
        <is>
          <t xml:space="preserve">naive_loser1d_APPN</t>
        </is>
      </c>
      <c r="B3340" s="0" t="inlineStr">
        <is>
          <t xml:space="preserve">naive_loser1d</t>
        </is>
      </c>
      <c r="C3340" s="0" t="inlineStr">
        <is>
          <t xml:space="preserve">d20260923</t>
        </is>
      </c>
      <c r="D3340" s="0" t="inlineStr">
        <is>
          <t xml:space="preserve">APPN</t>
        </is>
      </c>
      <c r="E3340" s="0" t="inlineStr">
        <is>
          <t xml:space="preserve">technology</t>
        </is>
      </c>
      <c r="F3340" s="4">
        <v>39</v>
      </c>
    </row>
    <row r="3341">
      <c r="A3341" s="0" t="inlineStr">
        <is>
          <t xml:space="preserve">naive_loser1d_AMP</t>
        </is>
      </c>
      <c r="B3341" s="0" t="inlineStr">
        <is>
          <t xml:space="preserve">naive_loser1d</t>
        </is>
      </c>
      <c r="C3341" s="0" t="inlineStr">
        <is>
          <t xml:space="preserve">d20260923</t>
        </is>
      </c>
      <c r="D3341" s="0" t="inlineStr">
        <is>
          <t xml:space="preserve">AMP</t>
        </is>
      </c>
      <c r="E3341" s="0" t="inlineStr">
        <is>
          <t xml:space="preserve">financial_services</t>
        </is>
      </c>
      <c r="F3341" s="4">
        <v>40</v>
      </c>
    </row>
    <row r="3342">
      <c r="A3342" s="0" t="inlineStr">
        <is>
          <t xml:space="preserve">naive_loser1d_CHYM</t>
        </is>
      </c>
      <c r="B3342" s="0" t="inlineStr">
        <is>
          <t xml:space="preserve">naive_loser1d</t>
        </is>
      </c>
      <c r="C3342" s="0" t="inlineStr">
        <is>
          <t xml:space="preserve">d20260923</t>
        </is>
      </c>
      <c r="D3342" s="0" t="inlineStr">
        <is>
          <t xml:space="preserve">CHYM</t>
        </is>
      </c>
      <c r="E3342" s="0" t="inlineStr">
        <is>
          <t xml:space="preserve">technology</t>
        </is>
      </c>
      <c r="F3342" s="4">
        <v>41</v>
      </c>
    </row>
    <row r="3343">
      <c r="A3343" s="0" t="inlineStr">
        <is>
          <t xml:space="preserve">naive_loser1d_LTH</t>
        </is>
      </c>
      <c r="B3343" s="0" t="inlineStr">
        <is>
          <t xml:space="preserve">naive_loser1d</t>
        </is>
      </c>
      <c r="C3343" s="0" t="inlineStr">
        <is>
          <t xml:space="preserve">d20260923</t>
        </is>
      </c>
      <c r="D3343" s="0" t="inlineStr">
        <is>
          <t xml:space="preserve">LTH</t>
        </is>
      </c>
      <c r="E3343" s="0" t="inlineStr">
        <is>
          <t xml:space="preserve">consumer_cyclical</t>
        </is>
      </c>
      <c r="F3343" s="4">
        <v>42</v>
      </c>
    </row>
    <row r="3344">
      <c r="A3344" s="0" t="inlineStr">
        <is>
          <t xml:space="preserve">naive_loser1d_LBRT</t>
        </is>
      </c>
      <c r="B3344" s="0" t="inlineStr">
        <is>
          <t xml:space="preserve">naive_loser1d</t>
        </is>
      </c>
      <c r="C3344" s="0" t="inlineStr">
        <is>
          <t xml:space="preserve">d20260923</t>
        </is>
      </c>
      <c r="D3344" s="0" t="inlineStr">
        <is>
          <t xml:space="preserve">LBRT</t>
        </is>
      </c>
      <c r="E3344" s="0" t="inlineStr">
        <is>
          <t xml:space="preserve">energy</t>
        </is>
      </c>
      <c r="F3344" s="4">
        <v>43</v>
      </c>
    </row>
    <row r="3345">
      <c r="A3345" s="0" t="inlineStr">
        <is>
          <t xml:space="preserve">naive_loser1d_FCN</t>
        </is>
      </c>
      <c r="B3345" s="0" t="inlineStr">
        <is>
          <t xml:space="preserve">naive_loser1d</t>
        </is>
      </c>
      <c r="C3345" s="0" t="inlineStr">
        <is>
          <t xml:space="preserve">d20260923</t>
        </is>
      </c>
      <c r="D3345" s="0" t="inlineStr">
        <is>
          <t xml:space="preserve">FCN</t>
        </is>
      </c>
      <c r="E3345" s="0" t="inlineStr">
        <is>
          <t xml:space="preserve">industrials</t>
        </is>
      </c>
      <c r="F3345" s="4">
        <v>44</v>
      </c>
    </row>
    <row r="3346">
      <c r="A3346" s="0" t="inlineStr">
        <is>
          <t xml:space="preserve">naive_loser1d_CHWY</t>
        </is>
      </c>
      <c r="B3346" s="0" t="inlineStr">
        <is>
          <t xml:space="preserve">naive_loser1d</t>
        </is>
      </c>
      <c r="C3346" s="0" t="inlineStr">
        <is>
          <t xml:space="preserve">d20260923</t>
        </is>
      </c>
      <c r="D3346" s="0" t="inlineStr">
        <is>
          <t xml:space="preserve">CHWY</t>
        </is>
      </c>
      <c r="E3346" s="0" t="inlineStr">
        <is>
          <t xml:space="preserve">consumer_cyclical</t>
        </is>
      </c>
      <c r="F3346" s="4">
        <v>45</v>
      </c>
    </row>
    <row r="3347">
      <c r="A3347" s="0" t="inlineStr">
        <is>
          <t xml:space="preserve">naive_loser1d_DGX</t>
        </is>
      </c>
      <c r="B3347" s="0" t="inlineStr">
        <is>
          <t xml:space="preserve">naive_loser1d</t>
        </is>
      </c>
      <c r="C3347" s="0" t="inlineStr">
        <is>
          <t xml:space="preserve">d20260923</t>
        </is>
      </c>
      <c r="D3347" s="0" t="inlineStr">
        <is>
          <t xml:space="preserve">DGX</t>
        </is>
      </c>
      <c r="E3347" s="0" t="inlineStr">
        <is>
          <t xml:space="preserve">healthcare</t>
        </is>
      </c>
      <c r="F3347" s="4">
        <v>46</v>
      </c>
    </row>
    <row r="3348">
      <c r="A3348" s="0" t="inlineStr">
        <is>
          <t xml:space="preserve">naive_loser1d_WK</t>
        </is>
      </c>
      <c r="B3348" s="0" t="inlineStr">
        <is>
          <t xml:space="preserve">naive_loser1d</t>
        </is>
      </c>
      <c r="C3348" s="0" t="inlineStr">
        <is>
          <t xml:space="preserve">d20260923</t>
        </is>
      </c>
      <c r="D3348" s="0" t="inlineStr">
        <is>
          <t xml:space="preserve">WK</t>
        </is>
      </c>
      <c r="E3348" s="0" t="inlineStr">
        <is>
          <t xml:space="preserve">technology</t>
        </is>
      </c>
      <c r="F3348" s="4">
        <v>47</v>
      </c>
    </row>
    <row r="3349">
      <c r="A3349" s="0" t="inlineStr">
        <is>
          <t xml:space="preserve">naive_loser1d_MTDR</t>
        </is>
      </c>
      <c r="B3349" s="0" t="inlineStr">
        <is>
          <t xml:space="preserve">naive_loser1d</t>
        </is>
      </c>
      <c r="C3349" s="0" t="inlineStr">
        <is>
          <t xml:space="preserve">d20260923</t>
        </is>
      </c>
      <c r="D3349" s="0" t="inlineStr">
        <is>
          <t xml:space="preserve">MTDR</t>
        </is>
      </c>
      <c r="E3349" s="0" t="inlineStr">
        <is>
          <t xml:space="preserve">energy</t>
        </is>
      </c>
      <c r="F3349" s="4">
        <v>48</v>
      </c>
    </row>
    <row r="3350">
      <c r="A3350" s="0" t="inlineStr">
        <is>
          <t xml:space="preserve">naive_loser1d_EROC</t>
        </is>
      </c>
      <c r="B3350" s="0" t="inlineStr">
        <is>
          <t xml:space="preserve">naive_loser1d</t>
        </is>
      </c>
      <c r="C3350" s="0" t="inlineStr">
        <is>
          <t xml:space="preserve">d20260923</t>
        </is>
      </c>
      <c r="D3350" s="0" t="inlineStr">
        <is>
          <t xml:space="preserve">EROC</t>
        </is>
      </c>
      <c r="E3350" s="0" t="inlineStr">
        <is>
          <t xml:space="preserve">industrials</t>
        </is>
      </c>
      <c r="F3350" s="4">
        <v>49</v>
      </c>
    </row>
    <row r="3351">
      <c r="A3351" s="0" t="inlineStr">
        <is>
          <t xml:space="preserve">naive_loser1d_TVTX</t>
        </is>
      </c>
      <c r="B3351" s="0" t="inlineStr">
        <is>
          <t xml:space="preserve">naive_loser1d</t>
        </is>
      </c>
      <c r="C3351" s="0" t="inlineStr">
        <is>
          <t xml:space="preserve">d20260923</t>
        </is>
      </c>
      <c r="D3351" s="0" t="inlineStr">
        <is>
          <t xml:space="preserve">TVTX</t>
        </is>
      </c>
      <c r="E3351" s="0" t="inlineStr">
        <is>
          <t xml:space="preserve">healthcare</t>
        </is>
      </c>
      <c r="F3351" s="4">
        <v>50</v>
      </c>
    </row>
    <row r="3352">
      <c r="A3352" s="0" t="inlineStr">
        <is>
          <t xml:space="preserve">naive_loser1d_PRMB</t>
        </is>
      </c>
      <c r="B3352" s="0" t="inlineStr">
        <is>
          <t xml:space="preserve">naive_loser1d</t>
        </is>
      </c>
      <c r="C3352" s="0" t="inlineStr">
        <is>
          <t xml:space="preserve">d20260923</t>
        </is>
      </c>
      <c r="D3352" s="0" t="inlineStr">
        <is>
          <t xml:space="preserve">PRMB</t>
        </is>
      </c>
      <c r="E3352" s="0" t="inlineStr">
        <is>
          <t xml:space="preserve">consumer_defensive</t>
        </is>
      </c>
      <c r="F3352" s="4">
        <v>51</v>
      </c>
    </row>
    <row r="3353">
      <c r="A3353" s="0" t="inlineStr">
        <is>
          <t xml:space="preserve">naive_loser1d_VLO</t>
        </is>
      </c>
      <c r="B3353" s="0" t="inlineStr">
        <is>
          <t xml:space="preserve">naive_loser1d</t>
        </is>
      </c>
      <c r="C3353" s="0" t="inlineStr">
        <is>
          <t xml:space="preserve">d20260923</t>
        </is>
      </c>
      <c r="D3353" s="0" t="inlineStr">
        <is>
          <t xml:space="preserve">VLO</t>
        </is>
      </c>
      <c r="E3353" s="0" t="inlineStr">
        <is>
          <t xml:space="preserve">energy</t>
        </is>
      </c>
      <c r="F3353" s="4">
        <v>52</v>
      </c>
    </row>
    <row r="3354">
      <c r="A3354" s="0" t="inlineStr">
        <is>
          <t xml:space="preserve">naive_loser1d_NOG</t>
        </is>
      </c>
      <c r="B3354" s="0" t="inlineStr">
        <is>
          <t xml:space="preserve">naive_loser1d</t>
        </is>
      </c>
      <c r="C3354" s="0" t="inlineStr">
        <is>
          <t xml:space="preserve">d20260923</t>
        </is>
      </c>
      <c r="D3354" s="0" t="inlineStr">
        <is>
          <t xml:space="preserve">NOG</t>
        </is>
      </c>
      <c r="E3354" s="0" t="inlineStr">
        <is>
          <t xml:space="preserve">energy</t>
        </is>
      </c>
      <c r="F3354" s="4">
        <v>53</v>
      </c>
    </row>
    <row r="3355">
      <c r="A3355" s="0" t="inlineStr">
        <is>
          <t xml:space="preserve">naive_loser1d_RYAN</t>
        </is>
      </c>
      <c r="B3355" s="0" t="inlineStr">
        <is>
          <t xml:space="preserve">naive_loser1d</t>
        </is>
      </c>
      <c r="C3355" s="0" t="inlineStr">
        <is>
          <t xml:space="preserve">d20260923</t>
        </is>
      </c>
      <c r="D3355" s="0" t="inlineStr">
        <is>
          <t xml:space="preserve">RYAN</t>
        </is>
      </c>
      <c r="E3355" s="0" t="inlineStr">
        <is>
          <t xml:space="preserve">financial_services</t>
        </is>
      </c>
      <c r="F3355" s="4">
        <v>54</v>
      </c>
    </row>
    <row r="3356">
      <c r="A3356" s="0" t="inlineStr">
        <is>
          <t xml:space="preserve">naive_loser1d_JMKE</t>
        </is>
      </c>
      <c r="B3356" s="0" t="inlineStr">
        <is>
          <t xml:space="preserve">naive_loser1d</t>
        </is>
      </c>
      <c r="C3356" s="0" t="inlineStr">
        <is>
          <t xml:space="preserve">d20260923</t>
        </is>
      </c>
      <c r="D3356" s="0" t="inlineStr">
        <is>
          <t xml:space="preserve">JMKE</t>
        </is>
      </c>
      <c r="E3356" s="0" t="inlineStr">
        <is>
          <t xml:space="preserve">consumer_cyclical</t>
        </is>
      </c>
      <c r="F3356" s="4">
        <v>55</v>
      </c>
    </row>
    <row r="3357">
      <c r="A3357" s="0" t="inlineStr">
        <is>
          <t xml:space="preserve">naive_loser1d_WFC</t>
        </is>
      </c>
      <c r="B3357" s="0" t="inlineStr">
        <is>
          <t xml:space="preserve">naive_loser1d</t>
        </is>
      </c>
      <c r="C3357" s="0" t="inlineStr">
        <is>
          <t xml:space="preserve">d20260923</t>
        </is>
      </c>
      <c r="D3357" s="0" t="inlineStr">
        <is>
          <t xml:space="preserve">WFC</t>
        </is>
      </c>
      <c r="E3357" s="0" t="inlineStr">
        <is>
          <t xml:space="preserve">financial_services</t>
        </is>
      </c>
      <c r="F3357" s="4">
        <v>56</v>
      </c>
    </row>
    <row r="3358">
      <c r="A3358" s="0" t="inlineStr">
        <is>
          <t xml:space="preserve">naive_loser1d_INTU</t>
        </is>
      </c>
      <c r="B3358" s="0" t="inlineStr">
        <is>
          <t xml:space="preserve">naive_loser1d</t>
        </is>
      </c>
      <c r="C3358" s="0" t="inlineStr">
        <is>
          <t xml:space="preserve">d20260923</t>
        </is>
      </c>
      <c r="D3358" s="0" t="inlineStr">
        <is>
          <t xml:space="preserve">INTU</t>
        </is>
      </c>
      <c r="E3358" s="0" t="inlineStr">
        <is>
          <t xml:space="preserve">technology</t>
        </is>
      </c>
      <c r="F3358" s="4">
        <v>57</v>
      </c>
    </row>
    <row r="3359">
      <c r="A3359" s="0" t="inlineStr">
        <is>
          <t xml:space="preserve">naive_loser1d_LDOS</t>
        </is>
      </c>
      <c r="B3359" s="0" t="inlineStr">
        <is>
          <t xml:space="preserve">naive_loser1d</t>
        </is>
      </c>
      <c r="C3359" s="0" t="inlineStr">
        <is>
          <t xml:space="preserve">d20260923</t>
        </is>
      </c>
      <c r="D3359" s="0" t="inlineStr">
        <is>
          <t xml:space="preserve">LDOS</t>
        </is>
      </c>
      <c r="E3359" s="0" t="inlineStr">
        <is>
          <t xml:space="preserve">technology</t>
        </is>
      </c>
      <c r="F3359" s="4">
        <v>58</v>
      </c>
    </row>
    <row r="3360">
      <c r="A3360" s="0" t="inlineStr">
        <is>
          <t xml:space="preserve">naive_loser1d_NP</t>
        </is>
      </c>
      <c r="B3360" s="0" t="inlineStr">
        <is>
          <t xml:space="preserve">naive_loser1d</t>
        </is>
      </c>
      <c r="C3360" s="0" t="inlineStr">
        <is>
          <t xml:space="preserve">d20260923</t>
        </is>
      </c>
      <c r="D3360" s="0" t="inlineStr">
        <is>
          <t xml:space="preserve">NP</t>
        </is>
      </c>
      <c r="E3360" s="0" t="inlineStr">
        <is>
          <t xml:space="preserve">financial_services</t>
        </is>
      </c>
      <c r="F3360" s="4">
        <v>59</v>
      </c>
    </row>
    <row r="3361">
      <c r="A3361" s="0" t="inlineStr">
        <is>
          <t xml:space="preserve">naive_loser1d_VAC</t>
        </is>
      </c>
      <c r="B3361" s="0" t="inlineStr">
        <is>
          <t xml:space="preserve">naive_loser1d</t>
        </is>
      </c>
      <c r="C3361" s="0" t="inlineStr">
        <is>
          <t xml:space="preserve">d20260923</t>
        </is>
      </c>
      <c r="D3361" s="0" t="inlineStr">
        <is>
          <t xml:space="preserve">VAC</t>
        </is>
      </c>
      <c r="E3361" s="0" t="inlineStr">
        <is>
          <t xml:space="preserve">consumer_cyclical</t>
        </is>
      </c>
      <c r="F3361" s="4">
        <v>60</v>
      </c>
    </row>
    <row r="3362">
      <c r="A3362" s="0" t="inlineStr">
        <is>
          <t xml:space="preserve">naive_loser1d_OSK</t>
        </is>
      </c>
      <c r="B3362" s="0" t="inlineStr">
        <is>
          <t xml:space="preserve">naive_loser1d</t>
        </is>
      </c>
      <c r="C3362" s="0" t="inlineStr">
        <is>
          <t xml:space="preserve">d20260923</t>
        </is>
      </c>
      <c r="D3362" s="0" t="inlineStr">
        <is>
          <t xml:space="preserve">OSK</t>
        </is>
      </c>
      <c r="E3362" s="0" t="inlineStr">
        <is>
          <t xml:space="preserve">industrials</t>
        </is>
      </c>
      <c r="F3362" s="4">
        <v>61</v>
      </c>
    </row>
    <row r="3363">
      <c r="A3363" s="0" t="inlineStr">
        <is>
          <t xml:space="preserve">naive_loser1d_NCNO</t>
        </is>
      </c>
      <c r="B3363" s="0" t="inlineStr">
        <is>
          <t xml:space="preserve">naive_loser1d</t>
        </is>
      </c>
      <c r="C3363" s="0" t="inlineStr">
        <is>
          <t xml:space="preserve">d20260923</t>
        </is>
      </c>
      <c r="D3363" s="0" t="inlineStr">
        <is>
          <t xml:space="preserve">NCNO</t>
        </is>
      </c>
      <c r="E3363" s="0" t="inlineStr">
        <is>
          <t xml:space="preserve">technology</t>
        </is>
      </c>
      <c r="F3363" s="4">
        <v>62</v>
      </c>
    </row>
    <row r="3364">
      <c r="A3364" s="0" t="inlineStr">
        <is>
          <t xml:space="preserve">naive_loser1d_CARG</t>
        </is>
      </c>
      <c r="B3364" s="0" t="inlineStr">
        <is>
          <t xml:space="preserve">naive_loser1d</t>
        </is>
      </c>
      <c r="C3364" s="0" t="inlineStr">
        <is>
          <t xml:space="preserve">d20260923</t>
        </is>
      </c>
      <c r="D3364" s="0" t="inlineStr">
        <is>
          <t xml:space="preserve">CARG</t>
        </is>
      </c>
      <c r="E3364" s="0" t="inlineStr">
        <is>
          <t xml:space="preserve">communication_services</t>
        </is>
      </c>
      <c r="F3364" s="4">
        <v>63</v>
      </c>
    </row>
    <row r="3365">
      <c r="A3365" s="0" t="inlineStr">
        <is>
          <t xml:space="preserve">naive_loser1d_HRB</t>
        </is>
      </c>
      <c r="B3365" s="0" t="inlineStr">
        <is>
          <t xml:space="preserve">naive_loser1d</t>
        </is>
      </c>
      <c r="C3365" s="0" t="inlineStr">
        <is>
          <t xml:space="preserve">d20260923</t>
        </is>
      </c>
      <c r="D3365" s="0" t="inlineStr">
        <is>
          <t xml:space="preserve">HRB</t>
        </is>
      </c>
      <c r="E3365" s="0" t="inlineStr">
        <is>
          <t xml:space="preserve">consumer_cyclical</t>
        </is>
      </c>
      <c r="F3365" s="4">
        <v>64</v>
      </c>
    </row>
    <row r="3366">
      <c r="A3366" s="0" t="inlineStr">
        <is>
          <t xml:space="preserve">naive_loser1d_SPXC</t>
        </is>
      </c>
      <c r="B3366" s="0" t="inlineStr">
        <is>
          <t xml:space="preserve">naive_loser1d</t>
        </is>
      </c>
      <c r="C3366" s="0" t="inlineStr">
        <is>
          <t xml:space="preserve">d20260923</t>
        </is>
      </c>
      <c r="D3366" s="0" t="inlineStr">
        <is>
          <t xml:space="preserve">SPXC</t>
        </is>
      </c>
      <c r="E3366" s="0" t="inlineStr">
        <is>
          <t xml:space="preserve">basic_materials</t>
        </is>
      </c>
      <c r="F3366" s="4">
        <v>65</v>
      </c>
    </row>
    <row r="3367">
      <c r="A3367" s="0" t="inlineStr">
        <is>
          <t xml:space="preserve">naive_loser1d_STDN</t>
        </is>
      </c>
      <c r="B3367" s="0" t="inlineStr">
        <is>
          <t xml:space="preserve">naive_loser1d</t>
        </is>
      </c>
      <c r="C3367" s="0" t="inlineStr">
        <is>
          <t xml:space="preserve">d20260923</t>
        </is>
      </c>
      <c r="D3367" s="0" t="inlineStr">
        <is>
          <t xml:space="preserve">STDN</t>
        </is>
      </c>
      <c r="E3367" s="0" t="inlineStr">
        <is>
          <t xml:space="preserve">basic_materials</t>
        </is>
      </c>
      <c r="F3367" s="4">
        <v>66</v>
      </c>
    </row>
    <row r="3368">
      <c r="A3368" s="0" t="inlineStr">
        <is>
          <t xml:space="preserve">naive_loser1d_STUB</t>
        </is>
      </c>
      <c r="B3368" s="0" t="inlineStr">
        <is>
          <t xml:space="preserve">naive_loser1d</t>
        </is>
      </c>
      <c r="C3368" s="0" t="inlineStr">
        <is>
          <t xml:space="preserve">d20260923</t>
        </is>
      </c>
      <c r="D3368" s="0" t="inlineStr">
        <is>
          <t xml:space="preserve">STUB</t>
        </is>
      </c>
      <c r="E3368" s="0" t="inlineStr">
        <is>
          <t xml:space="preserve">communication_services</t>
        </is>
      </c>
      <c r="F3368" s="4">
        <v>67</v>
      </c>
    </row>
    <row r="3369">
      <c r="A3369" s="0" t="inlineStr">
        <is>
          <t xml:space="preserve">naive_loser1d_PARR</t>
        </is>
      </c>
      <c r="B3369" s="0" t="inlineStr">
        <is>
          <t xml:space="preserve">naive_loser1d</t>
        </is>
      </c>
      <c r="C3369" s="0" t="inlineStr">
        <is>
          <t xml:space="preserve">d20260923</t>
        </is>
      </c>
      <c r="D3369" s="0" t="inlineStr">
        <is>
          <t xml:space="preserve">PARR</t>
        </is>
      </c>
      <c r="E3369" s="0" t="inlineStr">
        <is>
          <t xml:space="preserve">energy</t>
        </is>
      </c>
      <c r="F3369" s="4">
        <v>68</v>
      </c>
    </row>
    <row r="3370">
      <c r="A3370" s="0" t="inlineStr">
        <is>
          <t xml:space="preserve">naive_loser1d_RJF</t>
        </is>
      </c>
      <c r="B3370" s="0" t="inlineStr">
        <is>
          <t xml:space="preserve">naive_loser1d</t>
        </is>
      </c>
      <c r="C3370" s="0" t="inlineStr">
        <is>
          <t xml:space="preserve">d20260923</t>
        </is>
      </c>
      <c r="D3370" s="0" t="inlineStr">
        <is>
          <t xml:space="preserve">RJF</t>
        </is>
      </c>
      <c r="E3370" s="0" t="inlineStr">
        <is>
          <t xml:space="preserve">financial_services</t>
        </is>
      </c>
      <c r="F3370" s="4">
        <v>69</v>
      </c>
    </row>
    <row r="3371">
      <c r="A3371" s="0" t="inlineStr">
        <is>
          <t xml:space="preserve">naive_loser1d_BWA</t>
        </is>
      </c>
      <c r="B3371" s="0" t="inlineStr">
        <is>
          <t xml:space="preserve">naive_loser1d</t>
        </is>
      </c>
      <c r="C3371" s="0" t="inlineStr">
        <is>
          <t xml:space="preserve">d20260923</t>
        </is>
      </c>
      <c r="D3371" s="0" t="inlineStr">
        <is>
          <t xml:space="preserve">BWA</t>
        </is>
      </c>
      <c r="E3371" s="0" t="inlineStr">
        <is>
          <t xml:space="preserve">consumer_cyclical</t>
        </is>
      </c>
      <c r="F3371" s="4">
        <v>70</v>
      </c>
    </row>
    <row r="3372">
      <c r="A3372" s="0" t="inlineStr">
        <is>
          <t xml:space="preserve">naive_loser1d_COHR</t>
        </is>
      </c>
      <c r="B3372" s="0" t="inlineStr">
        <is>
          <t xml:space="preserve">naive_loser1d</t>
        </is>
      </c>
      <c r="C3372" s="0" t="inlineStr">
        <is>
          <t xml:space="preserve">d20260923</t>
        </is>
      </c>
      <c r="D3372" s="0" t="inlineStr">
        <is>
          <t xml:space="preserve">COHR</t>
        </is>
      </c>
      <c r="E3372" s="0" t="inlineStr">
        <is>
          <t xml:space="preserve">technology</t>
        </is>
      </c>
      <c r="F3372" s="4">
        <v>71</v>
      </c>
    </row>
    <row r="3373">
      <c r="A3373" s="0" t="inlineStr">
        <is>
          <t xml:space="preserve">naive_loser1d_APA</t>
        </is>
      </c>
      <c r="B3373" s="0" t="inlineStr">
        <is>
          <t xml:space="preserve">naive_loser1d</t>
        </is>
      </c>
      <c r="C3373" s="0" t="inlineStr">
        <is>
          <t xml:space="preserve">d20260923</t>
        </is>
      </c>
      <c r="D3373" s="0" t="inlineStr">
        <is>
          <t xml:space="preserve">APA</t>
        </is>
      </c>
      <c r="E3373" s="0" t="inlineStr">
        <is>
          <t xml:space="preserve">energy</t>
        </is>
      </c>
      <c r="F3373" s="4">
        <v>72</v>
      </c>
    </row>
    <row r="3374">
      <c r="A3374" s="0" t="inlineStr">
        <is>
          <t xml:space="preserve">naive_loser1d_VSNT</t>
        </is>
      </c>
      <c r="B3374" s="0" t="inlineStr">
        <is>
          <t xml:space="preserve">naive_loser1d</t>
        </is>
      </c>
      <c r="C3374" s="0" t="inlineStr">
        <is>
          <t xml:space="preserve">d20260923</t>
        </is>
      </c>
      <c r="D3374" s="0" t="inlineStr">
        <is>
          <t xml:space="preserve">VSNT</t>
        </is>
      </c>
      <c r="E3374" s="0" t="inlineStr">
        <is>
          <t xml:space="preserve">communication_services</t>
        </is>
      </c>
      <c r="F3374" s="4">
        <v>73</v>
      </c>
    </row>
    <row r="3375">
      <c r="A3375" s="0" t="inlineStr">
        <is>
          <t xml:space="preserve">naive_loser1d_JPM</t>
        </is>
      </c>
      <c r="B3375" s="0" t="inlineStr">
        <is>
          <t xml:space="preserve">naive_loser1d</t>
        </is>
      </c>
      <c r="C3375" s="0" t="inlineStr">
        <is>
          <t xml:space="preserve">d20260923</t>
        </is>
      </c>
      <c r="D3375" s="0" t="inlineStr">
        <is>
          <t xml:space="preserve">JPM</t>
        </is>
      </c>
      <c r="E3375" s="0" t="inlineStr">
        <is>
          <t xml:space="preserve">financial_services</t>
        </is>
      </c>
      <c r="F3375" s="4">
        <v>74</v>
      </c>
    </row>
    <row r="3376">
      <c r="A3376" s="0" t="inlineStr">
        <is>
          <t xml:space="preserve">naive_loser1d_PRDO</t>
        </is>
      </c>
      <c r="B3376" s="0" t="inlineStr">
        <is>
          <t xml:space="preserve">naive_loser1d</t>
        </is>
      </c>
      <c r="C3376" s="0" t="inlineStr">
        <is>
          <t xml:space="preserve">d20260923</t>
        </is>
      </c>
      <c r="D3376" s="0" t="inlineStr">
        <is>
          <t xml:space="preserve">PRDO</t>
        </is>
      </c>
      <c r="E3376" s="0" t="inlineStr">
        <is>
          <t xml:space="preserve">consumer_defensive</t>
        </is>
      </c>
      <c r="F3376" s="4">
        <v>75</v>
      </c>
    </row>
    <row r="3377">
      <c r="A3377" s="0" t="inlineStr">
        <is>
          <t xml:space="preserve">naive_loser1d_MATX</t>
        </is>
      </c>
      <c r="B3377" s="0" t="inlineStr">
        <is>
          <t xml:space="preserve">naive_loser1d</t>
        </is>
      </c>
      <c r="C3377" s="0" t="inlineStr">
        <is>
          <t xml:space="preserve">d20260923</t>
        </is>
      </c>
      <c r="D3377" s="0" t="inlineStr">
        <is>
          <t xml:space="preserve">MATX</t>
        </is>
      </c>
      <c r="E3377" s="0" t="inlineStr">
        <is>
          <t xml:space="preserve">industrials</t>
        </is>
      </c>
      <c r="F3377" s="4">
        <v>76</v>
      </c>
    </row>
    <row r="3378">
      <c r="A3378" s="0" t="inlineStr">
        <is>
          <t xml:space="preserve">naive_loser1d_MTCH</t>
        </is>
      </c>
      <c r="B3378" s="0" t="inlineStr">
        <is>
          <t xml:space="preserve">naive_loser1d</t>
        </is>
      </c>
      <c r="C3378" s="0" t="inlineStr">
        <is>
          <t xml:space="preserve">d20260923</t>
        </is>
      </c>
      <c r="D3378" s="0" t="inlineStr">
        <is>
          <t xml:space="preserve">MTCH</t>
        </is>
      </c>
      <c r="E3378" s="0" t="inlineStr">
        <is>
          <t xml:space="preserve">communication_services</t>
        </is>
      </c>
      <c r="F3378" s="4">
        <v>77</v>
      </c>
    </row>
    <row r="3379">
      <c r="A3379" s="0" t="inlineStr">
        <is>
          <t xml:space="preserve">naive_loser1d_SF</t>
        </is>
      </c>
      <c r="B3379" s="0" t="inlineStr">
        <is>
          <t xml:space="preserve">naive_loser1d</t>
        </is>
      </c>
      <c r="C3379" s="0" t="inlineStr">
        <is>
          <t xml:space="preserve">d20260923</t>
        </is>
      </c>
      <c r="D3379" s="0" t="inlineStr">
        <is>
          <t xml:space="preserve">SF</t>
        </is>
      </c>
      <c r="E3379" s="0" t="inlineStr">
        <is>
          <t xml:space="preserve">financial_services</t>
        </is>
      </c>
      <c r="F3379" s="4">
        <v>78</v>
      </c>
    </row>
    <row r="3380">
      <c r="A3380" s="0" t="inlineStr">
        <is>
          <t xml:space="preserve">naive_loser1d_MOH</t>
        </is>
      </c>
      <c r="B3380" s="0" t="inlineStr">
        <is>
          <t xml:space="preserve">naive_loser1d</t>
        </is>
      </c>
      <c r="C3380" s="0" t="inlineStr">
        <is>
          <t xml:space="preserve">d20260923</t>
        </is>
      </c>
      <c r="D3380" s="0" t="inlineStr">
        <is>
          <t xml:space="preserve">MOH</t>
        </is>
      </c>
      <c r="E3380" s="0" t="inlineStr">
        <is>
          <t xml:space="preserve">healthcare</t>
        </is>
      </c>
      <c r="F3380" s="4">
        <v>79</v>
      </c>
    </row>
    <row r="3381">
      <c r="A3381" s="0" t="inlineStr">
        <is>
          <t xml:space="preserve">naive_loser1d_KTOS</t>
        </is>
      </c>
      <c r="B3381" s="0" t="inlineStr">
        <is>
          <t xml:space="preserve">naive_loser1d</t>
        </is>
      </c>
      <c r="C3381" s="0" t="inlineStr">
        <is>
          <t xml:space="preserve">d20260923</t>
        </is>
      </c>
      <c r="D3381" s="0" t="inlineStr">
        <is>
          <t xml:space="preserve">KTOS</t>
        </is>
      </c>
      <c r="E3381" s="0" t="inlineStr">
        <is>
          <t xml:space="preserve">industrials</t>
        </is>
      </c>
      <c r="F3381" s="4">
        <v>80</v>
      </c>
    </row>
    <row r="3382">
      <c r="A3382" s="0" t="inlineStr">
        <is>
          <t xml:space="preserve">naive_loser1d_SIRI</t>
        </is>
      </c>
      <c r="B3382" s="0" t="inlineStr">
        <is>
          <t xml:space="preserve">naive_loser1d</t>
        </is>
      </c>
      <c r="C3382" s="0" t="inlineStr">
        <is>
          <t xml:space="preserve">d20260923</t>
        </is>
      </c>
      <c r="D3382" s="0" t="inlineStr">
        <is>
          <t xml:space="preserve">SIRI</t>
        </is>
      </c>
      <c r="E3382" s="0" t="inlineStr">
        <is>
          <t xml:space="preserve">communication_services</t>
        </is>
      </c>
      <c r="F3382" s="4">
        <v>81</v>
      </c>
    </row>
    <row r="3383">
      <c r="A3383" s="0" t="inlineStr">
        <is>
          <t xml:space="preserve">naive_loser1d_ZETA</t>
        </is>
      </c>
      <c r="B3383" s="0" t="inlineStr">
        <is>
          <t xml:space="preserve">naive_loser1d</t>
        </is>
      </c>
      <c r="C3383" s="0" t="inlineStr">
        <is>
          <t xml:space="preserve">d20260923</t>
        </is>
      </c>
      <c r="D3383" s="0" t="inlineStr">
        <is>
          <t xml:space="preserve">ZETA</t>
        </is>
      </c>
      <c r="E3383" s="0" t="inlineStr">
        <is>
          <t xml:space="preserve">technology</t>
        </is>
      </c>
      <c r="F3383" s="4">
        <v>82</v>
      </c>
    </row>
    <row r="3384">
      <c r="A3384" s="0" t="inlineStr">
        <is>
          <t xml:space="preserve">naive_loser1d_AMRX</t>
        </is>
      </c>
      <c r="B3384" s="0" t="inlineStr">
        <is>
          <t xml:space="preserve">naive_loser1d</t>
        </is>
      </c>
      <c r="C3384" s="0" t="inlineStr">
        <is>
          <t xml:space="preserve">d20260923</t>
        </is>
      </c>
      <c r="D3384" s="0" t="inlineStr">
        <is>
          <t xml:space="preserve">AMRX</t>
        </is>
      </c>
      <c r="E3384" s="0" t="inlineStr">
        <is>
          <t xml:space="preserve">healthcare</t>
        </is>
      </c>
      <c r="F3384" s="4">
        <v>83</v>
      </c>
    </row>
    <row r="3385">
      <c r="A3385" s="0" t="inlineStr">
        <is>
          <t xml:space="preserve">naive_loser1d_SLM</t>
        </is>
      </c>
      <c r="B3385" s="0" t="inlineStr">
        <is>
          <t xml:space="preserve">naive_loser1d</t>
        </is>
      </c>
      <c r="C3385" s="0" t="inlineStr">
        <is>
          <t xml:space="preserve">d20260923</t>
        </is>
      </c>
      <c r="D3385" s="0" t="inlineStr">
        <is>
          <t xml:space="preserve">SLM</t>
        </is>
      </c>
      <c r="E3385" s="0" t="inlineStr">
        <is>
          <t xml:space="preserve">financial_services</t>
        </is>
      </c>
      <c r="F3385" s="4">
        <v>84</v>
      </c>
    </row>
    <row r="3386">
      <c r="A3386" s="0" t="inlineStr">
        <is>
          <t xml:space="preserve">naive_loser1d_DY</t>
        </is>
      </c>
      <c r="B3386" s="0" t="inlineStr">
        <is>
          <t xml:space="preserve">naive_loser1d</t>
        </is>
      </c>
      <c r="C3386" s="0" t="inlineStr">
        <is>
          <t xml:space="preserve">d20260923</t>
        </is>
      </c>
      <c r="D3386" s="0" t="inlineStr">
        <is>
          <t xml:space="preserve">DY</t>
        </is>
      </c>
      <c r="E3386" s="0" t="inlineStr">
        <is>
          <t xml:space="preserve">industrials</t>
        </is>
      </c>
      <c r="F3386" s="4">
        <v>85</v>
      </c>
    </row>
    <row r="3387">
      <c r="A3387" s="0" t="inlineStr">
        <is>
          <t xml:space="preserve">naive_loser1d_WEX</t>
        </is>
      </c>
      <c r="B3387" s="0" t="inlineStr">
        <is>
          <t xml:space="preserve">naive_loser1d</t>
        </is>
      </c>
      <c r="C3387" s="0" t="inlineStr">
        <is>
          <t xml:space="preserve">d20260923</t>
        </is>
      </c>
      <c r="D3387" s="0" t="inlineStr">
        <is>
          <t xml:space="preserve">WEX</t>
        </is>
      </c>
      <c r="E3387" s="0" t="inlineStr">
        <is>
          <t xml:space="preserve">technology</t>
        </is>
      </c>
      <c r="F3387" s="4">
        <v>86</v>
      </c>
    </row>
    <row r="3388">
      <c r="A3388" s="0" t="inlineStr">
        <is>
          <t xml:space="preserve">naive_loser1d_ASST</t>
        </is>
      </c>
      <c r="B3388" s="0" t="inlineStr">
        <is>
          <t xml:space="preserve">naive_loser1d</t>
        </is>
      </c>
      <c r="C3388" s="0" t="inlineStr">
        <is>
          <t xml:space="preserve">d20260923</t>
        </is>
      </c>
      <c r="D3388" s="0" t="inlineStr">
        <is>
          <t xml:space="preserve">ASST</t>
        </is>
      </c>
      <c r="E3388" s="0" t="inlineStr">
        <is>
          <t xml:space="preserve">financial_services</t>
        </is>
      </c>
      <c r="F3388" s="4">
        <v>87</v>
      </c>
    </row>
    <row r="3389">
      <c r="A3389" s="0" t="inlineStr">
        <is>
          <t xml:space="preserve">naive_loser1d_NOC</t>
        </is>
      </c>
      <c r="B3389" s="0" t="inlineStr">
        <is>
          <t xml:space="preserve">naive_loser1d</t>
        </is>
      </c>
      <c r="C3389" s="0" t="inlineStr">
        <is>
          <t xml:space="preserve">d20260923</t>
        </is>
      </c>
      <c r="D3389" s="0" t="inlineStr">
        <is>
          <t xml:space="preserve">NOC</t>
        </is>
      </c>
      <c r="E3389" s="0" t="inlineStr">
        <is>
          <t xml:space="preserve">industrials</t>
        </is>
      </c>
      <c r="F3389" s="4">
        <v>88</v>
      </c>
    </row>
    <row r="3390">
      <c r="A3390" s="0" t="inlineStr">
        <is>
          <t xml:space="preserve">naive_loser1d_FTDR</t>
        </is>
      </c>
      <c r="B3390" s="0" t="inlineStr">
        <is>
          <t xml:space="preserve">naive_loser1d</t>
        </is>
      </c>
      <c r="C3390" s="0" t="inlineStr">
        <is>
          <t xml:space="preserve">d20260923</t>
        </is>
      </c>
      <c r="D3390" s="0" t="inlineStr">
        <is>
          <t xml:space="preserve">FTDR</t>
        </is>
      </c>
      <c r="E3390" s="0" t="inlineStr">
        <is>
          <t xml:space="preserve">consumer_cyclical</t>
        </is>
      </c>
      <c r="F3390" s="4">
        <v>89</v>
      </c>
    </row>
    <row r="3391">
      <c r="A3391" s="0" t="inlineStr">
        <is>
          <t xml:space="preserve">naive_loser1d_MPC</t>
        </is>
      </c>
      <c r="B3391" s="0" t="inlineStr">
        <is>
          <t xml:space="preserve">naive_loser1d</t>
        </is>
      </c>
      <c r="C3391" s="0" t="inlineStr">
        <is>
          <t xml:space="preserve">d20260923</t>
        </is>
      </c>
      <c r="D3391" s="0" t="inlineStr">
        <is>
          <t xml:space="preserve">MPC</t>
        </is>
      </c>
      <c r="E3391" s="0" t="inlineStr">
        <is>
          <t xml:space="preserve">energy</t>
        </is>
      </c>
      <c r="F3391" s="4">
        <v>90</v>
      </c>
    </row>
    <row r="3392">
      <c r="A3392" s="0" t="inlineStr">
        <is>
          <t xml:space="preserve">naive_loser1d_TPL</t>
        </is>
      </c>
      <c r="B3392" s="0" t="inlineStr">
        <is>
          <t xml:space="preserve">naive_loser1d</t>
        </is>
      </c>
      <c r="C3392" s="0" t="inlineStr">
        <is>
          <t xml:space="preserve">d20260923</t>
        </is>
      </c>
      <c r="D3392" s="0" t="inlineStr">
        <is>
          <t xml:space="preserve">TPL</t>
        </is>
      </c>
      <c r="E3392" s="0" t="inlineStr">
        <is>
          <t xml:space="preserve">energy</t>
        </is>
      </c>
      <c r="F3392" s="4">
        <v>91</v>
      </c>
    </row>
    <row r="3393">
      <c r="A3393" s="0" t="inlineStr">
        <is>
          <t xml:space="preserve">naive_loser1d_CW</t>
        </is>
      </c>
      <c r="B3393" s="0" t="inlineStr">
        <is>
          <t xml:space="preserve">naive_loser1d</t>
        </is>
      </c>
      <c r="C3393" s="0" t="inlineStr">
        <is>
          <t xml:space="preserve">d20260923</t>
        </is>
      </c>
      <c r="D3393" s="0" t="inlineStr">
        <is>
          <t xml:space="preserve">CW</t>
        </is>
      </c>
      <c r="E3393" s="0" t="inlineStr">
        <is>
          <t xml:space="preserve">industrials</t>
        </is>
      </c>
      <c r="F3393" s="4">
        <v>92</v>
      </c>
    </row>
    <row r="3394">
      <c r="A3394" s="0" t="inlineStr">
        <is>
          <t xml:space="preserve">naive_loser1d_SYF</t>
        </is>
      </c>
      <c r="B3394" s="0" t="inlineStr">
        <is>
          <t xml:space="preserve">naive_loser1d</t>
        </is>
      </c>
      <c r="C3394" s="0" t="inlineStr">
        <is>
          <t xml:space="preserve">d20260923</t>
        </is>
      </c>
      <c r="D3394" s="0" t="inlineStr">
        <is>
          <t xml:space="preserve">SYF</t>
        </is>
      </c>
      <c r="E3394" s="0" t="inlineStr">
        <is>
          <t xml:space="preserve">financial_services</t>
        </is>
      </c>
      <c r="F3394" s="4">
        <v>93</v>
      </c>
    </row>
    <row r="3395">
      <c r="A3395" s="0" t="inlineStr">
        <is>
          <t xml:space="preserve">naive_loser1d_NTRS</t>
        </is>
      </c>
      <c r="B3395" s="0" t="inlineStr">
        <is>
          <t xml:space="preserve">naive_loser1d</t>
        </is>
      </c>
      <c r="C3395" s="0" t="inlineStr">
        <is>
          <t xml:space="preserve">d20260923</t>
        </is>
      </c>
      <c r="D3395" s="0" t="inlineStr">
        <is>
          <t xml:space="preserve">NTRS</t>
        </is>
      </c>
      <c r="E3395" s="0" t="inlineStr">
        <is>
          <t xml:space="preserve">financial_services</t>
        </is>
      </c>
      <c r="F3395" s="4">
        <v>94</v>
      </c>
    </row>
    <row r="3396">
      <c r="A3396" s="0" t="inlineStr">
        <is>
          <t xml:space="preserve">naive_loser1d_EQH</t>
        </is>
      </c>
      <c r="B3396" s="0" t="inlineStr">
        <is>
          <t xml:space="preserve">naive_loser1d</t>
        </is>
      </c>
      <c r="C3396" s="0" t="inlineStr">
        <is>
          <t xml:space="preserve">d20260923</t>
        </is>
      </c>
      <c r="D3396" s="0" t="inlineStr">
        <is>
          <t xml:space="preserve">EQH</t>
        </is>
      </c>
      <c r="E3396" s="0" t="inlineStr">
        <is>
          <t xml:space="preserve">financial_services</t>
        </is>
      </c>
      <c r="F3396" s="4">
        <v>95</v>
      </c>
    </row>
    <row r="3397">
      <c r="A3397" s="0" t="inlineStr">
        <is>
          <t xml:space="preserve">naive_loser1d_MORN</t>
        </is>
      </c>
      <c r="B3397" s="0" t="inlineStr">
        <is>
          <t xml:space="preserve">naive_loser1d</t>
        </is>
      </c>
      <c r="C3397" s="0" t="inlineStr">
        <is>
          <t xml:space="preserve">d20260923</t>
        </is>
      </c>
      <c r="D3397" s="0" t="inlineStr">
        <is>
          <t xml:space="preserve">MORN</t>
        </is>
      </c>
      <c r="E3397" s="0" t="inlineStr">
        <is>
          <t xml:space="preserve">financial_services</t>
        </is>
      </c>
      <c r="F3397" s="4">
        <v>96</v>
      </c>
    </row>
    <row r="3398">
      <c r="A3398" s="0" t="inlineStr">
        <is>
          <t xml:space="preserve">naive_loser1d_PR</t>
        </is>
      </c>
      <c r="B3398" s="0" t="inlineStr">
        <is>
          <t xml:space="preserve">naive_loser1d</t>
        </is>
      </c>
      <c r="C3398" s="0" t="inlineStr">
        <is>
          <t xml:space="preserve">d20260923</t>
        </is>
      </c>
      <c r="D3398" s="0" t="inlineStr">
        <is>
          <t xml:space="preserve">PR</t>
        </is>
      </c>
      <c r="E3398" s="0" t="inlineStr">
        <is>
          <t xml:space="preserve">energy</t>
        </is>
      </c>
      <c r="F3398" s="4">
        <v>97</v>
      </c>
    </row>
    <row r="3399">
      <c r="A3399" s="0" t="inlineStr">
        <is>
          <t xml:space="preserve">naive_loser1d_RRR</t>
        </is>
      </c>
      <c r="B3399" s="0" t="inlineStr">
        <is>
          <t xml:space="preserve">naive_loser1d</t>
        </is>
      </c>
      <c r="C3399" s="0" t="inlineStr">
        <is>
          <t xml:space="preserve">d20260923</t>
        </is>
      </c>
      <c r="D3399" s="0" t="inlineStr">
        <is>
          <t xml:space="preserve">RRR</t>
        </is>
      </c>
      <c r="E3399" s="0" t="inlineStr">
        <is>
          <t xml:space="preserve">consumer_cyclical</t>
        </is>
      </c>
      <c r="F3399" s="4">
        <v>98</v>
      </c>
    </row>
    <row r="3400">
      <c r="A3400" s="0" t="inlineStr">
        <is>
          <t xml:space="preserve">naive_loser1d_BAC</t>
        </is>
      </c>
      <c r="B3400" s="0" t="inlineStr">
        <is>
          <t xml:space="preserve">naive_loser1d</t>
        </is>
      </c>
      <c r="C3400" s="0" t="inlineStr">
        <is>
          <t xml:space="preserve">d20260923</t>
        </is>
      </c>
      <c r="D3400" s="0" t="inlineStr">
        <is>
          <t xml:space="preserve">BAC</t>
        </is>
      </c>
      <c r="E3400" s="0" t="inlineStr">
        <is>
          <t xml:space="preserve">financial_services</t>
        </is>
      </c>
      <c r="F3400" s="4">
        <v>99</v>
      </c>
    </row>
    <row r="3401">
      <c r="A3401" s="0" t="inlineStr">
        <is>
          <t xml:space="preserve">naive_loser1d_AXGN</t>
        </is>
      </c>
      <c r="B3401" s="0" t="inlineStr">
        <is>
          <t xml:space="preserve">naive_loser1d</t>
        </is>
      </c>
      <c r="C3401" s="0" t="inlineStr">
        <is>
          <t xml:space="preserve">d20260923</t>
        </is>
      </c>
      <c r="D3401" s="0" t="inlineStr">
        <is>
          <t xml:space="preserve">AXGN</t>
        </is>
      </c>
      <c r="E3401" s="0" t="inlineStr">
        <is>
          <t xml:space="preserve">healthcare</t>
        </is>
      </c>
      <c r="F3401" s="4">
        <v>100</v>
      </c>
    </row>
    <row r="3402">
      <c r="A3402" s="0" t="inlineStr">
        <is>
          <t xml:space="preserve">naive_winner1d_VKTX</t>
        </is>
      </c>
      <c r="B3402" s="0" t="inlineStr">
        <is>
          <t xml:space="preserve">naive_winner1d</t>
        </is>
      </c>
      <c r="C3402" s="0" t="inlineStr">
        <is>
          <t xml:space="preserve">d20260923</t>
        </is>
      </c>
      <c r="D3402" s="0" t="inlineStr">
        <is>
          <t xml:space="preserve">VKTX</t>
        </is>
      </c>
      <c r="E3402" s="0" t="inlineStr">
        <is>
          <t xml:space="preserve">healthcare</t>
        </is>
      </c>
      <c r="F3402" s="4">
        <v>1</v>
      </c>
    </row>
    <row r="3403">
      <c r="A3403" s="0" t="inlineStr">
        <is>
          <t xml:space="preserve">naive_winner1d_BFLY</t>
        </is>
      </c>
      <c r="B3403" s="0" t="inlineStr">
        <is>
          <t xml:space="preserve">naive_winner1d</t>
        </is>
      </c>
      <c r="C3403" s="0" t="inlineStr">
        <is>
          <t xml:space="preserve">d20260923</t>
        </is>
      </c>
      <c r="D3403" s="0" t="inlineStr">
        <is>
          <t xml:space="preserve">BFLY</t>
        </is>
      </c>
      <c r="E3403" s="0" t="inlineStr">
        <is>
          <t xml:space="preserve">healthcare</t>
        </is>
      </c>
      <c r="F3403" s="4">
        <v>2</v>
      </c>
    </row>
    <row r="3404">
      <c r="A3404" s="0" t="inlineStr">
        <is>
          <t xml:space="preserve">naive_winner1d_VICR</t>
        </is>
      </c>
      <c r="B3404" s="0" t="inlineStr">
        <is>
          <t xml:space="preserve">naive_winner1d</t>
        </is>
      </c>
      <c r="C3404" s="0" t="inlineStr">
        <is>
          <t xml:space="preserve">d20260923</t>
        </is>
      </c>
      <c r="D3404" s="0" t="inlineStr">
        <is>
          <t xml:space="preserve">VICR</t>
        </is>
      </c>
      <c r="E3404" s="0" t="inlineStr">
        <is>
          <t xml:space="preserve">technology</t>
        </is>
      </c>
      <c r="F3404" s="4">
        <v>3</v>
      </c>
    </row>
    <row r="3405">
      <c r="A3405" s="0" t="inlineStr">
        <is>
          <t xml:space="preserve">naive_winner1d_TNGX</t>
        </is>
      </c>
      <c r="B3405" s="0" t="inlineStr">
        <is>
          <t xml:space="preserve">naive_winner1d</t>
        </is>
      </c>
      <c r="C3405" s="0" t="inlineStr">
        <is>
          <t xml:space="preserve">d20260923</t>
        </is>
      </c>
      <c r="D3405" s="0" t="inlineStr">
        <is>
          <t xml:space="preserve">TNGX</t>
        </is>
      </c>
      <c r="E3405" s="0" t="inlineStr">
        <is>
          <t xml:space="preserve">healthcare</t>
        </is>
      </c>
      <c r="F3405" s="4">
        <v>4</v>
      </c>
    </row>
    <row r="3406">
      <c r="A3406" s="0" t="inlineStr">
        <is>
          <t xml:space="preserve">naive_winner1d_BLLN</t>
        </is>
      </c>
      <c r="B3406" s="0" t="inlineStr">
        <is>
          <t xml:space="preserve">naive_winner1d</t>
        </is>
      </c>
      <c r="C3406" s="0" t="inlineStr">
        <is>
          <t xml:space="preserve">d20260923</t>
        </is>
      </c>
      <c r="D3406" s="0" t="inlineStr">
        <is>
          <t xml:space="preserve">BLLN</t>
        </is>
      </c>
      <c r="E3406" s="0" t="inlineStr">
        <is>
          <t xml:space="preserve">healthcare</t>
        </is>
      </c>
      <c r="F3406" s="4">
        <v>5</v>
      </c>
    </row>
    <row r="3407">
      <c r="A3407" s="0" t="inlineStr">
        <is>
          <t xml:space="preserve">naive_winner1d_IBRX</t>
        </is>
      </c>
      <c r="B3407" s="0" t="inlineStr">
        <is>
          <t xml:space="preserve">naive_winner1d</t>
        </is>
      </c>
      <c r="C3407" s="0" t="inlineStr">
        <is>
          <t xml:space="preserve">d20260923</t>
        </is>
      </c>
      <c r="D3407" s="0" t="inlineStr">
        <is>
          <t xml:space="preserve">IBRX</t>
        </is>
      </c>
      <c r="E3407" s="0" t="inlineStr">
        <is>
          <t xml:space="preserve">healthcare</t>
        </is>
      </c>
      <c r="F3407" s="4">
        <v>6</v>
      </c>
    </row>
    <row r="3408">
      <c r="A3408" s="0" t="inlineStr">
        <is>
          <t xml:space="preserve">naive_winner1d_TTAN</t>
        </is>
      </c>
      <c r="B3408" s="0" t="inlineStr">
        <is>
          <t xml:space="preserve">naive_winner1d</t>
        </is>
      </c>
      <c r="C3408" s="0" t="inlineStr">
        <is>
          <t xml:space="preserve">d20260923</t>
        </is>
      </c>
      <c r="D3408" s="0" t="inlineStr">
        <is>
          <t xml:space="preserve">TTAN</t>
        </is>
      </c>
      <c r="E3408" s="0" t="inlineStr">
        <is>
          <t xml:space="preserve">technology</t>
        </is>
      </c>
      <c r="F3408" s="4">
        <v>7</v>
      </c>
    </row>
    <row r="3409">
      <c r="A3409" s="0" t="inlineStr">
        <is>
          <t xml:space="preserve">naive_winner1d_RMBS</t>
        </is>
      </c>
      <c r="B3409" s="0" t="inlineStr">
        <is>
          <t xml:space="preserve">naive_winner1d</t>
        </is>
      </c>
      <c r="C3409" s="0" t="inlineStr">
        <is>
          <t xml:space="preserve">d20260923</t>
        </is>
      </c>
      <c r="D3409" s="0" t="inlineStr">
        <is>
          <t xml:space="preserve">RMBS</t>
        </is>
      </c>
      <c r="E3409" s="0" t="inlineStr">
        <is>
          <t xml:space="preserve">technology</t>
        </is>
      </c>
      <c r="F3409" s="4">
        <v>8</v>
      </c>
    </row>
    <row r="3410">
      <c r="A3410" s="0" t="inlineStr">
        <is>
          <t xml:space="preserve">naive_winner1d_DKS</t>
        </is>
      </c>
      <c r="B3410" s="0" t="inlineStr">
        <is>
          <t xml:space="preserve">naive_winner1d</t>
        </is>
      </c>
      <c r="C3410" s="0" t="inlineStr">
        <is>
          <t xml:space="preserve">d20260923</t>
        </is>
      </c>
      <c r="D3410" s="0" t="inlineStr">
        <is>
          <t xml:space="preserve">DKS</t>
        </is>
      </c>
      <c r="E3410" s="0" t="inlineStr">
        <is>
          <t xml:space="preserve">consumer_cyclical</t>
        </is>
      </c>
      <c r="F3410" s="4">
        <v>9</v>
      </c>
    </row>
    <row r="3411">
      <c r="A3411" s="0" t="inlineStr">
        <is>
          <t xml:space="preserve">naive_winner1d_MPWR</t>
        </is>
      </c>
      <c r="B3411" s="0" t="inlineStr">
        <is>
          <t xml:space="preserve">naive_winner1d</t>
        </is>
      </c>
      <c r="C3411" s="0" t="inlineStr">
        <is>
          <t xml:space="preserve">d20260923</t>
        </is>
      </c>
      <c r="D3411" s="0" t="inlineStr">
        <is>
          <t xml:space="preserve">MPWR</t>
        </is>
      </c>
      <c r="E3411" s="0" t="inlineStr">
        <is>
          <t xml:space="preserve">technology</t>
        </is>
      </c>
      <c r="F3411" s="4">
        <v>10</v>
      </c>
    </row>
    <row r="3412">
      <c r="A3412" s="0" t="inlineStr">
        <is>
          <t xml:space="preserve">naive_winner1d_MDLN</t>
        </is>
      </c>
      <c r="B3412" s="0" t="inlineStr">
        <is>
          <t xml:space="preserve">naive_winner1d</t>
        </is>
      </c>
      <c r="C3412" s="0" t="inlineStr">
        <is>
          <t xml:space="preserve">d20260923</t>
        </is>
      </c>
      <c r="D3412" s="0" t="inlineStr">
        <is>
          <t xml:space="preserve">MDLN</t>
        </is>
      </c>
      <c r="E3412" s="0" t="inlineStr">
        <is>
          <t xml:space="preserve">healthcare</t>
        </is>
      </c>
      <c r="F3412" s="4">
        <v>11</v>
      </c>
    </row>
    <row r="3413">
      <c r="A3413" s="0" t="inlineStr">
        <is>
          <t xml:space="preserve">naive_winner1d_VVV</t>
        </is>
      </c>
      <c r="B3413" s="0" t="inlineStr">
        <is>
          <t xml:space="preserve">naive_winner1d</t>
        </is>
      </c>
      <c r="C3413" s="0" t="inlineStr">
        <is>
          <t xml:space="preserve">d20260923</t>
        </is>
      </c>
      <c r="D3413" s="0" t="inlineStr">
        <is>
          <t xml:space="preserve">VVV</t>
        </is>
      </c>
      <c r="E3413" s="0" t="inlineStr">
        <is>
          <t xml:space="preserve">consumer_cyclical</t>
        </is>
      </c>
      <c r="F3413" s="4">
        <v>12</v>
      </c>
    </row>
    <row r="3414">
      <c r="A3414" s="0" t="inlineStr">
        <is>
          <t xml:space="preserve">naive_winner1d_AMR</t>
        </is>
      </c>
      <c r="B3414" s="0" t="inlineStr">
        <is>
          <t xml:space="preserve">naive_winner1d</t>
        </is>
      </c>
      <c r="C3414" s="0" t="inlineStr">
        <is>
          <t xml:space="preserve">d20260923</t>
        </is>
      </c>
      <c r="D3414" s="0" t="inlineStr">
        <is>
          <t xml:space="preserve">AMR</t>
        </is>
      </c>
      <c r="E3414" s="0" t="inlineStr">
        <is>
          <t xml:space="preserve">energy</t>
        </is>
      </c>
      <c r="F3414" s="4">
        <v>13</v>
      </c>
    </row>
    <row r="3415">
      <c r="A3415" s="0" t="inlineStr">
        <is>
          <t xml:space="preserve">naive_winner1d_NOVT</t>
        </is>
      </c>
      <c r="B3415" s="0" t="inlineStr">
        <is>
          <t xml:space="preserve">naive_winner1d</t>
        </is>
      </c>
      <c r="C3415" s="0" t="inlineStr">
        <is>
          <t xml:space="preserve">d20260923</t>
        </is>
      </c>
      <c r="D3415" s="0" t="inlineStr">
        <is>
          <t xml:space="preserve">NOVT</t>
        </is>
      </c>
      <c r="E3415" s="0" t="inlineStr">
        <is>
          <t xml:space="preserve">technology</t>
        </is>
      </c>
      <c r="F3415" s="4">
        <v>14</v>
      </c>
    </row>
    <row r="3416">
      <c r="A3416" s="0" t="inlineStr">
        <is>
          <t xml:space="preserve">naive_winner1d_ARQT</t>
        </is>
      </c>
      <c r="B3416" s="0" t="inlineStr">
        <is>
          <t xml:space="preserve">naive_winner1d</t>
        </is>
      </c>
      <c r="C3416" s="0" t="inlineStr">
        <is>
          <t xml:space="preserve">d20260923</t>
        </is>
      </c>
      <c r="D3416" s="0" t="inlineStr">
        <is>
          <t xml:space="preserve">ARQT</t>
        </is>
      </c>
      <c r="E3416" s="0" t="inlineStr">
        <is>
          <t xml:space="preserve">healthcare</t>
        </is>
      </c>
      <c r="F3416" s="4">
        <v>15</v>
      </c>
    </row>
    <row r="3417">
      <c r="A3417" s="0" t="inlineStr">
        <is>
          <t xml:space="preserve">naive_winner1d_TWLO</t>
        </is>
      </c>
      <c r="B3417" s="0" t="inlineStr">
        <is>
          <t xml:space="preserve">naive_winner1d</t>
        </is>
      </c>
      <c r="C3417" s="0" t="inlineStr">
        <is>
          <t xml:space="preserve">d20260923</t>
        </is>
      </c>
      <c r="D3417" s="0" t="inlineStr">
        <is>
          <t xml:space="preserve">TWLO</t>
        </is>
      </c>
      <c r="E3417" s="0" t="inlineStr">
        <is>
          <t xml:space="preserve">technology</t>
        </is>
      </c>
      <c r="F3417" s="4">
        <v>16</v>
      </c>
    </row>
    <row r="3418">
      <c r="A3418" s="0" t="inlineStr">
        <is>
          <t xml:space="preserve">naive_winner1d_CE</t>
        </is>
      </c>
      <c r="B3418" s="0" t="inlineStr">
        <is>
          <t xml:space="preserve">naive_winner1d</t>
        </is>
      </c>
      <c r="C3418" s="0" t="inlineStr">
        <is>
          <t xml:space="preserve">d20260923</t>
        </is>
      </c>
      <c r="D3418" s="0" t="inlineStr">
        <is>
          <t xml:space="preserve">CE</t>
        </is>
      </c>
      <c r="E3418" s="0" t="inlineStr">
        <is>
          <t xml:space="preserve">basic_materials</t>
        </is>
      </c>
      <c r="F3418" s="4">
        <v>17</v>
      </c>
    </row>
    <row r="3419">
      <c r="A3419" s="0" t="inlineStr">
        <is>
          <t xml:space="preserve">naive_winner1d_BTU</t>
        </is>
      </c>
      <c r="B3419" s="0" t="inlineStr">
        <is>
          <t xml:space="preserve">naive_winner1d</t>
        </is>
      </c>
      <c r="C3419" s="0" t="inlineStr">
        <is>
          <t xml:space="preserve">d20260923</t>
        </is>
      </c>
      <c r="D3419" s="0" t="inlineStr">
        <is>
          <t xml:space="preserve">BTU</t>
        </is>
      </c>
      <c r="E3419" s="0" t="inlineStr">
        <is>
          <t xml:space="preserve">energy</t>
        </is>
      </c>
      <c r="F3419" s="4">
        <v>18</v>
      </c>
    </row>
    <row r="3420">
      <c r="A3420" s="0" t="inlineStr">
        <is>
          <t xml:space="preserve">naive_winner1d_SNDK</t>
        </is>
      </c>
      <c r="B3420" s="0" t="inlineStr">
        <is>
          <t xml:space="preserve">naive_winner1d</t>
        </is>
      </c>
      <c r="C3420" s="0" t="inlineStr">
        <is>
          <t xml:space="preserve">d20260923</t>
        </is>
      </c>
      <c r="D3420" s="0" t="inlineStr">
        <is>
          <t xml:space="preserve">SNDK</t>
        </is>
      </c>
      <c r="E3420" s="0" t="inlineStr">
        <is>
          <t xml:space="preserve">technology</t>
        </is>
      </c>
      <c r="F3420" s="4">
        <v>19</v>
      </c>
    </row>
    <row r="3421">
      <c r="A3421" s="0" t="inlineStr">
        <is>
          <t xml:space="preserve">naive_winner1d_ALAB</t>
        </is>
      </c>
      <c r="B3421" s="0" t="inlineStr">
        <is>
          <t xml:space="preserve">naive_winner1d</t>
        </is>
      </c>
      <c r="C3421" s="0" t="inlineStr">
        <is>
          <t xml:space="preserve">d20260923</t>
        </is>
      </c>
      <c r="D3421" s="0" t="inlineStr">
        <is>
          <t xml:space="preserve">ALAB</t>
        </is>
      </c>
      <c r="E3421" s="0" t="inlineStr">
        <is>
          <t xml:space="preserve">technology</t>
        </is>
      </c>
      <c r="F3421" s="4">
        <v>20</v>
      </c>
    </row>
    <row r="3422">
      <c r="A3422" s="0" t="inlineStr">
        <is>
          <t xml:space="preserve">naive_winner1d_BHE</t>
        </is>
      </c>
      <c r="B3422" s="0" t="inlineStr">
        <is>
          <t xml:space="preserve">naive_winner1d</t>
        </is>
      </c>
      <c r="C3422" s="0" t="inlineStr">
        <is>
          <t xml:space="preserve">d20260923</t>
        </is>
      </c>
      <c r="D3422" s="0" t="inlineStr">
        <is>
          <t xml:space="preserve">BHE</t>
        </is>
      </c>
      <c r="E3422" s="0" t="inlineStr">
        <is>
          <t xml:space="preserve">technology</t>
        </is>
      </c>
      <c r="F3422" s="4">
        <v>21</v>
      </c>
    </row>
    <row r="3423">
      <c r="A3423" s="0" t="inlineStr">
        <is>
          <t xml:space="preserve">naive_winner1d_PS</t>
        </is>
      </c>
      <c r="B3423" s="0" t="inlineStr">
        <is>
          <t xml:space="preserve">naive_winner1d</t>
        </is>
      </c>
      <c r="C3423" s="0" t="inlineStr">
        <is>
          <t xml:space="preserve">d20260923</t>
        </is>
      </c>
      <c r="D3423" s="0" t="inlineStr">
        <is>
          <t xml:space="preserve">PS</t>
        </is>
      </c>
      <c r="E3423" s="0" t="inlineStr">
        <is>
          <t xml:space="preserve">financial_services</t>
        </is>
      </c>
      <c r="F3423" s="4">
        <v>22</v>
      </c>
    </row>
    <row r="3424">
      <c r="A3424" s="0" t="inlineStr">
        <is>
          <t xml:space="preserve">naive_winner1d_COHU</t>
        </is>
      </c>
      <c r="B3424" s="0" t="inlineStr">
        <is>
          <t xml:space="preserve">naive_winner1d</t>
        </is>
      </c>
      <c r="C3424" s="0" t="inlineStr">
        <is>
          <t xml:space="preserve">d20260923</t>
        </is>
      </c>
      <c r="D3424" s="0" t="inlineStr">
        <is>
          <t xml:space="preserve">COHU</t>
        </is>
      </c>
      <c r="E3424" s="0" t="inlineStr">
        <is>
          <t xml:space="preserve">technology</t>
        </is>
      </c>
      <c r="F3424" s="4">
        <v>23</v>
      </c>
    </row>
    <row r="3425">
      <c r="A3425" s="0" t="inlineStr">
        <is>
          <t xml:space="preserve">naive_winner1d_LEN</t>
        </is>
      </c>
      <c r="B3425" s="0" t="inlineStr">
        <is>
          <t xml:space="preserve">naive_winner1d</t>
        </is>
      </c>
      <c r="C3425" s="0" t="inlineStr">
        <is>
          <t xml:space="preserve">d20260923</t>
        </is>
      </c>
      <c r="D3425" s="0" t="inlineStr">
        <is>
          <t xml:space="preserve">LEN</t>
        </is>
      </c>
      <c r="E3425" s="0" t="inlineStr">
        <is>
          <t xml:space="preserve">consumer_cyclical</t>
        </is>
      </c>
      <c r="F3425" s="4">
        <v>24</v>
      </c>
    </row>
    <row r="3426">
      <c r="A3426" s="0" t="inlineStr">
        <is>
          <t xml:space="preserve">naive_winner1d_RLAY</t>
        </is>
      </c>
      <c r="B3426" s="0" t="inlineStr">
        <is>
          <t xml:space="preserve">naive_winner1d</t>
        </is>
      </c>
      <c r="C3426" s="0" t="inlineStr">
        <is>
          <t xml:space="preserve">d20260923</t>
        </is>
      </c>
      <c r="D3426" s="0" t="inlineStr">
        <is>
          <t xml:space="preserve">RLAY</t>
        </is>
      </c>
      <c r="E3426" s="0" t="inlineStr">
        <is>
          <t xml:space="preserve">healthcare</t>
        </is>
      </c>
      <c r="F3426" s="4">
        <v>25</v>
      </c>
    </row>
    <row r="3427">
      <c r="A3427" s="0" t="inlineStr">
        <is>
          <t xml:space="preserve">naive_winner1d_SRRK</t>
        </is>
      </c>
      <c r="B3427" s="0" t="inlineStr">
        <is>
          <t xml:space="preserve">naive_winner1d</t>
        </is>
      </c>
      <c r="C3427" s="0" t="inlineStr">
        <is>
          <t xml:space="preserve">d20260923</t>
        </is>
      </c>
      <c r="D3427" s="0" t="inlineStr">
        <is>
          <t xml:space="preserve">SRRK</t>
        </is>
      </c>
      <c r="E3427" s="0" t="inlineStr">
        <is>
          <t xml:space="preserve">healthcare</t>
        </is>
      </c>
      <c r="F3427" s="4">
        <v>26</v>
      </c>
    </row>
    <row r="3428">
      <c r="A3428" s="0" t="inlineStr">
        <is>
          <t xml:space="preserve">naive_winner1d_VERA</t>
        </is>
      </c>
      <c r="B3428" s="0" t="inlineStr">
        <is>
          <t xml:space="preserve">naive_winner1d</t>
        </is>
      </c>
      <c r="C3428" s="0" t="inlineStr">
        <is>
          <t xml:space="preserve">d20260923</t>
        </is>
      </c>
      <c r="D3428" s="0" t="inlineStr">
        <is>
          <t xml:space="preserve">VERA</t>
        </is>
      </c>
      <c r="E3428" s="0" t="inlineStr">
        <is>
          <t xml:space="preserve">healthcare</t>
        </is>
      </c>
      <c r="F3428" s="4">
        <v>27</v>
      </c>
    </row>
    <row r="3429">
      <c r="A3429" s="0" t="inlineStr">
        <is>
          <t xml:space="preserve">naive_winner1d_CXT</t>
        </is>
      </c>
      <c r="B3429" s="0" t="inlineStr">
        <is>
          <t xml:space="preserve">naive_winner1d</t>
        </is>
      </c>
      <c r="C3429" s="0" t="inlineStr">
        <is>
          <t xml:space="preserve">d20260923</t>
        </is>
      </c>
      <c r="D3429" s="0" t="inlineStr">
        <is>
          <t xml:space="preserve">CXT</t>
        </is>
      </c>
      <c r="E3429" s="0" t="inlineStr">
        <is>
          <t xml:space="preserve">industrials</t>
        </is>
      </c>
      <c r="F3429" s="4">
        <v>28</v>
      </c>
    </row>
    <row r="3430">
      <c r="A3430" s="0" t="inlineStr">
        <is>
          <t xml:space="preserve">naive_winner1d_DIOD</t>
        </is>
      </c>
      <c r="B3430" s="0" t="inlineStr">
        <is>
          <t xml:space="preserve">naive_winner1d</t>
        </is>
      </c>
      <c r="C3430" s="0" t="inlineStr">
        <is>
          <t xml:space="preserve">d20260923</t>
        </is>
      </c>
      <c r="D3430" s="0" t="inlineStr">
        <is>
          <t xml:space="preserve">DIOD</t>
        </is>
      </c>
      <c r="E3430" s="0" t="inlineStr">
        <is>
          <t xml:space="preserve">technology</t>
        </is>
      </c>
      <c r="F3430" s="4">
        <v>29</v>
      </c>
    </row>
    <row r="3431">
      <c r="A3431" s="0" t="inlineStr">
        <is>
          <t xml:space="preserve">naive_winner1d_SLS</t>
        </is>
      </c>
      <c r="B3431" s="0" t="inlineStr">
        <is>
          <t xml:space="preserve">naive_winner1d</t>
        </is>
      </c>
      <c r="C3431" s="0" t="inlineStr">
        <is>
          <t xml:space="preserve">d20260923</t>
        </is>
      </c>
      <c r="D3431" s="0" t="inlineStr">
        <is>
          <t xml:space="preserve">SLS</t>
        </is>
      </c>
      <c r="E3431" s="0" t="inlineStr">
        <is>
          <t xml:space="preserve">healthcare</t>
        </is>
      </c>
      <c r="F3431" s="4">
        <v>30</v>
      </c>
    </row>
    <row r="3432">
      <c r="A3432" s="0" t="inlineStr">
        <is>
          <t xml:space="preserve">naive_winner1d_XMTR</t>
        </is>
      </c>
      <c r="B3432" s="0" t="inlineStr">
        <is>
          <t xml:space="preserve">naive_winner1d</t>
        </is>
      </c>
      <c r="C3432" s="0" t="inlineStr">
        <is>
          <t xml:space="preserve">d20260923</t>
        </is>
      </c>
      <c r="D3432" s="0" t="inlineStr">
        <is>
          <t xml:space="preserve">XMTR</t>
        </is>
      </c>
      <c r="E3432" s="0" t="inlineStr">
        <is>
          <t xml:space="preserve">industrials</t>
        </is>
      </c>
      <c r="F3432" s="4">
        <v>31</v>
      </c>
    </row>
    <row r="3433">
      <c r="A3433" s="0" t="inlineStr">
        <is>
          <t xml:space="preserve">naive_winner1d_FORM</t>
        </is>
      </c>
      <c r="B3433" s="0" t="inlineStr">
        <is>
          <t xml:space="preserve">naive_winner1d</t>
        </is>
      </c>
      <c r="C3433" s="0" t="inlineStr">
        <is>
          <t xml:space="preserve">d20260923</t>
        </is>
      </c>
      <c r="D3433" s="0" t="inlineStr">
        <is>
          <t xml:space="preserve">FORM</t>
        </is>
      </c>
      <c r="E3433" s="0" t="inlineStr">
        <is>
          <t xml:space="preserve">technology</t>
        </is>
      </c>
      <c r="F3433" s="4">
        <v>32</v>
      </c>
    </row>
    <row r="3434">
      <c r="A3434" s="0" t="inlineStr">
        <is>
          <t xml:space="preserve">naive_winner1d_OUST</t>
        </is>
      </c>
      <c r="B3434" s="0" t="inlineStr">
        <is>
          <t xml:space="preserve">naive_winner1d</t>
        </is>
      </c>
      <c r="C3434" s="0" t="inlineStr">
        <is>
          <t xml:space="preserve">d20260923</t>
        </is>
      </c>
      <c r="D3434" s="0" t="inlineStr">
        <is>
          <t xml:space="preserve">OUST</t>
        </is>
      </c>
      <c r="E3434" s="0" t="inlineStr">
        <is>
          <t xml:space="preserve">technology</t>
        </is>
      </c>
      <c r="F3434" s="4">
        <v>33</v>
      </c>
    </row>
    <row r="3435">
      <c r="A3435" s="0" t="inlineStr">
        <is>
          <t xml:space="preserve">naive_winner1d_GME</t>
        </is>
      </c>
      <c r="B3435" s="0" t="inlineStr">
        <is>
          <t xml:space="preserve">naive_winner1d</t>
        </is>
      </c>
      <c r="C3435" s="0" t="inlineStr">
        <is>
          <t xml:space="preserve">d20260923</t>
        </is>
      </c>
      <c r="D3435" s="0" t="inlineStr">
        <is>
          <t xml:space="preserve">GME</t>
        </is>
      </c>
      <c r="E3435" s="0" t="inlineStr">
        <is>
          <t xml:space="preserve">consumer_cyclical</t>
        </is>
      </c>
      <c r="F3435" s="4">
        <v>34</v>
      </c>
    </row>
    <row r="3436">
      <c r="A3436" s="0" t="inlineStr">
        <is>
          <t xml:space="preserve">naive_winner1d_ENTG</t>
        </is>
      </c>
      <c r="B3436" s="0" t="inlineStr">
        <is>
          <t xml:space="preserve">naive_winner1d</t>
        </is>
      </c>
      <c r="C3436" s="0" t="inlineStr">
        <is>
          <t xml:space="preserve">d20260923</t>
        </is>
      </c>
      <c r="D3436" s="0" t="inlineStr">
        <is>
          <t xml:space="preserve">ENTG</t>
        </is>
      </c>
      <c r="E3436" s="0" t="inlineStr">
        <is>
          <t xml:space="preserve">technology</t>
        </is>
      </c>
      <c r="F3436" s="4">
        <v>35</v>
      </c>
    </row>
    <row r="3437">
      <c r="A3437" s="0" t="inlineStr">
        <is>
          <t xml:space="preserve">naive_winner1d_MRNA</t>
        </is>
      </c>
      <c r="B3437" s="0" t="inlineStr">
        <is>
          <t xml:space="preserve">naive_winner1d</t>
        </is>
      </c>
      <c r="C3437" s="0" t="inlineStr">
        <is>
          <t xml:space="preserve">d20260923</t>
        </is>
      </c>
      <c r="D3437" s="0" t="inlineStr">
        <is>
          <t xml:space="preserve">MRNA</t>
        </is>
      </c>
      <c r="E3437" s="0" t="inlineStr">
        <is>
          <t xml:space="preserve">healthcare</t>
        </is>
      </c>
      <c r="F3437" s="4">
        <v>36</v>
      </c>
    </row>
    <row r="3438">
      <c r="A3438" s="0" t="inlineStr">
        <is>
          <t xml:space="preserve">naive_winner1d_DNLI</t>
        </is>
      </c>
      <c r="B3438" s="0" t="inlineStr">
        <is>
          <t xml:space="preserve">naive_winner1d</t>
        </is>
      </c>
      <c r="C3438" s="0" t="inlineStr">
        <is>
          <t xml:space="preserve">d20260923</t>
        </is>
      </c>
      <c r="D3438" s="0" t="inlineStr">
        <is>
          <t xml:space="preserve">DNLI</t>
        </is>
      </c>
      <c r="E3438" s="0" t="inlineStr">
        <is>
          <t xml:space="preserve">healthcare</t>
        </is>
      </c>
      <c r="F3438" s="4">
        <v>37</v>
      </c>
    </row>
    <row r="3439">
      <c r="A3439" s="0" t="inlineStr">
        <is>
          <t xml:space="preserve">naive_winner1d_THO</t>
        </is>
      </c>
      <c r="B3439" s="0" t="inlineStr">
        <is>
          <t xml:space="preserve">naive_winner1d</t>
        </is>
      </c>
      <c r="C3439" s="0" t="inlineStr">
        <is>
          <t xml:space="preserve">d20260923</t>
        </is>
      </c>
      <c r="D3439" s="0" t="inlineStr">
        <is>
          <t xml:space="preserve">THO</t>
        </is>
      </c>
      <c r="E3439" s="0" t="inlineStr">
        <is>
          <t xml:space="preserve">consumer_cyclical</t>
        </is>
      </c>
      <c r="F3439" s="4">
        <v>38</v>
      </c>
    </row>
    <row r="3440">
      <c r="A3440" s="0" t="inlineStr">
        <is>
          <t xml:space="preserve">naive_winner1d_BETA</t>
        </is>
      </c>
      <c r="B3440" s="0" t="inlineStr">
        <is>
          <t xml:space="preserve">naive_winner1d</t>
        </is>
      </c>
      <c r="C3440" s="0" t="inlineStr">
        <is>
          <t xml:space="preserve">d20260923</t>
        </is>
      </c>
      <c r="D3440" s="0" t="inlineStr">
        <is>
          <t xml:space="preserve">BETA</t>
        </is>
      </c>
      <c r="E3440" s="0" t="inlineStr">
        <is>
          <t xml:space="preserve">industrials</t>
        </is>
      </c>
      <c r="F3440" s="4">
        <v>39</v>
      </c>
    </row>
    <row r="3441">
      <c r="A3441" s="0" t="inlineStr">
        <is>
          <t xml:space="preserve">naive_winner1d_SHAZ</t>
        </is>
      </c>
      <c r="B3441" s="0" t="inlineStr">
        <is>
          <t xml:space="preserve">naive_winner1d</t>
        </is>
      </c>
      <c r="C3441" s="0" t="inlineStr">
        <is>
          <t xml:space="preserve">d20260923</t>
        </is>
      </c>
      <c r="D3441" s="0" t="inlineStr">
        <is>
          <t xml:space="preserve">SHAZ</t>
        </is>
      </c>
      <c r="E3441" s="0" t="inlineStr">
        <is>
          <t xml:space="preserve">technology</t>
        </is>
      </c>
      <c r="F3441" s="4">
        <v>40</v>
      </c>
    </row>
    <row r="3442">
      <c r="A3442" s="0" t="inlineStr">
        <is>
          <t xml:space="preserve">naive_winner1d_NTRA</t>
        </is>
      </c>
      <c r="B3442" s="0" t="inlineStr">
        <is>
          <t xml:space="preserve">naive_winner1d</t>
        </is>
      </c>
      <c r="C3442" s="0" t="inlineStr">
        <is>
          <t xml:space="preserve">d20260923</t>
        </is>
      </c>
      <c r="D3442" s="0" t="inlineStr">
        <is>
          <t xml:space="preserve">NTRA</t>
        </is>
      </c>
      <c r="E3442" s="0" t="inlineStr">
        <is>
          <t xml:space="preserve">healthcare</t>
        </is>
      </c>
      <c r="F3442" s="4">
        <v>41</v>
      </c>
    </row>
    <row r="3443">
      <c r="A3443" s="0" t="inlineStr">
        <is>
          <t xml:space="preserve">naive_winner1d_ESI</t>
        </is>
      </c>
      <c r="B3443" s="0" t="inlineStr">
        <is>
          <t xml:space="preserve">naive_winner1d</t>
        </is>
      </c>
      <c r="C3443" s="0" t="inlineStr">
        <is>
          <t xml:space="preserve">d20260923</t>
        </is>
      </c>
      <c r="D3443" s="0" t="inlineStr">
        <is>
          <t xml:space="preserve">ESI</t>
        </is>
      </c>
      <c r="E3443" s="0" t="inlineStr">
        <is>
          <t xml:space="preserve">basic_materials</t>
        </is>
      </c>
      <c r="F3443" s="4">
        <v>42</v>
      </c>
    </row>
    <row r="3444">
      <c r="A3444" s="0" t="inlineStr">
        <is>
          <t xml:space="preserve">naive_winner1d_SAIL</t>
        </is>
      </c>
      <c r="B3444" s="0" t="inlineStr">
        <is>
          <t xml:space="preserve">naive_winner1d</t>
        </is>
      </c>
      <c r="C3444" s="0" t="inlineStr">
        <is>
          <t xml:space="preserve">d20260923</t>
        </is>
      </c>
      <c r="D3444" s="0" t="inlineStr">
        <is>
          <t xml:space="preserve">SAIL</t>
        </is>
      </c>
      <c r="E3444" s="0" t="inlineStr">
        <is>
          <t xml:space="preserve">technology</t>
        </is>
      </c>
      <c r="F3444" s="4">
        <v>43</v>
      </c>
    </row>
    <row r="3445">
      <c r="A3445" s="0" t="inlineStr">
        <is>
          <t xml:space="preserve">naive_winner1d_FIGR</t>
        </is>
      </c>
      <c r="B3445" s="0" t="inlineStr">
        <is>
          <t xml:space="preserve">naive_winner1d</t>
        </is>
      </c>
      <c r="C3445" s="0" t="inlineStr">
        <is>
          <t xml:space="preserve">d20260923</t>
        </is>
      </c>
      <c r="D3445" s="0" t="inlineStr">
        <is>
          <t xml:space="preserve">FIGR</t>
        </is>
      </c>
      <c r="E3445" s="0" t="inlineStr">
        <is>
          <t xml:space="preserve">financial_services</t>
        </is>
      </c>
      <c r="F3445" s="4">
        <v>44</v>
      </c>
    </row>
    <row r="3446">
      <c r="A3446" s="0" t="inlineStr">
        <is>
          <t xml:space="preserve">naive_winner1d_OCUL</t>
        </is>
      </c>
      <c r="B3446" s="0" t="inlineStr">
        <is>
          <t xml:space="preserve">naive_winner1d</t>
        </is>
      </c>
      <c r="C3446" s="0" t="inlineStr">
        <is>
          <t xml:space="preserve">d20260923</t>
        </is>
      </c>
      <c r="D3446" s="0" t="inlineStr">
        <is>
          <t xml:space="preserve">OCUL</t>
        </is>
      </c>
      <c r="E3446" s="0" t="inlineStr">
        <is>
          <t xml:space="preserve">healthcare</t>
        </is>
      </c>
      <c r="F3446" s="4">
        <v>45</v>
      </c>
    </row>
    <row r="3447">
      <c r="A3447" s="0" t="inlineStr">
        <is>
          <t xml:space="preserve">naive_winner1d_KRYS</t>
        </is>
      </c>
      <c r="B3447" s="0" t="inlineStr">
        <is>
          <t xml:space="preserve">naive_winner1d</t>
        </is>
      </c>
      <c r="C3447" s="0" t="inlineStr">
        <is>
          <t xml:space="preserve">d20260923</t>
        </is>
      </c>
      <c r="D3447" s="0" t="inlineStr">
        <is>
          <t xml:space="preserve">KRYS</t>
        </is>
      </c>
      <c r="E3447" s="0" t="inlineStr">
        <is>
          <t xml:space="preserve">healthcare</t>
        </is>
      </c>
      <c r="F3447" s="4">
        <v>46</v>
      </c>
    </row>
    <row r="3448">
      <c r="A3448" s="0" t="inlineStr">
        <is>
          <t xml:space="preserve">naive_winner1d_MDB</t>
        </is>
      </c>
      <c r="B3448" s="0" t="inlineStr">
        <is>
          <t xml:space="preserve">naive_winner1d</t>
        </is>
      </c>
      <c r="C3448" s="0" t="inlineStr">
        <is>
          <t xml:space="preserve">d20260923</t>
        </is>
      </c>
      <c r="D3448" s="0" t="inlineStr">
        <is>
          <t xml:space="preserve">MDB</t>
        </is>
      </c>
      <c r="E3448" s="0" t="inlineStr">
        <is>
          <t xml:space="preserve">technology</t>
        </is>
      </c>
      <c r="F3448" s="4">
        <v>47</v>
      </c>
    </row>
    <row r="3449">
      <c r="A3449" s="0" t="inlineStr">
        <is>
          <t xml:space="preserve">naive_winner1d_MU</t>
        </is>
      </c>
      <c r="B3449" s="0" t="inlineStr">
        <is>
          <t xml:space="preserve">naive_winner1d</t>
        </is>
      </c>
      <c r="C3449" s="0" t="inlineStr">
        <is>
          <t xml:space="preserve">d20260923</t>
        </is>
      </c>
      <c r="D3449" s="0" t="inlineStr">
        <is>
          <t xml:space="preserve">MU</t>
        </is>
      </c>
      <c r="E3449" s="0" t="inlineStr">
        <is>
          <t xml:space="preserve">technology</t>
        </is>
      </c>
      <c r="F3449" s="4">
        <v>48</v>
      </c>
    </row>
    <row r="3450">
      <c r="A3450" s="0" t="inlineStr">
        <is>
          <t xml:space="preserve">naive_winner1d_CDE</t>
        </is>
      </c>
      <c r="B3450" s="0" t="inlineStr">
        <is>
          <t xml:space="preserve">naive_winner1d</t>
        </is>
      </c>
      <c r="C3450" s="0" t="inlineStr">
        <is>
          <t xml:space="preserve">d20260923</t>
        </is>
      </c>
      <c r="D3450" s="0" t="inlineStr">
        <is>
          <t xml:space="preserve">CDE</t>
        </is>
      </c>
      <c r="E3450" s="0" t="inlineStr">
        <is>
          <t xml:space="preserve">basic_materials</t>
        </is>
      </c>
      <c r="F3450" s="4">
        <v>49</v>
      </c>
    </row>
    <row r="3451">
      <c r="A3451" s="0" t="inlineStr">
        <is>
          <t xml:space="preserve">naive_winner1d_CELH</t>
        </is>
      </c>
      <c r="B3451" s="0" t="inlineStr">
        <is>
          <t xml:space="preserve">naive_winner1d</t>
        </is>
      </c>
      <c r="C3451" s="0" t="inlineStr">
        <is>
          <t xml:space="preserve">d20260923</t>
        </is>
      </c>
      <c r="D3451" s="0" t="inlineStr">
        <is>
          <t xml:space="preserve">CELH</t>
        </is>
      </c>
      <c r="E3451" s="0" t="inlineStr">
        <is>
          <t xml:space="preserve">consumer_defensive</t>
        </is>
      </c>
      <c r="F3451" s="4">
        <v>50</v>
      </c>
    </row>
    <row r="3452">
      <c r="A3452" s="0" t="inlineStr">
        <is>
          <t xml:space="preserve">naive_winner1d_UCTT</t>
        </is>
      </c>
      <c r="B3452" s="0" t="inlineStr">
        <is>
          <t xml:space="preserve">naive_winner1d</t>
        </is>
      </c>
      <c r="C3452" s="0" t="inlineStr">
        <is>
          <t xml:space="preserve">d20260923</t>
        </is>
      </c>
      <c r="D3452" s="0" t="inlineStr">
        <is>
          <t xml:space="preserve">UCTT</t>
        </is>
      </c>
      <c r="E3452" s="0" t="inlineStr">
        <is>
          <t xml:space="preserve">technology</t>
        </is>
      </c>
      <c r="F3452" s="4">
        <v>51</v>
      </c>
    </row>
    <row r="3453">
      <c r="A3453" s="0" t="inlineStr">
        <is>
          <t xml:space="preserve">naive_winner1d_ACHR</t>
        </is>
      </c>
      <c r="B3453" s="0" t="inlineStr">
        <is>
          <t xml:space="preserve">naive_winner1d</t>
        </is>
      </c>
      <c r="C3453" s="0" t="inlineStr">
        <is>
          <t xml:space="preserve">d20260923</t>
        </is>
      </c>
      <c r="D3453" s="0" t="inlineStr">
        <is>
          <t xml:space="preserve">ACHR</t>
        </is>
      </c>
      <c r="E3453" s="0" t="inlineStr">
        <is>
          <t xml:space="preserve">industrials</t>
        </is>
      </c>
      <c r="F3453" s="4">
        <v>52</v>
      </c>
    </row>
    <row r="3454">
      <c r="A3454" s="0" t="inlineStr">
        <is>
          <t xml:space="preserve">naive_winner1d_QXO</t>
        </is>
      </c>
      <c r="B3454" s="0" t="inlineStr">
        <is>
          <t xml:space="preserve">naive_winner1d</t>
        </is>
      </c>
      <c r="C3454" s="0" t="inlineStr">
        <is>
          <t xml:space="preserve">d20260923</t>
        </is>
      </c>
      <c r="D3454" s="0" t="inlineStr">
        <is>
          <t xml:space="preserve">QXO</t>
        </is>
      </c>
      <c r="E3454" s="0" t="inlineStr">
        <is>
          <t xml:space="preserve">industrials</t>
        </is>
      </c>
      <c r="F3454" s="4">
        <v>53</v>
      </c>
    </row>
    <row r="3455">
      <c r="A3455" s="0" t="inlineStr">
        <is>
          <t xml:space="preserve">naive_winner1d_MANE</t>
        </is>
      </c>
      <c r="B3455" s="0" t="inlineStr">
        <is>
          <t xml:space="preserve">naive_winner1d</t>
        </is>
      </c>
      <c r="C3455" s="0" t="inlineStr">
        <is>
          <t xml:space="preserve">d20260923</t>
        </is>
      </c>
      <c r="D3455" s="0" t="inlineStr">
        <is>
          <t xml:space="preserve">MANE</t>
        </is>
      </c>
      <c r="E3455" s="0" t="inlineStr">
        <is>
          <t xml:space="preserve">healthcare</t>
        </is>
      </c>
      <c r="F3455" s="4">
        <v>54</v>
      </c>
    </row>
    <row r="3456">
      <c r="A3456" s="0" t="inlineStr">
        <is>
          <t xml:space="preserve">naive_winner1d_IBP</t>
        </is>
      </c>
      <c r="B3456" s="0" t="inlineStr">
        <is>
          <t xml:space="preserve">naive_winner1d</t>
        </is>
      </c>
      <c r="C3456" s="0" t="inlineStr">
        <is>
          <t xml:space="preserve">d20260923</t>
        </is>
      </c>
      <c r="D3456" s="0" t="inlineStr">
        <is>
          <t xml:space="preserve">IBP</t>
        </is>
      </c>
      <c r="E3456" s="0" t="inlineStr">
        <is>
          <t xml:space="preserve">consumer_cyclical</t>
        </is>
      </c>
      <c r="F3456" s="4">
        <v>55</v>
      </c>
    </row>
    <row r="3457">
      <c r="A3457" s="0" t="inlineStr">
        <is>
          <t xml:space="preserve">naive_winner1d_SSRM</t>
        </is>
      </c>
      <c r="B3457" s="0" t="inlineStr">
        <is>
          <t xml:space="preserve">naive_winner1d</t>
        </is>
      </c>
      <c r="C3457" s="0" t="inlineStr">
        <is>
          <t xml:space="preserve">d20260923</t>
        </is>
      </c>
      <c r="D3457" s="0" t="inlineStr">
        <is>
          <t xml:space="preserve">SSRM</t>
        </is>
      </c>
      <c r="E3457" s="0" t="inlineStr">
        <is>
          <t xml:space="preserve">basic_materials</t>
        </is>
      </c>
      <c r="F3457" s="4">
        <v>56</v>
      </c>
    </row>
    <row r="3458">
      <c r="A3458" s="0" t="inlineStr">
        <is>
          <t xml:space="preserve">naive_winner1d_ONDS</t>
        </is>
      </c>
      <c r="B3458" s="0" t="inlineStr">
        <is>
          <t xml:space="preserve">naive_winner1d</t>
        </is>
      </c>
      <c r="C3458" s="0" t="inlineStr">
        <is>
          <t xml:space="preserve">d20260923</t>
        </is>
      </c>
      <c r="D3458" s="0" t="inlineStr">
        <is>
          <t xml:space="preserve">ONDS</t>
        </is>
      </c>
      <c r="E3458" s="0" t="inlineStr">
        <is>
          <t xml:space="preserve">technology</t>
        </is>
      </c>
      <c r="F3458" s="4">
        <v>57</v>
      </c>
    </row>
    <row r="3459">
      <c r="A3459" s="0" t="inlineStr">
        <is>
          <t xml:space="preserve">naive_winner1d_AMKR</t>
        </is>
      </c>
      <c r="B3459" s="0" t="inlineStr">
        <is>
          <t xml:space="preserve">naive_winner1d</t>
        </is>
      </c>
      <c r="C3459" s="0" t="inlineStr">
        <is>
          <t xml:space="preserve">d20260923</t>
        </is>
      </c>
      <c r="D3459" s="0" t="inlineStr">
        <is>
          <t xml:space="preserve">AMKR</t>
        </is>
      </c>
      <c r="E3459" s="0" t="inlineStr">
        <is>
          <t xml:space="preserve">technology</t>
        </is>
      </c>
      <c r="F3459" s="4">
        <v>58</v>
      </c>
    </row>
    <row r="3460">
      <c r="A3460" s="0" t="inlineStr">
        <is>
          <t xml:space="preserve">naive_winner1d_LPX</t>
        </is>
      </c>
      <c r="B3460" s="0" t="inlineStr">
        <is>
          <t xml:space="preserve">naive_winner1d</t>
        </is>
      </c>
      <c r="C3460" s="0" t="inlineStr">
        <is>
          <t xml:space="preserve">d20260923</t>
        </is>
      </c>
      <c r="D3460" s="0" t="inlineStr">
        <is>
          <t xml:space="preserve">LPX</t>
        </is>
      </c>
      <c r="E3460" s="0" t="inlineStr">
        <is>
          <t xml:space="preserve">basic_materials</t>
        </is>
      </c>
      <c r="F3460" s="4">
        <v>59</v>
      </c>
    </row>
    <row r="3461">
      <c r="A3461" s="0" t="inlineStr">
        <is>
          <t xml:space="preserve">naive_winner1d_PPTA</t>
        </is>
      </c>
      <c r="B3461" s="0" t="inlineStr">
        <is>
          <t xml:space="preserve">naive_winner1d</t>
        </is>
      </c>
      <c r="C3461" s="0" t="inlineStr">
        <is>
          <t xml:space="preserve">d20260923</t>
        </is>
      </c>
      <c r="D3461" s="0" t="inlineStr">
        <is>
          <t xml:space="preserve">PPTA</t>
        </is>
      </c>
      <c r="E3461" s="0" t="inlineStr">
        <is>
          <t xml:space="preserve">basic_materials</t>
        </is>
      </c>
      <c r="F3461" s="4">
        <v>60</v>
      </c>
    </row>
    <row r="3462">
      <c r="A3462" s="0" t="inlineStr">
        <is>
          <t xml:space="preserve">naive_winner1d_LSCC</t>
        </is>
      </c>
      <c r="B3462" s="0" t="inlineStr">
        <is>
          <t xml:space="preserve">naive_winner1d</t>
        </is>
      </c>
      <c r="C3462" s="0" t="inlineStr">
        <is>
          <t xml:space="preserve">d20260923</t>
        </is>
      </c>
      <c r="D3462" s="0" t="inlineStr">
        <is>
          <t xml:space="preserve">LSCC</t>
        </is>
      </c>
      <c r="E3462" s="0" t="inlineStr">
        <is>
          <t xml:space="preserve">technology</t>
        </is>
      </c>
      <c r="F3462" s="4">
        <v>61</v>
      </c>
    </row>
    <row r="3463">
      <c r="A3463" s="0" t="inlineStr">
        <is>
          <t xml:space="preserve">naive_winner1d_TER</t>
        </is>
      </c>
      <c r="B3463" s="0" t="inlineStr">
        <is>
          <t xml:space="preserve">naive_winner1d</t>
        </is>
      </c>
      <c r="C3463" s="0" t="inlineStr">
        <is>
          <t xml:space="preserve">d20260923</t>
        </is>
      </c>
      <c r="D3463" s="0" t="inlineStr">
        <is>
          <t xml:space="preserve">TER</t>
        </is>
      </c>
      <c r="E3463" s="0" t="inlineStr">
        <is>
          <t xml:space="preserve">technology</t>
        </is>
      </c>
      <c r="F3463" s="4">
        <v>62</v>
      </c>
    </row>
    <row r="3464">
      <c r="A3464" s="0" t="inlineStr">
        <is>
          <t xml:space="preserve">naive_winner1d_ARWR</t>
        </is>
      </c>
      <c r="B3464" s="0" t="inlineStr">
        <is>
          <t xml:space="preserve">naive_winner1d</t>
        </is>
      </c>
      <c r="C3464" s="0" t="inlineStr">
        <is>
          <t xml:space="preserve">d20260923</t>
        </is>
      </c>
      <c r="D3464" s="0" t="inlineStr">
        <is>
          <t xml:space="preserve">ARWR</t>
        </is>
      </c>
      <c r="E3464" s="0" t="inlineStr">
        <is>
          <t xml:space="preserve">healthcare</t>
        </is>
      </c>
      <c r="F3464" s="4">
        <v>63</v>
      </c>
    </row>
    <row r="3465">
      <c r="A3465" s="0" t="inlineStr">
        <is>
          <t xml:space="preserve">naive_winner1d_VCYT</t>
        </is>
      </c>
      <c r="B3465" s="0" t="inlineStr">
        <is>
          <t xml:space="preserve">naive_winner1d</t>
        </is>
      </c>
      <c r="C3465" s="0" t="inlineStr">
        <is>
          <t xml:space="preserve">d20260923</t>
        </is>
      </c>
      <c r="D3465" s="0" t="inlineStr">
        <is>
          <t xml:space="preserve">VCYT</t>
        </is>
      </c>
      <c r="E3465" s="0" t="inlineStr">
        <is>
          <t xml:space="preserve">healthcare</t>
        </is>
      </c>
      <c r="F3465" s="4">
        <v>64</v>
      </c>
    </row>
    <row r="3466">
      <c r="A3466" s="0" t="inlineStr">
        <is>
          <t xml:space="preserve">naive_winner1d_FIVN</t>
        </is>
      </c>
      <c r="B3466" s="0" t="inlineStr">
        <is>
          <t xml:space="preserve">naive_winner1d</t>
        </is>
      </c>
      <c r="C3466" s="0" t="inlineStr">
        <is>
          <t xml:space="preserve">d20260923</t>
        </is>
      </c>
      <c r="D3466" s="0" t="inlineStr">
        <is>
          <t xml:space="preserve">FIVN</t>
        </is>
      </c>
      <c r="E3466" s="0" t="inlineStr">
        <is>
          <t xml:space="preserve">technology</t>
        </is>
      </c>
      <c r="F3466" s="4">
        <v>65</v>
      </c>
    </row>
    <row r="3467">
      <c r="A3467" s="0" t="inlineStr">
        <is>
          <t xml:space="preserve">naive_winner1d_BHVN</t>
        </is>
      </c>
      <c r="B3467" s="0" t="inlineStr">
        <is>
          <t xml:space="preserve">naive_winner1d</t>
        </is>
      </c>
      <c r="C3467" s="0" t="inlineStr">
        <is>
          <t xml:space="preserve">d20260923</t>
        </is>
      </c>
      <c r="D3467" s="0" t="inlineStr">
        <is>
          <t xml:space="preserve">BHVN</t>
        </is>
      </c>
      <c r="E3467" s="0" t="inlineStr">
        <is>
          <t xml:space="preserve">healthcare</t>
        </is>
      </c>
      <c r="F3467" s="4">
        <v>66</v>
      </c>
    </row>
    <row r="3468">
      <c r="A3468" s="0" t="inlineStr">
        <is>
          <t xml:space="preserve">naive_winner1d_ELF</t>
        </is>
      </c>
      <c r="B3468" s="0" t="inlineStr">
        <is>
          <t xml:space="preserve">naive_winner1d</t>
        </is>
      </c>
      <c r="C3468" s="0" t="inlineStr">
        <is>
          <t xml:space="preserve">d20260923</t>
        </is>
      </c>
      <c r="D3468" s="0" t="inlineStr">
        <is>
          <t xml:space="preserve">ELF</t>
        </is>
      </c>
      <c r="E3468" s="0" t="inlineStr">
        <is>
          <t xml:space="preserve">consumer_defensive</t>
        </is>
      </c>
      <c r="F3468" s="4">
        <v>67</v>
      </c>
    </row>
    <row r="3469">
      <c r="A3469" s="0" t="inlineStr">
        <is>
          <t xml:space="preserve">naive_winner1d_IOVA</t>
        </is>
      </c>
      <c r="B3469" s="0" t="inlineStr">
        <is>
          <t xml:space="preserve">naive_winner1d</t>
        </is>
      </c>
      <c r="C3469" s="0" t="inlineStr">
        <is>
          <t xml:space="preserve">d20260923</t>
        </is>
      </c>
      <c r="D3469" s="0" t="inlineStr">
        <is>
          <t xml:space="preserve">IOVA</t>
        </is>
      </c>
      <c r="E3469" s="0" t="inlineStr">
        <is>
          <t xml:space="preserve">healthcare</t>
        </is>
      </c>
      <c r="F3469" s="4">
        <v>68</v>
      </c>
    </row>
    <row r="3470">
      <c r="A3470" s="0" t="inlineStr">
        <is>
          <t xml:space="preserve">naive_winner1d_BCC</t>
        </is>
      </c>
      <c r="B3470" s="0" t="inlineStr">
        <is>
          <t xml:space="preserve">naive_winner1d</t>
        </is>
      </c>
      <c r="C3470" s="0" t="inlineStr">
        <is>
          <t xml:space="preserve">d20260923</t>
        </is>
      </c>
      <c r="D3470" s="0" t="inlineStr">
        <is>
          <t xml:space="preserve">BCC</t>
        </is>
      </c>
      <c r="E3470" s="0" t="inlineStr">
        <is>
          <t xml:space="preserve">basic_materials</t>
        </is>
      </c>
      <c r="F3470" s="4">
        <v>69</v>
      </c>
    </row>
    <row r="3471">
      <c r="A3471" s="0" t="inlineStr">
        <is>
          <t xml:space="preserve">naive_winner1d_ALGN</t>
        </is>
      </c>
      <c r="B3471" s="0" t="inlineStr">
        <is>
          <t xml:space="preserve">naive_winner1d</t>
        </is>
      </c>
      <c r="C3471" s="0" t="inlineStr">
        <is>
          <t xml:space="preserve">d20260923</t>
        </is>
      </c>
      <c r="D3471" s="0" t="inlineStr">
        <is>
          <t xml:space="preserve">ALGN</t>
        </is>
      </c>
      <c r="E3471" s="0" t="inlineStr">
        <is>
          <t xml:space="preserve">healthcare</t>
        </is>
      </c>
      <c r="F3471" s="4">
        <v>70</v>
      </c>
    </row>
    <row r="3472">
      <c r="A3472" s="0" t="inlineStr">
        <is>
          <t xml:space="preserve">naive_winner1d_AMGN</t>
        </is>
      </c>
      <c r="B3472" s="0" t="inlineStr">
        <is>
          <t xml:space="preserve">naive_winner1d</t>
        </is>
      </c>
      <c r="C3472" s="0" t="inlineStr">
        <is>
          <t xml:space="preserve">d20260923</t>
        </is>
      </c>
      <c r="D3472" s="0" t="inlineStr">
        <is>
          <t xml:space="preserve">AMGN</t>
        </is>
      </c>
      <c r="E3472" s="0" t="inlineStr">
        <is>
          <t xml:space="preserve">healthcare</t>
        </is>
      </c>
      <c r="F3472" s="4">
        <v>71</v>
      </c>
    </row>
    <row r="3473">
      <c r="A3473" s="0" t="inlineStr">
        <is>
          <t xml:space="preserve">naive_winner1d_KOD</t>
        </is>
      </c>
      <c r="B3473" s="0" t="inlineStr">
        <is>
          <t xml:space="preserve">naive_winner1d</t>
        </is>
      </c>
      <c r="C3473" s="0" t="inlineStr">
        <is>
          <t xml:space="preserve">d20260923</t>
        </is>
      </c>
      <c r="D3473" s="0" t="inlineStr">
        <is>
          <t xml:space="preserve">KOD</t>
        </is>
      </c>
      <c r="E3473" s="0" t="inlineStr">
        <is>
          <t xml:space="preserve">healthcare</t>
        </is>
      </c>
      <c r="F3473" s="4">
        <v>72</v>
      </c>
    </row>
    <row r="3474">
      <c r="A3474" s="0" t="inlineStr">
        <is>
          <t xml:space="preserve">naive_winner1d_GLXY</t>
        </is>
      </c>
      <c r="B3474" s="0" t="inlineStr">
        <is>
          <t xml:space="preserve">naive_winner1d</t>
        </is>
      </c>
      <c r="C3474" s="0" t="inlineStr">
        <is>
          <t xml:space="preserve">d20260923</t>
        </is>
      </c>
      <c r="D3474" s="0" t="inlineStr">
        <is>
          <t xml:space="preserve">GLXY</t>
        </is>
      </c>
      <c r="E3474" s="0" t="inlineStr">
        <is>
          <t xml:space="preserve">financial_services</t>
        </is>
      </c>
      <c r="F3474" s="4">
        <v>73</v>
      </c>
    </row>
    <row r="3475">
      <c r="A3475" s="0" t="inlineStr">
        <is>
          <t xml:space="preserve">naive_winner1d_OC</t>
        </is>
      </c>
      <c r="B3475" s="0" t="inlineStr">
        <is>
          <t xml:space="preserve">naive_winner1d</t>
        </is>
      </c>
      <c r="C3475" s="0" t="inlineStr">
        <is>
          <t xml:space="preserve">d20260923</t>
        </is>
      </c>
      <c r="D3475" s="0" t="inlineStr">
        <is>
          <t xml:space="preserve">OC</t>
        </is>
      </c>
      <c r="E3475" s="0" t="inlineStr">
        <is>
          <t xml:space="preserve">basic_materials</t>
        </is>
      </c>
      <c r="F3475" s="4">
        <v>74</v>
      </c>
    </row>
    <row r="3476">
      <c r="A3476" s="0" t="inlineStr">
        <is>
          <t xml:space="preserve">naive_winner1d_ACMR</t>
        </is>
      </c>
      <c r="B3476" s="0" t="inlineStr">
        <is>
          <t xml:space="preserve">naive_winner1d</t>
        </is>
      </c>
      <c r="C3476" s="0" t="inlineStr">
        <is>
          <t xml:space="preserve">d20260923</t>
        </is>
      </c>
      <c r="D3476" s="0" t="inlineStr">
        <is>
          <t xml:space="preserve">ACMR</t>
        </is>
      </c>
      <c r="E3476" s="0" t="inlineStr">
        <is>
          <t xml:space="preserve">technology</t>
        </is>
      </c>
      <c r="F3476" s="4">
        <v>75</v>
      </c>
    </row>
    <row r="3477">
      <c r="A3477" s="0" t="inlineStr">
        <is>
          <t xml:space="preserve">naive_winner1d_BHF</t>
        </is>
      </c>
      <c r="B3477" s="0" t="inlineStr">
        <is>
          <t xml:space="preserve">naive_winner1d</t>
        </is>
      </c>
      <c r="C3477" s="0" t="inlineStr">
        <is>
          <t xml:space="preserve">d20260923</t>
        </is>
      </c>
      <c r="D3477" s="0" t="inlineStr">
        <is>
          <t xml:space="preserve">BHF</t>
        </is>
      </c>
      <c r="E3477" s="0" t="inlineStr">
        <is>
          <t xml:space="preserve">financial_services</t>
        </is>
      </c>
      <c r="F3477" s="4">
        <v>76</v>
      </c>
    </row>
    <row r="3478">
      <c r="A3478" s="0" t="inlineStr">
        <is>
          <t xml:space="preserve">naive_winner1d_COCO</t>
        </is>
      </c>
      <c r="B3478" s="0" t="inlineStr">
        <is>
          <t xml:space="preserve">naive_winner1d</t>
        </is>
      </c>
      <c r="C3478" s="0" t="inlineStr">
        <is>
          <t xml:space="preserve">d20260923</t>
        </is>
      </c>
      <c r="D3478" s="0" t="inlineStr">
        <is>
          <t xml:space="preserve">COCO</t>
        </is>
      </c>
      <c r="E3478" s="0" t="inlineStr">
        <is>
          <t xml:space="preserve">consumer_defensive</t>
        </is>
      </c>
      <c r="F3478" s="4">
        <v>77</v>
      </c>
    </row>
    <row r="3479">
      <c r="A3479" s="0" t="inlineStr">
        <is>
          <t xml:space="preserve">naive_winner1d_HCC</t>
        </is>
      </c>
      <c r="B3479" s="0" t="inlineStr">
        <is>
          <t xml:space="preserve">naive_winner1d</t>
        </is>
      </c>
      <c r="C3479" s="0" t="inlineStr">
        <is>
          <t xml:space="preserve">d20260923</t>
        </is>
      </c>
      <c r="D3479" s="0" t="inlineStr">
        <is>
          <t xml:space="preserve">HCC</t>
        </is>
      </c>
      <c r="E3479" s="0" t="inlineStr">
        <is>
          <t xml:space="preserve">energy</t>
        </is>
      </c>
      <c r="F3479" s="4">
        <v>78</v>
      </c>
    </row>
    <row r="3480">
      <c r="A3480" s="0" t="inlineStr">
        <is>
          <t xml:space="preserve">naive_winner1d_EL</t>
        </is>
      </c>
      <c r="B3480" s="0" t="inlineStr">
        <is>
          <t xml:space="preserve">naive_winner1d</t>
        </is>
      </c>
      <c r="C3480" s="0" t="inlineStr">
        <is>
          <t xml:space="preserve">d20260923</t>
        </is>
      </c>
      <c r="D3480" s="0" t="inlineStr">
        <is>
          <t xml:space="preserve">EL</t>
        </is>
      </c>
      <c r="E3480" s="0" t="inlineStr">
        <is>
          <t xml:space="preserve">consumer_defensive</t>
        </is>
      </c>
      <c r="F3480" s="4">
        <v>79</v>
      </c>
    </row>
    <row r="3481">
      <c r="A3481" s="0" t="inlineStr">
        <is>
          <t xml:space="preserve">naive_winner1d_SCCO</t>
        </is>
      </c>
      <c r="B3481" s="0" t="inlineStr">
        <is>
          <t xml:space="preserve">naive_winner1d</t>
        </is>
      </c>
      <c r="C3481" s="0" t="inlineStr">
        <is>
          <t xml:space="preserve">d20260923</t>
        </is>
      </c>
      <c r="D3481" s="0" t="inlineStr">
        <is>
          <t xml:space="preserve">SCCO</t>
        </is>
      </c>
      <c r="E3481" s="0" t="inlineStr">
        <is>
          <t xml:space="preserve">basic_materials</t>
        </is>
      </c>
      <c r="F3481" s="4">
        <v>80</v>
      </c>
    </row>
    <row r="3482">
      <c r="A3482" s="0" t="inlineStr">
        <is>
          <t xml:space="preserve">naive_winner1d_AEIS</t>
        </is>
      </c>
      <c r="B3482" s="0" t="inlineStr">
        <is>
          <t xml:space="preserve">naive_winner1d</t>
        </is>
      </c>
      <c r="C3482" s="0" t="inlineStr">
        <is>
          <t xml:space="preserve">d20260923</t>
        </is>
      </c>
      <c r="D3482" s="0" t="inlineStr">
        <is>
          <t xml:space="preserve">AEIS</t>
        </is>
      </c>
      <c r="E3482" s="0" t="inlineStr">
        <is>
          <t xml:space="preserve">technology</t>
        </is>
      </c>
      <c r="F3482" s="4">
        <v>81</v>
      </c>
    </row>
    <row r="3483">
      <c r="A3483" s="0" t="inlineStr">
        <is>
          <t xml:space="preserve">naive_winner1d_AUGO</t>
        </is>
      </c>
      <c r="B3483" s="0" t="inlineStr">
        <is>
          <t xml:space="preserve">naive_winner1d</t>
        </is>
      </c>
      <c r="C3483" s="0" t="inlineStr">
        <is>
          <t xml:space="preserve">d20260923</t>
        </is>
      </c>
      <c r="D3483" s="0" t="inlineStr">
        <is>
          <t xml:space="preserve">AUGO</t>
        </is>
      </c>
      <c r="E3483" s="0" t="inlineStr">
        <is>
          <t xml:space="preserve">basic_materials</t>
        </is>
      </c>
      <c r="F3483" s="4">
        <v>82</v>
      </c>
    </row>
    <row r="3484">
      <c r="A3484" s="0" t="inlineStr">
        <is>
          <t xml:space="preserve">naive_winner1d_AAP</t>
        </is>
      </c>
      <c r="B3484" s="0" t="inlineStr">
        <is>
          <t xml:space="preserve">naive_winner1d</t>
        </is>
      </c>
      <c r="C3484" s="0" t="inlineStr">
        <is>
          <t xml:space="preserve">d20260923</t>
        </is>
      </c>
      <c r="D3484" s="0" t="inlineStr">
        <is>
          <t xml:space="preserve">AAP</t>
        </is>
      </c>
      <c r="E3484" s="0" t="inlineStr">
        <is>
          <t xml:space="preserve">consumer_cyclical</t>
        </is>
      </c>
      <c r="F3484" s="4">
        <v>83</v>
      </c>
    </row>
    <row r="3485">
      <c r="A3485" s="0" t="inlineStr">
        <is>
          <t xml:space="preserve">naive_winner1d_BLDR</t>
        </is>
      </c>
      <c r="B3485" s="0" t="inlineStr">
        <is>
          <t xml:space="preserve">naive_winner1d</t>
        </is>
      </c>
      <c r="C3485" s="0" t="inlineStr">
        <is>
          <t xml:space="preserve">d20260923</t>
        </is>
      </c>
      <c r="D3485" s="0" t="inlineStr">
        <is>
          <t xml:space="preserve">BLDR</t>
        </is>
      </c>
      <c r="E3485" s="0" t="inlineStr">
        <is>
          <t xml:space="preserve">basic_materials</t>
        </is>
      </c>
      <c r="F3485" s="4">
        <v>84</v>
      </c>
    </row>
    <row r="3486">
      <c r="A3486" s="0" t="inlineStr">
        <is>
          <t xml:space="preserve">naive_winner1d_BOOT</t>
        </is>
      </c>
      <c r="B3486" s="0" t="inlineStr">
        <is>
          <t xml:space="preserve">naive_winner1d</t>
        </is>
      </c>
      <c r="C3486" s="0" t="inlineStr">
        <is>
          <t xml:space="preserve">d20260923</t>
        </is>
      </c>
      <c r="D3486" s="0" t="inlineStr">
        <is>
          <t xml:space="preserve">BOOT</t>
        </is>
      </c>
      <c r="E3486" s="0" t="inlineStr">
        <is>
          <t xml:space="preserve">consumer_cyclical</t>
        </is>
      </c>
      <c r="F3486" s="4">
        <v>85</v>
      </c>
    </row>
    <row r="3487">
      <c r="A3487" s="0" t="inlineStr">
        <is>
          <t xml:space="preserve">naive_winner1d_BBIO</t>
        </is>
      </c>
      <c r="B3487" s="0" t="inlineStr">
        <is>
          <t xml:space="preserve">naive_winner1d</t>
        </is>
      </c>
      <c r="C3487" s="0" t="inlineStr">
        <is>
          <t xml:space="preserve">d20260923</t>
        </is>
      </c>
      <c r="D3487" s="0" t="inlineStr">
        <is>
          <t xml:space="preserve">BBIO</t>
        </is>
      </c>
      <c r="E3487" s="0" t="inlineStr">
        <is>
          <t xml:space="preserve">healthcare</t>
        </is>
      </c>
      <c r="F3487" s="4">
        <v>86</v>
      </c>
    </row>
    <row r="3488">
      <c r="A3488" s="0" t="inlineStr">
        <is>
          <t xml:space="preserve">naive_winner1d_CDNA</t>
        </is>
      </c>
      <c r="B3488" s="0" t="inlineStr">
        <is>
          <t xml:space="preserve">naive_winner1d</t>
        </is>
      </c>
      <c r="C3488" s="0" t="inlineStr">
        <is>
          <t xml:space="preserve">d20260923</t>
        </is>
      </c>
      <c r="D3488" s="0" t="inlineStr">
        <is>
          <t xml:space="preserve">CDNA</t>
        </is>
      </c>
      <c r="E3488" s="0" t="inlineStr">
        <is>
          <t xml:space="preserve">healthcare</t>
        </is>
      </c>
      <c r="F3488" s="4">
        <v>87</v>
      </c>
    </row>
    <row r="3489">
      <c r="A3489" s="0" t="inlineStr">
        <is>
          <t xml:space="preserve">naive_winner1d_POWI</t>
        </is>
      </c>
      <c r="B3489" s="0" t="inlineStr">
        <is>
          <t xml:space="preserve">naive_winner1d</t>
        </is>
      </c>
      <c r="C3489" s="0" t="inlineStr">
        <is>
          <t xml:space="preserve">d20260923</t>
        </is>
      </c>
      <c r="D3489" s="0" t="inlineStr">
        <is>
          <t xml:space="preserve">POWI</t>
        </is>
      </c>
      <c r="E3489" s="0" t="inlineStr">
        <is>
          <t xml:space="preserve">technology</t>
        </is>
      </c>
      <c r="F3489" s="4">
        <v>88</v>
      </c>
    </row>
    <row r="3490">
      <c r="A3490" s="0" t="inlineStr">
        <is>
          <t xml:space="preserve">naive_winner1d_FND</t>
        </is>
      </c>
      <c r="B3490" s="0" t="inlineStr">
        <is>
          <t xml:space="preserve">naive_winner1d</t>
        </is>
      </c>
      <c r="C3490" s="0" t="inlineStr">
        <is>
          <t xml:space="preserve">d20260923</t>
        </is>
      </c>
      <c r="D3490" s="0" t="inlineStr">
        <is>
          <t xml:space="preserve">FND</t>
        </is>
      </c>
      <c r="E3490" s="0" t="inlineStr">
        <is>
          <t xml:space="preserve">consumer_cyclical</t>
        </is>
      </c>
      <c r="F3490" s="4">
        <v>89</v>
      </c>
    </row>
    <row r="3491">
      <c r="A3491" s="0" t="inlineStr">
        <is>
          <t xml:space="preserve">naive_winner1d_SWK</t>
        </is>
      </c>
      <c r="B3491" s="0" t="inlineStr">
        <is>
          <t xml:space="preserve">naive_winner1d</t>
        </is>
      </c>
      <c r="C3491" s="0" t="inlineStr">
        <is>
          <t xml:space="preserve">d20260923</t>
        </is>
      </c>
      <c r="D3491" s="0" t="inlineStr">
        <is>
          <t xml:space="preserve">SWK</t>
        </is>
      </c>
      <c r="E3491" s="0" t="inlineStr">
        <is>
          <t xml:space="preserve">industrials</t>
        </is>
      </c>
      <c r="F3491" s="4">
        <v>90</v>
      </c>
    </row>
    <row r="3492">
      <c r="A3492" s="0" t="inlineStr">
        <is>
          <t xml:space="preserve">naive_winner1d_SUNB</t>
        </is>
      </c>
      <c r="B3492" s="0" t="inlineStr">
        <is>
          <t xml:space="preserve">naive_winner1d</t>
        </is>
      </c>
      <c r="C3492" s="0" t="inlineStr">
        <is>
          <t xml:space="preserve">d20260923</t>
        </is>
      </c>
      <c r="D3492" s="0" t="inlineStr">
        <is>
          <t xml:space="preserve">SUNB</t>
        </is>
      </c>
      <c r="E3492" s="0" t="inlineStr">
        <is>
          <t xml:space="preserve">industrials</t>
        </is>
      </c>
      <c r="F3492" s="4">
        <v>91</v>
      </c>
    </row>
    <row r="3493">
      <c r="A3493" s="0" t="inlineStr">
        <is>
          <t xml:space="preserve">naive_winner1d_MLYS</t>
        </is>
      </c>
      <c r="B3493" s="0" t="inlineStr">
        <is>
          <t xml:space="preserve">naive_winner1d</t>
        </is>
      </c>
      <c r="C3493" s="0" t="inlineStr">
        <is>
          <t xml:space="preserve">d20260923</t>
        </is>
      </c>
      <c r="D3493" s="0" t="inlineStr">
        <is>
          <t xml:space="preserve">MLYS</t>
        </is>
      </c>
      <c r="E3493" s="0" t="inlineStr">
        <is>
          <t xml:space="preserve">healthcare</t>
        </is>
      </c>
      <c r="F3493" s="4">
        <v>92</v>
      </c>
    </row>
    <row r="3494">
      <c r="A3494" s="0" t="inlineStr">
        <is>
          <t xml:space="preserve">naive_winner1d_VFC</t>
        </is>
      </c>
      <c r="B3494" s="0" t="inlineStr">
        <is>
          <t xml:space="preserve">naive_winner1d</t>
        </is>
      </c>
      <c r="C3494" s="0" t="inlineStr">
        <is>
          <t xml:space="preserve">d20260923</t>
        </is>
      </c>
      <c r="D3494" s="0" t="inlineStr">
        <is>
          <t xml:space="preserve">VFC</t>
        </is>
      </c>
      <c r="E3494" s="0" t="inlineStr">
        <is>
          <t xml:space="preserve">consumer_cyclical</t>
        </is>
      </c>
      <c r="F3494" s="4">
        <v>93</v>
      </c>
    </row>
    <row r="3495">
      <c r="A3495" s="0" t="inlineStr">
        <is>
          <t xml:space="preserve">naive_winner1d_MAIR</t>
        </is>
      </c>
      <c r="B3495" s="0" t="inlineStr">
        <is>
          <t xml:space="preserve">naive_winner1d</t>
        </is>
      </c>
      <c r="C3495" s="0" t="inlineStr">
        <is>
          <t xml:space="preserve">d20260923</t>
        </is>
      </c>
      <c r="D3495" s="0" t="inlineStr">
        <is>
          <t xml:space="preserve">MAIR</t>
        </is>
      </c>
      <c r="E3495" s="0" t="inlineStr">
        <is>
          <t xml:space="preserve">industrials</t>
        </is>
      </c>
      <c r="F3495" s="4">
        <v>94</v>
      </c>
    </row>
    <row r="3496">
      <c r="A3496" s="0" t="inlineStr">
        <is>
          <t xml:space="preserve">naive_winner1d_CLF</t>
        </is>
      </c>
      <c r="B3496" s="0" t="inlineStr">
        <is>
          <t xml:space="preserve">naive_winner1d</t>
        </is>
      </c>
      <c r="C3496" s="0" t="inlineStr">
        <is>
          <t xml:space="preserve">d20260923</t>
        </is>
      </c>
      <c r="D3496" s="0" t="inlineStr">
        <is>
          <t xml:space="preserve">CLF</t>
        </is>
      </c>
      <c r="E3496" s="0" t="inlineStr">
        <is>
          <t xml:space="preserve">basic_materials</t>
        </is>
      </c>
      <c r="F3496" s="4">
        <v>95</v>
      </c>
    </row>
    <row r="3497">
      <c r="A3497" s="0" t="inlineStr">
        <is>
          <t xml:space="preserve">naive_winner1d_VIA</t>
        </is>
      </c>
      <c r="B3497" s="0" t="inlineStr">
        <is>
          <t xml:space="preserve">naive_winner1d</t>
        </is>
      </c>
      <c r="C3497" s="0" t="inlineStr">
        <is>
          <t xml:space="preserve">d20260923</t>
        </is>
      </c>
      <c r="D3497" s="0" t="inlineStr">
        <is>
          <t xml:space="preserve">VIA</t>
        </is>
      </c>
      <c r="E3497" s="0" t="inlineStr">
        <is>
          <t xml:space="preserve">technology</t>
        </is>
      </c>
      <c r="F3497" s="4">
        <v>96</v>
      </c>
    </row>
    <row r="3498">
      <c r="A3498" s="0" t="inlineStr">
        <is>
          <t xml:space="preserve">naive_winner1d_AEHR</t>
        </is>
      </c>
      <c r="B3498" s="0" t="inlineStr">
        <is>
          <t xml:space="preserve">naive_winner1d</t>
        </is>
      </c>
      <c r="C3498" s="0" t="inlineStr">
        <is>
          <t xml:space="preserve">d20260923</t>
        </is>
      </c>
      <c r="D3498" s="0" t="inlineStr">
        <is>
          <t xml:space="preserve">AEHR</t>
        </is>
      </c>
      <c r="E3498" s="0" t="inlineStr">
        <is>
          <t xml:space="preserve">technology</t>
        </is>
      </c>
      <c r="F3498" s="4">
        <v>97</v>
      </c>
    </row>
    <row r="3499">
      <c r="A3499" s="0" t="inlineStr">
        <is>
          <t xml:space="preserve">naive_winner1d_SHOO</t>
        </is>
      </c>
      <c r="B3499" s="0" t="inlineStr">
        <is>
          <t xml:space="preserve">naive_winner1d</t>
        </is>
      </c>
      <c r="C3499" s="0" t="inlineStr">
        <is>
          <t xml:space="preserve">d20260923</t>
        </is>
      </c>
      <c r="D3499" s="0" t="inlineStr">
        <is>
          <t xml:space="preserve">SHOO</t>
        </is>
      </c>
      <c r="E3499" s="0" t="inlineStr">
        <is>
          <t xml:space="preserve">consumer_cyclical</t>
        </is>
      </c>
      <c r="F3499" s="4">
        <v>98</v>
      </c>
    </row>
    <row r="3500">
      <c r="A3500" s="0" t="inlineStr">
        <is>
          <t xml:space="preserve">naive_winner1d_CBT</t>
        </is>
      </c>
      <c r="B3500" s="0" t="inlineStr">
        <is>
          <t xml:space="preserve">naive_winner1d</t>
        </is>
      </c>
      <c r="C3500" s="0" t="inlineStr">
        <is>
          <t xml:space="preserve">d20260923</t>
        </is>
      </c>
      <c r="D3500" s="0" t="inlineStr">
        <is>
          <t xml:space="preserve">CBT</t>
        </is>
      </c>
      <c r="E3500" s="0" t="inlineStr">
        <is>
          <t xml:space="preserve">basic_materials</t>
        </is>
      </c>
      <c r="F3500" s="4">
        <v>99</v>
      </c>
    </row>
    <row r="3501">
      <c r="A3501" s="0" t="inlineStr">
        <is>
          <t xml:space="preserve">naive_winner1d_AAON</t>
        </is>
      </c>
      <c r="B3501" s="0" t="inlineStr">
        <is>
          <t xml:space="preserve">naive_winner1d</t>
        </is>
      </c>
      <c r="C3501" s="0" t="inlineStr">
        <is>
          <t xml:space="preserve">d20260923</t>
        </is>
      </c>
      <c r="D3501" s="0" t="inlineStr">
        <is>
          <t xml:space="preserve">AAON</t>
        </is>
      </c>
      <c r="E3501" s="0" t="inlineStr">
        <is>
          <t xml:space="preserve">industrials</t>
        </is>
      </c>
      <c r="F3501" s="4">
        <v>100</v>
      </c>
    </row>
  </sheetData>
</worksheet>
</file>

<file path=xl/worksheets/sheet2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1" t="inlineStr">
        <is>
          <t xml:space="preserve">ID</t>
        </is>
      </c>
      <c r="B1" s="1" t="inlineStr">
        <is>
          <t xml:space="preserve">pod</t>
        </is>
      </c>
      <c r="C1" s="1" t="inlineStr">
        <is>
          <t xml:space="preserve">day</t>
        </is>
      </c>
      <c r="D1" s="1" t="inlineStr">
        <is>
          <t xml:space="preserve">submitted</t>
        </is>
      </c>
      <c r="E1" s="1" t="inlineStr">
        <is>
          <t xml:space="preserve">n_scored</t>
        </is>
      </c>
      <c r="F1" s="1" t="inlineStr">
        <is>
          <t xml:space="preserve">compliant</t>
        </is>
      </c>
      <c r="G1" s="1" t="inlineStr">
        <is>
          <t xml:space="preserve">steps</t>
        </is>
      </c>
    </row>
    <row r="2">
      <c r="A2" s="0" t="inlineStr">
        <is>
          <t xml:space="preserve">p01_attention_d20260922</t>
        </is>
      </c>
      <c r="B2" s="0" t="inlineStr">
        <is>
          <t xml:space="preserve">p01_attention</t>
        </is>
      </c>
      <c r="C2" s="0" t="inlineStr">
        <is>
          <t xml:space="preserve">d20260922</t>
        </is>
      </c>
      <c r="D2" s="4">
        <v>1</v>
      </c>
      <c r="E2" s="4">
        <v>1489</v>
      </c>
      <c r="F2" s="4">
        <v>1</v>
      </c>
      <c r="G2" s="4">
        <v>19</v>
      </c>
    </row>
    <row r="3">
      <c r="A3" s="0" t="inlineStr">
        <is>
          <t xml:space="preserve">p01_attention_d20260923</t>
        </is>
      </c>
      <c r="B3" s="0" t="inlineStr">
        <is>
          <t xml:space="preserve">p01_attention</t>
        </is>
      </c>
      <c r="C3" s="0" t="inlineStr">
        <is>
          <t xml:space="preserve">d20260923</t>
        </is>
      </c>
      <c r="D3" s="4">
        <v>1</v>
      </c>
      <c r="E3" s="4">
        <v>1489</v>
      </c>
      <c r="F3" s="4">
        <v>1</v>
      </c>
      <c r="G3" s="4">
        <v>18</v>
      </c>
    </row>
    <row r="4">
      <c r="A4" s="0" t="inlineStr">
        <is>
          <t xml:space="preserve">p02_earnings_drift_d20260922</t>
        </is>
      </c>
      <c r="B4" s="0" t="inlineStr">
        <is>
          <t xml:space="preserve">p02_earnings_drift</t>
        </is>
      </c>
      <c r="C4" s="0" t="inlineStr">
        <is>
          <t xml:space="preserve">d20260922</t>
        </is>
      </c>
      <c r="D4" s="4">
        <v>1</v>
      </c>
      <c r="E4" s="4">
        <v>1489</v>
      </c>
      <c r="F4" s="4">
        <v>1</v>
      </c>
      <c r="G4" s="4">
        <v>12</v>
      </c>
    </row>
    <row r="5">
      <c r="A5" s="0" t="inlineStr">
        <is>
          <t xml:space="preserve">p02_earnings_drift_d20260923</t>
        </is>
      </c>
      <c r="B5" s="0" t="inlineStr">
        <is>
          <t xml:space="preserve">p02_earnings_drift</t>
        </is>
      </c>
      <c r="C5" s="0" t="inlineStr">
        <is>
          <t xml:space="preserve">d20260923</t>
        </is>
      </c>
      <c r="D5" s="4">
        <v>1</v>
      </c>
      <c r="E5" s="4">
        <v>1489</v>
      </c>
      <c r="F5" s="4">
        <v>1</v>
      </c>
      <c r="G5" s="4">
        <v>14</v>
      </c>
    </row>
    <row r="6">
      <c r="A6" s="0" t="inlineStr">
        <is>
          <t xml:space="preserve">p03_intraday_reversal_d20260922</t>
        </is>
      </c>
      <c r="B6" s="0" t="inlineStr">
        <is>
          <t xml:space="preserve">p03_intraday_reversal</t>
        </is>
      </c>
      <c r="C6" s="0" t="inlineStr">
        <is>
          <t xml:space="preserve">d20260922</t>
        </is>
      </c>
      <c r="D6" s="4">
        <v>1</v>
      </c>
      <c r="E6" s="4">
        <v>1489</v>
      </c>
      <c r="F6" s="4">
        <v>1</v>
      </c>
      <c r="G6" s="4">
        <v>5</v>
      </c>
    </row>
    <row r="7">
      <c r="A7" s="0" t="inlineStr">
        <is>
          <t xml:space="preserve">p03_intraday_reversal_d20260923</t>
        </is>
      </c>
      <c r="B7" s="0" t="inlineStr">
        <is>
          <t xml:space="preserve">p03_intraday_reversal</t>
        </is>
      </c>
      <c r="C7" s="0" t="inlineStr">
        <is>
          <t xml:space="preserve">d20260923</t>
        </is>
      </c>
      <c r="D7" s="4">
        <v>1</v>
      </c>
      <c r="E7" s="4">
        <v>1489</v>
      </c>
      <c r="F7" s="4">
        <v>1</v>
      </c>
      <c r="G7" s="4">
        <v>4</v>
      </c>
    </row>
    <row r="8">
      <c r="A8" s="0" t="inlineStr">
        <is>
          <t xml:space="preserve">p04_analyst_revisions_d20260922</t>
        </is>
      </c>
      <c r="B8" s="0" t="inlineStr">
        <is>
          <t xml:space="preserve">p04_analyst_revisions</t>
        </is>
      </c>
      <c r="C8" s="0" t="inlineStr">
        <is>
          <t xml:space="preserve">d20260922</t>
        </is>
      </c>
      <c r="D8" s="4">
        <v>1</v>
      </c>
      <c r="E8" s="4">
        <v>1489</v>
      </c>
      <c r="F8" s="4">
        <v>1</v>
      </c>
      <c r="G8" s="4">
        <v>18</v>
      </c>
    </row>
    <row r="9">
      <c r="A9" s="0" t="inlineStr">
        <is>
          <t xml:space="preserve">p04_analyst_revisions_d20260923</t>
        </is>
      </c>
      <c r="B9" s="0" t="inlineStr">
        <is>
          <t xml:space="preserve">p04_analyst_revisions</t>
        </is>
      </c>
      <c r="C9" s="0" t="inlineStr">
        <is>
          <t xml:space="preserve">d20260923</t>
        </is>
      </c>
      <c r="D9" s="4">
        <v>1</v>
      </c>
      <c r="E9" s="4">
        <v>1489</v>
      </c>
      <c r="F9" s="4">
        <v>1</v>
      </c>
      <c r="G9" s="4">
        <v>3</v>
      </c>
    </row>
    <row r="10">
      <c r="A10" s="0" t="inlineStr">
        <is>
          <t xml:space="preserve">p05_insider_clusters_d20260922</t>
        </is>
      </c>
      <c r="B10" s="0" t="inlineStr">
        <is>
          <t xml:space="preserve">p05_insider_clusters</t>
        </is>
      </c>
      <c r="C10" s="0" t="inlineStr">
        <is>
          <t xml:space="preserve">d20260922</t>
        </is>
      </c>
      <c r="D10" s="4">
        <v>1</v>
      </c>
      <c r="E10" s="4">
        <v>1489</v>
      </c>
      <c r="F10" s="4">
        <v>1</v>
      </c>
      <c r="G10" s="4">
        <v>35</v>
      </c>
    </row>
    <row r="11">
      <c r="A11" s="0" t="inlineStr">
        <is>
          <t xml:space="preserve">p05_insider_clusters_d20260923</t>
        </is>
      </c>
      <c r="B11" s="0" t="inlineStr">
        <is>
          <t xml:space="preserve">p05_insider_clusters</t>
        </is>
      </c>
      <c r="C11" s="0" t="inlineStr">
        <is>
          <t xml:space="preserve">d20260923</t>
        </is>
      </c>
      <c r="D11" s="4">
        <v>1</v>
      </c>
      <c r="E11" s="4">
        <v>1489</v>
      </c>
      <c r="F11" s="4">
        <v>1</v>
      </c>
      <c r="G11" s="4">
        <v>7</v>
      </c>
    </row>
    <row r="12">
      <c r="A12" s="0" t="inlineStr">
        <is>
          <t xml:space="preserve">p06_seasonality_d20260922</t>
        </is>
      </c>
      <c r="B12" s="0" t="inlineStr">
        <is>
          <t xml:space="preserve">p06_seasonality</t>
        </is>
      </c>
      <c r="C12" s="0" t="inlineStr">
        <is>
          <t xml:space="preserve">d20260922</t>
        </is>
      </c>
      <c r="D12" s="4">
        <v>1</v>
      </c>
      <c r="E12" s="4">
        <v>1437</v>
      </c>
      <c r="F12" s="4">
        <v>1</v>
      </c>
      <c r="G12" s="4">
        <v>8</v>
      </c>
    </row>
    <row r="13">
      <c r="A13" s="0" t="inlineStr">
        <is>
          <t xml:space="preserve">p06_seasonality_d20260923</t>
        </is>
      </c>
      <c r="B13" s="0" t="inlineStr">
        <is>
          <t xml:space="preserve">p06_seasonality</t>
        </is>
      </c>
      <c r="C13" s="0" t="inlineStr">
        <is>
          <t xml:space="preserve">d20260923</t>
        </is>
      </c>
      <c r="D13" s="4">
        <v>1</v>
      </c>
      <c r="E13" s="4">
        <v>1489</v>
      </c>
      <c r="F13" s="4">
        <v>1</v>
      </c>
      <c r="G13" s="4">
        <v>5</v>
      </c>
    </row>
    <row r="14">
      <c r="A14" s="0" t="inlineStr">
        <is>
          <t xml:space="preserve">p07_quality_value_d20260922</t>
        </is>
      </c>
      <c r="B14" s="0" t="inlineStr">
        <is>
          <t xml:space="preserve">p07_quality_value</t>
        </is>
      </c>
      <c r="C14" s="0" t="inlineStr">
        <is>
          <t xml:space="preserve">d20260922</t>
        </is>
      </c>
      <c r="D14" s="4">
        <v>1</v>
      </c>
      <c r="E14" s="4">
        <v>1486</v>
      </c>
      <c r="F14" s="4">
        <v>1</v>
      </c>
      <c r="G14" s="4">
        <v>17</v>
      </c>
    </row>
    <row r="15">
      <c r="A15" s="0" t="inlineStr">
        <is>
          <t xml:space="preserve">p07_quality_value_d20260923</t>
        </is>
      </c>
      <c r="B15" s="0" t="inlineStr">
        <is>
          <t xml:space="preserve">p07_quality_value</t>
        </is>
      </c>
      <c r="C15" s="0" t="inlineStr">
        <is>
          <t xml:space="preserve">d20260923</t>
        </is>
      </c>
      <c r="D15" s="4">
        <v>1</v>
      </c>
      <c r="E15" s="4">
        <v>1484</v>
      </c>
      <c r="F15" s="4">
        <v>1</v>
      </c>
      <c r="G15" s="4">
        <v>5</v>
      </c>
    </row>
    <row r="16">
      <c r="A16" s="0" t="inlineStr">
        <is>
          <t xml:space="preserve">p08_residual_momentum_d20260922</t>
        </is>
      </c>
      <c r="B16" s="0" t="inlineStr">
        <is>
          <t xml:space="preserve">p08_residual_momentum</t>
        </is>
      </c>
      <c r="C16" s="0" t="inlineStr">
        <is>
          <t xml:space="preserve">d20260922</t>
        </is>
      </c>
      <c r="D16" s="4">
        <v>1</v>
      </c>
      <c r="E16" s="4">
        <v>1442</v>
      </c>
      <c r="F16" s="4">
        <v>1</v>
      </c>
      <c r="G16" s="4">
        <v>7</v>
      </c>
    </row>
    <row r="17">
      <c r="A17" s="0" t="inlineStr">
        <is>
          <t xml:space="preserve">p08_residual_momentum_d20260923</t>
        </is>
      </c>
      <c r="B17" s="0" t="inlineStr">
        <is>
          <t xml:space="preserve">p08_residual_momentum</t>
        </is>
      </c>
      <c r="C17" s="0" t="inlineStr">
        <is>
          <t xml:space="preserve">d20260923</t>
        </is>
      </c>
      <c r="D17" s="4">
        <v>1</v>
      </c>
      <c r="E17" s="4">
        <v>1489</v>
      </c>
      <c r="F17" s="4">
        <v>1</v>
      </c>
      <c r="G17" s="4">
        <v>6</v>
      </c>
    </row>
    <row r="18">
      <c r="A18" s="0" t="inlineStr">
        <is>
          <t xml:space="preserve">p09_overnight_persistence_d20260922</t>
        </is>
      </c>
      <c r="B18" s="0" t="inlineStr">
        <is>
          <t xml:space="preserve">p09_overnight_persistence</t>
        </is>
      </c>
      <c r="C18" s="0" t="inlineStr">
        <is>
          <t xml:space="preserve">d20260922</t>
        </is>
      </c>
      <c r="D18" s="4">
        <v>1</v>
      </c>
      <c r="E18" s="4">
        <v>1489</v>
      </c>
      <c r="F18" s="4">
        <v>1</v>
      </c>
      <c r="G18" s="4">
        <v>7</v>
      </c>
    </row>
    <row r="19">
      <c r="A19" s="0" t="inlineStr">
        <is>
          <t xml:space="preserve">p09_overnight_persistence_d20260923</t>
        </is>
      </c>
      <c r="B19" s="0" t="inlineStr">
        <is>
          <t xml:space="preserve">p09_overnight_persistence</t>
        </is>
      </c>
      <c r="C19" s="0" t="inlineStr">
        <is>
          <t xml:space="preserve">d20260923</t>
        </is>
      </c>
      <c r="D19" s="4">
        <v>1</v>
      </c>
      <c r="E19" s="4">
        <v>1488</v>
      </c>
      <c r="F19" s="4">
        <v>1</v>
      </c>
      <c r="G19" s="4">
        <v>9</v>
      </c>
    </row>
    <row r="20">
      <c r="A20" s="0" t="inlineStr">
        <is>
          <t xml:space="preserve">p10_52wk_high_d20260922</t>
        </is>
      </c>
      <c r="B20" s="0" t="inlineStr">
        <is>
          <t xml:space="preserve">p10_52wk_high</t>
        </is>
      </c>
      <c r="C20" s="0" t="inlineStr">
        <is>
          <t xml:space="preserve">d20260922</t>
        </is>
      </c>
      <c r="D20" s="4">
        <v>1</v>
      </c>
      <c r="E20" s="4">
        <v>1489</v>
      </c>
      <c r="F20" s="4">
        <v>1</v>
      </c>
      <c r="G20" s="4">
        <v>10</v>
      </c>
    </row>
    <row r="21">
      <c r="A21" s="0" t="inlineStr">
        <is>
          <t xml:space="preserve">p10_52wk_high_d20260923</t>
        </is>
      </c>
      <c r="B21" s="0" t="inlineStr">
        <is>
          <t xml:space="preserve">p10_52wk_high</t>
        </is>
      </c>
      <c r="C21" s="0" t="inlineStr">
        <is>
          <t xml:space="preserve">d20260923</t>
        </is>
      </c>
      <c r="D21" s="4">
        <v>1</v>
      </c>
      <c r="E21" s="4">
        <v>1489</v>
      </c>
      <c r="F21" s="4">
        <v>1</v>
      </c>
      <c r="G21" s="4">
        <v>11</v>
      </c>
    </row>
    <row r="22">
      <c r="A22" s="0" t="inlineStr">
        <is>
          <t xml:space="preserve">random_01_d20260922</t>
        </is>
      </c>
      <c r="B22" s="0" t="inlineStr">
        <is>
          <t xml:space="preserve">random_01</t>
        </is>
      </c>
      <c r="C22" s="0" t="inlineStr">
        <is>
          <t xml:space="preserve">d20260922</t>
        </is>
      </c>
      <c r="D22" s="4">
        <v>1</v>
      </c>
      <c r="E22" s="4">
        <v>1489</v>
      </c>
      <c r="F22" s="4">
        <v>1</v>
      </c>
      <c r="G22" s="4">
        <v>0</v>
      </c>
    </row>
    <row r="23">
      <c r="A23" s="0" t="inlineStr">
        <is>
          <t xml:space="preserve">random_01_d20260923</t>
        </is>
      </c>
      <c r="B23" s="0" t="inlineStr">
        <is>
          <t xml:space="preserve">random_01</t>
        </is>
      </c>
      <c r="C23" s="0" t="inlineStr">
        <is>
          <t xml:space="preserve">d20260923</t>
        </is>
      </c>
      <c r="D23" s="4">
        <v>1</v>
      </c>
      <c r="E23" s="4">
        <v>1489</v>
      </c>
      <c r="F23" s="4">
        <v>1</v>
      </c>
      <c r="G23" s="4">
        <v>0</v>
      </c>
    </row>
    <row r="24">
      <c r="A24" s="0" t="inlineStr">
        <is>
          <t xml:space="preserve">random_02_d20260922</t>
        </is>
      </c>
      <c r="B24" s="0" t="inlineStr">
        <is>
          <t xml:space="preserve">random_02</t>
        </is>
      </c>
      <c r="C24" s="0" t="inlineStr">
        <is>
          <t xml:space="preserve">d20260922</t>
        </is>
      </c>
      <c r="D24" s="4">
        <v>1</v>
      </c>
      <c r="E24" s="4">
        <v>1489</v>
      </c>
      <c r="F24" s="4">
        <v>1</v>
      </c>
      <c r="G24" s="4">
        <v>0</v>
      </c>
    </row>
    <row r="25">
      <c r="A25" s="0" t="inlineStr">
        <is>
          <t xml:space="preserve">random_02_d20260923</t>
        </is>
      </c>
      <c r="B25" s="0" t="inlineStr">
        <is>
          <t xml:space="preserve">random_02</t>
        </is>
      </c>
      <c r="C25" s="0" t="inlineStr">
        <is>
          <t xml:space="preserve">d20260923</t>
        </is>
      </c>
      <c r="D25" s="4">
        <v>1</v>
      </c>
      <c r="E25" s="4">
        <v>1489</v>
      </c>
      <c r="F25" s="4">
        <v>1</v>
      </c>
      <c r="G25" s="4">
        <v>0</v>
      </c>
    </row>
    <row r="26">
      <c r="A26" s="0" t="inlineStr">
        <is>
          <t xml:space="preserve">random_03_d20260922</t>
        </is>
      </c>
      <c r="B26" s="0" t="inlineStr">
        <is>
          <t xml:space="preserve">random_03</t>
        </is>
      </c>
      <c r="C26" s="0" t="inlineStr">
        <is>
          <t xml:space="preserve">d20260922</t>
        </is>
      </c>
      <c r="D26" s="4">
        <v>1</v>
      </c>
      <c r="E26" s="4">
        <v>1489</v>
      </c>
      <c r="F26" s="4">
        <v>1</v>
      </c>
      <c r="G26" s="4">
        <v>0</v>
      </c>
    </row>
    <row r="27">
      <c r="A27" s="0" t="inlineStr">
        <is>
          <t xml:space="preserve">random_03_d20260923</t>
        </is>
      </c>
      <c r="B27" s="0" t="inlineStr">
        <is>
          <t xml:space="preserve">random_03</t>
        </is>
      </c>
      <c r="C27" s="0" t="inlineStr">
        <is>
          <t xml:space="preserve">d20260923</t>
        </is>
      </c>
      <c r="D27" s="4">
        <v>1</v>
      </c>
      <c r="E27" s="4">
        <v>1489</v>
      </c>
      <c r="F27" s="4">
        <v>1</v>
      </c>
      <c r="G27" s="4">
        <v>0</v>
      </c>
    </row>
    <row r="28">
      <c r="A28" s="0" t="inlineStr">
        <is>
          <t xml:space="preserve">random_04_d20260922</t>
        </is>
      </c>
      <c r="B28" s="0" t="inlineStr">
        <is>
          <t xml:space="preserve">random_04</t>
        </is>
      </c>
      <c r="C28" s="0" t="inlineStr">
        <is>
          <t xml:space="preserve">d20260922</t>
        </is>
      </c>
      <c r="D28" s="4">
        <v>1</v>
      </c>
      <c r="E28" s="4">
        <v>1489</v>
      </c>
      <c r="F28" s="4">
        <v>1</v>
      </c>
      <c r="G28" s="4">
        <v>0</v>
      </c>
    </row>
    <row r="29">
      <c r="A29" s="0" t="inlineStr">
        <is>
          <t xml:space="preserve">random_04_d20260923</t>
        </is>
      </c>
      <c r="B29" s="0" t="inlineStr">
        <is>
          <t xml:space="preserve">random_04</t>
        </is>
      </c>
      <c r="C29" s="0" t="inlineStr">
        <is>
          <t xml:space="preserve">d20260923</t>
        </is>
      </c>
      <c r="D29" s="4">
        <v>1</v>
      </c>
      <c r="E29" s="4">
        <v>1489</v>
      </c>
      <c r="F29" s="4">
        <v>1</v>
      </c>
      <c r="G29" s="4">
        <v>0</v>
      </c>
    </row>
    <row r="30">
      <c r="A30" s="0" t="inlineStr">
        <is>
          <t xml:space="preserve">random_05_d20260922</t>
        </is>
      </c>
      <c r="B30" s="0" t="inlineStr">
        <is>
          <t xml:space="preserve">random_05</t>
        </is>
      </c>
      <c r="C30" s="0" t="inlineStr">
        <is>
          <t xml:space="preserve">d20260922</t>
        </is>
      </c>
      <c r="D30" s="4">
        <v>1</v>
      </c>
      <c r="E30" s="4">
        <v>1489</v>
      </c>
      <c r="F30" s="4">
        <v>1</v>
      </c>
      <c r="G30" s="4">
        <v>0</v>
      </c>
    </row>
    <row r="31">
      <c r="A31" s="0" t="inlineStr">
        <is>
          <t xml:space="preserve">random_05_d20260923</t>
        </is>
      </c>
      <c r="B31" s="0" t="inlineStr">
        <is>
          <t xml:space="preserve">random_05</t>
        </is>
      </c>
      <c r="C31" s="0" t="inlineStr">
        <is>
          <t xml:space="preserve">d20260923</t>
        </is>
      </c>
      <c r="D31" s="4">
        <v>1</v>
      </c>
      <c r="E31" s="4">
        <v>1489</v>
      </c>
      <c r="F31" s="4">
        <v>1</v>
      </c>
      <c r="G31" s="4">
        <v>0</v>
      </c>
    </row>
    <row r="32">
      <c r="A32" s="0" t="inlineStr">
        <is>
          <t xml:space="preserve">random_06_d20260922</t>
        </is>
      </c>
      <c r="B32" s="0" t="inlineStr">
        <is>
          <t xml:space="preserve">random_06</t>
        </is>
      </c>
      <c r="C32" s="0" t="inlineStr">
        <is>
          <t xml:space="preserve">d20260922</t>
        </is>
      </c>
      <c r="D32" s="4">
        <v>1</v>
      </c>
      <c r="E32" s="4">
        <v>1489</v>
      </c>
      <c r="F32" s="4">
        <v>1</v>
      </c>
      <c r="G32" s="4">
        <v>0</v>
      </c>
    </row>
    <row r="33">
      <c r="A33" s="0" t="inlineStr">
        <is>
          <t xml:space="preserve">random_06_d20260923</t>
        </is>
      </c>
      <c r="B33" s="0" t="inlineStr">
        <is>
          <t xml:space="preserve">random_06</t>
        </is>
      </c>
      <c r="C33" s="0" t="inlineStr">
        <is>
          <t xml:space="preserve">d20260923</t>
        </is>
      </c>
      <c r="D33" s="4">
        <v>1</v>
      </c>
      <c r="E33" s="4">
        <v>1489</v>
      </c>
      <c r="F33" s="4">
        <v>1</v>
      </c>
      <c r="G33" s="4">
        <v>0</v>
      </c>
    </row>
    <row r="34">
      <c r="A34" s="0" t="inlineStr">
        <is>
          <t xml:space="preserve">random_07_d20260922</t>
        </is>
      </c>
      <c r="B34" s="0" t="inlineStr">
        <is>
          <t xml:space="preserve">random_07</t>
        </is>
      </c>
      <c r="C34" s="0" t="inlineStr">
        <is>
          <t xml:space="preserve">d20260922</t>
        </is>
      </c>
      <c r="D34" s="4">
        <v>1</v>
      </c>
      <c r="E34" s="4">
        <v>1489</v>
      </c>
      <c r="F34" s="4">
        <v>1</v>
      </c>
      <c r="G34" s="4">
        <v>0</v>
      </c>
    </row>
    <row r="35">
      <c r="A35" s="0" t="inlineStr">
        <is>
          <t xml:space="preserve">random_07_d20260923</t>
        </is>
      </c>
      <c r="B35" s="0" t="inlineStr">
        <is>
          <t xml:space="preserve">random_07</t>
        </is>
      </c>
      <c r="C35" s="0" t="inlineStr">
        <is>
          <t xml:space="preserve">d20260923</t>
        </is>
      </c>
      <c r="D35" s="4">
        <v>1</v>
      </c>
      <c r="E35" s="4">
        <v>1489</v>
      </c>
      <c r="F35" s="4">
        <v>1</v>
      </c>
      <c r="G35" s="4">
        <v>0</v>
      </c>
    </row>
    <row r="36">
      <c r="A36" s="0" t="inlineStr">
        <is>
          <t xml:space="preserve">random_08_d20260922</t>
        </is>
      </c>
      <c r="B36" s="0" t="inlineStr">
        <is>
          <t xml:space="preserve">random_08</t>
        </is>
      </c>
      <c r="C36" s="0" t="inlineStr">
        <is>
          <t xml:space="preserve">d20260922</t>
        </is>
      </c>
      <c r="D36" s="4">
        <v>1</v>
      </c>
      <c r="E36" s="4">
        <v>1489</v>
      </c>
      <c r="F36" s="4">
        <v>1</v>
      </c>
      <c r="G36" s="4">
        <v>0</v>
      </c>
    </row>
    <row r="37">
      <c r="A37" s="0" t="inlineStr">
        <is>
          <t xml:space="preserve">random_08_d20260923</t>
        </is>
      </c>
      <c r="B37" s="0" t="inlineStr">
        <is>
          <t xml:space="preserve">random_08</t>
        </is>
      </c>
      <c r="C37" s="0" t="inlineStr">
        <is>
          <t xml:space="preserve">d20260923</t>
        </is>
      </c>
      <c r="D37" s="4">
        <v>1</v>
      </c>
      <c r="E37" s="4">
        <v>1489</v>
      </c>
      <c r="F37" s="4">
        <v>1</v>
      </c>
      <c r="G37" s="4">
        <v>0</v>
      </c>
    </row>
    <row r="38">
      <c r="A38" s="0" t="inlineStr">
        <is>
          <t xml:space="preserve">random_09_d20260922</t>
        </is>
      </c>
      <c r="B38" s="0" t="inlineStr">
        <is>
          <t xml:space="preserve">random_09</t>
        </is>
      </c>
      <c r="C38" s="0" t="inlineStr">
        <is>
          <t xml:space="preserve">d20260922</t>
        </is>
      </c>
      <c r="D38" s="4">
        <v>1</v>
      </c>
      <c r="E38" s="4">
        <v>1489</v>
      </c>
      <c r="F38" s="4">
        <v>1</v>
      </c>
      <c r="G38" s="4">
        <v>0</v>
      </c>
    </row>
    <row r="39">
      <c r="A39" s="0" t="inlineStr">
        <is>
          <t xml:space="preserve">random_09_d20260923</t>
        </is>
      </c>
      <c r="B39" s="0" t="inlineStr">
        <is>
          <t xml:space="preserve">random_09</t>
        </is>
      </c>
      <c r="C39" s="0" t="inlineStr">
        <is>
          <t xml:space="preserve">d20260923</t>
        </is>
      </c>
      <c r="D39" s="4">
        <v>1</v>
      </c>
      <c r="E39" s="4">
        <v>1489</v>
      </c>
      <c r="F39" s="4">
        <v>1</v>
      </c>
      <c r="G39" s="4">
        <v>0</v>
      </c>
    </row>
    <row r="40">
      <c r="A40" s="0" t="inlineStr">
        <is>
          <t xml:space="preserve">random_10_d20260922</t>
        </is>
      </c>
      <c r="B40" s="0" t="inlineStr">
        <is>
          <t xml:space="preserve">random_10</t>
        </is>
      </c>
      <c r="C40" s="0" t="inlineStr">
        <is>
          <t xml:space="preserve">d20260922</t>
        </is>
      </c>
      <c r="D40" s="4">
        <v>1</v>
      </c>
      <c r="E40" s="4">
        <v>1489</v>
      </c>
      <c r="F40" s="4">
        <v>1</v>
      </c>
      <c r="G40" s="4">
        <v>0</v>
      </c>
    </row>
    <row r="41">
      <c r="A41" s="0" t="inlineStr">
        <is>
          <t xml:space="preserve">random_10_d20260923</t>
        </is>
      </c>
      <c r="B41" s="0" t="inlineStr">
        <is>
          <t xml:space="preserve">random_10</t>
        </is>
      </c>
      <c r="C41" s="0" t="inlineStr">
        <is>
          <t xml:space="preserve">d20260923</t>
        </is>
      </c>
      <c r="D41" s="4">
        <v>1</v>
      </c>
      <c r="E41" s="4">
        <v>1489</v>
      </c>
      <c r="F41" s="4">
        <v>1</v>
      </c>
      <c r="G41" s="4">
        <v>0</v>
      </c>
    </row>
    <row r="42">
      <c r="A42" s="0" t="inlineStr">
        <is>
          <t xml:space="preserve">random_11_d20260922</t>
        </is>
      </c>
      <c r="B42" s="0" t="inlineStr">
        <is>
          <t xml:space="preserve">random_11</t>
        </is>
      </c>
      <c r="C42" s="0" t="inlineStr">
        <is>
          <t xml:space="preserve">d20260922</t>
        </is>
      </c>
      <c r="D42" s="4">
        <v>1</v>
      </c>
      <c r="E42" s="4">
        <v>1489</v>
      </c>
      <c r="F42" s="4">
        <v>1</v>
      </c>
      <c r="G42" s="4">
        <v>0</v>
      </c>
    </row>
    <row r="43">
      <c r="A43" s="0" t="inlineStr">
        <is>
          <t xml:space="preserve">random_11_d20260923</t>
        </is>
      </c>
      <c r="B43" s="0" t="inlineStr">
        <is>
          <t xml:space="preserve">random_11</t>
        </is>
      </c>
      <c r="C43" s="0" t="inlineStr">
        <is>
          <t xml:space="preserve">d20260923</t>
        </is>
      </c>
      <c r="D43" s="4">
        <v>1</v>
      </c>
      <c r="E43" s="4">
        <v>1489</v>
      </c>
      <c r="F43" s="4">
        <v>1</v>
      </c>
      <c r="G43" s="4">
        <v>0</v>
      </c>
    </row>
    <row r="44">
      <c r="A44" s="0" t="inlineStr">
        <is>
          <t xml:space="preserve">random_12_d20260922</t>
        </is>
      </c>
      <c r="B44" s="0" t="inlineStr">
        <is>
          <t xml:space="preserve">random_12</t>
        </is>
      </c>
      <c r="C44" s="0" t="inlineStr">
        <is>
          <t xml:space="preserve">d20260922</t>
        </is>
      </c>
      <c r="D44" s="4">
        <v>1</v>
      </c>
      <c r="E44" s="4">
        <v>1489</v>
      </c>
      <c r="F44" s="4">
        <v>1</v>
      </c>
      <c r="G44" s="4">
        <v>0</v>
      </c>
    </row>
    <row r="45">
      <c r="A45" s="0" t="inlineStr">
        <is>
          <t xml:space="preserve">random_12_d20260923</t>
        </is>
      </c>
      <c r="B45" s="0" t="inlineStr">
        <is>
          <t xml:space="preserve">random_12</t>
        </is>
      </c>
      <c r="C45" s="0" t="inlineStr">
        <is>
          <t xml:space="preserve">d20260923</t>
        </is>
      </c>
      <c r="D45" s="4">
        <v>1</v>
      </c>
      <c r="E45" s="4">
        <v>1489</v>
      </c>
      <c r="F45" s="4">
        <v>1</v>
      </c>
      <c r="G45" s="4">
        <v>0</v>
      </c>
    </row>
    <row r="46">
      <c r="A46" s="0" t="inlineStr">
        <is>
          <t xml:space="preserve">random_13_d20260922</t>
        </is>
      </c>
      <c r="B46" s="0" t="inlineStr">
        <is>
          <t xml:space="preserve">random_13</t>
        </is>
      </c>
      <c r="C46" s="0" t="inlineStr">
        <is>
          <t xml:space="preserve">d20260922</t>
        </is>
      </c>
      <c r="D46" s="4">
        <v>1</v>
      </c>
      <c r="E46" s="4">
        <v>1489</v>
      </c>
      <c r="F46" s="4">
        <v>1</v>
      </c>
      <c r="G46" s="4">
        <v>0</v>
      </c>
    </row>
    <row r="47">
      <c r="A47" s="0" t="inlineStr">
        <is>
          <t xml:space="preserve">random_13_d20260923</t>
        </is>
      </c>
      <c r="B47" s="0" t="inlineStr">
        <is>
          <t xml:space="preserve">random_13</t>
        </is>
      </c>
      <c r="C47" s="0" t="inlineStr">
        <is>
          <t xml:space="preserve">d20260923</t>
        </is>
      </c>
      <c r="D47" s="4">
        <v>1</v>
      </c>
      <c r="E47" s="4">
        <v>1489</v>
      </c>
      <c r="F47" s="4">
        <v>1</v>
      </c>
      <c r="G47" s="4">
        <v>0</v>
      </c>
    </row>
    <row r="48">
      <c r="A48" s="0" t="inlineStr">
        <is>
          <t xml:space="preserve">random_14_d20260922</t>
        </is>
      </c>
      <c r="B48" s="0" t="inlineStr">
        <is>
          <t xml:space="preserve">random_14</t>
        </is>
      </c>
      <c r="C48" s="0" t="inlineStr">
        <is>
          <t xml:space="preserve">d20260922</t>
        </is>
      </c>
      <c r="D48" s="4">
        <v>1</v>
      </c>
      <c r="E48" s="4">
        <v>1489</v>
      </c>
      <c r="F48" s="4">
        <v>1</v>
      </c>
      <c r="G48" s="4">
        <v>0</v>
      </c>
    </row>
    <row r="49">
      <c r="A49" s="0" t="inlineStr">
        <is>
          <t xml:space="preserve">random_14_d20260923</t>
        </is>
      </c>
      <c r="B49" s="0" t="inlineStr">
        <is>
          <t xml:space="preserve">random_14</t>
        </is>
      </c>
      <c r="C49" s="0" t="inlineStr">
        <is>
          <t xml:space="preserve">d20260923</t>
        </is>
      </c>
      <c r="D49" s="4">
        <v>1</v>
      </c>
      <c r="E49" s="4">
        <v>1489</v>
      </c>
      <c r="F49" s="4">
        <v>1</v>
      </c>
      <c r="G49" s="4">
        <v>0</v>
      </c>
    </row>
    <row r="50">
      <c r="A50" s="0" t="inlineStr">
        <is>
          <t xml:space="preserve">random_15_d20260922</t>
        </is>
      </c>
      <c r="B50" s="0" t="inlineStr">
        <is>
          <t xml:space="preserve">random_15</t>
        </is>
      </c>
      <c r="C50" s="0" t="inlineStr">
        <is>
          <t xml:space="preserve">d20260922</t>
        </is>
      </c>
      <c r="D50" s="4">
        <v>1</v>
      </c>
      <c r="E50" s="4">
        <v>1489</v>
      </c>
      <c r="F50" s="4">
        <v>1</v>
      </c>
      <c r="G50" s="4">
        <v>0</v>
      </c>
    </row>
    <row r="51">
      <c r="A51" s="0" t="inlineStr">
        <is>
          <t xml:space="preserve">random_15_d20260923</t>
        </is>
      </c>
      <c r="B51" s="0" t="inlineStr">
        <is>
          <t xml:space="preserve">random_15</t>
        </is>
      </c>
      <c r="C51" s="0" t="inlineStr">
        <is>
          <t xml:space="preserve">d20260923</t>
        </is>
      </c>
      <c r="D51" s="4">
        <v>1</v>
      </c>
      <c r="E51" s="4">
        <v>1489</v>
      </c>
      <c r="F51" s="4">
        <v>1</v>
      </c>
      <c r="G51" s="4">
        <v>0</v>
      </c>
    </row>
    <row r="52">
      <c r="A52" s="0" t="inlineStr">
        <is>
          <t xml:space="preserve">random_16_d20260922</t>
        </is>
      </c>
      <c r="B52" s="0" t="inlineStr">
        <is>
          <t xml:space="preserve">random_16</t>
        </is>
      </c>
      <c r="C52" s="0" t="inlineStr">
        <is>
          <t xml:space="preserve">d20260922</t>
        </is>
      </c>
      <c r="D52" s="4">
        <v>1</v>
      </c>
      <c r="E52" s="4">
        <v>1489</v>
      </c>
      <c r="F52" s="4">
        <v>1</v>
      </c>
      <c r="G52" s="4">
        <v>0</v>
      </c>
    </row>
    <row r="53">
      <c r="A53" s="0" t="inlineStr">
        <is>
          <t xml:space="preserve">random_16_d20260923</t>
        </is>
      </c>
      <c r="B53" s="0" t="inlineStr">
        <is>
          <t xml:space="preserve">random_16</t>
        </is>
      </c>
      <c r="C53" s="0" t="inlineStr">
        <is>
          <t xml:space="preserve">d20260923</t>
        </is>
      </c>
      <c r="D53" s="4">
        <v>1</v>
      </c>
      <c r="E53" s="4">
        <v>1489</v>
      </c>
      <c r="F53" s="4">
        <v>1</v>
      </c>
      <c r="G53" s="4">
        <v>0</v>
      </c>
    </row>
    <row r="54">
      <c r="A54" s="0" t="inlineStr">
        <is>
          <t xml:space="preserve">random_17_d20260922</t>
        </is>
      </c>
      <c r="B54" s="0" t="inlineStr">
        <is>
          <t xml:space="preserve">random_17</t>
        </is>
      </c>
      <c r="C54" s="0" t="inlineStr">
        <is>
          <t xml:space="preserve">d20260922</t>
        </is>
      </c>
      <c r="D54" s="4">
        <v>1</v>
      </c>
      <c r="E54" s="4">
        <v>1489</v>
      </c>
      <c r="F54" s="4">
        <v>1</v>
      </c>
      <c r="G54" s="4">
        <v>0</v>
      </c>
    </row>
    <row r="55">
      <c r="A55" s="0" t="inlineStr">
        <is>
          <t xml:space="preserve">random_17_d20260923</t>
        </is>
      </c>
      <c r="B55" s="0" t="inlineStr">
        <is>
          <t xml:space="preserve">random_17</t>
        </is>
      </c>
      <c r="C55" s="0" t="inlineStr">
        <is>
          <t xml:space="preserve">d20260923</t>
        </is>
      </c>
      <c r="D55" s="4">
        <v>1</v>
      </c>
      <c r="E55" s="4">
        <v>1489</v>
      </c>
      <c r="F55" s="4">
        <v>1</v>
      </c>
      <c r="G55" s="4">
        <v>0</v>
      </c>
    </row>
    <row r="56">
      <c r="A56" s="0" t="inlineStr">
        <is>
          <t xml:space="preserve">random_18_d20260922</t>
        </is>
      </c>
      <c r="B56" s="0" t="inlineStr">
        <is>
          <t xml:space="preserve">random_18</t>
        </is>
      </c>
      <c r="C56" s="0" t="inlineStr">
        <is>
          <t xml:space="preserve">d20260922</t>
        </is>
      </c>
      <c r="D56" s="4">
        <v>1</v>
      </c>
      <c r="E56" s="4">
        <v>1489</v>
      </c>
      <c r="F56" s="4">
        <v>1</v>
      </c>
      <c r="G56" s="4">
        <v>0</v>
      </c>
    </row>
    <row r="57">
      <c r="A57" s="0" t="inlineStr">
        <is>
          <t xml:space="preserve">random_18_d20260923</t>
        </is>
      </c>
      <c r="B57" s="0" t="inlineStr">
        <is>
          <t xml:space="preserve">random_18</t>
        </is>
      </c>
      <c r="C57" s="0" t="inlineStr">
        <is>
          <t xml:space="preserve">d20260923</t>
        </is>
      </c>
      <c r="D57" s="4">
        <v>1</v>
      </c>
      <c r="E57" s="4">
        <v>1489</v>
      </c>
      <c r="F57" s="4">
        <v>1</v>
      </c>
      <c r="G57" s="4">
        <v>0</v>
      </c>
    </row>
    <row r="58">
      <c r="A58" s="0" t="inlineStr">
        <is>
          <t xml:space="preserve">random_19_d20260922</t>
        </is>
      </c>
      <c r="B58" s="0" t="inlineStr">
        <is>
          <t xml:space="preserve">random_19</t>
        </is>
      </c>
      <c r="C58" s="0" t="inlineStr">
        <is>
          <t xml:space="preserve">d20260922</t>
        </is>
      </c>
      <c r="D58" s="4">
        <v>1</v>
      </c>
      <c r="E58" s="4">
        <v>1489</v>
      </c>
      <c r="F58" s="4">
        <v>1</v>
      </c>
      <c r="G58" s="4">
        <v>0</v>
      </c>
    </row>
    <row r="59">
      <c r="A59" s="0" t="inlineStr">
        <is>
          <t xml:space="preserve">random_19_d20260923</t>
        </is>
      </c>
      <c r="B59" s="0" t="inlineStr">
        <is>
          <t xml:space="preserve">random_19</t>
        </is>
      </c>
      <c r="C59" s="0" t="inlineStr">
        <is>
          <t xml:space="preserve">d20260923</t>
        </is>
      </c>
      <c r="D59" s="4">
        <v>1</v>
      </c>
      <c r="E59" s="4">
        <v>1489</v>
      </c>
      <c r="F59" s="4">
        <v>1</v>
      </c>
      <c r="G59" s="4">
        <v>0</v>
      </c>
    </row>
    <row r="60">
      <c r="A60" s="0" t="inlineStr">
        <is>
          <t xml:space="preserve">random_20_d20260922</t>
        </is>
      </c>
      <c r="B60" s="0" t="inlineStr">
        <is>
          <t xml:space="preserve">random_20</t>
        </is>
      </c>
      <c r="C60" s="0" t="inlineStr">
        <is>
          <t xml:space="preserve">d20260922</t>
        </is>
      </c>
      <c r="D60" s="4">
        <v>1</v>
      </c>
      <c r="E60" s="4">
        <v>1489</v>
      </c>
      <c r="F60" s="4">
        <v>1</v>
      </c>
      <c r="G60" s="4">
        <v>0</v>
      </c>
    </row>
    <row r="61">
      <c r="A61" s="0" t="inlineStr">
        <is>
          <t xml:space="preserve">random_20_d20260923</t>
        </is>
      </c>
      <c r="B61" s="0" t="inlineStr">
        <is>
          <t xml:space="preserve">random_20</t>
        </is>
      </c>
      <c r="C61" s="0" t="inlineStr">
        <is>
          <t xml:space="preserve">d20260923</t>
        </is>
      </c>
      <c r="D61" s="4">
        <v>1</v>
      </c>
      <c r="E61" s="4">
        <v>1489</v>
      </c>
      <c r="F61" s="4">
        <v>1</v>
      </c>
      <c r="G61" s="4">
        <v>0</v>
      </c>
    </row>
    <row r="62">
      <c r="A62" s="0" t="inlineStr">
        <is>
          <t xml:space="preserve">naive_mcap_d20260922</t>
        </is>
      </c>
      <c r="B62" s="0" t="inlineStr">
        <is>
          <t xml:space="preserve">naive_mcap</t>
        </is>
      </c>
      <c r="C62" s="0" t="inlineStr">
        <is>
          <t xml:space="preserve">d20260922</t>
        </is>
      </c>
      <c r="D62" s="4">
        <v>1</v>
      </c>
      <c r="E62" s="4">
        <v>1489</v>
      </c>
      <c r="F62" s="4">
        <v>1</v>
      </c>
      <c r="G62" s="4">
        <v>0</v>
      </c>
    </row>
    <row r="63">
      <c r="A63" s="0" t="inlineStr">
        <is>
          <t xml:space="preserve">naive_mcap_d20260923</t>
        </is>
      </c>
      <c r="B63" s="0" t="inlineStr">
        <is>
          <t xml:space="preserve">naive_mcap</t>
        </is>
      </c>
      <c r="C63" s="0" t="inlineStr">
        <is>
          <t xml:space="preserve">d20260923</t>
        </is>
      </c>
      <c r="D63" s="4">
        <v>1</v>
      </c>
      <c r="E63" s="4">
        <v>1489</v>
      </c>
      <c r="F63" s="4">
        <v>1</v>
      </c>
      <c r="G63" s="4">
        <v>0</v>
      </c>
    </row>
    <row r="64">
      <c r="A64" s="0" t="inlineStr">
        <is>
          <t xml:space="preserve">naive_mom_d20260922</t>
        </is>
      </c>
      <c r="B64" s="0" t="inlineStr">
        <is>
          <t xml:space="preserve">naive_mom</t>
        </is>
      </c>
      <c r="C64" s="0" t="inlineStr">
        <is>
          <t xml:space="preserve">d20260922</t>
        </is>
      </c>
      <c r="D64" s="4">
        <v>1</v>
      </c>
      <c r="E64" s="4">
        <v>1443</v>
      </c>
      <c r="F64" s="4">
        <v>1</v>
      </c>
      <c r="G64" s="4">
        <v>0</v>
      </c>
    </row>
    <row r="65">
      <c r="A65" s="0" t="inlineStr">
        <is>
          <t xml:space="preserve">naive_mom_d20260923</t>
        </is>
      </c>
      <c r="B65" s="0" t="inlineStr">
        <is>
          <t xml:space="preserve">naive_mom</t>
        </is>
      </c>
      <c r="C65" s="0" t="inlineStr">
        <is>
          <t xml:space="preserve">d20260923</t>
        </is>
      </c>
      <c r="D65" s="4">
        <v>1</v>
      </c>
      <c r="E65" s="4">
        <v>1443</v>
      </c>
      <c r="F65" s="4">
        <v>1</v>
      </c>
      <c r="G65" s="4">
        <v>0</v>
      </c>
    </row>
    <row r="66">
      <c r="A66" s="0" t="inlineStr">
        <is>
          <t xml:space="preserve">naive_lowvol_d20260922</t>
        </is>
      </c>
      <c r="B66" s="0" t="inlineStr">
        <is>
          <t xml:space="preserve">naive_lowvol</t>
        </is>
      </c>
      <c r="C66" s="0" t="inlineStr">
        <is>
          <t xml:space="preserve">d20260922</t>
        </is>
      </c>
      <c r="D66" s="4">
        <v>1</v>
      </c>
      <c r="E66" s="4">
        <v>1489</v>
      </c>
      <c r="F66" s="4">
        <v>1</v>
      </c>
      <c r="G66" s="4">
        <v>0</v>
      </c>
    </row>
    <row r="67">
      <c r="A67" s="0" t="inlineStr">
        <is>
          <t xml:space="preserve">naive_lowvol_d20260923</t>
        </is>
      </c>
      <c r="B67" s="0" t="inlineStr">
        <is>
          <t xml:space="preserve">naive_lowvol</t>
        </is>
      </c>
      <c r="C67" s="0" t="inlineStr">
        <is>
          <t xml:space="preserve">d20260923</t>
        </is>
      </c>
      <c r="D67" s="4">
        <v>1</v>
      </c>
      <c r="E67" s="4">
        <v>1489</v>
      </c>
      <c r="F67" s="4">
        <v>1</v>
      </c>
      <c r="G67" s="4">
        <v>0</v>
      </c>
    </row>
    <row r="68">
      <c r="A68" s="0" t="inlineStr">
        <is>
          <t xml:space="preserve">naive_loser1d_d20260922</t>
        </is>
      </c>
      <c r="B68" s="0" t="inlineStr">
        <is>
          <t xml:space="preserve">naive_loser1d</t>
        </is>
      </c>
      <c r="C68" s="0" t="inlineStr">
        <is>
          <t xml:space="preserve">d20260922</t>
        </is>
      </c>
      <c r="D68" s="4">
        <v>1</v>
      </c>
      <c r="E68" s="4">
        <v>1489</v>
      </c>
      <c r="F68" s="4">
        <v>1</v>
      </c>
      <c r="G68" s="4">
        <v>0</v>
      </c>
    </row>
    <row r="69">
      <c r="A69" s="0" t="inlineStr">
        <is>
          <t xml:space="preserve">naive_loser1d_d20260923</t>
        </is>
      </c>
      <c r="B69" s="0" t="inlineStr">
        <is>
          <t xml:space="preserve">naive_loser1d</t>
        </is>
      </c>
      <c r="C69" s="0" t="inlineStr">
        <is>
          <t xml:space="preserve">d20260923</t>
        </is>
      </c>
      <c r="D69" s="4">
        <v>1</v>
      </c>
      <c r="E69" s="4">
        <v>1489</v>
      </c>
      <c r="F69" s="4">
        <v>1</v>
      </c>
      <c r="G69" s="4">
        <v>0</v>
      </c>
    </row>
    <row r="70">
      <c r="A70" s="0" t="inlineStr">
        <is>
          <t xml:space="preserve">naive_winner1d_d20260922</t>
        </is>
      </c>
      <c r="B70" s="0" t="inlineStr">
        <is>
          <t xml:space="preserve">naive_winner1d</t>
        </is>
      </c>
      <c r="C70" s="0" t="inlineStr">
        <is>
          <t xml:space="preserve">d20260922</t>
        </is>
      </c>
      <c r="D70" s="4">
        <v>1</v>
      </c>
      <c r="E70" s="4">
        <v>1489</v>
      </c>
      <c r="F70" s="4">
        <v>1</v>
      </c>
      <c r="G70" s="4">
        <v>0</v>
      </c>
    </row>
    <row r="71">
      <c r="A71" s="0" t="inlineStr">
        <is>
          <t xml:space="preserve">naive_winner1d_d20260923</t>
        </is>
      </c>
      <c r="B71" s="0" t="inlineStr">
        <is>
          <t xml:space="preserve">naive_winner1d</t>
        </is>
      </c>
      <c r="C71" s="0" t="inlineStr">
        <is>
          <t xml:space="preserve">d20260923</t>
        </is>
      </c>
      <c r="D71" s="4">
        <v>1</v>
      </c>
      <c r="E71" s="4">
        <v>1489</v>
      </c>
      <c r="F71" s="4">
        <v>1</v>
      </c>
      <c r="G71" s="4">
        <v>0</v>
      </c>
    </row>
  </sheetData>
</worksheet>
</file>

<file path=xl/worksheets/sheet2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</cols>
  <sheetData>
    <row r="1">
      <c r="A1" s="1" t="inlineStr">
        <is>
          <t xml:space="preserve">ID</t>
        </is>
      </c>
      <c r="B1" s="1" t="inlineStr">
        <is>
          <t xml:space="preserve">pod_a</t>
        </is>
      </c>
      <c r="C1" s="1" t="inlineStr">
        <is>
          <t xml:space="preserve">pod_b</t>
        </is>
      </c>
      <c r="D1" s="1" t="inlineStr">
        <is>
          <t xml:space="preserve">overlap</t>
        </is>
      </c>
    </row>
    <row r="2">
      <c r="A2" s="0" t="inlineStr">
        <is>
          <t xml:space="preserve">p01_attention__p01_attention</t>
        </is>
      </c>
      <c r="B2" s="0" t="inlineStr">
        <is>
          <t xml:space="preserve">p01_attention</t>
        </is>
      </c>
      <c r="C2" s="0" t="inlineStr">
        <is>
          <t xml:space="preserve">p01_attention</t>
        </is>
      </c>
      <c r="D2" s="4">
        <v>100</v>
      </c>
    </row>
    <row r="3">
      <c r="A3" s="0" t="inlineStr">
        <is>
          <t xml:space="preserve">p01_attention__p02_earnings_drift</t>
        </is>
      </c>
      <c r="B3" s="0" t="inlineStr">
        <is>
          <t xml:space="preserve">p01_attention</t>
        </is>
      </c>
      <c r="C3" s="0" t="inlineStr">
        <is>
          <t xml:space="preserve">p02_earnings_drift</t>
        </is>
      </c>
      <c r="D3" s="4">
        <v>6</v>
      </c>
    </row>
    <row r="4">
      <c r="A4" s="0" t="inlineStr">
        <is>
          <t xml:space="preserve">p01_attention__p03_intraday_reversal</t>
        </is>
      </c>
      <c r="B4" s="0" t="inlineStr">
        <is>
          <t xml:space="preserve">p01_attention</t>
        </is>
      </c>
      <c r="C4" s="0" t="inlineStr">
        <is>
          <t xml:space="preserve">p03_intraday_reversal</t>
        </is>
      </c>
      <c r="D4" s="4">
        <v>23</v>
      </c>
    </row>
    <row r="5">
      <c r="A5" s="0" t="inlineStr">
        <is>
          <t xml:space="preserve">p01_attention__p04_analyst_revisions</t>
        </is>
      </c>
      <c r="B5" s="0" t="inlineStr">
        <is>
          <t xml:space="preserve">p01_attention</t>
        </is>
      </c>
      <c r="C5" s="0" t="inlineStr">
        <is>
          <t xml:space="preserve">p04_analyst_revisions</t>
        </is>
      </c>
      <c r="D5" s="4">
        <v>9</v>
      </c>
    </row>
    <row r="6">
      <c r="A6" s="0" t="inlineStr">
        <is>
          <t xml:space="preserve">p01_attention__p05_insider_clusters</t>
        </is>
      </c>
      <c r="B6" s="0" t="inlineStr">
        <is>
          <t xml:space="preserve">p01_attention</t>
        </is>
      </c>
      <c r="C6" s="0" t="inlineStr">
        <is>
          <t xml:space="preserve">p05_insider_clusters</t>
        </is>
      </c>
      <c r="D6" s="4">
        <v>6</v>
      </c>
    </row>
    <row r="7">
      <c r="A7" s="0" t="inlineStr">
        <is>
          <t xml:space="preserve">p01_attention__p06_seasonality</t>
        </is>
      </c>
      <c r="B7" s="0" t="inlineStr">
        <is>
          <t xml:space="preserve">p01_attention</t>
        </is>
      </c>
      <c r="C7" s="0" t="inlineStr">
        <is>
          <t xml:space="preserve">p06_seasonality</t>
        </is>
      </c>
      <c r="D7" s="4">
        <v>10</v>
      </c>
    </row>
    <row r="8">
      <c r="A8" s="0" t="inlineStr">
        <is>
          <t xml:space="preserve">p01_attention__p07_quality_value</t>
        </is>
      </c>
      <c r="B8" s="0" t="inlineStr">
        <is>
          <t xml:space="preserve">p01_attention</t>
        </is>
      </c>
      <c r="C8" s="0" t="inlineStr">
        <is>
          <t xml:space="preserve">p07_quality_value</t>
        </is>
      </c>
      <c r="D8" s="4">
        <v>8</v>
      </c>
    </row>
    <row r="9">
      <c r="A9" s="0" t="inlineStr">
        <is>
          <t xml:space="preserve">p01_attention__p08_residual_momentum</t>
        </is>
      </c>
      <c r="B9" s="0" t="inlineStr">
        <is>
          <t xml:space="preserve">p01_attention</t>
        </is>
      </c>
      <c r="C9" s="0" t="inlineStr">
        <is>
          <t xml:space="preserve">p08_residual_momentum</t>
        </is>
      </c>
      <c r="D9" s="4">
        <v>8</v>
      </c>
    </row>
    <row r="10">
      <c r="A10" s="0" t="inlineStr">
        <is>
          <t xml:space="preserve">p01_attention__p09_overnight_persistence</t>
        </is>
      </c>
      <c r="B10" s="0" t="inlineStr">
        <is>
          <t xml:space="preserve">p01_attention</t>
        </is>
      </c>
      <c r="C10" s="0" t="inlineStr">
        <is>
          <t xml:space="preserve">p09_overnight_persistence</t>
        </is>
      </c>
      <c r="D10" s="4">
        <v>2</v>
      </c>
    </row>
    <row r="11">
      <c r="A11" s="0" t="inlineStr">
        <is>
          <t xml:space="preserve">p01_attention__p10_52wk_high</t>
        </is>
      </c>
      <c r="B11" s="0" t="inlineStr">
        <is>
          <t xml:space="preserve">p01_attention</t>
        </is>
      </c>
      <c r="C11" s="0" t="inlineStr">
        <is>
          <t xml:space="preserve">p10_52wk_high</t>
        </is>
      </c>
      <c r="D11" s="4">
        <v>13</v>
      </c>
    </row>
    <row r="12">
      <c r="A12" s="0" t="inlineStr">
        <is>
          <t xml:space="preserve">p02_earnings_drift__p01_attention</t>
        </is>
      </c>
      <c r="B12" s="0" t="inlineStr">
        <is>
          <t xml:space="preserve">p02_earnings_drift</t>
        </is>
      </c>
      <c r="C12" s="0" t="inlineStr">
        <is>
          <t xml:space="preserve">p01_attention</t>
        </is>
      </c>
      <c r="D12" s="4">
        <v>6</v>
      </c>
    </row>
    <row r="13">
      <c r="A13" s="0" t="inlineStr">
        <is>
          <t xml:space="preserve">p02_earnings_drift__p02_earnings_drift</t>
        </is>
      </c>
      <c r="B13" s="0" t="inlineStr">
        <is>
          <t xml:space="preserve">p02_earnings_drift</t>
        </is>
      </c>
      <c r="C13" s="0" t="inlineStr">
        <is>
          <t xml:space="preserve">p02_earnings_drift</t>
        </is>
      </c>
      <c r="D13" s="4">
        <v>100</v>
      </c>
    </row>
    <row r="14">
      <c r="A14" s="0" t="inlineStr">
        <is>
          <t xml:space="preserve">p02_earnings_drift__p03_intraday_reversal</t>
        </is>
      </c>
      <c r="B14" s="0" t="inlineStr">
        <is>
          <t xml:space="preserve">p02_earnings_drift</t>
        </is>
      </c>
      <c r="C14" s="0" t="inlineStr">
        <is>
          <t xml:space="preserve">p03_intraday_reversal</t>
        </is>
      </c>
      <c r="D14" s="4">
        <v>5</v>
      </c>
    </row>
    <row r="15">
      <c r="A15" s="0" t="inlineStr">
        <is>
          <t xml:space="preserve">p02_earnings_drift__p04_analyst_revisions</t>
        </is>
      </c>
      <c r="B15" s="0" t="inlineStr">
        <is>
          <t xml:space="preserve">p02_earnings_drift</t>
        </is>
      </c>
      <c r="C15" s="0" t="inlineStr">
        <is>
          <t xml:space="preserve">p04_analyst_revisions</t>
        </is>
      </c>
      <c r="D15" s="4">
        <v>6</v>
      </c>
    </row>
    <row r="16">
      <c r="A16" s="0" t="inlineStr">
        <is>
          <t xml:space="preserve">p02_earnings_drift__p05_insider_clusters</t>
        </is>
      </c>
      <c r="B16" s="0" t="inlineStr">
        <is>
          <t xml:space="preserve">p02_earnings_drift</t>
        </is>
      </c>
      <c r="C16" s="0" t="inlineStr">
        <is>
          <t xml:space="preserve">p05_insider_clusters</t>
        </is>
      </c>
      <c r="D16" s="4">
        <v>12</v>
      </c>
    </row>
    <row r="17">
      <c r="A17" s="0" t="inlineStr">
        <is>
          <t xml:space="preserve">p02_earnings_drift__p06_seasonality</t>
        </is>
      </c>
      <c r="B17" s="0" t="inlineStr">
        <is>
          <t xml:space="preserve">p02_earnings_drift</t>
        </is>
      </c>
      <c r="C17" s="0" t="inlineStr">
        <is>
          <t xml:space="preserve">p06_seasonality</t>
        </is>
      </c>
      <c r="D17" s="4">
        <v>7</v>
      </c>
    </row>
    <row r="18">
      <c r="A18" s="0" t="inlineStr">
        <is>
          <t xml:space="preserve">p02_earnings_drift__p07_quality_value</t>
        </is>
      </c>
      <c r="B18" s="0" t="inlineStr">
        <is>
          <t xml:space="preserve">p02_earnings_drift</t>
        </is>
      </c>
      <c r="C18" s="0" t="inlineStr">
        <is>
          <t xml:space="preserve">p07_quality_value</t>
        </is>
      </c>
      <c r="D18" s="4">
        <v>4</v>
      </c>
    </row>
    <row r="19">
      <c r="A19" s="0" t="inlineStr">
        <is>
          <t xml:space="preserve">p02_earnings_drift__p08_residual_momentum</t>
        </is>
      </c>
      <c r="B19" s="0" t="inlineStr">
        <is>
          <t xml:space="preserve">p02_earnings_drift</t>
        </is>
      </c>
      <c r="C19" s="0" t="inlineStr">
        <is>
          <t xml:space="preserve">p08_residual_momentum</t>
        </is>
      </c>
      <c r="D19" s="4">
        <v>3</v>
      </c>
    </row>
    <row r="20">
      <c r="A20" s="0" t="inlineStr">
        <is>
          <t xml:space="preserve">p02_earnings_drift__p09_overnight_persistence</t>
        </is>
      </c>
      <c r="B20" s="0" t="inlineStr">
        <is>
          <t xml:space="preserve">p02_earnings_drift</t>
        </is>
      </c>
      <c r="C20" s="0" t="inlineStr">
        <is>
          <t xml:space="preserve">p09_overnight_persistence</t>
        </is>
      </c>
      <c r="D20" s="4">
        <v>9</v>
      </c>
    </row>
    <row r="21">
      <c r="A21" s="0" t="inlineStr">
        <is>
          <t xml:space="preserve">p02_earnings_drift__p10_52wk_high</t>
        </is>
      </c>
      <c r="B21" s="0" t="inlineStr">
        <is>
          <t xml:space="preserve">p02_earnings_drift</t>
        </is>
      </c>
      <c r="C21" s="0" t="inlineStr">
        <is>
          <t xml:space="preserve">p10_52wk_high</t>
        </is>
      </c>
      <c r="D21" s="4">
        <v>8</v>
      </c>
    </row>
    <row r="22">
      <c r="A22" s="0" t="inlineStr">
        <is>
          <t xml:space="preserve">p03_intraday_reversal__p01_attention</t>
        </is>
      </c>
      <c r="B22" s="0" t="inlineStr">
        <is>
          <t xml:space="preserve">p03_intraday_reversal</t>
        </is>
      </c>
      <c r="C22" s="0" t="inlineStr">
        <is>
          <t xml:space="preserve">p01_attention</t>
        </is>
      </c>
      <c r="D22" s="4">
        <v>23</v>
      </c>
    </row>
    <row r="23">
      <c r="A23" s="0" t="inlineStr">
        <is>
          <t xml:space="preserve">p03_intraday_reversal__p02_earnings_drift</t>
        </is>
      </c>
      <c r="B23" s="0" t="inlineStr">
        <is>
          <t xml:space="preserve">p03_intraday_reversal</t>
        </is>
      </c>
      <c r="C23" s="0" t="inlineStr">
        <is>
          <t xml:space="preserve">p02_earnings_drift</t>
        </is>
      </c>
      <c r="D23" s="4">
        <v>5</v>
      </c>
    </row>
    <row r="24">
      <c r="A24" s="0" t="inlineStr">
        <is>
          <t xml:space="preserve">p03_intraday_reversal__p03_intraday_reversal</t>
        </is>
      </c>
      <c r="B24" s="0" t="inlineStr">
        <is>
          <t xml:space="preserve">p03_intraday_reversal</t>
        </is>
      </c>
      <c r="C24" s="0" t="inlineStr">
        <is>
          <t xml:space="preserve">p03_intraday_reversal</t>
        </is>
      </c>
      <c r="D24" s="4">
        <v>100</v>
      </c>
    </row>
    <row r="25">
      <c r="A25" s="0" t="inlineStr">
        <is>
          <t xml:space="preserve">p03_intraday_reversal__p04_analyst_revisions</t>
        </is>
      </c>
      <c r="B25" s="0" t="inlineStr">
        <is>
          <t xml:space="preserve">p03_intraday_reversal</t>
        </is>
      </c>
      <c r="C25" s="0" t="inlineStr">
        <is>
          <t xml:space="preserve">p04_analyst_revisions</t>
        </is>
      </c>
      <c r="D25" s="4">
        <v>4</v>
      </c>
    </row>
    <row r="26">
      <c r="A26" s="0" t="inlineStr">
        <is>
          <t xml:space="preserve">p03_intraday_reversal__p05_insider_clusters</t>
        </is>
      </c>
      <c r="B26" s="0" t="inlineStr">
        <is>
          <t xml:space="preserve">p03_intraday_reversal</t>
        </is>
      </c>
      <c r="C26" s="0" t="inlineStr">
        <is>
          <t xml:space="preserve">p05_insider_clusters</t>
        </is>
      </c>
      <c r="D26" s="4">
        <v>8</v>
      </c>
    </row>
    <row r="27">
      <c r="A27" s="0" t="inlineStr">
        <is>
          <t xml:space="preserve">p03_intraday_reversal__p06_seasonality</t>
        </is>
      </c>
      <c r="B27" s="0" t="inlineStr">
        <is>
          <t xml:space="preserve">p03_intraday_reversal</t>
        </is>
      </c>
      <c r="C27" s="0" t="inlineStr">
        <is>
          <t xml:space="preserve">p06_seasonality</t>
        </is>
      </c>
      <c r="D27" s="4">
        <v>12</v>
      </c>
    </row>
    <row r="28">
      <c r="A28" s="0" t="inlineStr">
        <is>
          <t xml:space="preserve">p03_intraday_reversal__p07_quality_value</t>
        </is>
      </c>
      <c r="B28" s="0" t="inlineStr">
        <is>
          <t xml:space="preserve">p03_intraday_reversal</t>
        </is>
      </c>
      <c r="C28" s="0" t="inlineStr">
        <is>
          <t xml:space="preserve">p07_quality_value</t>
        </is>
      </c>
      <c r="D28" s="4">
        <v>14</v>
      </c>
    </row>
    <row r="29">
      <c r="A29" s="0" t="inlineStr">
        <is>
          <t xml:space="preserve">p03_intraday_reversal__p08_residual_momentum</t>
        </is>
      </c>
      <c r="B29" s="0" t="inlineStr">
        <is>
          <t xml:space="preserve">p03_intraday_reversal</t>
        </is>
      </c>
      <c r="C29" s="0" t="inlineStr">
        <is>
          <t xml:space="preserve">p08_residual_momentum</t>
        </is>
      </c>
      <c r="D29" s="4">
        <v>18</v>
      </c>
    </row>
    <row r="30">
      <c r="A30" s="0" t="inlineStr">
        <is>
          <t xml:space="preserve">p03_intraday_reversal__p09_overnight_persistence</t>
        </is>
      </c>
      <c r="B30" s="0" t="inlineStr">
        <is>
          <t xml:space="preserve">p03_intraday_reversal</t>
        </is>
      </c>
      <c r="C30" s="0" t="inlineStr">
        <is>
          <t xml:space="preserve">p09_overnight_persistence</t>
        </is>
      </c>
      <c r="D30" s="4">
        <v>11</v>
      </c>
    </row>
    <row r="31">
      <c r="A31" s="0" t="inlineStr">
        <is>
          <t xml:space="preserve">p03_intraday_reversal__p10_52wk_high</t>
        </is>
      </c>
      <c r="B31" s="0" t="inlineStr">
        <is>
          <t xml:space="preserve">p03_intraday_reversal</t>
        </is>
      </c>
      <c r="C31" s="0" t="inlineStr">
        <is>
          <t xml:space="preserve">p10_52wk_high</t>
        </is>
      </c>
      <c r="D31" s="4">
        <v>4</v>
      </c>
    </row>
    <row r="32">
      <c r="A32" s="0" t="inlineStr">
        <is>
          <t xml:space="preserve">p04_analyst_revisions__p01_attention</t>
        </is>
      </c>
      <c r="B32" s="0" t="inlineStr">
        <is>
          <t xml:space="preserve">p04_analyst_revisions</t>
        </is>
      </c>
      <c r="C32" s="0" t="inlineStr">
        <is>
          <t xml:space="preserve">p01_attention</t>
        </is>
      </c>
      <c r="D32" s="4">
        <v>9</v>
      </c>
    </row>
    <row r="33">
      <c r="A33" s="0" t="inlineStr">
        <is>
          <t xml:space="preserve">p04_analyst_revisions__p02_earnings_drift</t>
        </is>
      </c>
      <c r="B33" s="0" t="inlineStr">
        <is>
          <t xml:space="preserve">p04_analyst_revisions</t>
        </is>
      </c>
      <c r="C33" s="0" t="inlineStr">
        <is>
          <t xml:space="preserve">p02_earnings_drift</t>
        </is>
      </c>
      <c r="D33" s="4">
        <v>6</v>
      </c>
    </row>
    <row r="34">
      <c r="A34" s="0" t="inlineStr">
        <is>
          <t xml:space="preserve">p04_analyst_revisions__p03_intraday_reversal</t>
        </is>
      </c>
      <c r="B34" s="0" t="inlineStr">
        <is>
          <t xml:space="preserve">p04_analyst_revisions</t>
        </is>
      </c>
      <c r="C34" s="0" t="inlineStr">
        <is>
          <t xml:space="preserve">p03_intraday_reversal</t>
        </is>
      </c>
      <c r="D34" s="4">
        <v>4</v>
      </c>
    </row>
    <row r="35">
      <c r="A35" s="0" t="inlineStr">
        <is>
          <t xml:space="preserve">p04_analyst_revisions__p04_analyst_revisions</t>
        </is>
      </c>
      <c r="B35" s="0" t="inlineStr">
        <is>
          <t xml:space="preserve">p04_analyst_revisions</t>
        </is>
      </c>
      <c r="C35" s="0" t="inlineStr">
        <is>
          <t xml:space="preserve">p04_analyst_revisions</t>
        </is>
      </c>
      <c r="D35" s="4">
        <v>100</v>
      </c>
    </row>
    <row r="36">
      <c r="A36" s="0" t="inlineStr">
        <is>
          <t xml:space="preserve">p04_analyst_revisions__p05_insider_clusters</t>
        </is>
      </c>
      <c r="B36" s="0" t="inlineStr">
        <is>
          <t xml:space="preserve">p04_analyst_revisions</t>
        </is>
      </c>
      <c r="C36" s="0" t="inlineStr">
        <is>
          <t xml:space="preserve">p05_insider_clusters</t>
        </is>
      </c>
      <c r="D36" s="4">
        <v>7</v>
      </c>
    </row>
    <row r="37">
      <c r="A37" s="0" t="inlineStr">
        <is>
          <t xml:space="preserve">p04_analyst_revisions__p06_seasonality</t>
        </is>
      </c>
      <c r="B37" s="0" t="inlineStr">
        <is>
          <t xml:space="preserve">p04_analyst_revisions</t>
        </is>
      </c>
      <c r="C37" s="0" t="inlineStr">
        <is>
          <t xml:space="preserve">p06_seasonality</t>
        </is>
      </c>
      <c r="D37" s="4">
        <v>11</v>
      </c>
    </row>
    <row r="38">
      <c r="A38" s="0" t="inlineStr">
        <is>
          <t xml:space="preserve">p04_analyst_revisions__p07_quality_value</t>
        </is>
      </c>
      <c r="B38" s="0" t="inlineStr">
        <is>
          <t xml:space="preserve">p04_analyst_revisions</t>
        </is>
      </c>
      <c r="C38" s="0" t="inlineStr">
        <is>
          <t xml:space="preserve">p07_quality_value</t>
        </is>
      </c>
      <c r="D38" s="4">
        <v>6</v>
      </c>
    </row>
    <row r="39">
      <c r="A39" s="0" t="inlineStr">
        <is>
          <t xml:space="preserve">p04_analyst_revisions__p08_residual_momentum</t>
        </is>
      </c>
      <c r="B39" s="0" t="inlineStr">
        <is>
          <t xml:space="preserve">p04_analyst_revisions</t>
        </is>
      </c>
      <c r="C39" s="0" t="inlineStr">
        <is>
          <t xml:space="preserve">p08_residual_momentum</t>
        </is>
      </c>
      <c r="D39" s="4">
        <v>2</v>
      </c>
    </row>
    <row r="40">
      <c r="A40" s="0" t="inlineStr">
        <is>
          <t xml:space="preserve">p04_analyst_revisions__p09_overnight_persistence</t>
        </is>
      </c>
      <c r="B40" s="0" t="inlineStr">
        <is>
          <t xml:space="preserve">p04_analyst_revisions</t>
        </is>
      </c>
      <c r="C40" s="0" t="inlineStr">
        <is>
          <t xml:space="preserve">p09_overnight_persistence</t>
        </is>
      </c>
      <c r="D40" s="4">
        <v>13</v>
      </c>
    </row>
    <row r="41">
      <c r="A41" s="0" t="inlineStr">
        <is>
          <t xml:space="preserve">p04_analyst_revisions__p10_52wk_high</t>
        </is>
      </c>
      <c r="B41" s="0" t="inlineStr">
        <is>
          <t xml:space="preserve">p04_analyst_revisions</t>
        </is>
      </c>
      <c r="C41" s="0" t="inlineStr">
        <is>
          <t xml:space="preserve">p10_52wk_high</t>
        </is>
      </c>
      <c r="D41" s="4">
        <v>13</v>
      </c>
    </row>
    <row r="42">
      <c r="A42" s="0" t="inlineStr">
        <is>
          <t xml:space="preserve">p05_insider_clusters__p01_attention</t>
        </is>
      </c>
      <c r="B42" s="0" t="inlineStr">
        <is>
          <t xml:space="preserve">p05_insider_clusters</t>
        </is>
      </c>
      <c r="C42" s="0" t="inlineStr">
        <is>
          <t xml:space="preserve">p01_attention</t>
        </is>
      </c>
      <c r="D42" s="4">
        <v>6</v>
      </c>
    </row>
    <row r="43">
      <c r="A43" s="0" t="inlineStr">
        <is>
          <t xml:space="preserve">p05_insider_clusters__p02_earnings_drift</t>
        </is>
      </c>
      <c r="B43" s="0" t="inlineStr">
        <is>
          <t xml:space="preserve">p05_insider_clusters</t>
        </is>
      </c>
      <c r="C43" s="0" t="inlineStr">
        <is>
          <t xml:space="preserve">p02_earnings_drift</t>
        </is>
      </c>
      <c r="D43" s="4">
        <v>12</v>
      </c>
    </row>
    <row r="44">
      <c r="A44" s="0" t="inlineStr">
        <is>
          <t xml:space="preserve">p05_insider_clusters__p03_intraday_reversal</t>
        </is>
      </c>
      <c r="B44" s="0" t="inlineStr">
        <is>
          <t xml:space="preserve">p05_insider_clusters</t>
        </is>
      </c>
      <c r="C44" s="0" t="inlineStr">
        <is>
          <t xml:space="preserve">p03_intraday_reversal</t>
        </is>
      </c>
      <c r="D44" s="4">
        <v>8</v>
      </c>
    </row>
    <row r="45">
      <c r="A45" s="0" t="inlineStr">
        <is>
          <t xml:space="preserve">p05_insider_clusters__p04_analyst_revisions</t>
        </is>
      </c>
      <c r="B45" s="0" t="inlineStr">
        <is>
          <t xml:space="preserve">p05_insider_clusters</t>
        </is>
      </c>
      <c r="C45" s="0" t="inlineStr">
        <is>
          <t xml:space="preserve">p04_analyst_revisions</t>
        </is>
      </c>
      <c r="D45" s="4">
        <v>7</v>
      </c>
    </row>
    <row r="46">
      <c r="A46" s="0" t="inlineStr">
        <is>
          <t xml:space="preserve">p05_insider_clusters__p05_insider_clusters</t>
        </is>
      </c>
      <c r="B46" s="0" t="inlineStr">
        <is>
          <t xml:space="preserve">p05_insider_clusters</t>
        </is>
      </c>
      <c r="C46" s="0" t="inlineStr">
        <is>
          <t xml:space="preserve">p05_insider_clusters</t>
        </is>
      </c>
      <c r="D46" s="4">
        <v>100</v>
      </c>
    </row>
    <row r="47">
      <c r="A47" s="0" t="inlineStr">
        <is>
          <t xml:space="preserve">p05_insider_clusters__p06_seasonality</t>
        </is>
      </c>
      <c r="B47" s="0" t="inlineStr">
        <is>
          <t xml:space="preserve">p05_insider_clusters</t>
        </is>
      </c>
      <c r="C47" s="0" t="inlineStr">
        <is>
          <t xml:space="preserve">p06_seasonality</t>
        </is>
      </c>
      <c r="D47" s="4">
        <v>5</v>
      </c>
    </row>
    <row r="48">
      <c r="A48" s="0" t="inlineStr">
        <is>
          <t xml:space="preserve">p05_insider_clusters__p07_quality_value</t>
        </is>
      </c>
      <c r="B48" s="0" t="inlineStr">
        <is>
          <t xml:space="preserve">p05_insider_clusters</t>
        </is>
      </c>
      <c r="C48" s="0" t="inlineStr">
        <is>
          <t xml:space="preserve">p07_quality_value</t>
        </is>
      </c>
      <c r="D48" s="4">
        <v>7</v>
      </c>
    </row>
    <row r="49">
      <c r="A49" s="0" t="inlineStr">
        <is>
          <t xml:space="preserve">p05_insider_clusters__p08_residual_momentum</t>
        </is>
      </c>
      <c r="B49" s="0" t="inlineStr">
        <is>
          <t xml:space="preserve">p05_insider_clusters</t>
        </is>
      </c>
      <c r="C49" s="0" t="inlineStr">
        <is>
          <t xml:space="preserve">p08_residual_momentum</t>
        </is>
      </c>
      <c r="D49" s="4">
        <v>10</v>
      </c>
    </row>
    <row r="50">
      <c r="A50" s="0" t="inlineStr">
        <is>
          <t xml:space="preserve">p05_insider_clusters__p09_overnight_persistence</t>
        </is>
      </c>
      <c r="B50" s="0" t="inlineStr">
        <is>
          <t xml:space="preserve">p05_insider_clusters</t>
        </is>
      </c>
      <c r="C50" s="0" t="inlineStr">
        <is>
          <t xml:space="preserve">p09_overnight_persistence</t>
        </is>
      </c>
      <c r="D50" s="4">
        <v>10</v>
      </c>
    </row>
    <row r="51">
      <c r="A51" s="0" t="inlineStr">
        <is>
          <t xml:space="preserve">p05_insider_clusters__p10_52wk_high</t>
        </is>
      </c>
      <c r="B51" s="0" t="inlineStr">
        <is>
          <t xml:space="preserve">p05_insider_clusters</t>
        </is>
      </c>
      <c r="C51" s="0" t="inlineStr">
        <is>
          <t xml:space="preserve">p10_52wk_high</t>
        </is>
      </c>
      <c r="D51" s="4">
        <v>10</v>
      </c>
    </row>
    <row r="52">
      <c r="A52" s="0" t="inlineStr">
        <is>
          <t xml:space="preserve">p06_seasonality__p01_attention</t>
        </is>
      </c>
      <c r="B52" s="0" t="inlineStr">
        <is>
          <t xml:space="preserve">p06_seasonality</t>
        </is>
      </c>
      <c r="C52" s="0" t="inlineStr">
        <is>
          <t xml:space="preserve">p01_attention</t>
        </is>
      </c>
      <c r="D52" s="4">
        <v>10</v>
      </c>
    </row>
    <row r="53">
      <c r="A53" s="0" t="inlineStr">
        <is>
          <t xml:space="preserve">p06_seasonality__p02_earnings_drift</t>
        </is>
      </c>
      <c r="B53" s="0" t="inlineStr">
        <is>
          <t xml:space="preserve">p06_seasonality</t>
        </is>
      </c>
      <c r="C53" s="0" t="inlineStr">
        <is>
          <t xml:space="preserve">p02_earnings_drift</t>
        </is>
      </c>
      <c r="D53" s="4">
        <v>7</v>
      </c>
    </row>
    <row r="54">
      <c r="A54" s="0" t="inlineStr">
        <is>
          <t xml:space="preserve">p06_seasonality__p03_intraday_reversal</t>
        </is>
      </c>
      <c r="B54" s="0" t="inlineStr">
        <is>
          <t xml:space="preserve">p06_seasonality</t>
        </is>
      </c>
      <c r="C54" s="0" t="inlineStr">
        <is>
          <t xml:space="preserve">p03_intraday_reversal</t>
        </is>
      </c>
      <c r="D54" s="4">
        <v>12</v>
      </c>
    </row>
    <row r="55">
      <c r="A55" s="0" t="inlineStr">
        <is>
          <t xml:space="preserve">p06_seasonality__p04_analyst_revisions</t>
        </is>
      </c>
      <c r="B55" s="0" t="inlineStr">
        <is>
          <t xml:space="preserve">p06_seasonality</t>
        </is>
      </c>
      <c r="C55" s="0" t="inlineStr">
        <is>
          <t xml:space="preserve">p04_analyst_revisions</t>
        </is>
      </c>
      <c r="D55" s="4">
        <v>11</v>
      </c>
    </row>
    <row r="56">
      <c r="A56" s="0" t="inlineStr">
        <is>
          <t xml:space="preserve">p06_seasonality__p05_insider_clusters</t>
        </is>
      </c>
      <c r="B56" s="0" t="inlineStr">
        <is>
          <t xml:space="preserve">p06_seasonality</t>
        </is>
      </c>
      <c r="C56" s="0" t="inlineStr">
        <is>
          <t xml:space="preserve">p05_insider_clusters</t>
        </is>
      </c>
      <c r="D56" s="4">
        <v>5</v>
      </c>
    </row>
    <row r="57">
      <c r="A57" s="0" t="inlineStr">
        <is>
          <t xml:space="preserve">p06_seasonality__p06_seasonality</t>
        </is>
      </c>
      <c r="B57" s="0" t="inlineStr">
        <is>
          <t xml:space="preserve">p06_seasonality</t>
        </is>
      </c>
      <c r="C57" s="0" t="inlineStr">
        <is>
          <t xml:space="preserve">p06_seasonality</t>
        </is>
      </c>
      <c r="D57" s="4">
        <v>100</v>
      </c>
    </row>
    <row r="58">
      <c r="A58" s="0" t="inlineStr">
        <is>
          <t xml:space="preserve">p06_seasonality__p07_quality_value</t>
        </is>
      </c>
      <c r="B58" s="0" t="inlineStr">
        <is>
          <t xml:space="preserve">p06_seasonality</t>
        </is>
      </c>
      <c r="C58" s="0" t="inlineStr">
        <is>
          <t xml:space="preserve">p07_quality_value</t>
        </is>
      </c>
      <c r="D58" s="4">
        <v>4</v>
      </c>
    </row>
    <row r="59">
      <c r="A59" s="0" t="inlineStr">
        <is>
          <t xml:space="preserve">p06_seasonality__p08_residual_momentum</t>
        </is>
      </c>
      <c r="B59" s="0" t="inlineStr">
        <is>
          <t xml:space="preserve">p06_seasonality</t>
        </is>
      </c>
      <c r="C59" s="0" t="inlineStr">
        <is>
          <t xml:space="preserve">p08_residual_momentum</t>
        </is>
      </c>
      <c r="D59" s="4">
        <v>3</v>
      </c>
    </row>
    <row r="60">
      <c r="A60" s="0" t="inlineStr">
        <is>
          <t xml:space="preserve">p06_seasonality__p09_overnight_persistence</t>
        </is>
      </c>
      <c r="B60" s="0" t="inlineStr">
        <is>
          <t xml:space="preserve">p06_seasonality</t>
        </is>
      </c>
      <c r="C60" s="0" t="inlineStr">
        <is>
          <t xml:space="preserve">p09_overnight_persistence</t>
        </is>
      </c>
      <c r="D60" s="4">
        <v>11</v>
      </c>
    </row>
    <row r="61">
      <c r="A61" s="0" t="inlineStr">
        <is>
          <t xml:space="preserve">p06_seasonality__p10_52wk_high</t>
        </is>
      </c>
      <c r="B61" s="0" t="inlineStr">
        <is>
          <t xml:space="preserve">p06_seasonality</t>
        </is>
      </c>
      <c r="C61" s="0" t="inlineStr">
        <is>
          <t xml:space="preserve">p10_52wk_high</t>
        </is>
      </c>
      <c r="D61" s="4">
        <v>3</v>
      </c>
    </row>
    <row r="62">
      <c r="A62" s="0" t="inlineStr">
        <is>
          <t xml:space="preserve">p07_quality_value__p01_attention</t>
        </is>
      </c>
      <c r="B62" s="0" t="inlineStr">
        <is>
          <t xml:space="preserve">p07_quality_value</t>
        </is>
      </c>
      <c r="C62" s="0" t="inlineStr">
        <is>
          <t xml:space="preserve">p01_attention</t>
        </is>
      </c>
      <c r="D62" s="4">
        <v>8</v>
      </c>
    </row>
    <row r="63">
      <c r="A63" s="0" t="inlineStr">
        <is>
          <t xml:space="preserve">p07_quality_value__p02_earnings_drift</t>
        </is>
      </c>
      <c r="B63" s="0" t="inlineStr">
        <is>
          <t xml:space="preserve">p07_quality_value</t>
        </is>
      </c>
      <c r="C63" s="0" t="inlineStr">
        <is>
          <t xml:space="preserve">p02_earnings_drift</t>
        </is>
      </c>
      <c r="D63" s="4">
        <v>4</v>
      </c>
    </row>
    <row r="64">
      <c r="A64" s="0" t="inlineStr">
        <is>
          <t xml:space="preserve">p07_quality_value__p03_intraday_reversal</t>
        </is>
      </c>
      <c r="B64" s="0" t="inlineStr">
        <is>
          <t xml:space="preserve">p07_quality_value</t>
        </is>
      </c>
      <c r="C64" s="0" t="inlineStr">
        <is>
          <t xml:space="preserve">p03_intraday_reversal</t>
        </is>
      </c>
      <c r="D64" s="4">
        <v>14</v>
      </c>
    </row>
    <row r="65">
      <c r="A65" s="0" t="inlineStr">
        <is>
          <t xml:space="preserve">p07_quality_value__p04_analyst_revisions</t>
        </is>
      </c>
      <c r="B65" s="0" t="inlineStr">
        <is>
          <t xml:space="preserve">p07_quality_value</t>
        </is>
      </c>
      <c r="C65" s="0" t="inlineStr">
        <is>
          <t xml:space="preserve">p04_analyst_revisions</t>
        </is>
      </c>
      <c r="D65" s="4">
        <v>6</v>
      </c>
    </row>
    <row r="66">
      <c r="A66" s="0" t="inlineStr">
        <is>
          <t xml:space="preserve">p07_quality_value__p05_insider_clusters</t>
        </is>
      </c>
      <c r="B66" s="0" t="inlineStr">
        <is>
          <t xml:space="preserve">p07_quality_value</t>
        </is>
      </c>
      <c r="C66" s="0" t="inlineStr">
        <is>
          <t xml:space="preserve">p05_insider_clusters</t>
        </is>
      </c>
      <c r="D66" s="4">
        <v>7</v>
      </c>
    </row>
    <row r="67">
      <c r="A67" s="0" t="inlineStr">
        <is>
          <t xml:space="preserve">p07_quality_value__p06_seasonality</t>
        </is>
      </c>
      <c r="B67" s="0" t="inlineStr">
        <is>
          <t xml:space="preserve">p07_quality_value</t>
        </is>
      </c>
      <c r="C67" s="0" t="inlineStr">
        <is>
          <t xml:space="preserve">p06_seasonality</t>
        </is>
      </c>
      <c r="D67" s="4">
        <v>4</v>
      </c>
    </row>
    <row r="68">
      <c r="A68" s="0" t="inlineStr">
        <is>
          <t xml:space="preserve">p07_quality_value__p07_quality_value</t>
        </is>
      </c>
      <c r="B68" s="0" t="inlineStr">
        <is>
          <t xml:space="preserve">p07_quality_value</t>
        </is>
      </c>
      <c r="C68" s="0" t="inlineStr">
        <is>
          <t xml:space="preserve">p07_quality_value</t>
        </is>
      </c>
      <c r="D68" s="4">
        <v>100</v>
      </c>
    </row>
    <row r="69">
      <c r="A69" s="0" t="inlineStr">
        <is>
          <t xml:space="preserve">p07_quality_value__p08_residual_momentum</t>
        </is>
      </c>
      <c r="B69" s="0" t="inlineStr">
        <is>
          <t xml:space="preserve">p07_quality_value</t>
        </is>
      </c>
      <c r="C69" s="0" t="inlineStr">
        <is>
          <t xml:space="preserve">p08_residual_momentum</t>
        </is>
      </c>
      <c r="D69" s="4">
        <v>12</v>
      </c>
    </row>
    <row r="70">
      <c r="A70" s="0" t="inlineStr">
        <is>
          <t xml:space="preserve">p07_quality_value__p09_overnight_persistence</t>
        </is>
      </c>
      <c r="B70" s="0" t="inlineStr">
        <is>
          <t xml:space="preserve">p07_quality_value</t>
        </is>
      </c>
      <c r="C70" s="0" t="inlineStr">
        <is>
          <t xml:space="preserve">p09_overnight_persistence</t>
        </is>
      </c>
      <c r="D70" s="4">
        <v>2</v>
      </c>
    </row>
    <row r="71">
      <c r="A71" s="0" t="inlineStr">
        <is>
          <t xml:space="preserve">p07_quality_value__p10_52wk_high</t>
        </is>
      </c>
      <c r="B71" s="0" t="inlineStr">
        <is>
          <t xml:space="preserve">p07_quality_value</t>
        </is>
      </c>
      <c r="C71" s="0" t="inlineStr">
        <is>
          <t xml:space="preserve">p10_52wk_high</t>
        </is>
      </c>
      <c r="D71" s="4">
        <v>5</v>
      </c>
    </row>
    <row r="72">
      <c r="A72" s="0" t="inlineStr">
        <is>
          <t xml:space="preserve">p08_residual_momentum__p01_attention</t>
        </is>
      </c>
      <c r="B72" s="0" t="inlineStr">
        <is>
          <t xml:space="preserve">p08_residual_momentum</t>
        </is>
      </c>
      <c r="C72" s="0" t="inlineStr">
        <is>
          <t xml:space="preserve">p01_attention</t>
        </is>
      </c>
      <c r="D72" s="4">
        <v>8</v>
      </c>
    </row>
    <row r="73">
      <c r="A73" s="0" t="inlineStr">
        <is>
          <t xml:space="preserve">p08_residual_momentum__p02_earnings_drift</t>
        </is>
      </c>
      <c r="B73" s="0" t="inlineStr">
        <is>
          <t xml:space="preserve">p08_residual_momentum</t>
        </is>
      </c>
      <c r="C73" s="0" t="inlineStr">
        <is>
          <t xml:space="preserve">p02_earnings_drift</t>
        </is>
      </c>
      <c r="D73" s="4">
        <v>3</v>
      </c>
    </row>
    <row r="74">
      <c r="A74" s="0" t="inlineStr">
        <is>
          <t xml:space="preserve">p08_residual_momentum__p03_intraday_reversal</t>
        </is>
      </c>
      <c r="B74" s="0" t="inlineStr">
        <is>
          <t xml:space="preserve">p08_residual_momentum</t>
        </is>
      </c>
      <c r="C74" s="0" t="inlineStr">
        <is>
          <t xml:space="preserve">p03_intraday_reversal</t>
        </is>
      </c>
      <c r="D74" s="4">
        <v>18</v>
      </c>
    </row>
    <row r="75">
      <c r="A75" s="0" t="inlineStr">
        <is>
          <t xml:space="preserve">p08_residual_momentum__p04_analyst_revisions</t>
        </is>
      </c>
      <c r="B75" s="0" t="inlineStr">
        <is>
          <t xml:space="preserve">p08_residual_momentum</t>
        </is>
      </c>
      <c r="C75" s="0" t="inlineStr">
        <is>
          <t xml:space="preserve">p04_analyst_revisions</t>
        </is>
      </c>
      <c r="D75" s="4">
        <v>2</v>
      </c>
    </row>
    <row r="76">
      <c r="A76" s="0" t="inlineStr">
        <is>
          <t xml:space="preserve">p08_residual_momentum__p05_insider_clusters</t>
        </is>
      </c>
      <c r="B76" s="0" t="inlineStr">
        <is>
          <t xml:space="preserve">p08_residual_momentum</t>
        </is>
      </c>
      <c r="C76" s="0" t="inlineStr">
        <is>
          <t xml:space="preserve">p05_insider_clusters</t>
        </is>
      </c>
      <c r="D76" s="4">
        <v>10</v>
      </c>
    </row>
    <row r="77">
      <c r="A77" s="0" t="inlineStr">
        <is>
          <t xml:space="preserve">p08_residual_momentum__p06_seasonality</t>
        </is>
      </c>
      <c r="B77" s="0" t="inlineStr">
        <is>
          <t xml:space="preserve">p08_residual_momentum</t>
        </is>
      </c>
      <c r="C77" s="0" t="inlineStr">
        <is>
          <t xml:space="preserve">p06_seasonality</t>
        </is>
      </c>
      <c r="D77" s="4">
        <v>3</v>
      </c>
    </row>
    <row r="78">
      <c r="A78" s="0" t="inlineStr">
        <is>
          <t xml:space="preserve">p08_residual_momentum__p07_quality_value</t>
        </is>
      </c>
      <c r="B78" s="0" t="inlineStr">
        <is>
          <t xml:space="preserve">p08_residual_momentum</t>
        </is>
      </c>
      <c r="C78" s="0" t="inlineStr">
        <is>
          <t xml:space="preserve">p07_quality_value</t>
        </is>
      </c>
      <c r="D78" s="4">
        <v>12</v>
      </c>
    </row>
    <row r="79">
      <c r="A79" s="0" t="inlineStr">
        <is>
          <t xml:space="preserve">p08_residual_momentum__p08_residual_momentum</t>
        </is>
      </c>
      <c r="B79" s="0" t="inlineStr">
        <is>
          <t xml:space="preserve">p08_residual_momentum</t>
        </is>
      </c>
      <c r="C79" s="0" t="inlineStr">
        <is>
          <t xml:space="preserve">p08_residual_momentum</t>
        </is>
      </c>
      <c r="D79" s="4">
        <v>100</v>
      </c>
    </row>
    <row r="80">
      <c r="A80" s="0" t="inlineStr">
        <is>
          <t xml:space="preserve">p08_residual_momentum__p09_overnight_persistence</t>
        </is>
      </c>
      <c r="B80" s="0" t="inlineStr">
        <is>
          <t xml:space="preserve">p08_residual_momentum</t>
        </is>
      </c>
      <c r="C80" s="0" t="inlineStr">
        <is>
          <t xml:space="preserve">p09_overnight_persistence</t>
        </is>
      </c>
      <c r="D80" s="4">
        <v>9</v>
      </c>
    </row>
    <row r="81">
      <c r="A81" s="0" t="inlineStr">
        <is>
          <t xml:space="preserve">p08_residual_momentum__p10_52wk_high</t>
        </is>
      </c>
      <c r="B81" s="0" t="inlineStr">
        <is>
          <t xml:space="preserve">p08_residual_momentum</t>
        </is>
      </c>
      <c r="C81" s="0" t="inlineStr">
        <is>
          <t xml:space="preserve">p10_52wk_high</t>
        </is>
      </c>
      <c r="D81" s="4">
        <v>0</v>
      </c>
    </row>
    <row r="82">
      <c r="A82" s="0" t="inlineStr">
        <is>
          <t xml:space="preserve">p09_overnight_persistence__p01_attention</t>
        </is>
      </c>
      <c r="B82" s="0" t="inlineStr">
        <is>
          <t xml:space="preserve">p09_overnight_persistence</t>
        </is>
      </c>
      <c r="C82" s="0" t="inlineStr">
        <is>
          <t xml:space="preserve">p01_attention</t>
        </is>
      </c>
      <c r="D82" s="4">
        <v>2</v>
      </c>
    </row>
    <row r="83">
      <c r="A83" s="0" t="inlineStr">
        <is>
          <t xml:space="preserve">p09_overnight_persistence__p02_earnings_drift</t>
        </is>
      </c>
      <c r="B83" s="0" t="inlineStr">
        <is>
          <t xml:space="preserve">p09_overnight_persistence</t>
        </is>
      </c>
      <c r="C83" s="0" t="inlineStr">
        <is>
          <t xml:space="preserve">p02_earnings_drift</t>
        </is>
      </c>
      <c r="D83" s="4">
        <v>9</v>
      </c>
    </row>
    <row r="84">
      <c r="A84" s="0" t="inlineStr">
        <is>
          <t xml:space="preserve">p09_overnight_persistence__p03_intraday_reversal</t>
        </is>
      </c>
      <c r="B84" s="0" t="inlineStr">
        <is>
          <t xml:space="preserve">p09_overnight_persistence</t>
        </is>
      </c>
      <c r="C84" s="0" t="inlineStr">
        <is>
          <t xml:space="preserve">p03_intraday_reversal</t>
        </is>
      </c>
      <c r="D84" s="4">
        <v>11</v>
      </c>
    </row>
    <row r="85">
      <c r="A85" s="0" t="inlineStr">
        <is>
          <t xml:space="preserve">p09_overnight_persistence__p04_analyst_revisions</t>
        </is>
      </c>
      <c r="B85" s="0" t="inlineStr">
        <is>
          <t xml:space="preserve">p09_overnight_persistence</t>
        </is>
      </c>
      <c r="C85" s="0" t="inlineStr">
        <is>
          <t xml:space="preserve">p04_analyst_revisions</t>
        </is>
      </c>
      <c r="D85" s="4">
        <v>13</v>
      </c>
    </row>
    <row r="86">
      <c r="A86" s="0" t="inlineStr">
        <is>
          <t xml:space="preserve">p09_overnight_persistence__p05_insider_clusters</t>
        </is>
      </c>
      <c r="B86" s="0" t="inlineStr">
        <is>
          <t xml:space="preserve">p09_overnight_persistence</t>
        </is>
      </c>
      <c r="C86" s="0" t="inlineStr">
        <is>
          <t xml:space="preserve">p05_insider_clusters</t>
        </is>
      </c>
      <c r="D86" s="4">
        <v>10</v>
      </c>
    </row>
    <row r="87">
      <c r="A87" s="0" t="inlineStr">
        <is>
          <t xml:space="preserve">p09_overnight_persistence__p06_seasonality</t>
        </is>
      </c>
      <c r="B87" s="0" t="inlineStr">
        <is>
          <t xml:space="preserve">p09_overnight_persistence</t>
        </is>
      </c>
      <c r="C87" s="0" t="inlineStr">
        <is>
          <t xml:space="preserve">p06_seasonality</t>
        </is>
      </c>
      <c r="D87" s="4">
        <v>11</v>
      </c>
    </row>
    <row r="88">
      <c r="A88" s="0" t="inlineStr">
        <is>
          <t xml:space="preserve">p09_overnight_persistence__p07_quality_value</t>
        </is>
      </c>
      <c r="B88" s="0" t="inlineStr">
        <is>
          <t xml:space="preserve">p09_overnight_persistence</t>
        </is>
      </c>
      <c r="C88" s="0" t="inlineStr">
        <is>
          <t xml:space="preserve">p07_quality_value</t>
        </is>
      </c>
      <c r="D88" s="4">
        <v>2</v>
      </c>
    </row>
    <row r="89">
      <c r="A89" s="0" t="inlineStr">
        <is>
          <t xml:space="preserve">p09_overnight_persistence__p08_residual_momentum</t>
        </is>
      </c>
      <c r="B89" s="0" t="inlineStr">
        <is>
          <t xml:space="preserve">p09_overnight_persistence</t>
        </is>
      </c>
      <c r="C89" s="0" t="inlineStr">
        <is>
          <t xml:space="preserve">p08_residual_momentum</t>
        </is>
      </c>
      <c r="D89" s="4">
        <v>9</v>
      </c>
    </row>
    <row r="90">
      <c r="A90" s="0" t="inlineStr">
        <is>
          <t xml:space="preserve">p09_overnight_persistence__p09_overnight_persistence</t>
        </is>
      </c>
      <c r="B90" s="0" t="inlineStr">
        <is>
          <t xml:space="preserve">p09_overnight_persistence</t>
        </is>
      </c>
      <c r="C90" s="0" t="inlineStr">
        <is>
          <t xml:space="preserve">p09_overnight_persistence</t>
        </is>
      </c>
      <c r="D90" s="4">
        <v>100</v>
      </c>
    </row>
    <row r="91">
      <c r="A91" s="0" t="inlineStr">
        <is>
          <t xml:space="preserve">p09_overnight_persistence__p10_52wk_high</t>
        </is>
      </c>
      <c r="B91" s="0" t="inlineStr">
        <is>
          <t xml:space="preserve">p09_overnight_persistence</t>
        </is>
      </c>
      <c r="C91" s="0" t="inlineStr">
        <is>
          <t xml:space="preserve">p10_52wk_high</t>
        </is>
      </c>
      <c r="D91" s="4">
        <v>10</v>
      </c>
    </row>
    <row r="92">
      <c r="A92" s="0" t="inlineStr">
        <is>
          <t xml:space="preserve">p10_52wk_high__p01_attention</t>
        </is>
      </c>
      <c r="B92" s="0" t="inlineStr">
        <is>
          <t xml:space="preserve">p10_52wk_high</t>
        </is>
      </c>
      <c r="C92" s="0" t="inlineStr">
        <is>
          <t xml:space="preserve">p01_attention</t>
        </is>
      </c>
      <c r="D92" s="4">
        <v>13</v>
      </c>
    </row>
    <row r="93">
      <c r="A93" s="0" t="inlineStr">
        <is>
          <t xml:space="preserve">p10_52wk_high__p02_earnings_drift</t>
        </is>
      </c>
      <c r="B93" s="0" t="inlineStr">
        <is>
          <t xml:space="preserve">p10_52wk_high</t>
        </is>
      </c>
      <c r="C93" s="0" t="inlineStr">
        <is>
          <t xml:space="preserve">p02_earnings_drift</t>
        </is>
      </c>
      <c r="D93" s="4">
        <v>8</v>
      </c>
    </row>
    <row r="94">
      <c r="A94" s="0" t="inlineStr">
        <is>
          <t xml:space="preserve">p10_52wk_high__p03_intraday_reversal</t>
        </is>
      </c>
      <c r="B94" s="0" t="inlineStr">
        <is>
          <t xml:space="preserve">p10_52wk_high</t>
        </is>
      </c>
      <c r="C94" s="0" t="inlineStr">
        <is>
          <t xml:space="preserve">p03_intraday_reversal</t>
        </is>
      </c>
      <c r="D94" s="4">
        <v>4</v>
      </c>
    </row>
    <row r="95">
      <c r="A95" s="0" t="inlineStr">
        <is>
          <t xml:space="preserve">p10_52wk_high__p04_analyst_revisions</t>
        </is>
      </c>
      <c r="B95" s="0" t="inlineStr">
        <is>
          <t xml:space="preserve">p10_52wk_high</t>
        </is>
      </c>
      <c r="C95" s="0" t="inlineStr">
        <is>
          <t xml:space="preserve">p04_analyst_revisions</t>
        </is>
      </c>
      <c r="D95" s="4">
        <v>13</v>
      </c>
    </row>
    <row r="96">
      <c r="A96" s="0" t="inlineStr">
        <is>
          <t xml:space="preserve">p10_52wk_high__p05_insider_clusters</t>
        </is>
      </c>
      <c r="B96" s="0" t="inlineStr">
        <is>
          <t xml:space="preserve">p10_52wk_high</t>
        </is>
      </c>
      <c r="C96" s="0" t="inlineStr">
        <is>
          <t xml:space="preserve">p05_insider_clusters</t>
        </is>
      </c>
      <c r="D96" s="4">
        <v>10</v>
      </c>
    </row>
    <row r="97">
      <c r="A97" s="0" t="inlineStr">
        <is>
          <t xml:space="preserve">p10_52wk_high__p06_seasonality</t>
        </is>
      </c>
      <c r="B97" s="0" t="inlineStr">
        <is>
          <t xml:space="preserve">p10_52wk_high</t>
        </is>
      </c>
      <c r="C97" s="0" t="inlineStr">
        <is>
          <t xml:space="preserve">p06_seasonality</t>
        </is>
      </c>
      <c r="D97" s="4">
        <v>3</v>
      </c>
    </row>
    <row r="98">
      <c r="A98" s="0" t="inlineStr">
        <is>
          <t xml:space="preserve">p10_52wk_high__p07_quality_value</t>
        </is>
      </c>
      <c r="B98" s="0" t="inlineStr">
        <is>
          <t xml:space="preserve">p10_52wk_high</t>
        </is>
      </c>
      <c r="C98" s="0" t="inlineStr">
        <is>
          <t xml:space="preserve">p07_quality_value</t>
        </is>
      </c>
      <c r="D98" s="4">
        <v>5</v>
      </c>
    </row>
    <row r="99">
      <c r="A99" s="0" t="inlineStr">
        <is>
          <t xml:space="preserve">p10_52wk_high__p08_residual_momentum</t>
        </is>
      </c>
      <c r="B99" s="0" t="inlineStr">
        <is>
          <t xml:space="preserve">p10_52wk_high</t>
        </is>
      </c>
      <c r="C99" s="0" t="inlineStr">
        <is>
          <t xml:space="preserve">p08_residual_momentum</t>
        </is>
      </c>
      <c r="D99" s="4">
        <v>0</v>
      </c>
    </row>
    <row r="100">
      <c r="A100" s="0" t="inlineStr">
        <is>
          <t xml:space="preserve">p10_52wk_high__p09_overnight_persistence</t>
        </is>
      </c>
      <c r="B100" s="0" t="inlineStr">
        <is>
          <t xml:space="preserve">p10_52wk_high</t>
        </is>
      </c>
      <c r="C100" s="0" t="inlineStr">
        <is>
          <t xml:space="preserve">p09_overnight_persistence</t>
        </is>
      </c>
      <c r="D100" s="4">
        <v>10</v>
      </c>
    </row>
    <row r="101">
      <c r="A101" s="0" t="inlineStr">
        <is>
          <t xml:space="preserve">p10_52wk_high__p10_52wk_high</t>
        </is>
      </c>
      <c r="B101" s="0" t="inlineStr">
        <is>
          <t xml:space="preserve">p10_52wk_high</t>
        </is>
      </c>
      <c r="C101" s="0" t="inlineStr">
        <is>
          <t xml:space="preserve">p10_52wk_high</t>
        </is>
      </c>
      <c r="D101" s="4">
        <v>100</v>
      </c>
    </row>
  </sheetData>
</worksheet>
</file>

<file path=xl/worksheets/sheet2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ID</t>
        </is>
      </c>
      <c r="B1" s="1" t="inlineStr">
        <is>
          <t xml:space="preserve">pod</t>
        </is>
      </c>
      <c r="C1" s="1" t="inlineStr">
        <is>
          <t xml:space="preserve">day</t>
        </is>
      </c>
      <c r="D1" s="1" t="inlineStr">
        <is>
          <t xml:space="preserve">prompt_tokens</t>
        </is>
      </c>
      <c r="E1" s="1" t="inlineStr">
        <is>
          <t xml:space="preserve">completion_tokens</t>
        </is>
      </c>
      <c r="F1" s="1" t="inlineStr">
        <is>
          <t xml:space="preserve">calls</t>
        </is>
      </c>
    </row>
    <row r="2">
      <c r="A2" s="0" t="inlineStr">
        <is>
          <t xml:space="preserve">p03_intraday_reversal_d20260922</t>
        </is>
      </c>
      <c r="B2" s="0" t="inlineStr">
        <is>
          <t xml:space="preserve">p03_intraday_reversal</t>
        </is>
      </c>
      <c r="C2" s="0" t="inlineStr">
        <is>
          <t xml:space="preserve">d20260922</t>
        </is>
      </c>
      <c r="D2" s="4">
        <v>17719</v>
      </c>
      <c r="E2" s="4">
        <v>1973</v>
      </c>
      <c r="F2" s="4">
        <v>6</v>
      </c>
    </row>
    <row r="3">
      <c r="A3" s="0" t="inlineStr">
        <is>
          <t xml:space="preserve">p04_analyst_revisions_d20260922</t>
        </is>
      </c>
      <c r="B3" s="0" t="inlineStr">
        <is>
          <t xml:space="preserve">p04_analyst_revisions</t>
        </is>
      </c>
      <c r="C3" s="0" t="inlineStr">
        <is>
          <t xml:space="preserve">d20260922</t>
        </is>
      </c>
      <c r="D3" s="4">
        <v>106736</v>
      </c>
      <c r="E3" s="4">
        <v>6661</v>
      </c>
      <c r="F3" s="4">
        <v>19</v>
      </c>
    </row>
    <row r="4">
      <c r="A4" s="0" t="inlineStr">
        <is>
          <t xml:space="preserve">p01_attention_d20260922</t>
        </is>
      </c>
      <c r="B4" s="0" t="inlineStr">
        <is>
          <t xml:space="preserve">p01_attention</t>
        </is>
      </c>
      <c r="C4" s="0" t="inlineStr">
        <is>
          <t xml:space="preserve">d20260922</t>
        </is>
      </c>
      <c r="D4" s="4">
        <v>264022</v>
      </c>
      <c r="E4" s="4">
        <v>12198</v>
      </c>
      <c r="F4" s="4">
        <v>36</v>
      </c>
    </row>
    <row r="5">
      <c r="A5" s="0" t="inlineStr">
        <is>
          <t xml:space="preserve">p02_earnings_drift_d20260922</t>
        </is>
      </c>
      <c r="B5" s="0" t="inlineStr">
        <is>
          <t xml:space="preserve">p02_earnings_drift</t>
        </is>
      </c>
      <c r="C5" s="0" t="inlineStr">
        <is>
          <t xml:space="preserve">d20260922</t>
        </is>
      </c>
      <c r="D5" s="4">
        <v>72495</v>
      </c>
      <c r="E5" s="4">
        <v>7307</v>
      </c>
      <c r="F5" s="4">
        <v>14</v>
      </c>
    </row>
    <row r="6">
      <c r="A6" s="0" t="inlineStr">
        <is>
          <t xml:space="preserve">p05_insider_clusters_d20260922</t>
        </is>
      </c>
      <c r="B6" s="0" t="inlineStr">
        <is>
          <t xml:space="preserve">p05_insider_clusters</t>
        </is>
      </c>
      <c r="C6" s="0" t="inlineStr">
        <is>
          <t xml:space="preserve">d20260922</t>
        </is>
      </c>
      <c r="D6" s="4">
        <v>1094549</v>
      </c>
      <c r="E6" s="4">
        <v>49170</v>
      </c>
      <c r="F6" s="4">
        <v>82</v>
      </c>
    </row>
    <row r="7">
      <c r="A7" s="0" t="inlineStr">
        <is>
          <t xml:space="preserve">p06_seasonality_d20260922</t>
        </is>
      </c>
      <c r="B7" s="0" t="inlineStr">
        <is>
          <t xml:space="preserve">p06_seasonality</t>
        </is>
      </c>
      <c r="C7" s="0" t="inlineStr">
        <is>
          <t xml:space="preserve">d20260922</t>
        </is>
      </c>
      <c r="D7" s="4">
        <v>37930</v>
      </c>
      <c r="E7" s="4">
        <v>4402</v>
      </c>
      <c r="F7" s="4">
        <v>10</v>
      </c>
    </row>
    <row r="8">
      <c r="A8" s="0" t="inlineStr">
        <is>
          <t xml:space="preserve">p07_quality_value_d20260922</t>
        </is>
      </c>
      <c r="B8" s="0" t="inlineStr">
        <is>
          <t xml:space="preserve">p07_quality_value</t>
        </is>
      </c>
      <c r="C8" s="0" t="inlineStr">
        <is>
          <t xml:space="preserve">d20260922</t>
        </is>
      </c>
      <c r="D8" s="4">
        <v>167411</v>
      </c>
      <c r="E8" s="4">
        <v>4206</v>
      </c>
      <c r="F8" s="4">
        <v>19</v>
      </c>
    </row>
    <row r="9">
      <c r="A9" s="0" t="inlineStr">
        <is>
          <t xml:space="preserve">p08_residual_momentum_d20260922</t>
        </is>
      </c>
      <c r="B9" s="0" t="inlineStr">
        <is>
          <t xml:space="preserve">p08_residual_momentum</t>
        </is>
      </c>
      <c r="C9" s="0" t="inlineStr">
        <is>
          <t xml:space="preserve">d20260922</t>
        </is>
      </c>
      <c r="D9" s="4">
        <v>33590</v>
      </c>
      <c r="E9" s="4">
        <v>3599</v>
      </c>
      <c r="F9" s="4">
        <v>9</v>
      </c>
    </row>
    <row r="10">
      <c r="A10" s="0" t="inlineStr">
        <is>
          <t xml:space="preserve">p09_overnight_persistence_d20260922</t>
        </is>
      </c>
      <c r="B10" s="0" t="inlineStr">
        <is>
          <t xml:space="preserve">p09_overnight_persistence</t>
        </is>
      </c>
      <c r="C10" s="0" t="inlineStr">
        <is>
          <t xml:space="preserve">d20260922</t>
        </is>
      </c>
      <c r="D10" s="4">
        <v>31614</v>
      </c>
      <c r="E10" s="4">
        <v>3468</v>
      </c>
      <c r="F10" s="4">
        <v>8</v>
      </c>
    </row>
    <row r="11">
      <c r="A11" s="0" t="inlineStr">
        <is>
          <t xml:space="preserve">p10_52wk_high_d20260922</t>
        </is>
      </c>
      <c r="B11" s="0" t="inlineStr">
        <is>
          <t xml:space="preserve">p10_52wk_high</t>
        </is>
      </c>
      <c r="C11" s="0" t="inlineStr">
        <is>
          <t xml:space="preserve">d20260922</t>
        </is>
      </c>
      <c r="D11" s="4">
        <v>50691</v>
      </c>
      <c r="E11" s="4">
        <v>3866</v>
      </c>
      <c r="F11" s="4">
        <v>11</v>
      </c>
    </row>
    <row r="12">
      <c r="A12" s="0" t="inlineStr">
        <is>
          <t xml:space="preserve">p01_attention_d20260923</t>
        </is>
      </c>
      <c r="B12" s="0" t="inlineStr">
        <is>
          <t xml:space="preserve">p01_attention</t>
        </is>
      </c>
      <c r="C12" s="0" t="inlineStr">
        <is>
          <t xml:space="preserve">d20260923</t>
        </is>
      </c>
      <c r="D12" s="4">
        <v>436565</v>
      </c>
      <c r="E12" s="4">
        <v>32478</v>
      </c>
      <c r="F12" s="4">
        <v>47</v>
      </c>
    </row>
    <row r="13">
      <c r="A13" s="0" t="inlineStr">
        <is>
          <t xml:space="preserve">p02_earnings_drift_d20260923</t>
        </is>
      </c>
      <c r="B13" s="0" t="inlineStr">
        <is>
          <t xml:space="preserve">p02_earnings_drift</t>
        </is>
      </c>
      <c r="C13" s="0" t="inlineStr">
        <is>
          <t xml:space="preserve">d20260923</t>
        </is>
      </c>
      <c r="D13" s="4">
        <v>146162</v>
      </c>
      <c r="E13" s="4">
        <v>13841</v>
      </c>
      <c r="F13" s="4">
        <v>18</v>
      </c>
    </row>
    <row r="14">
      <c r="A14" s="0" t="inlineStr">
        <is>
          <t xml:space="preserve">p03_intraday_reversal_d20260923</t>
        </is>
      </c>
      <c r="B14" s="0" t="inlineStr">
        <is>
          <t xml:space="preserve">p03_intraday_reversal</t>
        </is>
      </c>
      <c r="C14" s="0" t="inlineStr">
        <is>
          <t xml:space="preserve">d20260923</t>
        </is>
      </c>
      <c r="D14" s="4">
        <v>23020</v>
      </c>
      <c r="E14" s="4">
        <v>6608</v>
      </c>
      <c r="F14" s="4">
        <v>8</v>
      </c>
    </row>
    <row r="15">
      <c r="A15" s="0" t="inlineStr">
        <is>
          <t xml:space="preserve">p04_analyst_revisions_d20260923</t>
        </is>
      </c>
      <c r="B15" s="0" t="inlineStr">
        <is>
          <t xml:space="preserve">p04_analyst_revisions</t>
        </is>
      </c>
      <c r="C15" s="0" t="inlineStr">
        <is>
          <t xml:space="preserve">d20260923</t>
        </is>
      </c>
      <c r="D15" s="4">
        <v>16667</v>
      </c>
      <c r="E15" s="4">
        <v>5811</v>
      </c>
      <c r="F15" s="4">
        <v>7</v>
      </c>
    </row>
    <row r="16">
      <c r="A16" s="0" t="inlineStr">
        <is>
          <t xml:space="preserve">p05_insider_clusters_d20260923</t>
        </is>
      </c>
      <c r="B16" s="0" t="inlineStr">
        <is>
          <t xml:space="preserve">p05_insider_clusters</t>
        </is>
      </c>
      <c r="C16" s="0" t="inlineStr">
        <is>
          <t xml:space="preserve">d20260923</t>
        </is>
      </c>
      <c r="D16" s="4">
        <v>530997</v>
      </c>
      <c r="E16" s="4">
        <v>35665</v>
      </c>
      <c r="F16" s="4">
        <v>40</v>
      </c>
    </row>
    <row r="17">
      <c r="A17" s="0" t="inlineStr">
        <is>
          <t xml:space="preserve">p06_seasonality_d20260923</t>
        </is>
      </c>
      <c r="B17" s="0" t="inlineStr">
        <is>
          <t xml:space="preserve">p06_seasonality</t>
        </is>
      </c>
      <c r="C17" s="0" t="inlineStr">
        <is>
          <t xml:space="preserve">d20260923</t>
        </is>
      </c>
      <c r="D17" s="4">
        <v>49711</v>
      </c>
      <c r="E17" s="4">
        <v>8793</v>
      </c>
      <c r="F17" s="4">
        <v>14</v>
      </c>
    </row>
    <row r="18">
      <c r="A18" s="0" t="inlineStr">
        <is>
          <t xml:space="preserve">p07_quality_value_d20260923</t>
        </is>
      </c>
      <c r="B18" s="0" t="inlineStr">
        <is>
          <t xml:space="preserve">p07_quality_value</t>
        </is>
      </c>
      <c r="C18" s="0" t="inlineStr">
        <is>
          <t xml:space="preserve">d20260923</t>
        </is>
      </c>
      <c r="D18" s="4">
        <v>27738</v>
      </c>
      <c r="E18" s="4">
        <v>6020</v>
      </c>
      <c r="F18" s="4">
        <v>9</v>
      </c>
    </row>
    <row r="19">
      <c r="A19" s="0" t="inlineStr">
        <is>
          <t xml:space="preserve">p08_residual_momentum_d20260923</t>
        </is>
      </c>
      <c r="B19" s="0" t="inlineStr">
        <is>
          <t xml:space="preserve">p08_residual_momentum</t>
        </is>
      </c>
      <c r="C19" s="0" t="inlineStr">
        <is>
          <t xml:space="preserve">d20260923</t>
        </is>
      </c>
      <c r="D19" s="4">
        <v>37179</v>
      </c>
      <c r="E19" s="4">
        <v>7958</v>
      </c>
      <c r="F19" s="4">
        <v>10</v>
      </c>
    </row>
    <row r="20">
      <c r="A20" s="0" t="inlineStr">
        <is>
          <t xml:space="preserve">p09_overnight_persistence_d20260923</t>
        </is>
      </c>
      <c r="B20" s="0" t="inlineStr">
        <is>
          <t xml:space="preserve">p09_overnight_persistence</t>
        </is>
      </c>
      <c r="C20" s="0" t="inlineStr">
        <is>
          <t xml:space="preserve">d20260923</t>
        </is>
      </c>
      <c r="D20" s="4">
        <v>47033</v>
      </c>
      <c r="E20" s="4">
        <v>6221</v>
      </c>
      <c r="F20" s="4">
        <v>13</v>
      </c>
    </row>
    <row r="21">
      <c r="A21" s="0" t="inlineStr">
        <is>
          <t xml:space="preserve">p10_52wk_high_d20260923</t>
        </is>
      </c>
      <c r="B21" s="0" t="inlineStr">
        <is>
          <t xml:space="preserve">p10_52wk_high</t>
        </is>
      </c>
      <c r="C21" s="0" t="inlineStr">
        <is>
          <t xml:space="preserve">d20260923</t>
        </is>
      </c>
      <c r="D21" s="4">
        <v>63302</v>
      </c>
      <c r="E21" s="4">
        <v>8752</v>
      </c>
      <c r="F21" s="4">
        <v>15</v>
      </c>
    </row>
  </sheetData>
</worksheet>
</file>

<file path=xl/worksheets/sheet2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source</t>
        </is>
      </c>
      <c r="D1" s="1" t="inlineStr">
        <is>
          <t xml:space="preserve">calls</t>
        </is>
      </c>
    </row>
    <row r="2">
      <c r="A2" s="0" t="inlineStr">
        <is>
          <t xml:space="preserve">d20260922_fmp</t>
        </is>
      </c>
      <c r="B2" s="0" t="inlineStr">
        <is>
          <t xml:space="preserve">d20260922</t>
        </is>
      </c>
      <c r="C2" s="0" t="inlineStr">
        <is>
          <t xml:space="preserve">fmp</t>
        </is>
      </c>
      <c r="D2" s="4">
        <v>15355</v>
      </c>
    </row>
    <row r="3">
      <c r="A3" s="0" t="inlineStr">
        <is>
          <t xml:space="preserve">d20260923_fmp</t>
        </is>
      </c>
      <c r="B3" s="0" t="inlineStr">
        <is>
          <t xml:space="preserve">d20260923</t>
        </is>
      </c>
      <c r="C3" s="0" t="inlineStr">
        <is>
          <t xml:space="preserve">fmp</t>
        </is>
      </c>
      <c r="D3" s="4">
        <v>1492</v>
      </c>
    </row>
  </sheetData>
</worksheet>
</file>

<file path=xl/worksheets/sheet2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price_in_per_m</t>
        </is>
      </c>
      <c r="B2" s="0" t="inlineStr">
        <is>
          <t xml:space="preserve">LLM price, $ per M input tokens</t>
        </is>
      </c>
      <c r="C2" s="0"/>
    </row>
    <row r="3">
      <c r="A3" s="0" t="inlineStr">
        <is>
          <t xml:space="preserve">price_out_per_m</t>
        </is>
      </c>
      <c r="B3" s="0" t="inlineStr">
        <is>
          <t xml:space="preserve">LLM price, $ per M output tokens</t>
        </is>
      </c>
      <c r="C3" s="0"/>
    </row>
    <row r="4">
      <c r="A4" s="0" t="inlineStr">
        <is>
          <t xml:space="preserve">round_trip_bps</t>
        </is>
      </c>
      <c r="B4" s="0" t="inlineStr">
        <is>
          <t xml:space="preserve">Assumed round-trip cost, bps</t>
        </is>
      </c>
      <c r="C4" s="0"/>
    </row>
    <row r="5">
      <c r="A5" s="0" t="inlineStr">
        <is>
          <t xml:space="preserve">t_threshold</t>
        </is>
      </c>
      <c r="B5" s="0" t="inlineStr">
        <is>
          <t xml:space="preserve">t-stat required to call it skill</t>
        </is>
      </c>
      <c r="C5" s="0"/>
    </row>
    <row r="6">
      <c r="A6" s="0" t="inlineStr">
        <is>
          <t xml:space="preserve">horizon_days</t>
        </is>
      </c>
      <c r="B6" s="0" t="inlineStr">
        <is>
          <t xml:space="preserve">Watch horizon, trading days</t>
        </is>
      </c>
      <c r="C6" s="0"/>
    </row>
    <row r="7">
      <c r="A7" s="0" t="inlineStr">
        <is>
          <t xml:space="preserve">notional_usd</t>
        </is>
      </c>
      <c r="B7" s="0" t="inlineStr">
        <is>
          <t xml:space="preserve">Notional per pod, $</t>
        </is>
      </c>
      <c r="C7" s="0"/>
    </row>
  </sheetData>
</worksheet>
</file>

<file path=xl/worksheets/sheet2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sn_excess_bps</t>
        </is>
      </c>
      <c r="B2" s="0" t="inlineStr">
        <is>
          <t xml:space="preserve">Sector-neutral overnight excess, bps</t>
        </is>
      </c>
      <c r="C2" s="0"/>
    </row>
    <row r="3">
      <c r="A3" s="0" t="inlineStr">
        <is>
          <t xml:space="preserve">excess_bps</t>
        </is>
      </c>
      <c r="B3" s="0" t="inlineStr">
        <is>
          <t xml:space="preserve">Overnight excess vs universe, bps</t>
        </is>
      </c>
      <c r="C3" s="0"/>
    </row>
    <row r="4">
      <c r="A4" s="0" t="inlineStr">
        <is>
          <t xml:space="preserve">net_bps</t>
        </is>
      </c>
      <c r="B4" s="0" t="inlineStr">
        <is>
          <t xml:space="preserve">Net of costs, bps</t>
        </is>
      </c>
      <c r="C4" s="0"/>
    </row>
    <row r="5">
      <c r="A5" s="0" t="inlineStr">
        <is>
          <t xml:space="preserve">hit_rate</t>
        </is>
      </c>
      <c r="B5" s="0" t="inlineStr">
        <is>
          <t xml:space="preserve">Hit rate vs universe median</t>
        </is>
      </c>
      <c r="C5" s="0" t="inlineStr">
        <is>
          <t xml:space="preserve">percent</t>
        </is>
      </c>
    </row>
    <row r="6">
      <c r="A6" s="0" t="inlineStr">
        <is>
          <t xml:space="preserve">ic</t>
        </is>
      </c>
      <c r="B6" s="0" t="inlineStr">
        <is>
          <t xml:space="preserve">Information coefficient</t>
        </is>
      </c>
      <c r="C6" s="0"/>
    </row>
    <row r="7">
      <c r="A7" s="0" t="inlineStr">
        <is>
          <t xml:space="preserve">cum_bps</t>
        </is>
      </c>
      <c r="B7" s="0" t="inlineStr">
        <is>
          <t xml:space="preserve">Cumulative sector-neutral excess, bps</t>
        </is>
      </c>
      <c r="C7" s="0"/>
    </row>
    <row r="8">
      <c r="A8" s="0" t="inlineStr">
        <is>
          <t xml:space="preserve">n_days</t>
        </is>
      </c>
      <c r="B8" s="0" t="inlineStr">
        <is>
          <t xml:space="preserve">Evaluated days to date</t>
        </is>
      </c>
      <c r="C8" s="0"/>
    </row>
    <row r="9">
      <c r="A9" s="0" t="inlineStr">
        <is>
          <t xml:space="preserve">mean_bps</t>
        </is>
      </c>
      <c r="B9" s="0" t="inlineStr">
        <is>
          <t xml:space="preserve">Running mean, bps/day</t>
        </is>
      </c>
      <c r="C9" s="0"/>
    </row>
    <row r="10">
      <c r="A10" s="0" t="inlineStr">
        <is>
          <t xml:space="preserve">sq_bps</t>
        </is>
      </c>
      <c r="B10" s="0" t="inlineStr">
        <is>
          <t xml:space="preserve">Squared excess</t>
        </is>
      </c>
      <c r="C10" s="0"/>
    </row>
    <row r="11">
      <c r="A11" s="0" t="inlineStr">
        <is>
          <t xml:space="preserve">mean_sq</t>
        </is>
      </c>
      <c r="B11" s="0" t="inlineStr">
        <is>
          <t xml:space="preserve">Running mean of squares</t>
        </is>
      </c>
      <c r="C11" s="0"/>
    </row>
    <row r="12">
      <c r="A12" s="0" t="inlineStr">
        <is>
          <t xml:space="preserve">sd_bps</t>
        </is>
      </c>
      <c r="B12" s="0" t="inlineStr">
        <is>
          <t xml:space="preserve">Running daily sd, bps</t>
        </is>
      </c>
      <c r="C12" s="0"/>
    </row>
    <row r="13">
      <c r="A13" s="0" t="inlineStr">
        <is>
          <t xml:space="preserve">t_stat</t>
        </is>
      </c>
      <c r="B13" s="0" t="inlineStr">
        <is>
          <t xml:space="preserve">Running t-stat</t>
        </is>
      </c>
      <c r="C13" s="0"/>
    </row>
    <row r="14">
      <c r="A14" s="0" t="inlineStr">
        <is>
          <t xml:space="preserve">pnl_usd</t>
        </is>
      </c>
      <c r="B14" s="0" t="inlineStr">
        <is>
          <t xml:space="preserve">Net P&amp;L on notional, $</t>
        </is>
      </c>
      <c r="C14" s="0"/>
    </row>
    <row r="15">
      <c r="A15" s="0" t="inlineStr">
        <is>
          <t xml:space="preserve">cum_pnl_usd</t>
        </is>
      </c>
      <c r="B15" s="0" t="inlineStr">
        <is>
          <t xml:space="preserve">Cumulative net P&amp;L, $</t>
        </is>
      </c>
      <c r="C15" s="0"/>
    </row>
    <row r="16">
      <c r="A16" s="0" t="inlineStr">
        <is>
          <t xml:space="preserve">proj_cum_bps</t>
        </is>
      </c>
      <c r="B16" s="0" t="inlineStr">
        <is>
          <t xml:space="preserve">Cumulative excess, realized then projected at running mean</t>
        </is>
      </c>
      <c r="C16" s="0"/>
    </row>
  </sheetData>
</worksheet>
</file>

<file path=xl/worksheets/sheet2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n_days</t>
        </is>
      </c>
      <c r="B2" s="0" t="inlineStr">
        <is>
          <t xml:space="preserve">Evaluated days</t>
        </is>
      </c>
      <c r="C2" s="0"/>
    </row>
    <row r="3">
      <c r="A3" s="0" t="inlineStr">
        <is>
          <t xml:space="preserve">mean_bps</t>
        </is>
      </c>
      <c r="B3" s="0" t="inlineStr">
        <is>
          <t xml:space="preserve">Mean sector-neutral excess, bps/day</t>
        </is>
      </c>
      <c r="C3" s="0"/>
    </row>
    <row r="4">
      <c r="A4" s="0" t="inlineStr">
        <is>
          <t xml:space="preserve">cum_bps</t>
        </is>
      </c>
      <c r="B4" s="0" t="inlineStr">
        <is>
          <t xml:space="preserve">Cumulative excess, bps</t>
        </is>
      </c>
      <c r="C4" s="0"/>
    </row>
    <row r="5">
      <c r="A5" s="0" t="inlineStr">
        <is>
          <t xml:space="preserve">net_bps</t>
        </is>
      </c>
      <c r="B5" s="0" t="inlineStr">
        <is>
          <t xml:space="preserve">Mean net of costs, bps/day</t>
        </is>
      </c>
      <c r="C5" s="0"/>
    </row>
    <row r="6">
      <c r="A6" s="0" t="inlineStr">
        <is>
          <t xml:space="preserve">hit_rate</t>
        </is>
      </c>
      <c r="B6" s="0" t="inlineStr">
        <is>
          <t xml:space="preserve">Hit rate</t>
        </is>
      </c>
      <c r="C6" s="0" t="inlineStr">
        <is>
          <t xml:space="preserve">percent</t>
        </is>
      </c>
    </row>
    <row r="7">
      <c r="A7" s="0" t="inlineStr">
        <is>
          <t xml:space="preserve">ic</t>
        </is>
      </c>
      <c r="B7" s="0" t="inlineStr">
        <is>
          <t xml:space="preserve">Mean IC</t>
        </is>
      </c>
      <c r="C7" s="0"/>
    </row>
    <row r="8">
      <c r="A8" s="0" t="inlineStr">
        <is>
          <t xml:space="preserve">cc_bps</t>
        </is>
      </c>
      <c r="B8" s="0" t="inlineStr">
        <is>
          <t xml:space="preserve">Close-to-close sector-neutral excess, bps/day</t>
        </is>
      </c>
      <c r="C8" s="0"/>
    </row>
    <row r="9">
      <c r="A9" s="0" t="inlineStr">
        <is>
          <t xml:space="preserve">mean_sq</t>
        </is>
      </c>
      <c r="B9" s="0" t="inlineStr">
        <is>
          <t xml:space="preserve">Mean of squares</t>
        </is>
      </c>
      <c r="C9" s="0"/>
    </row>
    <row r="10">
      <c r="A10" s="0" t="inlineStr">
        <is>
          <t xml:space="preserve">sd_bps</t>
        </is>
      </c>
      <c r="B10" s="0" t="inlineStr">
        <is>
          <t xml:space="preserve">Daily sd, bps</t>
        </is>
      </c>
      <c r="C10" s="0"/>
    </row>
    <row r="11">
      <c r="A11" s="0" t="inlineStr">
        <is>
          <t xml:space="preserve">t_stat</t>
        </is>
      </c>
      <c r="B11" s="0" t="inlineStr">
        <is>
          <t xml:space="preserve">t-stat</t>
        </is>
      </c>
      <c r="C11" s="0"/>
    </row>
    <row r="12">
      <c r="A12" s="0" t="inlineStr">
        <is>
          <t xml:space="preserve">ann_sharpe</t>
        </is>
      </c>
      <c r="B12" s="0" t="inlineStr">
        <is>
          <t xml:space="preserve">Annualized Sharpe of the overnight leg</t>
        </is>
      </c>
      <c r="C12" s="0"/>
    </row>
    <row r="13">
      <c r="A13" s="0" t="inlineStr">
        <is>
          <t xml:space="preserve">z_vs_random</t>
        </is>
      </c>
      <c r="B13" s="0" t="inlineStr">
        <is>
          <t xml:space="preserve">z-score vs random pods</t>
        </is>
      </c>
      <c r="C13" s="0"/>
    </row>
    <row r="14">
      <c r="A14" s="0" t="inlineStr">
        <is>
          <t xml:space="preserve">days_to_threshold</t>
        </is>
      </c>
      <c r="B14" s="0" t="inlineStr">
        <is>
          <t xml:space="preserve">Days needed to reach the t threshold at this mean and sd</t>
        </is>
      </c>
      <c r="C14" s="0"/>
    </row>
    <row r="15">
      <c r="A15" s="0" t="inlineStr">
        <is>
          <t xml:space="preserve">proj_horizon_bps</t>
        </is>
      </c>
      <c r="B15" s="0" t="inlineStr">
        <is>
          <t xml:space="preserve">Projected cumulative excess at horizon, bps</t>
        </is>
      </c>
      <c r="C15" s="0"/>
    </row>
    <row r="16">
      <c r="A16" s="0" t="inlineStr">
        <is>
          <t xml:space="preserve">skill_flag</t>
        </is>
      </c>
      <c r="B16" s="0" t="inlineStr">
        <is>
          <t xml:space="preserve">Meets the skill bar (1 = yes)</t>
        </is>
      </c>
      <c r="C16" s="0"/>
    </row>
    <row r="17">
      <c r="A17" s="0" t="inlineStr">
        <is>
          <t xml:space="preserve">tokens_in</t>
        </is>
      </c>
      <c r="B17" s="0" t="inlineStr">
        <is>
          <t xml:space="preserve">Input tokens</t>
        </is>
      </c>
      <c r="C17" s="0"/>
    </row>
    <row r="18">
      <c r="A18" s="0" t="inlineStr">
        <is>
          <t xml:space="preserve">tokens_out</t>
        </is>
      </c>
      <c r="B18" s="0" t="inlineStr">
        <is>
          <t xml:space="preserve">Output tokens</t>
        </is>
      </c>
      <c r="C18" s="0"/>
    </row>
    <row r="19">
      <c r="A19" s="0" t="inlineStr">
        <is>
          <t xml:space="preserve">llm_cost_usd</t>
        </is>
      </c>
      <c r="B19" s="0" t="inlineStr">
        <is>
          <t xml:space="preserve">LLM cost, $</t>
        </is>
      </c>
      <c r="C19" s="0"/>
    </row>
    <row r="20">
      <c r="A20" s="0" t="inlineStr">
        <is>
          <t xml:space="preserve">submissions</t>
        </is>
      </c>
      <c r="B20" s="0" t="inlineStr">
        <is>
          <t xml:space="preserve">Submissions</t>
        </is>
      </c>
      <c r="C20" s="0"/>
    </row>
    <row r="21">
      <c r="A21" s="0" t="inlineStr">
        <is>
          <t xml:space="preserve">compliant_pct</t>
        </is>
      </c>
      <c r="B21" s="0" t="inlineStr">
        <is>
          <t xml:space="preserve">Thesis-compliant submissions</t>
        </is>
      </c>
      <c r="C21" s="0" t="inlineStr">
        <is>
          <t xml:space="preserve">percent</t>
        </is>
      </c>
    </row>
    <row r="22">
      <c r="A22" s="0" t="inlineStr">
        <is>
          <t xml:space="preserve">avg_scored</t>
        </is>
      </c>
      <c r="B22" s="0" t="inlineStr">
        <is>
          <t xml:space="preserve">Names scored per day</t>
        </is>
      </c>
      <c r="C22" s="0"/>
    </row>
    <row r="23">
      <c r="A23" s="0" t="inlineStr">
        <is>
          <t xml:space="preserve">mean_sq_of_mean</t>
        </is>
      </c>
      <c r="B23" s="0" t="inlineStr">
        <is>
          <t xml:space="preserve">Square of the mean</t>
        </is>
      </c>
      <c r="C23" s="0"/>
    </row>
  </sheetData>
</worksheet>
</file>

<file path=xl/worksheets/sheet2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evaluated_days</t>
        </is>
      </c>
      <c r="B2" s="0" t="inlineStr">
        <is>
          <t xml:space="preserve">Evaluated trading days</t>
        </is>
      </c>
      <c r="C2" s="0"/>
    </row>
    <row r="3">
      <c r="A3" s="0" t="inlineStr">
        <is>
          <t xml:space="preserve">pods_llm</t>
        </is>
      </c>
      <c r="B3" s="0" t="inlineStr">
        <is>
          <t xml:space="preserve">LLM pods</t>
        </is>
      </c>
      <c r="C3" s="0"/>
    </row>
    <row r="4">
      <c r="A4" s="0" t="inlineStr">
        <is>
          <t xml:space="preserve">pods_random</t>
        </is>
      </c>
      <c r="B4" s="0" t="inlineStr">
        <is>
          <t xml:space="preserve">Random pods</t>
        </is>
      </c>
      <c r="C4" s="0"/>
    </row>
    <row r="5">
      <c r="A5" s="0" t="inlineStr">
        <is>
          <t xml:space="preserve">llm_mean</t>
        </is>
      </c>
      <c r="B5" s="0" t="inlineStr">
        <is>
          <t xml:space="preserve">LLM pods: mean excess, bps/day</t>
        </is>
      </c>
      <c r="C5" s="0"/>
    </row>
    <row r="6">
      <c r="A6" s="0" t="inlineStr">
        <is>
          <t xml:space="preserve">llm_best</t>
        </is>
      </c>
      <c r="B6" s="0" t="inlineStr">
        <is>
          <t xml:space="preserve">LLM pods: best mean, bps/day</t>
        </is>
      </c>
      <c r="C6" s="0"/>
    </row>
    <row r="7">
      <c r="A7" s="0" t="inlineStr">
        <is>
          <t xml:space="preserve">llm_best_t</t>
        </is>
      </c>
      <c r="B7" s="0" t="inlineStr">
        <is>
          <t xml:space="preserve">LLM pods: best t-stat</t>
        </is>
      </c>
      <c r="C7" s="0"/>
    </row>
    <row r="8">
      <c r="A8" s="0" t="inlineStr">
        <is>
          <t xml:space="preserve">random_mean</t>
        </is>
      </c>
      <c r="B8" s="0" t="inlineStr">
        <is>
          <t xml:space="preserve">Random pods: mean, bps/day</t>
        </is>
      </c>
      <c r="C8" s="0"/>
    </row>
    <row r="9">
      <c r="A9" s="0" t="inlineStr">
        <is>
          <t xml:space="preserve">random_mean_sq</t>
        </is>
      </c>
      <c r="B9" s="0" t="inlineStr">
        <is>
          <t xml:space="preserve">Random pods: mean of squared means</t>
        </is>
      </c>
      <c r="C9" s="0"/>
    </row>
    <row r="10">
      <c r="A10" s="0" t="inlineStr">
        <is>
          <t xml:space="preserve">random_sd</t>
        </is>
      </c>
      <c r="B10" s="0" t="inlineStr">
        <is>
          <t xml:space="preserve">Random pods: sd of means, bps/day</t>
        </is>
      </c>
      <c r="C10" s="0"/>
    </row>
    <row r="11">
      <c r="A11" s="0" t="inlineStr">
        <is>
          <t xml:space="preserve">random_best</t>
        </is>
      </c>
      <c r="B11" s="0" t="inlineStr">
        <is>
          <t xml:space="preserve">Random pods: best mean, bps/day</t>
        </is>
      </c>
      <c r="C11" s="0"/>
    </row>
    <row r="12">
      <c r="A12" s="0" t="inlineStr">
        <is>
          <t xml:space="preserve">random_best_t</t>
        </is>
      </c>
      <c r="B12" s="0" t="inlineStr">
        <is>
          <t xml:space="preserve">Random pods: best t-stat</t>
        </is>
      </c>
      <c r="C12" s="0"/>
    </row>
    <row r="13">
      <c r="A13" s="0" t="inlineStr">
        <is>
          <t xml:space="preserve">naive_best</t>
        </is>
      </c>
      <c r="B13" s="0" t="inlineStr">
        <is>
          <t xml:space="preserve">Naive pods: best mean, bps/day</t>
        </is>
      </c>
      <c r="C13" s="0"/>
    </row>
    <row r="14">
      <c r="A14" s="0" t="inlineStr">
        <is>
          <t xml:space="preserve">pods_with_skill</t>
        </is>
      </c>
      <c r="B14" s="0" t="inlineStr">
        <is>
          <t xml:space="preserve">Pods meeting the skill bar</t>
        </is>
      </c>
      <c r="C14" s="0"/>
    </row>
    <row r="15">
      <c r="A15" s="0" t="inlineStr">
        <is>
          <t xml:space="preserve">llm_cost_usd</t>
        </is>
      </c>
      <c r="B15" s="0" t="inlineStr">
        <is>
          <t xml:space="preserve">LLM cost to date, $</t>
        </is>
      </c>
      <c r="C15" s="0"/>
    </row>
    <row r="16">
      <c r="A16" s="0" t="inlineStr">
        <is>
          <t xml:space="preserve">cost_per_day</t>
        </is>
      </c>
      <c r="B16" s="0" t="inlineStr">
        <is>
          <t xml:space="preserve">LLM cost per trading day, $</t>
        </is>
      </c>
      <c r="C16" s="0"/>
    </row>
    <row r="17">
      <c r="A17" s="0" t="inlineStr">
        <is>
          <t xml:space="preserve">fmp_calls</t>
        </is>
      </c>
      <c r="B17" s="0" t="inlineStr">
        <is>
          <t xml:space="preserve">FMP calls to date</t>
        </is>
      </c>
      <c r="C17" s="0"/>
    </row>
    <row r="18">
      <c r="A18" s="0" t="inlineStr">
        <is>
          <t xml:space="preserve">isolated_mean</t>
        </is>
      </c>
      <c r="B18" s="0" t="inlineStr">
        <is>
          <t xml:space="preserve">Isolated pods: mean, bps/day</t>
        </is>
      </c>
      <c r="C18" s="0"/>
    </row>
    <row r="19">
      <c r="A19" s="0" t="inlineStr">
        <is>
          <t xml:space="preserve">shared_mean</t>
        </is>
      </c>
      <c r="B19" s="0" t="inlineStr">
        <is>
          <t xml:space="preserve">Sharing pods: mean, bps/day</t>
        </is>
      </c>
      <c r="C19" s="0"/>
    </row>
  </sheetData>
</worksheet>
</file>

<file path=xl/worksheets/sheet2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llm_avg_bps</t>
        </is>
      </c>
      <c r="B2" s="0" t="inlineStr">
        <is>
          <t xml:space="preserve">LLM pods: average excess, bps</t>
        </is>
      </c>
      <c r="C2" s="0"/>
    </row>
    <row r="3">
      <c r="A3" s="0" t="inlineStr">
        <is>
          <t xml:space="preserve">llm_best_bps</t>
        </is>
      </c>
      <c r="B3" s="0" t="inlineStr">
        <is>
          <t xml:space="preserve">LLM pods: best pod, bps</t>
        </is>
      </c>
      <c r="C3" s="0"/>
    </row>
    <row r="4">
      <c r="A4" s="0" t="inlineStr">
        <is>
          <t xml:space="preserve">llm_worst_bps</t>
        </is>
      </c>
      <c r="B4" s="0" t="inlineStr">
        <is>
          <t xml:space="preserve">LLM pods: worst pod, bps</t>
        </is>
      </c>
      <c r="C4" s="0"/>
    </row>
    <row r="5">
      <c r="A5" s="0" t="inlineStr">
        <is>
          <t xml:space="preserve">random_avg_bps</t>
        </is>
      </c>
      <c r="B5" s="0" t="inlineStr">
        <is>
          <t xml:space="preserve">Random pods: average, bps</t>
        </is>
      </c>
      <c r="C5" s="0"/>
    </row>
    <row r="6">
      <c r="A6" s="0" t="inlineStr">
        <is>
          <t xml:space="preserve">random_best_bps</t>
        </is>
      </c>
      <c r="B6" s="0" t="inlineStr">
        <is>
          <t xml:space="preserve">Random pods: best, bps</t>
        </is>
      </c>
      <c r="C6" s="0"/>
    </row>
    <row r="7">
      <c r="A7" s="0" t="inlineStr">
        <is>
          <t xml:space="preserve">llm_cum_bps</t>
        </is>
      </c>
      <c r="B7" s="0" t="inlineStr">
        <is>
          <t xml:space="preserve">LLM pods: cumulative average excess, bps</t>
        </is>
      </c>
      <c r="C7" s="0"/>
    </row>
    <row r="8">
      <c r="A8" s="0" t="inlineStr">
        <is>
          <t xml:space="preserve">random_cum_bps</t>
        </is>
      </c>
      <c r="B8" s="0" t="inlineStr">
        <is>
          <t xml:space="preserve">Random pods: cumulative average, bps</t>
        </is>
      </c>
      <c r="C8" s="0"/>
    </row>
    <row r="9">
      <c r="A9" s="0" t="inlineStr">
        <is>
          <t xml:space="preserve">pods_submitted</t>
        </is>
      </c>
      <c r="B9" s="0" t="inlineStr">
        <is>
          <t xml:space="preserve">LLM pods that submitted</t>
        </is>
      </c>
      <c r="C9" s="0"/>
    </row>
    <row r="10">
      <c r="A10" s="0" t="inlineStr">
        <is>
          <t xml:space="preserve">avg_steps</t>
        </is>
      </c>
      <c r="B10" s="0" t="inlineStr">
        <is>
          <t xml:space="preserve">Average agent tool calls</t>
        </is>
      </c>
      <c r="C10" s="0"/>
    </row>
    <row r="11">
      <c r="A11" s="0" t="inlineStr">
        <is>
          <t xml:space="preserve">tokens_in</t>
        </is>
      </c>
      <c r="B11" s="0" t="inlineStr">
        <is>
          <t xml:space="preserve">Input tokens</t>
        </is>
      </c>
      <c r="C11" s="0"/>
    </row>
    <row r="12">
      <c r="A12" s="0" t="inlineStr">
        <is>
          <t xml:space="preserve">tokens_out</t>
        </is>
      </c>
      <c r="B12" s="0" t="inlineStr">
        <is>
          <t xml:space="preserve">Output tokens</t>
        </is>
      </c>
      <c r="C12" s="0"/>
    </row>
    <row r="13">
      <c r="A13" s="0" t="inlineStr">
        <is>
          <t xml:space="preserve">cost_usd</t>
        </is>
      </c>
      <c r="B13" s="0" t="inlineStr">
        <is>
          <t xml:space="preserve">LLM cost, $</t>
        </is>
      </c>
      <c r="C13" s="0"/>
    </row>
    <row r="14">
      <c r="A14" s="0" t="inlineStr">
        <is>
          <t xml:space="preserve">cum_cost_usd</t>
        </is>
      </c>
      <c r="B14" s="0" t="inlineStr">
        <is>
          <t xml:space="preserve">Cumulative LLM cost, $</t>
        </is>
      </c>
      <c r="C14" s="0"/>
    </row>
    <row r="15">
      <c r="A15" s="0" t="inlineStr">
        <is>
          <t xml:space="preserve">fmp_calls</t>
        </is>
      </c>
      <c r="B15" s="0" t="inlineStr">
        <is>
          <t xml:space="preserve">FMP calls</t>
        </is>
      </c>
      <c r="C15" s="0"/>
    </row>
    <row r="16">
      <c r="A16" s="0" t="inlineStr">
        <is>
          <t xml:space="preserve">serp_calls</t>
        </is>
      </c>
      <c r="B16" s="0" t="inlineStr">
        <is>
          <t xml:space="preserve">SerpAPI calls</t>
        </is>
      </c>
      <c r="C16" s="0"/>
    </row>
  </sheetData>
</worksheet>
</file>

<file path=xl/worksheets/sheet2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trading_days</t>
        </is>
      </c>
      <c r="B2" s="0" t="inlineStr">
        <is>
          <t xml:space="preserve">Trading days in horizon</t>
        </is>
      </c>
      <c r="C2" s="0"/>
    </row>
    <row r="3">
      <c r="A3" s="0" t="inlineStr">
        <is>
          <t xml:space="preserve">evaluated_days</t>
        </is>
      </c>
      <c r="B3" s="0" t="inlineStr">
        <is>
          <t xml:space="preserve">Evaluated days</t>
        </is>
      </c>
      <c r="C3" s="0"/>
    </row>
    <row r="4">
      <c r="A4" s="0" t="inlineStr">
        <is>
          <t xml:space="preserve">llm_avg_bps</t>
        </is>
      </c>
      <c r="B4" s="0" t="inlineStr">
        <is>
          <t xml:space="preserve">LLM pods: average excess, bps/day</t>
        </is>
      </c>
      <c r="C4" s="0"/>
    </row>
    <row r="5">
      <c r="A5" s="0" t="inlineStr">
        <is>
          <t xml:space="preserve">random_avg_bps</t>
        </is>
      </c>
      <c r="B5" s="0" t="inlineStr">
        <is>
          <t xml:space="preserve">Random pods: average, bps/day</t>
        </is>
      </c>
      <c r="C5" s="0"/>
    </row>
    <row r="6">
      <c r="A6" s="0" t="inlineStr">
        <is>
          <t xml:space="preserve">cost_usd</t>
        </is>
      </c>
      <c r="B6" s="0" t="inlineStr">
        <is>
          <t xml:space="preserve">LLM cost, $</t>
        </is>
      </c>
      <c r="C6" s="0"/>
    </row>
    <row r="7">
      <c r="A7" s="0" t="inlineStr">
        <is>
          <t xml:space="preserve">fmp_calls</t>
        </is>
      </c>
      <c r="B7" s="0" t="inlineStr">
        <is>
          <t xml:space="preserve">FMP calls</t>
        </is>
      </c>
      <c r="C7" s="0"/>
    </row>
  </sheetData>
</worksheet>
</file>

<file path=xl/worksheets/sheet3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picks</t>
        </is>
      </c>
      <c r="B2" s="0" t="inlineStr">
        <is>
          <t xml:space="preserve">Picks</t>
        </is>
      </c>
      <c r="C2" s="0"/>
    </row>
    <row r="3">
      <c r="A3" s="0" t="inlineStr">
        <is>
          <t xml:space="preserve">share</t>
        </is>
      </c>
      <c r="B3" s="0" t="inlineStr">
        <is>
          <t xml:space="preserve">Share of picks</t>
        </is>
      </c>
      <c r="C3" s="0" t="inlineStr">
        <is>
          <t xml:space="preserve">percent</t>
        </is>
      </c>
    </row>
  </sheetData>
</worksheet>
</file>

<file path=xl/worksheets/sheet3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shared</t>
        </is>
      </c>
      <c r="B2" s="0" t="inlineStr">
        <is>
          <t xml:space="preserve">Shared picks</t>
        </is>
      </c>
      <c r="C2" s="0"/>
    </row>
  </sheetData>
</worksheet>
</file>

<file path=xl/worksheets/sheet3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pod_day</t>
        </is>
      </c>
      <c r="B2" s="0" t="inlineStr">
        <is>
          <t xml:space="preserve">value</t>
        </is>
      </c>
      <c r="C2" s="0" t="inlineStr">
        <is>
          <t xml:space="preserve">line = sn_excess_bps</t>
        </is>
      </c>
      <c r="D2" s="20" t="inlineStr">
        <is>
          <t xml:space="preserve">IF(day.evaluated = 1, SUM(daily.sn_excess_bps[pod=@pod, day=@day]), BLANK)</t>
        </is>
      </c>
      <c r="E2" s="0" t="inlineStr">
        <is>
          <t xml:space="preserve">ok</t>
        </is>
      </c>
    </row>
    <row r="3">
      <c r="A3" s="0" t="inlineStr">
        <is>
          <t xml:space="preserve">pod_day</t>
        </is>
      </c>
      <c r="B3" s="0" t="inlineStr">
        <is>
          <t xml:space="preserve">value</t>
        </is>
      </c>
      <c r="C3" s="0" t="inlineStr">
        <is>
          <t xml:space="preserve">line = excess_bps</t>
        </is>
      </c>
      <c r="D3" s="20" t="inlineStr">
        <is>
          <t xml:space="preserve">IF(day.evaluated = 1, SUM(daily.excess_bps[pod=@pod, day=@day]), BLANK)</t>
        </is>
      </c>
      <c r="E3" s="0" t="inlineStr">
        <is>
          <t xml:space="preserve">ok</t>
        </is>
      </c>
    </row>
    <row r="4">
      <c r="A4" s="0" t="inlineStr">
        <is>
          <t xml:space="preserve">pod_day</t>
        </is>
      </c>
      <c r="B4" s="0" t="inlineStr">
        <is>
          <t xml:space="preserve">value</t>
        </is>
      </c>
      <c r="C4" s="0" t="inlineStr">
        <is>
          <t xml:space="preserve">line = net_bps</t>
        </is>
      </c>
      <c r="D4" s="20" t="inlineStr">
        <is>
          <t xml:space="preserve">IF(day.evaluated = 1, excess_bps - assumptions.round_trip_bps, BLANK)</t>
        </is>
      </c>
      <c r="E4" s="0" t="inlineStr">
        <is>
          <t xml:space="preserve">ok</t>
        </is>
      </c>
    </row>
    <row r="5">
      <c r="A5" s="0" t="inlineStr">
        <is>
          <t xml:space="preserve">pod_day</t>
        </is>
      </c>
      <c r="B5" s="0" t="inlineStr">
        <is>
          <t xml:space="preserve">value</t>
        </is>
      </c>
      <c r="C5" s="0" t="inlineStr">
        <is>
          <t xml:space="preserve">line = hit_rate</t>
        </is>
      </c>
      <c r="D5" s="20" t="inlineStr">
        <is>
          <t xml:space="preserve">IF(day.evaluated = 1, SUM(daily.hit_rate[pod=@pod, day=@day]), BLANK)</t>
        </is>
      </c>
      <c r="E5" s="0" t="inlineStr">
        <is>
          <t xml:space="preserve">ok</t>
        </is>
      </c>
    </row>
    <row r="6">
      <c r="A6" s="0" t="inlineStr">
        <is>
          <t xml:space="preserve">pod_day</t>
        </is>
      </c>
      <c r="B6" s="0" t="inlineStr">
        <is>
          <t xml:space="preserve">value</t>
        </is>
      </c>
      <c r="C6" s="0" t="inlineStr">
        <is>
          <t xml:space="preserve">line = ic</t>
        </is>
      </c>
      <c r="D6" s="20" t="inlineStr">
        <is>
          <t xml:space="preserve">IF(day.evaluated = 1, SUM(daily.ic[pod=@pod, day=@day]), BLANK)</t>
        </is>
      </c>
      <c r="E6" s="0" t="inlineStr">
        <is>
          <t xml:space="preserve">ok</t>
        </is>
      </c>
    </row>
    <row r="7">
      <c r="A7" s="0" t="inlineStr">
        <is>
          <t xml:space="preserve">pod_day</t>
        </is>
      </c>
      <c r="B7" s="0" t="inlineStr">
        <is>
          <t xml:space="preserve">value</t>
        </is>
      </c>
      <c r="C7" s="0" t="inlineStr">
        <is>
          <t xml:space="preserve">line = sq_bps</t>
        </is>
      </c>
      <c r="D7" s="20" t="inlineStr">
        <is>
          <t xml:space="preserve">IF(day.evaluated = 1, sn_excess_bps * sn_excess_bps, BLANK)</t>
        </is>
      </c>
      <c r="E7" s="0" t="inlineStr">
        <is>
          <t xml:space="preserve">ok</t>
        </is>
      </c>
    </row>
    <row r="8">
      <c r="A8" s="0" t="inlineStr">
        <is>
          <t xml:space="preserve">pod_day</t>
        </is>
      </c>
      <c r="B8" s="0" t="inlineStr">
        <is>
          <t xml:space="preserve">value</t>
        </is>
      </c>
      <c r="C8" s="0" t="inlineStr">
        <is>
          <t xml:space="preserve">line = cum_bps</t>
        </is>
      </c>
      <c r="D8" s="20" t="inlineStr">
        <is>
          <t xml:space="preserve">IF(day.evaluated = 1, SUM(sn_excess_bps[day=first..this]), BLANK)</t>
        </is>
      </c>
      <c r="E8" s="0" t="inlineStr">
        <is>
          <t xml:space="preserve">ok</t>
        </is>
      </c>
    </row>
    <row r="9">
      <c r="A9" s="0" t="inlineStr">
        <is>
          <t xml:space="preserve">pod_day</t>
        </is>
      </c>
      <c r="B9" s="0" t="inlineStr">
        <is>
          <t xml:space="preserve">value</t>
        </is>
      </c>
      <c r="C9" s="0" t="inlineStr">
        <is>
          <t xml:space="preserve">line = n_days</t>
        </is>
      </c>
      <c r="D9" s="20" t="inlineStr">
        <is>
          <t xml:space="preserve">IF(day.evaluated = 1, COUNT(sn_excess_bps[day=first..this]), BLANK)</t>
        </is>
      </c>
      <c r="E9" s="0" t="inlineStr">
        <is>
          <t xml:space="preserve">ok</t>
        </is>
      </c>
    </row>
    <row r="10">
      <c r="A10" s="0" t="inlineStr">
        <is>
          <t xml:space="preserve">pod_day</t>
        </is>
      </c>
      <c r="B10" s="0" t="inlineStr">
        <is>
          <t xml:space="preserve">value</t>
        </is>
      </c>
      <c r="C10" s="0" t="inlineStr">
        <is>
          <t xml:space="preserve">line = mean_bps</t>
        </is>
      </c>
      <c r="D10" s="20" t="inlineStr">
        <is>
          <t xml:space="preserve">IF(day.evaluated = 1, cum_bps / n_days, BLANK)</t>
        </is>
      </c>
      <c r="E10" s="0" t="inlineStr">
        <is>
          <t xml:space="preserve">ok</t>
        </is>
      </c>
    </row>
    <row r="11">
      <c r="A11" s="0" t="inlineStr">
        <is>
          <t xml:space="preserve">pod_day</t>
        </is>
      </c>
      <c r="B11" s="0" t="inlineStr">
        <is>
          <t xml:space="preserve">value</t>
        </is>
      </c>
      <c r="C11" s="0" t="inlineStr">
        <is>
          <t xml:space="preserve">line = mean_sq</t>
        </is>
      </c>
      <c r="D11" s="20" t="inlineStr">
        <is>
          <t xml:space="preserve">IF(day.evaluated = 1, SUM(sq_bps[day=first..this]) / n_days, BLANK)</t>
        </is>
      </c>
      <c r="E11" s="0" t="inlineStr">
        <is>
          <t xml:space="preserve">ok</t>
        </is>
      </c>
    </row>
    <row r="12">
      <c r="A12" s="0" t="inlineStr">
        <is>
          <t xml:space="preserve">pod_day</t>
        </is>
      </c>
      <c r="B12" s="0" t="inlineStr">
        <is>
          <t xml:space="preserve">value</t>
        </is>
      </c>
      <c r="C12" s="0" t="inlineStr">
        <is>
          <t xml:space="preserve">line = sd_bps</t>
        </is>
      </c>
      <c r="D12" s="20" t="inlineStr">
        <is>
          <t xml:space="preserve">IF(day.evaluated = 1, IF(mean_sq - mean_bps * mean_bps &gt; 0, SQRT(mean_sq - mean_bps * mean_bps), 0), BLANK)</t>
        </is>
      </c>
      <c r="E12" s="0" t="inlineStr">
        <is>
          <t xml:space="preserve">ok</t>
        </is>
      </c>
    </row>
    <row r="13">
      <c r="A13" s="0" t="inlineStr">
        <is>
          <t xml:space="preserve">pod_day</t>
        </is>
      </c>
      <c r="B13" s="0" t="inlineStr">
        <is>
          <t xml:space="preserve">value</t>
        </is>
      </c>
      <c r="C13" s="0" t="inlineStr">
        <is>
          <t xml:space="preserve">line = t_stat</t>
        </is>
      </c>
      <c r="D13" s="20" t="inlineStr">
        <is>
          <t xml:space="preserve">IF(day.evaluated = 1, IF(n_days &gt; 1 and sd_bps &gt; 0, mean_bps / (sd_bps / SQRT(n_days)), BLANK), BLANK)</t>
        </is>
      </c>
      <c r="E13" s="0" t="inlineStr">
        <is>
          <t xml:space="preserve">ok</t>
        </is>
      </c>
    </row>
    <row r="14">
      <c r="A14" s="0" t="inlineStr">
        <is>
          <t xml:space="preserve">pod_day</t>
        </is>
      </c>
      <c r="B14" s="0" t="inlineStr">
        <is>
          <t xml:space="preserve">value</t>
        </is>
      </c>
      <c r="C14" s="0" t="inlineStr">
        <is>
          <t xml:space="preserve">line = pnl_usd</t>
        </is>
      </c>
      <c r="D14" s="20" t="inlineStr">
        <is>
          <t xml:space="preserve">IF(day.evaluated = 1, net_bps / 10000 * assumptions.notional_usd, BLANK)</t>
        </is>
      </c>
      <c r="E14" s="0" t="inlineStr">
        <is>
          <t xml:space="preserve">ok</t>
        </is>
      </c>
    </row>
    <row r="15">
      <c r="A15" s="0" t="inlineStr">
        <is>
          <t xml:space="preserve">pod_day</t>
        </is>
      </c>
      <c r="B15" s="0" t="inlineStr">
        <is>
          <t xml:space="preserve">value</t>
        </is>
      </c>
      <c r="C15" s="0" t="inlineStr">
        <is>
          <t xml:space="preserve">line = cum_pnl_usd</t>
        </is>
      </c>
      <c r="D15" s="20" t="inlineStr">
        <is>
          <t xml:space="preserve">IF(day.evaluated = 1, SUM(pnl_usd[day=first..this]), BLANK)</t>
        </is>
      </c>
      <c r="E15" s="0" t="inlineStr">
        <is>
          <t xml:space="preserve">ok</t>
        </is>
      </c>
    </row>
    <row r="16">
      <c r="A16" s="0" t="inlineStr">
        <is>
          <t xml:space="preserve">pod_day</t>
        </is>
      </c>
      <c r="B16" s="0" t="inlineStr">
        <is>
          <t xml:space="preserve">value</t>
        </is>
      </c>
      <c r="C16" s="0" t="inlineStr">
        <is>
          <t xml:space="preserve">line = proj_cum_bps</t>
        </is>
      </c>
      <c r="D16" s="20" t="inlineStr">
        <is>
          <t xml:space="preserve">IF(day.evaluated = 1, cum_bps, cum_bps[day=d20260922] + mean_bps[day=d20260922] * (day.idx - 1))</t>
        </is>
      </c>
      <c r="E16" s="0" t="inlineStr">
        <is>
          <t xml:space="preserve">ok</t>
        </is>
      </c>
    </row>
    <row r="17">
      <c r="A17" s="0" t="inlineStr">
        <is>
          <t xml:space="preserve">pod_summary</t>
        </is>
      </c>
      <c r="B17" s="0" t="inlineStr">
        <is>
          <t xml:space="preserve">value</t>
        </is>
      </c>
      <c r="C17" s="0" t="inlineStr">
        <is>
          <t xml:space="preserve">line = n_days</t>
        </is>
      </c>
      <c r="D17" s="20" t="inlineStr">
        <is>
          <t xml:space="preserve">COUNT(daily.sn_excess_bps[pod=@pod])</t>
        </is>
      </c>
      <c r="E17" s="0" t="inlineStr">
        <is>
          <t xml:space="preserve">ok</t>
        </is>
      </c>
    </row>
    <row r="18">
      <c r="A18" s="0" t="inlineStr">
        <is>
          <t xml:space="preserve">pod_summary</t>
        </is>
      </c>
      <c r="B18" s="0" t="inlineStr">
        <is>
          <t xml:space="preserve">value</t>
        </is>
      </c>
      <c r="C18" s="0" t="inlineStr">
        <is>
          <t xml:space="preserve">line = mean_bps</t>
        </is>
      </c>
      <c r="D18" s="20" t="inlineStr">
        <is>
          <t xml:space="preserve">IF(n_days &gt; 0, AVG(daily.sn_excess_bps[pod=@pod]), BLANK)</t>
        </is>
      </c>
      <c r="E18" s="0" t="inlineStr">
        <is>
          <t xml:space="preserve">ok</t>
        </is>
      </c>
    </row>
    <row r="19">
      <c r="A19" s="0" t="inlineStr">
        <is>
          <t xml:space="preserve">pod_summary</t>
        </is>
      </c>
      <c r="B19" s="0" t="inlineStr">
        <is>
          <t xml:space="preserve">value</t>
        </is>
      </c>
      <c r="C19" s="0" t="inlineStr">
        <is>
          <t xml:space="preserve">line = cum_bps</t>
        </is>
      </c>
      <c r="D19" s="20" t="inlineStr">
        <is>
          <t xml:space="preserve">IF(n_days &gt; 0, SUM(daily.sn_excess_bps[pod=@pod]), BLANK)</t>
        </is>
      </c>
      <c r="E19" s="0" t="inlineStr">
        <is>
          <t xml:space="preserve">ok</t>
        </is>
      </c>
    </row>
    <row r="20">
      <c r="A20" s="0" t="inlineStr">
        <is>
          <t xml:space="preserve">pod_summary</t>
        </is>
      </c>
      <c r="B20" s="0" t="inlineStr">
        <is>
          <t xml:space="preserve">value</t>
        </is>
      </c>
      <c r="C20" s="0" t="inlineStr">
        <is>
          <t xml:space="preserve">line = net_bps</t>
        </is>
      </c>
      <c r="D20" s="20" t="inlineStr">
        <is>
          <t xml:space="preserve">IF(n_days &gt; 0, AVG(daily.excess_bps[pod=@pod]) - assumptions.round_trip_bps, BLANK)</t>
        </is>
      </c>
      <c r="E20" s="0" t="inlineStr">
        <is>
          <t xml:space="preserve">ok</t>
        </is>
      </c>
    </row>
    <row r="21">
      <c r="A21" s="0" t="inlineStr">
        <is>
          <t xml:space="preserve">pod_summary</t>
        </is>
      </c>
      <c r="B21" s="0" t="inlineStr">
        <is>
          <t xml:space="preserve">value</t>
        </is>
      </c>
      <c r="C21" s="0" t="inlineStr">
        <is>
          <t xml:space="preserve">line = hit_rate</t>
        </is>
      </c>
      <c r="D21" s="20" t="inlineStr">
        <is>
          <t xml:space="preserve">IF(n_days &gt; 0, AVG(daily.hit_rate[pod=@pod]), BLANK)</t>
        </is>
      </c>
      <c r="E21" s="0" t="inlineStr">
        <is>
          <t xml:space="preserve">ok</t>
        </is>
      </c>
    </row>
    <row r="22">
      <c r="A22" s="0" t="inlineStr">
        <is>
          <t xml:space="preserve">pod_summary</t>
        </is>
      </c>
      <c r="B22" s="0" t="inlineStr">
        <is>
          <t xml:space="preserve">value</t>
        </is>
      </c>
      <c r="C22" s="0" t="inlineStr">
        <is>
          <t xml:space="preserve">line = ic</t>
        </is>
      </c>
      <c r="D22" s="20" t="inlineStr">
        <is>
          <t xml:space="preserve">IF(n_days &gt; 0, AVG(daily.ic[pod=@pod]), BLANK)</t>
        </is>
      </c>
      <c r="E22" s="0" t="inlineStr">
        <is>
          <t xml:space="preserve">ok</t>
        </is>
      </c>
    </row>
    <row r="23">
      <c r="A23" s="0" t="inlineStr">
        <is>
          <t xml:space="preserve">pod_summary</t>
        </is>
      </c>
      <c r="B23" s="0" t="inlineStr">
        <is>
          <t xml:space="preserve">value</t>
        </is>
      </c>
      <c r="C23" s="0" t="inlineStr">
        <is>
          <t xml:space="preserve">line = cc_bps</t>
        </is>
      </c>
      <c r="D23" s="20" t="inlineStr">
        <is>
          <t xml:space="preserve">IF(n_days &gt; 0, AVG(daily.cc_sn_bps[pod=@pod]), BLANK)</t>
        </is>
      </c>
      <c r="E23" s="0" t="inlineStr">
        <is>
          <t xml:space="preserve">ok</t>
        </is>
      </c>
    </row>
    <row r="24">
      <c r="A24" s="0" t="inlineStr">
        <is>
          <t xml:space="preserve">pod_summary</t>
        </is>
      </c>
      <c r="B24" s="0" t="inlineStr">
        <is>
          <t xml:space="preserve">value</t>
        </is>
      </c>
      <c r="C24" s="0" t="inlineStr">
        <is>
          <t xml:space="preserve">line = mean_sq</t>
        </is>
      </c>
      <c r="D24" s="20" t="inlineStr">
        <is>
          <t xml:space="preserve">IF(n_days &gt; 0, AVG(daily.sq_bps[pod=@pod]), BLANK)</t>
        </is>
      </c>
      <c r="E24" s="0" t="inlineStr">
        <is>
          <t xml:space="preserve">ok</t>
        </is>
      </c>
    </row>
    <row r="25">
      <c r="A25" s="0" t="inlineStr">
        <is>
          <t xml:space="preserve">pod_summary</t>
        </is>
      </c>
      <c r="B25" s="0" t="inlineStr">
        <is>
          <t xml:space="preserve">value</t>
        </is>
      </c>
      <c r="C25" s="0" t="inlineStr">
        <is>
          <t xml:space="preserve">line = sd_bps</t>
        </is>
      </c>
      <c r="D25" s="20" t="inlineStr">
        <is>
          <t xml:space="preserve">IF(n_days &gt; 0, IF(mean_sq - mean_bps * mean_bps &gt; 0, SQRT(mean_sq - mean_bps * mean_bps), 0), BLANK)</t>
        </is>
      </c>
      <c r="E25" s="0" t="inlineStr">
        <is>
          <t xml:space="preserve">ok</t>
        </is>
      </c>
    </row>
    <row r="26">
      <c r="A26" s="0" t="inlineStr">
        <is>
          <t xml:space="preserve">pod_summary</t>
        </is>
      </c>
      <c r="B26" s="0" t="inlineStr">
        <is>
          <t xml:space="preserve">value</t>
        </is>
      </c>
      <c r="C26" s="0" t="inlineStr">
        <is>
          <t xml:space="preserve">line = t_stat</t>
        </is>
      </c>
      <c r="D26" s="20" t="inlineStr">
        <is>
          <t xml:space="preserve">IF(n_days &gt; 1 and sd_bps &gt; 0, mean_bps / (sd_bps / SQRT(n_days)), BLANK)</t>
        </is>
      </c>
      <c r="E26" s="0" t="inlineStr">
        <is>
          <t xml:space="preserve">ok</t>
        </is>
      </c>
    </row>
    <row r="27">
      <c r="A27" s="0" t="inlineStr">
        <is>
          <t xml:space="preserve">pod_summary</t>
        </is>
      </c>
      <c r="B27" s="0" t="inlineStr">
        <is>
          <t xml:space="preserve">value</t>
        </is>
      </c>
      <c r="C27" s="0" t="inlineStr">
        <is>
          <t xml:space="preserve">line = ann_sharpe</t>
        </is>
      </c>
      <c r="D27" s="20" t="inlineStr">
        <is>
          <t xml:space="preserve">IF(n_days &gt; 1 and sd_bps &gt; 0, mean_bps / sd_bps * SQRT(252), BLANK)</t>
        </is>
      </c>
      <c r="E27" s="0" t="inlineStr">
        <is>
          <t xml:space="preserve">ok</t>
        </is>
      </c>
    </row>
    <row r="28">
      <c r="A28" s="0" t="inlineStr">
        <is>
          <t xml:space="preserve">pod_summary</t>
        </is>
      </c>
      <c r="B28" s="0" t="inlineStr">
        <is>
          <t xml:space="preserve">value</t>
        </is>
      </c>
      <c r="C28" s="0" t="inlineStr">
        <is>
          <t xml:space="preserve">line = z_vs_random</t>
        </is>
      </c>
      <c r="D28" s="20" t="inlineStr">
        <is>
          <t xml:space="preserve">IF(n_days &gt; 0 and null_stats.random_sd &gt; 0, (mean_bps - null_stats.random_mean) / null_stats.random_sd, BLANK)</t>
        </is>
      </c>
      <c r="E28" s="0" t="inlineStr">
        <is>
          <t xml:space="preserve">ok</t>
        </is>
      </c>
    </row>
    <row r="29">
      <c r="A29" s="0" t="inlineStr">
        <is>
          <t xml:space="preserve">pod_summary</t>
        </is>
      </c>
      <c r="B29" s="0" t="inlineStr">
        <is>
          <t xml:space="preserve">value</t>
        </is>
      </c>
      <c r="C29" s="0" t="inlineStr">
        <is>
          <t xml:space="preserve">line = days_to_threshold</t>
        </is>
      </c>
      <c r="D29" s="20" t="inlineStr">
        <is>
          <t xml:space="preserve">IF(n_days &gt; 1 and mean_bps &gt; 0 and sd_bps &gt; 0, POWER(assumptions.t_threshold * sd_bps / mean_bps, 2), BLANK)</t>
        </is>
      </c>
      <c r="E29" s="0" t="inlineStr">
        <is>
          <t xml:space="preserve">ok</t>
        </is>
      </c>
    </row>
    <row r="30">
      <c r="A30" s="0" t="inlineStr">
        <is>
          <t xml:space="preserve">pod_summary</t>
        </is>
      </c>
      <c r="B30" s="0" t="inlineStr">
        <is>
          <t xml:space="preserve">value</t>
        </is>
      </c>
      <c r="C30" s="0" t="inlineStr">
        <is>
          <t xml:space="preserve">line = proj_horizon_bps</t>
        </is>
      </c>
      <c r="D30" s="20" t="inlineStr">
        <is>
          <t xml:space="preserve">IF(n_days &gt; 0, mean_bps * assumptions.horizon_days, BLANK)</t>
        </is>
      </c>
      <c r="E30" s="0" t="inlineStr">
        <is>
          <t xml:space="preserve">ok</t>
        </is>
      </c>
    </row>
    <row r="31">
      <c r="A31" s="0" t="inlineStr">
        <is>
          <t xml:space="preserve">pod_summary</t>
        </is>
      </c>
      <c r="B31" s="0" t="inlineStr">
        <is>
          <t xml:space="preserve">value</t>
        </is>
      </c>
      <c r="C31" s="0" t="inlineStr">
        <is>
          <t xml:space="preserve">line = skill_flag</t>
        </is>
      </c>
      <c r="D31" s="20" t="inlineStr">
        <is>
          <t xml:space="preserve">IF(n_days &gt; 1 and t_stat &gt;= assumptions.t_threshold and z_vs_random &gt;= 2.33, 1, 0)</t>
        </is>
      </c>
      <c r="E31" s="0" t="inlineStr">
        <is>
          <t xml:space="preserve">ok</t>
        </is>
      </c>
    </row>
    <row r="32">
      <c r="A32" s="0" t="inlineStr">
        <is>
          <t xml:space="preserve">pod_summary</t>
        </is>
      </c>
      <c r="B32" s="0" t="inlineStr">
        <is>
          <t xml:space="preserve">value</t>
        </is>
      </c>
      <c r="C32" s="0" t="inlineStr">
        <is>
          <t xml:space="preserve">line = tokens_in</t>
        </is>
      </c>
      <c r="D32" s="20" t="inlineStr">
        <is>
          <t xml:space="preserve">SUM(usage.prompt_tokens[pod=@pod])</t>
        </is>
      </c>
      <c r="E32" s="0" t="inlineStr">
        <is>
          <t xml:space="preserve">ok</t>
        </is>
      </c>
    </row>
    <row r="33">
      <c r="A33" s="0" t="inlineStr">
        <is>
          <t xml:space="preserve">pod_summary</t>
        </is>
      </c>
      <c r="B33" s="0" t="inlineStr">
        <is>
          <t xml:space="preserve">value</t>
        </is>
      </c>
      <c r="C33" s="0" t="inlineStr">
        <is>
          <t xml:space="preserve">line = tokens_out</t>
        </is>
      </c>
      <c r="D33" s="20" t="inlineStr">
        <is>
          <t xml:space="preserve">SUM(usage.completion_tokens[pod=@pod])</t>
        </is>
      </c>
      <c r="E33" s="0" t="inlineStr">
        <is>
          <t xml:space="preserve">ok</t>
        </is>
      </c>
    </row>
    <row r="34">
      <c r="A34" s="0" t="inlineStr">
        <is>
          <t xml:space="preserve">pod_summary</t>
        </is>
      </c>
      <c r="B34" s="0" t="inlineStr">
        <is>
          <t xml:space="preserve">value</t>
        </is>
      </c>
      <c r="C34" s="0" t="inlineStr">
        <is>
          <t xml:space="preserve">line = llm_cost_usd</t>
        </is>
      </c>
      <c r="D34" s="20" t="inlineStr">
        <is>
          <t xml:space="preserve">tokens_in / 1000000 * assumptions.price_in_per_m + tokens_out / 1000000 * assumptions.price_out_per_m</t>
        </is>
      </c>
      <c r="E34" s="0" t="inlineStr">
        <is>
          <t xml:space="preserve">ok</t>
        </is>
      </c>
    </row>
    <row r="35">
      <c r="A35" s="0" t="inlineStr">
        <is>
          <t xml:space="preserve">pod_summary</t>
        </is>
      </c>
      <c r="B35" s="0" t="inlineStr">
        <is>
          <t xml:space="preserve">value</t>
        </is>
      </c>
      <c r="C35" s="0" t="inlineStr">
        <is>
          <t xml:space="preserve">line = submissions</t>
        </is>
      </c>
      <c r="D35" s="20" t="inlineStr">
        <is>
          <t xml:space="preserve">SUM(runs.submitted[pod=@pod])</t>
        </is>
      </c>
      <c r="E35" s="0" t="inlineStr">
        <is>
          <t xml:space="preserve">ok</t>
        </is>
      </c>
    </row>
    <row r="36">
      <c r="A36" s="0" t="inlineStr">
        <is>
          <t xml:space="preserve">pod_summary</t>
        </is>
      </c>
      <c r="B36" s="0" t="inlineStr">
        <is>
          <t xml:space="preserve">value</t>
        </is>
      </c>
      <c r="C36" s="0" t="inlineStr">
        <is>
          <t xml:space="preserve">line = compliant_pct</t>
        </is>
      </c>
      <c r="D36" s="20" t="inlineStr">
        <is>
          <t xml:space="preserve">IF(submissions &gt; 0, SUM(runs.compliant[pod=@pod]) / submissions, BLANK)</t>
        </is>
      </c>
      <c r="E36" s="0" t="inlineStr">
        <is>
          <t xml:space="preserve">ok</t>
        </is>
      </c>
    </row>
    <row r="37">
      <c r="A37" s="0" t="inlineStr">
        <is>
          <t xml:space="preserve">pod_summary</t>
        </is>
      </c>
      <c r="B37" s="0" t="inlineStr">
        <is>
          <t xml:space="preserve">value</t>
        </is>
      </c>
      <c r="C37" s="0" t="inlineStr">
        <is>
          <t xml:space="preserve">line = avg_scored</t>
        </is>
      </c>
      <c r="D37" s="20" t="inlineStr">
        <is>
          <t xml:space="preserve">IF(submissions &gt; 0, AVG(runs.n_scored[pod=@pod]), BLANK)</t>
        </is>
      </c>
      <c r="E37" s="0" t="inlineStr">
        <is>
          <t xml:space="preserve">ok</t>
        </is>
      </c>
    </row>
    <row r="38">
      <c r="A38" s="0" t="inlineStr">
        <is>
          <t xml:space="preserve">pod_summary</t>
        </is>
      </c>
      <c r="B38" s="0" t="inlineStr">
        <is>
          <t xml:space="preserve">value</t>
        </is>
      </c>
      <c r="C38" s="0" t="inlineStr">
        <is>
          <t xml:space="preserve">line = mean_sq_of_mean</t>
        </is>
      </c>
      <c r="D38" s="20" t="inlineStr">
        <is>
          <t xml:space="preserve">IF(n_days &gt; 0, mean_bps * mean_bps, BLANK)</t>
        </is>
      </c>
      <c r="E38" s="0" t="inlineStr">
        <is>
          <t xml:space="preserve">ok</t>
        </is>
      </c>
    </row>
    <row r="39">
      <c r="A39" s="0" t="inlineStr">
        <is>
          <t xml:space="preserve">null_stats</t>
        </is>
      </c>
      <c r="B39" s="0" t="inlineStr">
        <is>
          <t xml:space="preserve">value</t>
        </is>
      </c>
      <c r="C39" s="0" t="inlineStr">
        <is>
          <t xml:space="preserve">line = evaluated_days</t>
        </is>
      </c>
      <c r="D39" s="20" t="inlineStr">
        <is>
          <t xml:space="preserve">SUM(days.evaluated)</t>
        </is>
      </c>
      <c r="E39" s="0" t="inlineStr">
        <is>
          <t xml:space="preserve">ok</t>
        </is>
      </c>
    </row>
    <row r="40">
      <c r="A40" s="0" t="inlineStr">
        <is>
          <t xml:space="preserve">null_stats</t>
        </is>
      </c>
      <c r="B40" s="0" t="inlineStr">
        <is>
          <t xml:space="preserve">value</t>
        </is>
      </c>
      <c r="C40" s="0" t="inlineStr">
        <is>
          <t xml:space="preserve">line = pods_llm</t>
        </is>
      </c>
      <c r="D40" s="20" t="inlineStr">
        <is>
          <t xml:space="preserve">COUNT(pods.isolated[kind=llm])</t>
        </is>
      </c>
      <c r="E40" s="0" t="inlineStr">
        <is>
          <t xml:space="preserve">ok</t>
        </is>
      </c>
    </row>
    <row r="41">
      <c r="A41" s="0" t="inlineStr">
        <is>
          <t xml:space="preserve">null_stats</t>
        </is>
      </c>
      <c r="B41" s="0" t="inlineStr">
        <is>
          <t xml:space="preserve">value</t>
        </is>
      </c>
      <c r="C41" s="0" t="inlineStr">
        <is>
          <t xml:space="preserve">line = pods_random</t>
        </is>
      </c>
      <c r="D41" s="20" t="inlineStr">
        <is>
          <t xml:space="preserve">COUNT(pods.isolated[kind=random])</t>
        </is>
      </c>
      <c r="E41" s="0" t="inlineStr">
        <is>
          <t xml:space="preserve">ok</t>
        </is>
      </c>
    </row>
    <row r="42">
      <c r="A42" s="0" t="inlineStr">
        <is>
          <t xml:space="preserve">null_stats</t>
        </is>
      </c>
      <c r="B42" s="0" t="inlineStr">
        <is>
          <t xml:space="preserve">value</t>
        </is>
      </c>
      <c r="C42" s="0" t="inlineStr">
        <is>
          <t xml:space="preserve">line = llm_mean</t>
        </is>
      </c>
      <c r="D42" s="20" t="inlineStr">
        <is>
          <t xml:space="preserve">AVG(pod_summary.mean_bps[pod.kind=llm])</t>
        </is>
      </c>
      <c r="E42" s="0" t="inlineStr">
        <is>
          <t xml:space="preserve">ok</t>
        </is>
      </c>
    </row>
    <row r="43">
      <c r="A43" s="0" t="inlineStr">
        <is>
          <t xml:space="preserve">null_stats</t>
        </is>
      </c>
      <c r="B43" s="0" t="inlineStr">
        <is>
          <t xml:space="preserve">value</t>
        </is>
      </c>
      <c r="C43" s="0" t="inlineStr">
        <is>
          <t xml:space="preserve">line = llm_best</t>
        </is>
      </c>
      <c r="D43" s="20" t="inlineStr">
        <is>
          <t xml:space="preserve">MAX(pod_summary.mean_bps[pod.kind=llm])</t>
        </is>
      </c>
      <c r="E43" s="0" t="inlineStr">
        <is>
          <t xml:space="preserve">ok</t>
        </is>
      </c>
    </row>
    <row r="44">
      <c r="A44" s="0" t="inlineStr">
        <is>
          <t xml:space="preserve">null_stats</t>
        </is>
      </c>
      <c r="B44" s="0" t="inlineStr">
        <is>
          <t xml:space="preserve">value</t>
        </is>
      </c>
      <c r="C44" s="0" t="inlineStr">
        <is>
          <t xml:space="preserve">line = llm_best_t</t>
        </is>
      </c>
      <c r="D44" s="20" t="inlineStr">
        <is>
          <t xml:space="preserve">MAX(pod_summary.t_stat[pod.kind=llm])</t>
        </is>
      </c>
      <c r="E44" s="0" t="inlineStr">
        <is>
          <t xml:space="preserve">ok</t>
        </is>
      </c>
    </row>
    <row r="45">
      <c r="A45" s="0" t="inlineStr">
        <is>
          <t xml:space="preserve">null_stats</t>
        </is>
      </c>
      <c r="B45" s="0" t="inlineStr">
        <is>
          <t xml:space="preserve">value</t>
        </is>
      </c>
      <c r="C45" s="0" t="inlineStr">
        <is>
          <t xml:space="preserve">line = random_mean</t>
        </is>
      </c>
      <c r="D45" s="20" t="inlineStr">
        <is>
          <t xml:space="preserve">AVG(pod_summary.mean_bps[pod.kind=random])</t>
        </is>
      </c>
      <c r="E45" s="0" t="inlineStr">
        <is>
          <t xml:space="preserve">ok</t>
        </is>
      </c>
    </row>
    <row r="46">
      <c r="A46" s="0" t="inlineStr">
        <is>
          <t xml:space="preserve">null_stats</t>
        </is>
      </c>
      <c r="B46" s="0" t="inlineStr">
        <is>
          <t xml:space="preserve">value</t>
        </is>
      </c>
      <c r="C46" s="0" t="inlineStr">
        <is>
          <t xml:space="preserve">line = random_mean_sq</t>
        </is>
      </c>
      <c r="D46" s="20" t="inlineStr">
        <is>
          <t xml:space="preserve">AVG(pod_summary.mean_sq_of_mean[pod.kind=random])</t>
        </is>
      </c>
      <c r="E46" s="0" t="inlineStr">
        <is>
          <t xml:space="preserve">ok</t>
        </is>
      </c>
    </row>
    <row r="47">
      <c r="A47" s="0" t="inlineStr">
        <is>
          <t xml:space="preserve">null_stats</t>
        </is>
      </c>
      <c r="B47" s="0" t="inlineStr">
        <is>
          <t xml:space="preserve">value</t>
        </is>
      </c>
      <c r="C47" s="0" t="inlineStr">
        <is>
          <t xml:space="preserve">line = random_sd</t>
        </is>
      </c>
      <c r="D47" s="20" t="inlineStr">
        <is>
          <t xml:space="preserve">IF(random_mean_sq - random_mean * random_mean &gt; 0, SQRT(random_mean_sq - random_mean * random_mean), 0)</t>
        </is>
      </c>
      <c r="E47" s="0" t="inlineStr">
        <is>
          <t xml:space="preserve">ok</t>
        </is>
      </c>
    </row>
    <row r="48">
      <c r="A48" s="0" t="inlineStr">
        <is>
          <t xml:space="preserve">null_stats</t>
        </is>
      </c>
      <c r="B48" s="0" t="inlineStr">
        <is>
          <t xml:space="preserve">value</t>
        </is>
      </c>
      <c r="C48" s="0" t="inlineStr">
        <is>
          <t xml:space="preserve">line = random_best</t>
        </is>
      </c>
      <c r="D48" s="20" t="inlineStr">
        <is>
          <t xml:space="preserve">MAX(pod_summary.mean_bps[pod.kind=random])</t>
        </is>
      </c>
      <c r="E48" s="0" t="inlineStr">
        <is>
          <t xml:space="preserve">ok</t>
        </is>
      </c>
    </row>
    <row r="49">
      <c r="A49" s="0" t="inlineStr">
        <is>
          <t xml:space="preserve">null_stats</t>
        </is>
      </c>
      <c r="B49" s="0" t="inlineStr">
        <is>
          <t xml:space="preserve">value</t>
        </is>
      </c>
      <c r="C49" s="0" t="inlineStr">
        <is>
          <t xml:space="preserve">line = random_best_t</t>
        </is>
      </c>
      <c r="D49" s="20" t="inlineStr">
        <is>
          <t xml:space="preserve">MAX(pod_summary.t_stat[pod.kind=random])</t>
        </is>
      </c>
      <c r="E49" s="0" t="inlineStr">
        <is>
          <t xml:space="preserve">ok</t>
        </is>
      </c>
    </row>
    <row r="50">
      <c r="A50" s="0" t="inlineStr">
        <is>
          <t xml:space="preserve">null_stats</t>
        </is>
      </c>
      <c r="B50" s="0" t="inlineStr">
        <is>
          <t xml:space="preserve">value</t>
        </is>
      </c>
      <c r="C50" s="0" t="inlineStr">
        <is>
          <t xml:space="preserve">line = naive_best</t>
        </is>
      </c>
      <c r="D50" s="20" t="inlineStr">
        <is>
          <t xml:space="preserve">MAX(pod_summary.mean_bps[pod.kind=naive])</t>
        </is>
      </c>
      <c r="E50" s="0" t="inlineStr">
        <is>
          <t xml:space="preserve">ok</t>
        </is>
      </c>
    </row>
    <row r="51">
      <c r="A51" s="0" t="inlineStr">
        <is>
          <t xml:space="preserve">null_stats</t>
        </is>
      </c>
      <c r="B51" s="0" t="inlineStr">
        <is>
          <t xml:space="preserve">value</t>
        </is>
      </c>
      <c r="C51" s="0" t="inlineStr">
        <is>
          <t xml:space="preserve">line = pods_with_skill</t>
        </is>
      </c>
      <c r="D51" s="20" t="inlineStr">
        <is>
          <t xml:space="preserve">SUM(pod_summary.skill_flag)</t>
        </is>
      </c>
      <c r="E51" s="0" t="inlineStr">
        <is>
          <t xml:space="preserve">ok</t>
        </is>
      </c>
    </row>
    <row r="52">
      <c r="A52" s="0" t="inlineStr">
        <is>
          <t xml:space="preserve">null_stats</t>
        </is>
      </c>
      <c r="B52" s="0" t="inlineStr">
        <is>
          <t xml:space="preserve">value</t>
        </is>
      </c>
      <c r="C52" s="0" t="inlineStr">
        <is>
          <t xml:space="preserve">line = llm_cost_usd</t>
        </is>
      </c>
      <c r="D52" s="20" t="inlineStr">
        <is>
          <t xml:space="preserve">SUM(pod_summary.llm_cost_usd)</t>
        </is>
      </c>
      <c r="E52" s="0" t="inlineStr">
        <is>
          <t xml:space="preserve">ok</t>
        </is>
      </c>
    </row>
    <row r="53">
      <c r="A53" s="0" t="inlineStr">
        <is>
          <t xml:space="preserve">null_stats</t>
        </is>
      </c>
      <c r="B53" s="0" t="inlineStr">
        <is>
          <t xml:space="preserve">value</t>
        </is>
      </c>
      <c r="C53" s="0" t="inlineStr">
        <is>
          <t xml:space="preserve">line = cost_per_day</t>
        </is>
      </c>
      <c r="D53" s="20" t="inlineStr">
        <is>
          <t xml:space="preserve">IF(SUM(runs.submitted) &gt; 0, llm_cost_usd / (SUM(runs.submitted[pod.kind=llm]) / pods_llm), BLANK)</t>
        </is>
      </c>
      <c r="E53" s="0" t="inlineStr">
        <is>
          <t xml:space="preserve">ok</t>
        </is>
      </c>
    </row>
    <row r="54">
      <c r="A54" s="0" t="inlineStr">
        <is>
          <t xml:space="preserve">null_stats</t>
        </is>
      </c>
      <c r="B54" s="0" t="inlineStr">
        <is>
          <t xml:space="preserve">value</t>
        </is>
      </c>
      <c r="C54" s="0" t="inlineStr">
        <is>
          <t xml:space="preserve">line = fmp_calls</t>
        </is>
      </c>
      <c r="D54" s="20" t="inlineStr">
        <is>
          <t xml:space="preserve">SUM(api_calls.calls[source=fmp])</t>
        </is>
      </c>
      <c r="E54" s="0" t="inlineStr">
        <is>
          <t xml:space="preserve">ok</t>
        </is>
      </c>
    </row>
    <row r="55">
      <c r="A55" s="0" t="inlineStr">
        <is>
          <t xml:space="preserve">null_stats</t>
        </is>
      </c>
      <c r="B55" s="0" t="inlineStr">
        <is>
          <t xml:space="preserve">value</t>
        </is>
      </c>
      <c r="C55" s="0" t="inlineStr">
        <is>
          <t xml:space="preserve">line = isolated_mean</t>
        </is>
      </c>
      <c r="D55" s="20" t="inlineStr">
        <is>
          <t xml:space="preserve">AVG(pod_summary.mean_bps[pod.kind=llm, pod.isolated=1])</t>
        </is>
      </c>
      <c r="E55" s="0" t="inlineStr">
        <is>
          <t xml:space="preserve">ok</t>
        </is>
      </c>
    </row>
    <row r="56">
      <c r="A56" s="0" t="inlineStr">
        <is>
          <t xml:space="preserve">null_stats</t>
        </is>
      </c>
      <c r="B56" s="0" t="inlineStr">
        <is>
          <t xml:space="preserve">value</t>
        </is>
      </c>
      <c r="C56" s="0" t="inlineStr">
        <is>
          <t xml:space="preserve">line = shared_mean</t>
        </is>
      </c>
      <c r="D56" s="20" t="inlineStr">
        <is>
          <t xml:space="preserve">AVG(pod_summary.mean_bps[pod.kind=llm, pod.isolated=0])</t>
        </is>
      </c>
      <c r="E56" s="0" t="inlineStr">
        <is>
          <t xml:space="preserve">ok</t>
        </is>
      </c>
    </row>
    <row r="57">
      <c r="A57" s="0" t="inlineStr">
        <is>
          <t xml:space="preserve">fund_day</t>
        </is>
      </c>
      <c r="B57" s="0" t="inlineStr">
        <is>
          <t xml:space="preserve">value</t>
        </is>
      </c>
      <c r="C57" s="0" t="inlineStr">
        <is>
          <t xml:space="preserve">line = llm_avg_bps</t>
        </is>
      </c>
      <c r="D57" s="20" t="inlineStr">
        <is>
          <t xml:space="preserve">IF(day.evaluated = 1, AVG(pod_day.sn_excess_bps[pod.kind=llm]), BLANK)</t>
        </is>
      </c>
      <c r="E57" s="0" t="inlineStr">
        <is>
          <t xml:space="preserve">ok</t>
        </is>
      </c>
    </row>
    <row r="58">
      <c r="A58" s="0" t="inlineStr">
        <is>
          <t xml:space="preserve">fund_day</t>
        </is>
      </c>
      <c r="B58" s="0" t="inlineStr">
        <is>
          <t xml:space="preserve">value</t>
        </is>
      </c>
      <c r="C58" s="0" t="inlineStr">
        <is>
          <t xml:space="preserve">line = llm_best_bps</t>
        </is>
      </c>
      <c r="D58" s="20" t="inlineStr">
        <is>
          <t xml:space="preserve">IF(day.evaluated = 1, MAX(pod_day.sn_excess_bps[pod.kind=llm]), BLANK)</t>
        </is>
      </c>
      <c r="E58" s="0" t="inlineStr">
        <is>
          <t xml:space="preserve">ok</t>
        </is>
      </c>
    </row>
    <row r="59">
      <c r="A59" s="0" t="inlineStr">
        <is>
          <t xml:space="preserve">fund_day</t>
        </is>
      </c>
      <c r="B59" s="0" t="inlineStr">
        <is>
          <t xml:space="preserve">value</t>
        </is>
      </c>
      <c r="C59" s="0" t="inlineStr">
        <is>
          <t xml:space="preserve">line = llm_worst_bps</t>
        </is>
      </c>
      <c r="D59" s="20" t="inlineStr">
        <is>
          <t xml:space="preserve">IF(day.evaluated = 1, MIN(pod_day.sn_excess_bps[pod.kind=llm]), BLANK)</t>
        </is>
      </c>
      <c r="E59" s="0" t="inlineStr">
        <is>
          <t xml:space="preserve">ok</t>
        </is>
      </c>
    </row>
    <row r="60">
      <c r="A60" s="0" t="inlineStr">
        <is>
          <t xml:space="preserve">fund_day</t>
        </is>
      </c>
      <c r="B60" s="0" t="inlineStr">
        <is>
          <t xml:space="preserve">value</t>
        </is>
      </c>
      <c r="C60" s="0" t="inlineStr">
        <is>
          <t xml:space="preserve">line = random_avg_bps</t>
        </is>
      </c>
      <c r="D60" s="20" t="inlineStr">
        <is>
          <t xml:space="preserve">IF(day.evaluated = 1, AVG(pod_day.sn_excess_bps[pod.kind=random]), BLANK)</t>
        </is>
      </c>
      <c r="E60" s="0" t="inlineStr">
        <is>
          <t xml:space="preserve">ok</t>
        </is>
      </c>
    </row>
    <row r="61">
      <c r="A61" s="0" t="inlineStr">
        <is>
          <t xml:space="preserve">fund_day</t>
        </is>
      </c>
      <c r="B61" s="0" t="inlineStr">
        <is>
          <t xml:space="preserve">value</t>
        </is>
      </c>
      <c r="C61" s="0" t="inlineStr">
        <is>
          <t xml:space="preserve">line = random_best_bps</t>
        </is>
      </c>
      <c r="D61" s="20" t="inlineStr">
        <is>
          <t xml:space="preserve">IF(day.evaluated = 1, MAX(pod_day.sn_excess_bps[pod.kind=random]), BLANK)</t>
        </is>
      </c>
      <c r="E61" s="0" t="inlineStr">
        <is>
          <t xml:space="preserve">ok</t>
        </is>
      </c>
    </row>
    <row r="62">
      <c r="A62" s="0" t="inlineStr">
        <is>
          <t xml:space="preserve">fund_day</t>
        </is>
      </c>
      <c r="B62" s="0" t="inlineStr">
        <is>
          <t xml:space="preserve">value</t>
        </is>
      </c>
      <c r="C62" s="0" t="inlineStr">
        <is>
          <t xml:space="preserve">line = llm_cum_bps</t>
        </is>
      </c>
      <c r="D62" s="20" t="inlineStr">
        <is>
          <t xml:space="preserve">IF(day.evaluated = 1, SUM(llm_avg_bps[day=first..this]), BLANK)</t>
        </is>
      </c>
      <c r="E62" s="0" t="inlineStr">
        <is>
          <t xml:space="preserve">ok</t>
        </is>
      </c>
    </row>
    <row r="63">
      <c r="A63" s="0" t="inlineStr">
        <is>
          <t xml:space="preserve">fund_day</t>
        </is>
      </c>
      <c r="B63" s="0" t="inlineStr">
        <is>
          <t xml:space="preserve">value</t>
        </is>
      </c>
      <c r="C63" s="0" t="inlineStr">
        <is>
          <t xml:space="preserve">line = random_cum_bps</t>
        </is>
      </c>
      <c r="D63" s="20" t="inlineStr">
        <is>
          <t xml:space="preserve">IF(day.evaluated = 1, SUM(random_avg_bps[day=first..this]), BLANK)</t>
        </is>
      </c>
      <c r="E63" s="0" t="inlineStr">
        <is>
          <t xml:space="preserve">ok</t>
        </is>
      </c>
    </row>
    <row r="64">
      <c r="A64" s="0" t="inlineStr">
        <is>
          <t xml:space="preserve">fund_day</t>
        </is>
      </c>
      <c r="B64" s="0" t="inlineStr">
        <is>
          <t xml:space="preserve">value</t>
        </is>
      </c>
      <c r="C64" s="0" t="inlineStr">
        <is>
          <t xml:space="preserve">line = pods_submitted</t>
        </is>
      </c>
      <c r="D64" s="20" t="inlineStr">
        <is>
          <t xml:space="preserve">SUM(runs.submitted[day=@day, pod.kind=llm])</t>
        </is>
      </c>
      <c r="E64" s="0" t="inlineStr">
        <is>
          <t xml:space="preserve">ok</t>
        </is>
      </c>
    </row>
    <row r="65">
      <c r="A65" s="0" t="inlineStr">
        <is>
          <t xml:space="preserve">fund_day</t>
        </is>
      </c>
      <c r="B65" s="0" t="inlineStr">
        <is>
          <t xml:space="preserve">value</t>
        </is>
      </c>
      <c r="C65" s="0" t="inlineStr">
        <is>
          <t xml:space="preserve">line = avg_steps</t>
        </is>
      </c>
      <c r="D65" s="20" t="inlineStr">
        <is>
          <t xml:space="preserve">IF(pods_submitted &gt; 0, AVG(runs.steps[day=@day, pod.kind=llm]), BLANK)</t>
        </is>
      </c>
      <c r="E65" s="0" t="inlineStr">
        <is>
          <t xml:space="preserve">ok</t>
        </is>
      </c>
    </row>
    <row r="66">
      <c r="A66" s="0" t="inlineStr">
        <is>
          <t xml:space="preserve">fund_day</t>
        </is>
      </c>
      <c r="B66" s="0" t="inlineStr">
        <is>
          <t xml:space="preserve">value</t>
        </is>
      </c>
      <c r="C66" s="0" t="inlineStr">
        <is>
          <t xml:space="preserve">line = tokens_in</t>
        </is>
      </c>
      <c r="D66" s="20" t="inlineStr">
        <is>
          <t xml:space="preserve">SUM(usage.prompt_tokens[day=@day])</t>
        </is>
      </c>
      <c r="E66" s="0" t="inlineStr">
        <is>
          <t xml:space="preserve">ok</t>
        </is>
      </c>
    </row>
    <row r="67">
      <c r="A67" s="0" t="inlineStr">
        <is>
          <t xml:space="preserve">fund_day</t>
        </is>
      </c>
      <c r="B67" s="0" t="inlineStr">
        <is>
          <t xml:space="preserve">value</t>
        </is>
      </c>
      <c r="C67" s="0" t="inlineStr">
        <is>
          <t xml:space="preserve">line = tokens_out</t>
        </is>
      </c>
      <c r="D67" s="20" t="inlineStr">
        <is>
          <t xml:space="preserve">SUM(usage.completion_tokens[day=@day])</t>
        </is>
      </c>
      <c r="E67" s="0" t="inlineStr">
        <is>
          <t xml:space="preserve">ok</t>
        </is>
      </c>
    </row>
    <row r="68">
      <c r="A68" s="0" t="inlineStr">
        <is>
          <t xml:space="preserve">fund_day</t>
        </is>
      </c>
      <c r="B68" s="0" t="inlineStr">
        <is>
          <t xml:space="preserve">value</t>
        </is>
      </c>
      <c r="C68" s="0" t="inlineStr">
        <is>
          <t xml:space="preserve">line = cost_usd</t>
        </is>
      </c>
      <c r="D68" s="20" t="inlineStr">
        <is>
          <t xml:space="preserve">tokens_in / 1000000 * assumptions.price_in_per_m + tokens_out / 1000000 * assumptions.price_out_per_m</t>
        </is>
      </c>
      <c r="E68" s="0" t="inlineStr">
        <is>
          <t xml:space="preserve">ok</t>
        </is>
      </c>
    </row>
    <row r="69">
      <c r="A69" s="0" t="inlineStr">
        <is>
          <t xml:space="preserve">fund_day</t>
        </is>
      </c>
      <c r="B69" s="0" t="inlineStr">
        <is>
          <t xml:space="preserve">value</t>
        </is>
      </c>
      <c r="C69" s="0" t="inlineStr">
        <is>
          <t xml:space="preserve">line = cum_cost_usd</t>
        </is>
      </c>
      <c r="D69" s="20" t="inlineStr">
        <is>
          <t xml:space="preserve">SUM(cost_usd[day=first..this])</t>
        </is>
      </c>
      <c r="E69" s="0" t="inlineStr">
        <is>
          <t xml:space="preserve">ok</t>
        </is>
      </c>
    </row>
    <row r="70">
      <c r="A70" s="0" t="inlineStr">
        <is>
          <t xml:space="preserve">fund_day</t>
        </is>
      </c>
      <c r="B70" s="0" t="inlineStr">
        <is>
          <t xml:space="preserve">value</t>
        </is>
      </c>
      <c r="C70" s="0" t="inlineStr">
        <is>
          <t xml:space="preserve">line = fmp_calls</t>
        </is>
      </c>
      <c r="D70" s="20" t="inlineStr">
        <is>
          <t xml:space="preserve">SUM(api_calls.calls[day=@day, source=fmp])</t>
        </is>
      </c>
      <c r="E70" s="0" t="inlineStr">
        <is>
          <t xml:space="preserve">ok</t>
        </is>
      </c>
    </row>
    <row r="71">
      <c r="A71" s="0" t="inlineStr">
        <is>
          <t xml:space="preserve">fund_day</t>
        </is>
      </c>
      <c r="B71" s="0" t="inlineStr">
        <is>
          <t xml:space="preserve">value</t>
        </is>
      </c>
      <c r="C71" s="0" t="inlineStr">
        <is>
          <t xml:space="preserve">line = serp_calls</t>
        </is>
      </c>
      <c r="D71" s="20" t="inlineStr">
        <is>
          <t xml:space="preserve">SUM(api_calls.calls[day=@day, source=serp])</t>
        </is>
      </c>
      <c r="E71" s="0" t="inlineStr">
        <is>
          <t xml:space="preserve">ok</t>
        </is>
      </c>
    </row>
    <row r="72">
      <c r="A72" s="0" t="inlineStr">
        <is>
          <t xml:space="preserve">fund_month</t>
        </is>
      </c>
      <c r="B72" s="0" t="inlineStr">
        <is>
          <t xml:space="preserve">value</t>
        </is>
      </c>
      <c r="C72" s="0" t="inlineStr">
        <is>
          <t xml:space="preserve">line = trading_days</t>
        </is>
      </c>
      <c r="D72" s="20" t="inlineStr">
        <is>
          <t xml:space="preserve">COUNT(days.idx[month=@period])</t>
        </is>
      </c>
      <c r="E72" s="0" t="inlineStr">
        <is>
          <t xml:space="preserve">ok</t>
        </is>
      </c>
    </row>
    <row r="73">
      <c r="A73" s="0" t="inlineStr">
        <is>
          <t xml:space="preserve">fund_month</t>
        </is>
      </c>
      <c r="B73" s="0" t="inlineStr">
        <is>
          <t xml:space="preserve">value</t>
        </is>
      </c>
      <c r="C73" s="0" t="inlineStr">
        <is>
          <t xml:space="preserve">line = evaluated_days</t>
        </is>
      </c>
      <c r="D73" s="20" t="inlineStr">
        <is>
          <t xml:space="preserve">SUM(days.evaluated[month=@period])</t>
        </is>
      </c>
      <c r="E73" s="0" t="inlineStr">
        <is>
          <t xml:space="preserve">ok</t>
        </is>
      </c>
    </row>
    <row r="74">
      <c r="A74" s="0" t="inlineStr">
        <is>
          <t xml:space="preserve">fund_month</t>
        </is>
      </c>
      <c r="B74" s="0" t="inlineStr">
        <is>
          <t xml:space="preserve">value</t>
        </is>
      </c>
      <c r="C74" s="0" t="inlineStr">
        <is>
          <t xml:space="preserve">line = llm_avg_bps</t>
        </is>
      </c>
      <c r="D74" s="20" t="inlineStr">
        <is>
          <t xml:space="preserve">IF(evaluated_days &gt; 0, AVG(fund_day.llm_avg_bps[day.month=@period]), BLANK)</t>
        </is>
      </c>
      <c r="E74" s="0" t="inlineStr">
        <is>
          <t xml:space="preserve">ok</t>
        </is>
      </c>
    </row>
    <row r="75">
      <c r="A75" s="0" t="inlineStr">
        <is>
          <t xml:space="preserve">fund_month</t>
        </is>
      </c>
      <c r="B75" s="0" t="inlineStr">
        <is>
          <t xml:space="preserve">value</t>
        </is>
      </c>
      <c r="C75" s="0" t="inlineStr">
        <is>
          <t xml:space="preserve">line = random_avg_bps</t>
        </is>
      </c>
      <c r="D75" s="20" t="inlineStr">
        <is>
          <t xml:space="preserve">IF(evaluated_days &gt; 0, AVG(fund_day.random_avg_bps[day.month=@period]), BLANK)</t>
        </is>
      </c>
      <c r="E75" s="0" t="inlineStr">
        <is>
          <t xml:space="preserve">ok</t>
        </is>
      </c>
    </row>
    <row r="76">
      <c r="A76" s="0" t="inlineStr">
        <is>
          <t xml:space="preserve">fund_month</t>
        </is>
      </c>
      <c r="B76" s="0" t="inlineStr">
        <is>
          <t xml:space="preserve">value</t>
        </is>
      </c>
      <c r="C76" s="0" t="inlineStr">
        <is>
          <t xml:space="preserve">line = cost_usd</t>
        </is>
      </c>
      <c r="D76" s="20" t="inlineStr">
        <is>
          <t xml:space="preserve">SUM(fund_day.cost_usd[day.month=@period])</t>
        </is>
      </c>
      <c r="E76" s="0" t="inlineStr">
        <is>
          <t xml:space="preserve">ok</t>
        </is>
      </c>
    </row>
    <row r="77">
      <c r="A77" s="0" t="inlineStr">
        <is>
          <t xml:space="preserve">fund_month</t>
        </is>
      </c>
      <c r="B77" s="0" t="inlineStr">
        <is>
          <t xml:space="preserve">value</t>
        </is>
      </c>
      <c r="C77" s="0" t="inlineStr">
        <is>
          <t xml:space="preserve">line = fmp_calls</t>
        </is>
      </c>
      <c r="D77" s="20" t="inlineStr">
        <is>
          <t xml:space="preserve">SUM(fund_day.fmp_calls[day.month=@period])</t>
        </is>
      </c>
      <c r="E77" s="0" t="inlineStr">
        <is>
          <t xml:space="preserve">ok</t>
        </is>
      </c>
    </row>
    <row r="78">
      <c r="A78" s="0" t="inlineStr">
        <is>
          <t xml:space="preserve">sector_mix</t>
        </is>
      </c>
      <c r="B78" s="0" t="inlineStr">
        <is>
          <t xml:space="preserve">value</t>
        </is>
      </c>
      <c r="C78" s="0" t="inlineStr">
        <is>
          <t xml:space="preserve">line = picks</t>
        </is>
      </c>
      <c r="D78" s="20" t="inlineStr">
        <is>
          <t xml:space="preserve">COUNT(picks.rank[pod=@pod, sector=@sector])</t>
        </is>
      </c>
      <c r="E78" s="0" t="inlineStr">
        <is>
          <t xml:space="preserve">ok</t>
        </is>
      </c>
    </row>
    <row r="79">
      <c r="A79" s="0" t="inlineStr">
        <is>
          <t xml:space="preserve">sector_mix</t>
        </is>
      </c>
      <c r="B79" s="0" t="inlineStr">
        <is>
          <t xml:space="preserve">value</t>
        </is>
      </c>
      <c r="C79" s="0" t="inlineStr">
        <is>
          <t xml:space="preserve">line = share</t>
        </is>
      </c>
      <c r="D79" s="20" t="inlineStr">
        <is>
          <t xml:space="preserve">picks / 100</t>
        </is>
      </c>
      <c r="E79" s="0" t="inlineStr">
        <is>
          <t xml:space="preserve">ok</t>
        </is>
      </c>
    </row>
    <row r="80">
      <c r="A80" s="0" t="inlineStr">
        <is>
          <t xml:space="preserve">overlap</t>
        </is>
      </c>
      <c r="B80" s="0" t="inlineStr">
        <is>
          <t xml:space="preserve">value</t>
        </is>
      </c>
      <c r="C80" s="0" t="inlineStr">
        <is>
          <t xml:space="preserve">line = shared</t>
        </is>
      </c>
      <c r="D80" s="20" t="inlineStr">
        <is>
          <t xml:space="preserve">SUM(overlap_t.overlap[pod_a=@pod_a, pod_b=@pod_b])</t>
        </is>
      </c>
      <c r="E80" s="0" t="inlineStr">
        <is>
          <t xml:space="preserve">ok</t>
        </is>
      </c>
    </row>
    <row r="82">
      <c r="A82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xl/worksheets/sheet33.xml><?xml version="1.0" encoding="utf-8"?>
<worksheet xmlns="http://schemas.openxmlformats.org/spreadsheetml/2006/main" xmlns:r="http://schemas.openxmlformats.org/officeDocument/2006/relationships">
  <cols>
    <col min="1" max="1" width="120" customWidth="1"/>
  </cols>
  <sheetData>
    <row r="1">
      <c r="A1" s="1" t="inlineStr">
        <is>
          <t xml:space="preserve">Cells that kept their computed value because the rule has no faithful Excel formula</t>
        </is>
      </c>
    </row>
    <row r="2">
      <c r="A2" s="0" t="inlineStr">
        <is>
          <t xml:space="preserve">pod_day.value: "IF(day.evaluated = 1, IF(mean_sq - mean_bps * mean_bps &gt; 0, SQRT(mean_sq - mean_bps * mean_bps), 0), BLANK)" kept as values — SQRT() has no Excel form (3500 cells)</t>
        </is>
      </c>
    </row>
    <row r="3">
      <c r="A3" s="0" t="inlineStr">
        <is>
          <t xml:space="preserve">pod_day.value: "IF(day.evaluated = 1, IF(n_days &gt; 1 and sd_bps &gt; 0, mean_bps / (sd_bps / SQRT(n_days)), BLANK), BLANK)" kept as values — SQRT() has no Excel form (3500 cells)</t>
        </is>
      </c>
    </row>
    <row r="4">
      <c r="A4" s="0" t="inlineStr">
        <is>
          <t xml:space="preserve">pod_summary.value: "IF(n_days &gt; 0, IF(mean_sq - mean_bps * mean_bps &gt; 0, SQRT(mean_sq - mean_bps * mean_bps), 0), BLANK)" kept as values — SQRT() has no Excel form (35 cells)</t>
        </is>
      </c>
    </row>
    <row r="5">
      <c r="A5" s="0" t="inlineStr">
        <is>
          <t xml:space="preserve">pod_summary.value: "IF(n_days &gt; 1 and sd_bps &gt; 0, mean_bps / (sd_bps / SQRT(n_days)), BLANK)" kept as values — SQRT() has no Excel form (35 cells)</t>
        </is>
      </c>
    </row>
    <row r="6">
      <c r="A6" s="0" t="inlineStr">
        <is>
          <t xml:space="preserve">pod_summary.value: "IF(n_days &gt; 1 and sd_bps &gt; 0, mean_bps / sd_bps * SQRT(252), BLANK)" kept as values — SQRT() has no Excel form (35 cells)</t>
        </is>
      </c>
    </row>
    <row r="7">
      <c r="A7" s="0" t="inlineStr">
        <is>
          <t xml:space="preserve">null_stats.value: "IF(random_mean_sq - random_mean * random_mean &gt; 0, SQRT(random_mean_sq - random_mean * random_mean), 0)" kept as values — SQRT() has no Excel form</t>
        </is>
      </c>
    </row>
    <row r="8">
      <c r="A8" s="0" t="inlineStr">
        <is>
          <t xml:space="preserve">sector_mix.value: "COUNT(picks.rank[pod=@pod, sector=@sector])" kept as values — a path on a measure value (385 cells)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